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026c8095eb96db67/Desktop/Google Sheets Github/"/>
    </mc:Choice>
  </mc:AlternateContent>
  <xr:revisionPtr revIDLastSave="0" documentId="8_{7A85B94B-2282-4883-84C7-DF32A593BAA5}" xr6:coauthVersionLast="47" xr6:coauthVersionMax="47" xr10:uidLastSave="{00000000-0000-0000-0000-000000000000}"/>
  <bookViews>
    <workbookView xWindow="-108" yWindow="-108" windowWidth="23256" windowHeight="12456" xr2:uid="{00000000-000D-0000-FFFF-FFFF00000000}"/>
  </bookViews>
  <sheets>
    <sheet name="Retail dataset of a global supe" sheetId="1" r:id="rId1"/>
    <sheet name="Cleaned data" sheetId="2" r:id="rId2"/>
    <sheet name="Q1" sheetId="3" r:id="rId3"/>
    <sheet name="Q2" sheetId="4" r:id="rId4"/>
    <sheet name="Q3" sheetId="5" r:id="rId5"/>
    <sheet name="Q4" sheetId="6" r:id="rId6"/>
    <sheet name="Q5" sheetId="7" r:id="rId7"/>
    <sheet name="Q6" sheetId="8" r:id="rId8"/>
    <sheet name="Q7" sheetId="9" r:id="rId9"/>
    <sheet name="Q8" sheetId="10" r:id="rId10"/>
    <sheet name="Q9" sheetId="11" r:id="rId11"/>
    <sheet name="Q10" sheetId="12" r:id="rId12"/>
    <sheet name="Dashboard " sheetId="13" r:id="rId13"/>
  </sheets>
  <definedNames>
    <definedName name="SalesData">'Cleaned data'!$A$1:$X$1501</definedName>
    <definedName name="SlicerCache_Table_1_Col_14">#N/A</definedName>
    <definedName name="SlicerCache_Table_1_Col_16">#N/A</definedName>
    <definedName name="SlicerCache_Table_1_Col_18">#N/A</definedName>
    <definedName name="SlicerCache_Table_1_Col_4">#N/A</definedName>
    <definedName name="Z_FEC1F7F8_0211_4612_8028_A046D8C9CFE2_.wvu.FilterData" localSheetId="1" hidden="1">'Cleaned data'!$A$1:$X$1501</definedName>
  </definedNames>
  <calcPr calcId="191029"/>
  <customWorkbookViews>
    <customWorkbookView name="Filter 1" guid="{FEC1F7F8-0211-4612-8028-A046D8C9CFE2}" maximized="1" windowWidth="0" windowHeight="0" activeSheetId="0"/>
  </customWorkbookViews>
  <fileRecoveryPr repairLoad="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4:slicerCache r:id="rId16"/>
        <x14:slicerCache r:id="rId1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2" l="1"/>
  <c r="A5" i="12"/>
  <c r="B4" i="12"/>
  <c r="A4" i="12"/>
  <c r="W282" i="11"/>
  <c r="V282" i="11"/>
  <c r="U282" i="11"/>
  <c r="T282" i="11"/>
  <c r="S282" i="11"/>
  <c r="R282" i="11"/>
  <c r="Q282" i="11"/>
  <c r="P282" i="11"/>
  <c r="O282" i="11"/>
  <c r="N282" i="11"/>
  <c r="M282" i="11"/>
  <c r="L282" i="11"/>
  <c r="K282" i="11"/>
  <c r="I282" i="11"/>
  <c r="H282" i="11"/>
  <c r="G282" i="11"/>
  <c r="F282" i="11"/>
  <c r="E282" i="11"/>
  <c r="D282" i="11"/>
  <c r="C282" i="11"/>
  <c r="B282" i="11"/>
  <c r="A282" i="11"/>
  <c r="W281" i="11"/>
  <c r="V281" i="11"/>
  <c r="U281" i="11"/>
  <c r="T281" i="11"/>
  <c r="S281" i="11"/>
  <c r="R281" i="11"/>
  <c r="Q281" i="11"/>
  <c r="P281" i="11"/>
  <c r="O281" i="11"/>
  <c r="N281" i="11"/>
  <c r="M281" i="11"/>
  <c r="L281" i="11"/>
  <c r="K281" i="11"/>
  <c r="I281" i="11"/>
  <c r="H281" i="11"/>
  <c r="G281" i="11"/>
  <c r="F281" i="11"/>
  <c r="E281" i="11"/>
  <c r="D281" i="11"/>
  <c r="C281" i="11"/>
  <c r="B281" i="11"/>
  <c r="A281" i="11"/>
  <c r="W280" i="11"/>
  <c r="V280" i="11"/>
  <c r="U280" i="11"/>
  <c r="T280" i="11"/>
  <c r="S280" i="11"/>
  <c r="R280" i="11"/>
  <c r="Q280" i="11"/>
  <c r="P280" i="11"/>
  <c r="O280" i="11"/>
  <c r="N280" i="11"/>
  <c r="M280" i="11"/>
  <c r="L280" i="11"/>
  <c r="K280" i="11"/>
  <c r="I280" i="11"/>
  <c r="H280" i="11"/>
  <c r="G280" i="11"/>
  <c r="F280" i="11"/>
  <c r="E280" i="11"/>
  <c r="D280" i="11"/>
  <c r="C280" i="11"/>
  <c r="B280" i="11"/>
  <c r="A280" i="11"/>
  <c r="W279" i="11"/>
  <c r="V279" i="11"/>
  <c r="U279" i="11"/>
  <c r="T279" i="11"/>
  <c r="S279" i="11"/>
  <c r="R279" i="11"/>
  <c r="Q279" i="11"/>
  <c r="P279" i="11"/>
  <c r="O279" i="11"/>
  <c r="N279" i="11"/>
  <c r="M279" i="11"/>
  <c r="L279" i="11"/>
  <c r="K279" i="11"/>
  <c r="I279" i="11"/>
  <c r="H279" i="11"/>
  <c r="G279" i="11"/>
  <c r="F279" i="11"/>
  <c r="E279" i="11"/>
  <c r="D279" i="11"/>
  <c r="C279" i="11"/>
  <c r="B279" i="11"/>
  <c r="A279" i="11"/>
  <c r="W278" i="11"/>
  <c r="V278" i="11"/>
  <c r="U278" i="11"/>
  <c r="T278" i="11"/>
  <c r="S278" i="11"/>
  <c r="R278" i="11"/>
  <c r="Q278" i="11"/>
  <c r="P278" i="11"/>
  <c r="O278" i="11"/>
  <c r="N278" i="11"/>
  <c r="M278" i="11"/>
  <c r="L278" i="11"/>
  <c r="K278" i="11"/>
  <c r="I278" i="11"/>
  <c r="H278" i="11"/>
  <c r="G278" i="11"/>
  <c r="F278" i="11"/>
  <c r="E278" i="11"/>
  <c r="D278" i="11"/>
  <c r="C278" i="11"/>
  <c r="B278" i="11"/>
  <c r="A278" i="11"/>
  <c r="W277" i="11"/>
  <c r="V277" i="11"/>
  <c r="U277" i="11"/>
  <c r="T277" i="11"/>
  <c r="S277" i="11"/>
  <c r="R277" i="11"/>
  <c r="Q277" i="11"/>
  <c r="P277" i="11"/>
  <c r="O277" i="11"/>
  <c r="N277" i="11"/>
  <c r="M277" i="11"/>
  <c r="L277" i="11"/>
  <c r="K277" i="11"/>
  <c r="I277" i="11"/>
  <c r="H277" i="11"/>
  <c r="G277" i="11"/>
  <c r="F277" i="11"/>
  <c r="E277" i="11"/>
  <c r="D277" i="11"/>
  <c r="C277" i="11"/>
  <c r="B277" i="11"/>
  <c r="A277" i="11"/>
  <c r="W276" i="11"/>
  <c r="V276" i="11"/>
  <c r="U276" i="11"/>
  <c r="T276" i="11"/>
  <c r="S276" i="11"/>
  <c r="R276" i="11"/>
  <c r="Q276" i="11"/>
  <c r="P276" i="11"/>
  <c r="O276" i="11"/>
  <c r="N276" i="11"/>
  <c r="M276" i="11"/>
  <c r="L276" i="11"/>
  <c r="K276" i="11"/>
  <c r="I276" i="11"/>
  <c r="H276" i="11"/>
  <c r="G276" i="11"/>
  <c r="F276" i="11"/>
  <c r="E276" i="11"/>
  <c r="D276" i="11"/>
  <c r="C276" i="11"/>
  <c r="B276" i="11"/>
  <c r="A276" i="11"/>
  <c r="W275" i="11"/>
  <c r="V275" i="11"/>
  <c r="U275" i="11"/>
  <c r="T275" i="11"/>
  <c r="S275" i="11"/>
  <c r="R275" i="11"/>
  <c r="Q275" i="11"/>
  <c r="P275" i="11"/>
  <c r="O275" i="11"/>
  <c r="N275" i="11"/>
  <c r="M275" i="11"/>
  <c r="L275" i="11"/>
  <c r="K275" i="11"/>
  <c r="I275" i="11"/>
  <c r="H275" i="11"/>
  <c r="G275" i="11"/>
  <c r="F275" i="11"/>
  <c r="E275" i="11"/>
  <c r="D275" i="11"/>
  <c r="C275" i="11"/>
  <c r="B275" i="11"/>
  <c r="A275" i="11"/>
  <c r="W274" i="11"/>
  <c r="V274" i="11"/>
  <c r="U274" i="11"/>
  <c r="T274" i="11"/>
  <c r="S274" i="11"/>
  <c r="R274" i="11"/>
  <c r="Q274" i="11"/>
  <c r="P274" i="11"/>
  <c r="O274" i="11"/>
  <c r="N274" i="11"/>
  <c r="M274" i="11"/>
  <c r="L274" i="11"/>
  <c r="K274" i="11"/>
  <c r="I274" i="11"/>
  <c r="H274" i="11"/>
  <c r="G274" i="11"/>
  <c r="F274" i="11"/>
  <c r="E274" i="11"/>
  <c r="D274" i="11"/>
  <c r="C274" i="11"/>
  <c r="B274" i="11"/>
  <c r="A274" i="11"/>
  <c r="W273" i="11"/>
  <c r="V273" i="11"/>
  <c r="U273" i="11"/>
  <c r="T273" i="11"/>
  <c r="S273" i="11"/>
  <c r="R273" i="11"/>
  <c r="Q273" i="11"/>
  <c r="P273" i="11"/>
  <c r="O273" i="11"/>
  <c r="N273" i="11"/>
  <c r="M273" i="11"/>
  <c r="L273" i="11"/>
  <c r="K273" i="11"/>
  <c r="I273" i="11"/>
  <c r="H273" i="11"/>
  <c r="G273" i="11"/>
  <c r="F273" i="11"/>
  <c r="E273" i="11"/>
  <c r="D273" i="11"/>
  <c r="C273" i="11"/>
  <c r="B273" i="11"/>
  <c r="A273" i="11"/>
  <c r="W272" i="11"/>
  <c r="V272" i="11"/>
  <c r="U272" i="11"/>
  <c r="T272" i="11"/>
  <c r="S272" i="11"/>
  <c r="R272" i="11"/>
  <c r="Q272" i="11"/>
  <c r="P272" i="11"/>
  <c r="O272" i="11"/>
  <c r="N272" i="11"/>
  <c r="M272" i="11"/>
  <c r="L272" i="11"/>
  <c r="K272" i="11"/>
  <c r="I272" i="11"/>
  <c r="H272" i="11"/>
  <c r="G272" i="11"/>
  <c r="F272" i="11"/>
  <c r="E272" i="11"/>
  <c r="D272" i="11"/>
  <c r="C272" i="11"/>
  <c r="B272" i="11"/>
  <c r="A272" i="11"/>
  <c r="W271" i="11"/>
  <c r="V271" i="11"/>
  <c r="U271" i="11"/>
  <c r="T271" i="11"/>
  <c r="S271" i="11"/>
  <c r="R271" i="11"/>
  <c r="Q271" i="11"/>
  <c r="P271" i="11"/>
  <c r="O271" i="11"/>
  <c r="N271" i="11"/>
  <c r="M271" i="11"/>
  <c r="L271" i="11"/>
  <c r="K271" i="11"/>
  <c r="I271" i="11"/>
  <c r="H271" i="11"/>
  <c r="G271" i="11"/>
  <c r="F271" i="11"/>
  <c r="E271" i="11"/>
  <c r="D271" i="11"/>
  <c r="C271" i="11"/>
  <c r="B271" i="11"/>
  <c r="A271" i="11"/>
  <c r="W270" i="11"/>
  <c r="V270" i="11"/>
  <c r="U270" i="11"/>
  <c r="T270" i="11"/>
  <c r="S270" i="11"/>
  <c r="R270" i="11"/>
  <c r="Q270" i="11"/>
  <c r="P270" i="11"/>
  <c r="O270" i="11"/>
  <c r="N270" i="11"/>
  <c r="M270" i="11"/>
  <c r="L270" i="11"/>
  <c r="K270" i="11"/>
  <c r="I270" i="11"/>
  <c r="H270" i="11"/>
  <c r="G270" i="11"/>
  <c r="F270" i="11"/>
  <c r="E270" i="11"/>
  <c r="D270" i="11"/>
  <c r="C270" i="11"/>
  <c r="B270" i="11"/>
  <c r="A270" i="11"/>
  <c r="W269" i="11"/>
  <c r="V269" i="11"/>
  <c r="U269" i="11"/>
  <c r="T269" i="11"/>
  <c r="S269" i="11"/>
  <c r="R269" i="11"/>
  <c r="Q269" i="11"/>
  <c r="P269" i="11"/>
  <c r="O269" i="11"/>
  <c r="N269" i="11"/>
  <c r="M269" i="11"/>
  <c r="L269" i="11"/>
  <c r="K269" i="11"/>
  <c r="I269" i="11"/>
  <c r="H269" i="11"/>
  <c r="G269" i="11"/>
  <c r="F269" i="11"/>
  <c r="E269" i="11"/>
  <c r="D269" i="11"/>
  <c r="C269" i="11"/>
  <c r="B269" i="11"/>
  <c r="A269" i="11"/>
  <c r="W268" i="11"/>
  <c r="V268" i="11"/>
  <c r="U268" i="11"/>
  <c r="T268" i="11"/>
  <c r="S268" i="11"/>
  <c r="R268" i="11"/>
  <c r="Q268" i="11"/>
  <c r="P268" i="11"/>
  <c r="O268" i="11"/>
  <c r="N268" i="11"/>
  <c r="M268" i="11"/>
  <c r="L268" i="11"/>
  <c r="K268" i="11"/>
  <c r="I268" i="11"/>
  <c r="H268" i="11"/>
  <c r="G268" i="11"/>
  <c r="F268" i="11"/>
  <c r="E268" i="11"/>
  <c r="D268" i="11"/>
  <c r="C268" i="11"/>
  <c r="B268" i="11"/>
  <c r="A268" i="11"/>
  <c r="W267" i="11"/>
  <c r="V267" i="11"/>
  <c r="U267" i="11"/>
  <c r="T267" i="11"/>
  <c r="S267" i="11"/>
  <c r="R267" i="11"/>
  <c r="Q267" i="11"/>
  <c r="P267" i="11"/>
  <c r="O267" i="11"/>
  <c r="N267" i="11"/>
  <c r="M267" i="11"/>
  <c r="L267" i="11"/>
  <c r="K267" i="11"/>
  <c r="I267" i="11"/>
  <c r="H267" i="11"/>
  <c r="G267" i="11"/>
  <c r="F267" i="11"/>
  <c r="E267" i="11"/>
  <c r="D267" i="11"/>
  <c r="C267" i="11"/>
  <c r="B267" i="11"/>
  <c r="A267" i="11"/>
  <c r="W266" i="11"/>
  <c r="V266" i="11"/>
  <c r="U266" i="11"/>
  <c r="T266" i="11"/>
  <c r="S266" i="11"/>
  <c r="R266" i="11"/>
  <c r="Q266" i="11"/>
  <c r="P266" i="11"/>
  <c r="O266" i="11"/>
  <c r="N266" i="11"/>
  <c r="M266" i="11"/>
  <c r="L266" i="11"/>
  <c r="K266" i="11"/>
  <c r="I266" i="11"/>
  <c r="H266" i="11"/>
  <c r="G266" i="11"/>
  <c r="F266" i="11"/>
  <c r="E266" i="11"/>
  <c r="D266" i="11"/>
  <c r="C266" i="11"/>
  <c r="B266" i="11"/>
  <c r="A266" i="11"/>
  <c r="W265" i="11"/>
  <c r="V265" i="11"/>
  <c r="U265" i="11"/>
  <c r="T265" i="11"/>
  <c r="S265" i="11"/>
  <c r="R265" i="11"/>
  <c r="Q265" i="11"/>
  <c r="P265" i="11"/>
  <c r="O265" i="11"/>
  <c r="N265" i="11"/>
  <c r="M265" i="11"/>
  <c r="L265" i="11"/>
  <c r="K265" i="11"/>
  <c r="I265" i="11"/>
  <c r="H265" i="11"/>
  <c r="G265" i="11"/>
  <c r="F265" i="11"/>
  <c r="E265" i="11"/>
  <c r="D265" i="11"/>
  <c r="C265" i="11"/>
  <c r="B265" i="11"/>
  <c r="A265" i="11"/>
  <c r="W264" i="11"/>
  <c r="V264" i="11"/>
  <c r="U264" i="11"/>
  <c r="T264" i="11"/>
  <c r="S264" i="11"/>
  <c r="R264" i="11"/>
  <c r="Q264" i="11"/>
  <c r="P264" i="11"/>
  <c r="O264" i="11"/>
  <c r="N264" i="11"/>
  <c r="M264" i="11"/>
  <c r="L264" i="11"/>
  <c r="K264" i="11"/>
  <c r="I264" i="11"/>
  <c r="H264" i="11"/>
  <c r="G264" i="11"/>
  <c r="F264" i="11"/>
  <c r="E264" i="11"/>
  <c r="D264" i="11"/>
  <c r="C264" i="11"/>
  <c r="B264" i="11"/>
  <c r="A264" i="11"/>
  <c r="W263" i="11"/>
  <c r="V263" i="11"/>
  <c r="U263" i="11"/>
  <c r="T263" i="11"/>
  <c r="S263" i="11"/>
  <c r="R263" i="11"/>
  <c r="Q263" i="11"/>
  <c r="P263" i="11"/>
  <c r="O263" i="11"/>
  <c r="N263" i="11"/>
  <c r="M263" i="11"/>
  <c r="L263" i="11"/>
  <c r="K263" i="11"/>
  <c r="I263" i="11"/>
  <c r="H263" i="11"/>
  <c r="G263" i="11"/>
  <c r="F263" i="11"/>
  <c r="E263" i="11"/>
  <c r="D263" i="11"/>
  <c r="C263" i="11"/>
  <c r="B263" i="11"/>
  <c r="A263" i="11"/>
  <c r="W262" i="11"/>
  <c r="V262" i="11"/>
  <c r="U262" i="11"/>
  <c r="T262" i="11"/>
  <c r="S262" i="11"/>
  <c r="R262" i="11"/>
  <c r="Q262" i="11"/>
  <c r="P262" i="11"/>
  <c r="O262" i="11"/>
  <c r="N262" i="11"/>
  <c r="M262" i="11"/>
  <c r="L262" i="11"/>
  <c r="K262" i="11"/>
  <c r="I262" i="11"/>
  <c r="H262" i="11"/>
  <c r="G262" i="11"/>
  <c r="F262" i="11"/>
  <c r="E262" i="11"/>
  <c r="D262" i="11"/>
  <c r="C262" i="11"/>
  <c r="B262" i="11"/>
  <c r="A262" i="11"/>
  <c r="W261" i="11"/>
  <c r="V261" i="11"/>
  <c r="U261" i="11"/>
  <c r="T261" i="11"/>
  <c r="S261" i="11"/>
  <c r="R261" i="11"/>
  <c r="Q261" i="11"/>
  <c r="P261" i="11"/>
  <c r="O261" i="11"/>
  <c r="N261" i="11"/>
  <c r="M261" i="11"/>
  <c r="L261" i="11"/>
  <c r="K261" i="11"/>
  <c r="I261" i="11"/>
  <c r="H261" i="11"/>
  <c r="G261" i="11"/>
  <c r="F261" i="11"/>
  <c r="E261" i="11"/>
  <c r="D261" i="11"/>
  <c r="C261" i="11"/>
  <c r="B261" i="11"/>
  <c r="A261" i="11"/>
  <c r="W260" i="11"/>
  <c r="V260" i="11"/>
  <c r="U260" i="11"/>
  <c r="T260" i="11"/>
  <c r="S260" i="11"/>
  <c r="R260" i="11"/>
  <c r="Q260" i="11"/>
  <c r="P260" i="11"/>
  <c r="O260" i="11"/>
  <c r="N260" i="11"/>
  <c r="M260" i="11"/>
  <c r="L260" i="11"/>
  <c r="K260" i="11"/>
  <c r="I260" i="11"/>
  <c r="H260" i="11"/>
  <c r="G260" i="11"/>
  <c r="F260" i="11"/>
  <c r="E260" i="11"/>
  <c r="D260" i="11"/>
  <c r="C260" i="11"/>
  <c r="B260" i="11"/>
  <c r="A260" i="11"/>
  <c r="W259" i="11"/>
  <c r="V259" i="11"/>
  <c r="U259" i="11"/>
  <c r="T259" i="11"/>
  <c r="S259" i="11"/>
  <c r="R259" i="11"/>
  <c r="Q259" i="11"/>
  <c r="P259" i="11"/>
  <c r="O259" i="11"/>
  <c r="N259" i="11"/>
  <c r="M259" i="11"/>
  <c r="L259" i="11"/>
  <c r="K259" i="11"/>
  <c r="I259" i="11"/>
  <c r="H259" i="11"/>
  <c r="G259" i="11"/>
  <c r="F259" i="11"/>
  <c r="E259" i="11"/>
  <c r="D259" i="11"/>
  <c r="C259" i="11"/>
  <c r="B259" i="11"/>
  <c r="A259" i="11"/>
  <c r="W258" i="11"/>
  <c r="V258" i="11"/>
  <c r="U258" i="11"/>
  <c r="T258" i="11"/>
  <c r="S258" i="11"/>
  <c r="R258" i="11"/>
  <c r="Q258" i="11"/>
  <c r="P258" i="11"/>
  <c r="O258" i="11"/>
  <c r="N258" i="11"/>
  <c r="M258" i="11"/>
  <c r="L258" i="11"/>
  <c r="K258" i="11"/>
  <c r="I258" i="11"/>
  <c r="H258" i="11"/>
  <c r="G258" i="11"/>
  <c r="F258" i="11"/>
  <c r="E258" i="11"/>
  <c r="D258" i="11"/>
  <c r="C258" i="11"/>
  <c r="B258" i="11"/>
  <c r="A258" i="11"/>
  <c r="W257" i="11"/>
  <c r="V257" i="11"/>
  <c r="U257" i="11"/>
  <c r="T257" i="11"/>
  <c r="S257" i="11"/>
  <c r="R257" i="11"/>
  <c r="Q257" i="11"/>
  <c r="P257" i="11"/>
  <c r="O257" i="11"/>
  <c r="N257" i="11"/>
  <c r="M257" i="11"/>
  <c r="L257" i="11"/>
  <c r="K257" i="11"/>
  <c r="I257" i="11"/>
  <c r="H257" i="11"/>
  <c r="G257" i="11"/>
  <c r="F257" i="11"/>
  <c r="E257" i="11"/>
  <c r="D257" i="11"/>
  <c r="C257" i="11"/>
  <c r="B257" i="11"/>
  <c r="A257" i="11"/>
  <c r="W256" i="11"/>
  <c r="V256" i="11"/>
  <c r="U256" i="11"/>
  <c r="T256" i="11"/>
  <c r="S256" i="11"/>
  <c r="R256" i="11"/>
  <c r="Q256" i="11"/>
  <c r="P256" i="11"/>
  <c r="O256" i="11"/>
  <c r="N256" i="11"/>
  <c r="M256" i="11"/>
  <c r="L256" i="11"/>
  <c r="K256" i="11"/>
  <c r="I256" i="11"/>
  <c r="H256" i="11"/>
  <c r="G256" i="11"/>
  <c r="F256" i="11"/>
  <c r="E256" i="11"/>
  <c r="D256" i="11"/>
  <c r="C256" i="11"/>
  <c r="B256" i="11"/>
  <c r="A256" i="11"/>
  <c r="W255" i="11"/>
  <c r="V255" i="11"/>
  <c r="U255" i="11"/>
  <c r="T255" i="11"/>
  <c r="S255" i="11"/>
  <c r="R255" i="11"/>
  <c r="Q255" i="11"/>
  <c r="P255" i="11"/>
  <c r="O255" i="11"/>
  <c r="N255" i="11"/>
  <c r="M255" i="11"/>
  <c r="L255" i="11"/>
  <c r="K255" i="11"/>
  <c r="I255" i="11"/>
  <c r="H255" i="11"/>
  <c r="G255" i="11"/>
  <c r="F255" i="11"/>
  <c r="E255" i="11"/>
  <c r="D255" i="11"/>
  <c r="C255" i="11"/>
  <c r="B255" i="11"/>
  <c r="A255" i="11"/>
  <c r="W254" i="11"/>
  <c r="V254" i="11"/>
  <c r="U254" i="11"/>
  <c r="T254" i="11"/>
  <c r="S254" i="11"/>
  <c r="R254" i="11"/>
  <c r="Q254" i="11"/>
  <c r="P254" i="11"/>
  <c r="O254" i="11"/>
  <c r="N254" i="11"/>
  <c r="M254" i="11"/>
  <c r="L254" i="11"/>
  <c r="K254" i="11"/>
  <c r="I254" i="11"/>
  <c r="H254" i="11"/>
  <c r="G254" i="11"/>
  <c r="F254" i="11"/>
  <c r="E254" i="11"/>
  <c r="D254" i="11"/>
  <c r="C254" i="11"/>
  <c r="B254" i="11"/>
  <c r="A254" i="11"/>
  <c r="W253" i="11"/>
  <c r="V253" i="11"/>
  <c r="U253" i="11"/>
  <c r="T253" i="11"/>
  <c r="S253" i="11"/>
  <c r="R253" i="11"/>
  <c r="Q253" i="11"/>
  <c r="P253" i="11"/>
  <c r="O253" i="11"/>
  <c r="N253" i="11"/>
  <c r="M253" i="11"/>
  <c r="L253" i="11"/>
  <c r="K253" i="11"/>
  <c r="I253" i="11"/>
  <c r="H253" i="11"/>
  <c r="G253" i="11"/>
  <c r="F253" i="11"/>
  <c r="E253" i="11"/>
  <c r="D253" i="11"/>
  <c r="C253" i="11"/>
  <c r="B253" i="11"/>
  <c r="A253" i="11"/>
  <c r="W252" i="11"/>
  <c r="V252" i="11"/>
  <c r="U252" i="11"/>
  <c r="T252" i="11"/>
  <c r="S252" i="11"/>
  <c r="R252" i="11"/>
  <c r="Q252" i="11"/>
  <c r="P252" i="11"/>
  <c r="O252" i="11"/>
  <c r="N252" i="11"/>
  <c r="M252" i="11"/>
  <c r="L252" i="11"/>
  <c r="K252" i="11"/>
  <c r="I252" i="11"/>
  <c r="H252" i="11"/>
  <c r="G252" i="11"/>
  <c r="F252" i="11"/>
  <c r="E252" i="11"/>
  <c r="D252" i="11"/>
  <c r="C252" i="11"/>
  <c r="B252" i="11"/>
  <c r="A252" i="11"/>
  <c r="W251" i="11"/>
  <c r="V251" i="11"/>
  <c r="U251" i="11"/>
  <c r="T251" i="11"/>
  <c r="S251" i="11"/>
  <c r="R251" i="11"/>
  <c r="Q251" i="11"/>
  <c r="P251" i="11"/>
  <c r="O251" i="11"/>
  <c r="N251" i="11"/>
  <c r="M251" i="11"/>
  <c r="L251" i="11"/>
  <c r="K251" i="11"/>
  <c r="I251" i="11"/>
  <c r="H251" i="11"/>
  <c r="G251" i="11"/>
  <c r="F251" i="11"/>
  <c r="E251" i="11"/>
  <c r="D251" i="11"/>
  <c r="C251" i="11"/>
  <c r="B251" i="11"/>
  <c r="A251" i="11"/>
  <c r="W250" i="11"/>
  <c r="V250" i="11"/>
  <c r="U250" i="11"/>
  <c r="T250" i="11"/>
  <c r="S250" i="11"/>
  <c r="R250" i="11"/>
  <c r="Q250" i="11"/>
  <c r="P250" i="11"/>
  <c r="O250" i="11"/>
  <c r="N250" i="11"/>
  <c r="M250" i="11"/>
  <c r="L250" i="11"/>
  <c r="K250" i="11"/>
  <c r="I250" i="11"/>
  <c r="H250" i="11"/>
  <c r="G250" i="11"/>
  <c r="F250" i="11"/>
  <c r="E250" i="11"/>
  <c r="D250" i="11"/>
  <c r="C250" i="11"/>
  <c r="B250" i="11"/>
  <c r="A250" i="11"/>
  <c r="W249" i="11"/>
  <c r="V249" i="11"/>
  <c r="U249" i="11"/>
  <c r="T249" i="11"/>
  <c r="S249" i="11"/>
  <c r="R249" i="11"/>
  <c r="Q249" i="11"/>
  <c r="P249" i="11"/>
  <c r="O249" i="11"/>
  <c r="N249" i="11"/>
  <c r="M249" i="11"/>
  <c r="L249" i="11"/>
  <c r="K249" i="11"/>
  <c r="I249" i="11"/>
  <c r="H249" i="11"/>
  <c r="G249" i="11"/>
  <c r="F249" i="11"/>
  <c r="E249" i="11"/>
  <c r="D249" i="11"/>
  <c r="C249" i="11"/>
  <c r="B249" i="11"/>
  <c r="A249" i="11"/>
  <c r="W248" i="11"/>
  <c r="V248" i="11"/>
  <c r="U248" i="11"/>
  <c r="T248" i="11"/>
  <c r="S248" i="11"/>
  <c r="R248" i="11"/>
  <c r="Q248" i="11"/>
  <c r="P248" i="11"/>
  <c r="O248" i="11"/>
  <c r="N248" i="11"/>
  <c r="M248" i="11"/>
  <c r="L248" i="11"/>
  <c r="K248" i="11"/>
  <c r="I248" i="11"/>
  <c r="H248" i="11"/>
  <c r="G248" i="11"/>
  <c r="F248" i="11"/>
  <c r="E248" i="11"/>
  <c r="D248" i="11"/>
  <c r="C248" i="11"/>
  <c r="B248" i="11"/>
  <c r="A248" i="11"/>
  <c r="W247" i="11"/>
  <c r="V247" i="11"/>
  <c r="U247" i="11"/>
  <c r="T247" i="11"/>
  <c r="S247" i="11"/>
  <c r="R247" i="11"/>
  <c r="Q247" i="11"/>
  <c r="P247" i="11"/>
  <c r="O247" i="11"/>
  <c r="N247" i="11"/>
  <c r="M247" i="11"/>
  <c r="L247" i="11"/>
  <c r="K247" i="11"/>
  <c r="I247" i="11"/>
  <c r="H247" i="11"/>
  <c r="G247" i="11"/>
  <c r="F247" i="11"/>
  <c r="E247" i="11"/>
  <c r="D247" i="11"/>
  <c r="C247" i="11"/>
  <c r="B247" i="11"/>
  <c r="A247" i="11"/>
  <c r="W246" i="11"/>
  <c r="V246" i="11"/>
  <c r="U246" i="11"/>
  <c r="T246" i="11"/>
  <c r="S246" i="11"/>
  <c r="R246" i="11"/>
  <c r="Q246" i="11"/>
  <c r="P246" i="11"/>
  <c r="O246" i="11"/>
  <c r="N246" i="11"/>
  <c r="M246" i="11"/>
  <c r="L246" i="11"/>
  <c r="K246" i="11"/>
  <c r="I246" i="11"/>
  <c r="H246" i="11"/>
  <c r="G246" i="11"/>
  <c r="F246" i="11"/>
  <c r="E246" i="11"/>
  <c r="D246" i="11"/>
  <c r="C246" i="11"/>
  <c r="B246" i="11"/>
  <c r="A246" i="11"/>
  <c r="W245" i="11"/>
  <c r="V245" i="11"/>
  <c r="U245" i="11"/>
  <c r="T245" i="11"/>
  <c r="S245" i="11"/>
  <c r="R245" i="11"/>
  <c r="Q245" i="11"/>
  <c r="P245" i="11"/>
  <c r="O245" i="11"/>
  <c r="N245" i="11"/>
  <c r="M245" i="11"/>
  <c r="L245" i="11"/>
  <c r="K245" i="11"/>
  <c r="I245" i="11"/>
  <c r="H245" i="11"/>
  <c r="G245" i="11"/>
  <c r="F245" i="11"/>
  <c r="E245" i="11"/>
  <c r="D245" i="11"/>
  <c r="C245" i="11"/>
  <c r="B245" i="11"/>
  <c r="A245" i="11"/>
  <c r="W244" i="11"/>
  <c r="V244" i="11"/>
  <c r="U244" i="11"/>
  <c r="T244" i="11"/>
  <c r="S244" i="11"/>
  <c r="R244" i="11"/>
  <c r="Q244" i="11"/>
  <c r="P244" i="11"/>
  <c r="O244" i="11"/>
  <c r="N244" i="11"/>
  <c r="M244" i="11"/>
  <c r="L244" i="11"/>
  <c r="K244" i="11"/>
  <c r="I244" i="11"/>
  <c r="H244" i="11"/>
  <c r="G244" i="11"/>
  <c r="F244" i="11"/>
  <c r="E244" i="11"/>
  <c r="D244" i="11"/>
  <c r="C244" i="11"/>
  <c r="B244" i="11"/>
  <c r="A244" i="11"/>
  <c r="W243" i="11"/>
  <c r="V243" i="11"/>
  <c r="U243" i="11"/>
  <c r="T243" i="11"/>
  <c r="S243" i="11"/>
  <c r="R243" i="11"/>
  <c r="Q243" i="11"/>
  <c r="P243" i="11"/>
  <c r="O243" i="11"/>
  <c r="N243" i="11"/>
  <c r="M243" i="11"/>
  <c r="L243" i="11"/>
  <c r="K243" i="11"/>
  <c r="I243" i="11"/>
  <c r="H243" i="11"/>
  <c r="G243" i="11"/>
  <c r="F243" i="11"/>
  <c r="E243" i="11"/>
  <c r="D243" i="11"/>
  <c r="C243" i="11"/>
  <c r="B243" i="11"/>
  <c r="A243" i="11"/>
  <c r="W242" i="11"/>
  <c r="V242" i="11"/>
  <c r="U242" i="11"/>
  <c r="T242" i="11"/>
  <c r="S242" i="11"/>
  <c r="R242" i="11"/>
  <c r="Q242" i="11"/>
  <c r="P242" i="11"/>
  <c r="O242" i="11"/>
  <c r="N242" i="11"/>
  <c r="M242" i="11"/>
  <c r="L242" i="11"/>
  <c r="K242" i="11"/>
  <c r="I242" i="11"/>
  <c r="H242" i="11"/>
  <c r="G242" i="11"/>
  <c r="F242" i="11"/>
  <c r="E242" i="11"/>
  <c r="D242" i="11"/>
  <c r="C242" i="11"/>
  <c r="B242" i="11"/>
  <c r="A242" i="11"/>
  <c r="W241" i="11"/>
  <c r="V241" i="11"/>
  <c r="U241" i="11"/>
  <c r="T241" i="11"/>
  <c r="S241" i="11"/>
  <c r="R241" i="11"/>
  <c r="Q241" i="11"/>
  <c r="P241" i="11"/>
  <c r="O241" i="11"/>
  <c r="N241" i="11"/>
  <c r="M241" i="11"/>
  <c r="L241" i="11"/>
  <c r="K241" i="11"/>
  <c r="I241" i="11"/>
  <c r="H241" i="11"/>
  <c r="G241" i="11"/>
  <c r="F241" i="11"/>
  <c r="E241" i="11"/>
  <c r="D241" i="11"/>
  <c r="C241" i="11"/>
  <c r="B241" i="11"/>
  <c r="A241" i="11"/>
  <c r="W240" i="11"/>
  <c r="V240" i="11"/>
  <c r="U240" i="11"/>
  <c r="T240" i="11"/>
  <c r="S240" i="11"/>
  <c r="R240" i="11"/>
  <c r="Q240" i="11"/>
  <c r="P240" i="11"/>
  <c r="O240" i="11"/>
  <c r="N240" i="11"/>
  <c r="M240" i="11"/>
  <c r="L240" i="11"/>
  <c r="K240" i="11"/>
  <c r="I240" i="11"/>
  <c r="H240" i="11"/>
  <c r="G240" i="11"/>
  <c r="F240" i="11"/>
  <c r="E240" i="11"/>
  <c r="D240" i="11"/>
  <c r="C240" i="11"/>
  <c r="B240" i="11"/>
  <c r="A240" i="11"/>
  <c r="W239" i="11"/>
  <c r="V239" i="11"/>
  <c r="U239" i="11"/>
  <c r="T239" i="11"/>
  <c r="S239" i="11"/>
  <c r="R239" i="11"/>
  <c r="Q239" i="11"/>
  <c r="P239" i="11"/>
  <c r="O239" i="11"/>
  <c r="N239" i="11"/>
  <c r="M239" i="11"/>
  <c r="L239" i="11"/>
  <c r="K239" i="11"/>
  <c r="I239" i="11"/>
  <c r="H239" i="11"/>
  <c r="G239" i="11"/>
  <c r="F239" i="11"/>
  <c r="E239" i="11"/>
  <c r="D239" i="11"/>
  <c r="C239" i="11"/>
  <c r="B239" i="11"/>
  <c r="A239" i="11"/>
  <c r="W238" i="11"/>
  <c r="V238" i="11"/>
  <c r="U238" i="11"/>
  <c r="T238" i="11"/>
  <c r="S238" i="11"/>
  <c r="R238" i="11"/>
  <c r="Q238" i="11"/>
  <c r="P238" i="11"/>
  <c r="O238" i="11"/>
  <c r="N238" i="11"/>
  <c r="M238" i="11"/>
  <c r="L238" i="11"/>
  <c r="K238" i="11"/>
  <c r="I238" i="11"/>
  <c r="H238" i="11"/>
  <c r="G238" i="11"/>
  <c r="F238" i="11"/>
  <c r="E238" i="11"/>
  <c r="D238" i="11"/>
  <c r="C238" i="11"/>
  <c r="B238" i="11"/>
  <c r="A238" i="11"/>
  <c r="W237" i="11"/>
  <c r="V237" i="11"/>
  <c r="U237" i="11"/>
  <c r="T237" i="11"/>
  <c r="S237" i="11"/>
  <c r="R237" i="11"/>
  <c r="Q237" i="11"/>
  <c r="P237" i="11"/>
  <c r="O237" i="11"/>
  <c r="N237" i="11"/>
  <c r="M237" i="11"/>
  <c r="L237" i="11"/>
  <c r="K237" i="11"/>
  <c r="I237" i="11"/>
  <c r="H237" i="11"/>
  <c r="G237" i="11"/>
  <c r="F237" i="11"/>
  <c r="E237" i="11"/>
  <c r="D237" i="11"/>
  <c r="C237" i="11"/>
  <c r="B237" i="11"/>
  <c r="A237" i="11"/>
  <c r="W236" i="11"/>
  <c r="V236" i="11"/>
  <c r="U236" i="11"/>
  <c r="T236" i="11"/>
  <c r="S236" i="11"/>
  <c r="R236" i="11"/>
  <c r="Q236" i="11"/>
  <c r="P236" i="11"/>
  <c r="O236" i="11"/>
  <c r="N236" i="11"/>
  <c r="M236" i="11"/>
  <c r="L236" i="11"/>
  <c r="K236" i="11"/>
  <c r="I236" i="11"/>
  <c r="H236" i="11"/>
  <c r="G236" i="11"/>
  <c r="F236" i="11"/>
  <c r="E236" i="11"/>
  <c r="D236" i="11"/>
  <c r="C236" i="11"/>
  <c r="B236" i="11"/>
  <c r="A236" i="11"/>
  <c r="W235" i="11"/>
  <c r="V235" i="11"/>
  <c r="U235" i="11"/>
  <c r="T235" i="11"/>
  <c r="S235" i="11"/>
  <c r="R235" i="11"/>
  <c r="Q235" i="11"/>
  <c r="P235" i="11"/>
  <c r="O235" i="11"/>
  <c r="N235" i="11"/>
  <c r="M235" i="11"/>
  <c r="L235" i="11"/>
  <c r="K235" i="11"/>
  <c r="I235" i="11"/>
  <c r="H235" i="11"/>
  <c r="G235" i="11"/>
  <c r="F235" i="11"/>
  <c r="E235" i="11"/>
  <c r="D235" i="11"/>
  <c r="C235" i="11"/>
  <c r="B235" i="11"/>
  <c r="A235" i="11"/>
  <c r="W234" i="11"/>
  <c r="V234" i="11"/>
  <c r="U234" i="11"/>
  <c r="T234" i="11"/>
  <c r="S234" i="11"/>
  <c r="R234" i="11"/>
  <c r="Q234" i="11"/>
  <c r="P234" i="11"/>
  <c r="O234" i="11"/>
  <c r="N234" i="11"/>
  <c r="M234" i="11"/>
  <c r="L234" i="11"/>
  <c r="K234" i="11"/>
  <c r="I234" i="11"/>
  <c r="H234" i="11"/>
  <c r="G234" i="11"/>
  <c r="F234" i="11"/>
  <c r="E234" i="11"/>
  <c r="D234" i="11"/>
  <c r="C234" i="11"/>
  <c r="B234" i="11"/>
  <c r="A234" i="11"/>
  <c r="W233" i="11"/>
  <c r="V233" i="11"/>
  <c r="U233" i="11"/>
  <c r="T233" i="11"/>
  <c r="S233" i="11"/>
  <c r="R233" i="11"/>
  <c r="Q233" i="11"/>
  <c r="P233" i="11"/>
  <c r="O233" i="11"/>
  <c r="N233" i="11"/>
  <c r="M233" i="11"/>
  <c r="L233" i="11"/>
  <c r="K233" i="11"/>
  <c r="I233" i="11"/>
  <c r="H233" i="11"/>
  <c r="G233" i="11"/>
  <c r="F233" i="11"/>
  <c r="E233" i="11"/>
  <c r="D233" i="11"/>
  <c r="C233" i="11"/>
  <c r="B233" i="11"/>
  <c r="A233" i="11"/>
  <c r="W232" i="11"/>
  <c r="V232" i="11"/>
  <c r="U232" i="11"/>
  <c r="T232" i="11"/>
  <c r="S232" i="11"/>
  <c r="R232" i="11"/>
  <c r="Q232" i="11"/>
  <c r="P232" i="11"/>
  <c r="O232" i="11"/>
  <c r="N232" i="11"/>
  <c r="M232" i="11"/>
  <c r="L232" i="11"/>
  <c r="K232" i="11"/>
  <c r="I232" i="11"/>
  <c r="H232" i="11"/>
  <c r="G232" i="11"/>
  <c r="F232" i="11"/>
  <c r="E232" i="11"/>
  <c r="D232" i="11"/>
  <c r="C232" i="11"/>
  <c r="B232" i="11"/>
  <c r="A232" i="11"/>
  <c r="W231" i="11"/>
  <c r="V231" i="11"/>
  <c r="U231" i="11"/>
  <c r="T231" i="11"/>
  <c r="S231" i="11"/>
  <c r="R231" i="11"/>
  <c r="Q231" i="11"/>
  <c r="P231" i="11"/>
  <c r="O231" i="11"/>
  <c r="N231" i="11"/>
  <c r="M231" i="11"/>
  <c r="L231" i="11"/>
  <c r="K231" i="11"/>
  <c r="I231" i="11"/>
  <c r="H231" i="11"/>
  <c r="G231" i="11"/>
  <c r="F231" i="11"/>
  <c r="E231" i="11"/>
  <c r="D231" i="11"/>
  <c r="C231" i="11"/>
  <c r="B231" i="11"/>
  <c r="A231" i="11"/>
  <c r="W230" i="11"/>
  <c r="V230" i="11"/>
  <c r="U230" i="11"/>
  <c r="T230" i="11"/>
  <c r="S230" i="11"/>
  <c r="R230" i="11"/>
  <c r="Q230" i="11"/>
  <c r="P230" i="11"/>
  <c r="O230" i="11"/>
  <c r="N230" i="11"/>
  <c r="M230" i="11"/>
  <c r="L230" i="11"/>
  <c r="K230" i="11"/>
  <c r="I230" i="11"/>
  <c r="H230" i="11"/>
  <c r="G230" i="11"/>
  <c r="F230" i="11"/>
  <c r="E230" i="11"/>
  <c r="D230" i="11"/>
  <c r="C230" i="11"/>
  <c r="B230" i="11"/>
  <c r="A230" i="11"/>
  <c r="W229" i="11"/>
  <c r="V229" i="11"/>
  <c r="U229" i="11"/>
  <c r="T229" i="11"/>
  <c r="S229" i="11"/>
  <c r="R229" i="11"/>
  <c r="Q229" i="11"/>
  <c r="P229" i="11"/>
  <c r="O229" i="11"/>
  <c r="N229" i="11"/>
  <c r="M229" i="11"/>
  <c r="L229" i="11"/>
  <c r="K229" i="11"/>
  <c r="I229" i="11"/>
  <c r="H229" i="11"/>
  <c r="G229" i="11"/>
  <c r="F229" i="11"/>
  <c r="E229" i="11"/>
  <c r="D229" i="11"/>
  <c r="C229" i="11"/>
  <c r="B229" i="11"/>
  <c r="A229" i="11"/>
  <c r="W228" i="11"/>
  <c r="V228" i="11"/>
  <c r="U228" i="11"/>
  <c r="T228" i="11"/>
  <c r="S228" i="11"/>
  <c r="R228" i="11"/>
  <c r="Q228" i="11"/>
  <c r="P228" i="11"/>
  <c r="O228" i="11"/>
  <c r="N228" i="11"/>
  <c r="M228" i="11"/>
  <c r="L228" i="11"/>
  <c r="K228" i="11"/>
  <c r="I228" i="11"/>
  <c r="H228" i="11"/>
  <c r="G228" i="11"/>
  <c r="F228" i="11"/>
  <c r="E228" i="11"/>
  <c r="D228" i="11"/>
  <c r="C228" i="11"/>
  <c r="B228" i="11"/>
  <c r="A228" i="11"/>
  <c r="W227" i="11"/>
  <c r="V227" i="11"/>
  <c r="U227" i="11"/>
  <c r="T227" i="11"/>
  <c r="S227" i="11"/>
  <c r="R227" i="11"/>
  <c r="Q227" i="11"/>
  <c r="P227" i="11"/>
  <c r="O227" i="11"/>
  <c r="N227" i="11"/>
  <c r="M227" i="11"/>
  <c r="L227" i="11"/>
  <c r="K227" i="11"/>
  <c r="I227" i="11"/>
  <c r="H227" i="11"/>
  <c r="G227" i="11"/>
  <c r="F227" i="11"/>
  <c r="E227" i="11"/>
  <c r="D227" i="11"/>
  <c r="C227" i="11"/>
  <c r="B227" i="11"/>
  <c r="A227" i="11"/>
  <c r="W226" i="11"/>
  <c r="V226" i="11"/>
  <c r="U226" i="11"/>
  <c r="T226" i="11"/>
  <c r="S226" i="11"/>
  <c r="R226" i="11"/>
  <c r="Q226" i="11"/>
  <c r="P226" i="11"/>
  <c r="O226" i="11"/>
  <c r="N226" i="11"/>
  <c r="M226" i="11"/>
  <c r="L226" i="11"/>
  <c r="K226" i="11"/>
  <c r="I226" i="11"/>
  <c r="H226" i="11"/>
  <c r="G226" i="11"/>
  <c r="F226" i="11"/>
  <c r="E226" i="11"/>
  <c r="D226" i="11"/>
  <c r="C226" i="11"/>
  <c r="B226" i="11"/>
  <c r="A226" i="11"/>
  <c r="W225" i="11"/>
  <c r="V225" i="11"/>
  <c r="U225" i="11"/>
  <c r="T225" i="11"/>
  <c r="S225" i="11"/>
  <c r="R225" i="11"/>
  <c r="Q225" i="11"/>
  <c r="P225" i="11"/>
  <c r="O225" i="11"/>
  <c r="N225" i="11"/>
  <c r="M225" i="11"/>
  <c r="L225" i="11"/>
  <c r="K225" i="11"/>
  <c r="I225" i="11"/>
  <c r="H225" i="11"/>
  <c r="G225" i="11"/>
  <c r="F225" i="11"/>
  <c r="E225" i="11"/>
  <c r="D225" i="11"/>
  <c r="C225" i="11"/>
  <c r="B225" i="11"/>
  <c r="A225" i="11"/>
  <c r="W224" i="11"/>
  <c r="V224" i="11"/>
  <c r="U224" i="11"/>
  <c r="T224" i="11"/>
  <c r="S224" i="11"/>
  <c r="R224" i="11"/>
  <c r="Q224" i="11"/>
  <c r="P224" i="11"/>
  <c r="O224" i="11"/>
  <c r="N224" i="11"/>
  <c r="M224" i="11"/>
  <c r="L224" i="11"/>
  <c r="K224" i="11"/>
  <c r="I224" i="11"/>
  <c r="H224" i="11"/>
  <c r="G224" i="11"/>
  <c r="F224" i="11"/>
  <c r="E224" i="11"/>
  <c r="D224" i="11"/>
  <c r="C224" i="11"/>
  <c r="B224" i="11"/>
  <c r="A224" i="11"/>
  <c r="W223" i="11"/>
  <c r="V223" i="11"/>
  <c r="U223" i="11"/>
  <c r="T223" i="11"/>
  <c r="S223" i="11"/>
  <c r="R223" i="11"/>
  <c r="Q223" i="11"/>
  <c r="P223" i="11"/>
  <c r="O223" i="11"/>
  <c r="N223" i="11"/>
  <c r="M223" i="11"/>
  <c r="L223" i="11"/>
  <c r="K223" i="11"/>
  <c r="I223" i="11"/>
  <c r="H223" i="11"/>
  <c r="G223" i="11"/>
  <c r="F223" i="11"/>
  <c r="E223" i="11"/>
  <c r="D223" i="11"/>
  <c r="C223" i="11"/>
  <c r="B223" i="11"/>
  <c r="A223" i="11"/>
  <c r="W222" i="11"/>
  <c r="V222" i="11"/>
  <c r="U222" i="11"/>
  <c r="T222" i="11"/>
  <c r="S222" i="11"/>
  <c r="R222" i="11"/>
  <c r="Q222" i="11"/>
  <c r="P222" i="11"/>
  <c r="O222" i="11"/>
  <c r="N222" i="11"/>
  <c r="M222" i="11"/>
  <c r="L222" i="11"/>
  <c r="K222" i="11"/>
  <c r="I222" i="11"/>
  <c r="H222" i="11"/>
  <c r="G222" i="11"/>
  <c r="F222" i="11"/>
  <c r="E222" i="11"/>
  <c r="D222" i="11"/>
  <c r="C222" i="11"/>
  <c r="B222" i="11"/>
  <c r="A222" i="11"/>
  <c r="W221" i="11"/>
  <c r="V221" i="11"/>
  <c r="U221" i="11"/>
  <c r="T221" i="11"/>
  <c r="S221" i="11"/>
  <c r="R221" i="11"/>
  <c r="Q221" i="11"/>
  <c r="P221" i="11"/>
  <c r="O221" i="11"/>
  <c r="N221" i="11"/>
  <c r="M221" i="11"/>
  <c r="L221" i="11"/>
  <c r="K221" i="11"/>
  <c r="I221" i="11"/>
  <c r="H221" i="11"/>
  <c r="G221" i="11"/>
  <c r="F221" i="11"/>
  <c r="E221" i="11"/>
  <c r="D221" i="11"/>
  <c r="C221" i="11"/>
  <c r="B221" i="11"/>
  <c r="A221" i="11"/>
  <c r="W220" i="11"/>
  <c r="V220" i="11"/>
  <c r="U220" i="11"/>
  <c r="T220" i="11"/>
  <c r="S220" i="11"/>
  <c r="R220" i="11"/>
  <c r="Q220" i="11"/>
  <c r="P220" i="11"/>
  <c r="O220" i="11"/>
  <c r="N220" i="11"/>
  <c r="M220" i="11"/>
  <c r="L220" i="11"/>
  <c r="K220" i="11"/>
  <c r="I220" i="11"/>
  <c r="H220" i="11"/>
  <c r="G220" i="11"/>
  <c r="F220" i="11"/>
  <c r="E220" i="11"/>
  <c r="D220" i="11"/>
  <c r="C220" i="11"/>
  <c r="B220" i="11"/>
  <c r="A220" i="11"/>
  <c r="W219" i="11"/>
  <c r="V219" i="11"/>
  <c r="U219" i="11"/>
  <c r="T219" i="11"/>
  <c r="S219" i="11"/>
  <c r="R219" i="11"/>
  <c r="Q219" i="11"/>
  <c r="P219" i="11"/>
  <c r="O219" i="11"/>
  <c r="N219" i="11"/>
  <c r="M219" i="11"/>
  <c r="L219" i="11"/>
  <c r="K219" i="11"/>
  <c r="I219" i="11"/>
  <c r="H219" i="11"/>
  <c r="G219" i="11"/>
  <c r="F219" i="11"/>
  <c r="E219" i="11"/>
  <c r="D219" i="11"/>
  <c r="C219" i="11"/>
  <c r="B219" i="11"/>
  <c r="A219" i="11"/>
  <c r="W218" i="11"/>
  <c r="V218" i="11"/>
  <c r="U218" i="11"/>
  <c r="T218" i="11"/>
  <c r="S218" i="11"/>
  <c r="R218" i="11"/>
  <c r="Q218" i="11"/>
  <c r="P218" i="11"/>
  <c r="O218" i="11"/>
  <c r="N218" i="11"/>
  <c r="M218" i="11"/>
  <c r="L218" i="11"/>
  <c r="K218" i="11"/>
  <c r="I218" i="11"/>
  <c r="H218" i="11"/>
  <c r="G218" i="11"/>
  <c r="F218" i="11"/>
  <c r="E218" i="11"/>
  <c r="D218" i="11"/>
  <c r="C218" i="11"/>
  <c r="B218" i="11"/>
  <c r="A218" i="11"/>
  <c r="W217" i="11"/>
  <c r="V217" i="11"/>
  <c r="U217" i="11"/>
  <c r="T217" i="11"/>
  <c r="S217" i="11"/>
  <c r="R217" i="11"/>
  <c r="Q217" i="11"/>
  <c r="P217" i="11"/>
  <c r="O217" i="11"/>
  <c r="N217" i="11"/>
  <c r="M217" i="11"/>
  <c r="L217" i="11"/>
  <c r="K217" i="11"/>
  <c r="I217" i="11"/>
  <c r="H217" i="11"/>
  <c r="G217" i="11"/>
  <c r="F217" i="11"/>
  <c r="E217" i="11"/>
  <c r="D217" i="11"/>
  <c r="C217" i="11"/>
  <c r="B217" i="11"/>
  <c r="A217" i="11"/>
  <c r="W216" i="11"/>
  <c r="V216" i="11"/>
  <c r="U216" i="11"/>
  <c r="T216" i="11"/>
  <c r="S216" i="11"/>
  <c r="R216" i="11"/>
  <c r="Q216" i="11"/>
  <c r="P216" i="11"/>
  <c r="O216" i="11"/>
  <c r="N216" i="11"/>
  <c r="M216" i="11"/>
  <c r="L216" i="11"/>
  <c r="K216" i="11"/>
  <c r="I216" i="11"/>
  <c r="H216" i="11"/>
  <c r="G216" i="11"/>
  <c r="F216" i="11"/>
  <c r="E216" i="11"/>
  <c r="D216" i="11"/>
  <c r="C216" i="11"/>
  <c r="B216" i="11"/>
  <c r="A216" i="11"/>
  <c r="W215" i="11"/>
  <c r="V215" i="11"/>
  <c r="U215" i="11"/>
  <c r="T215" i="11"/>
  <c r="S215" i="11"/>
  <c r="R215" i="11"/>
  <c r="Q215" i="11"/>
  <c r="P215" i="11"/>
  <c r="O215" i="11"/>
  <c r="N215" i="11"/>
  <c r="M215" i="11"/>
  <c r="L215" i="11"/>
  <c r="K215" i="11"/>
  <c r="I215" i="11"/>
  <c r="H215" i="11"/>
  <c r="G215" i="11"/>
  <c r="F215" i="11"/>
  <c r="E215" i="11"/>
  <c r="D215" i="11"/>
  <c r="C215" i="11"/>
  <c r="B215" i="11"/>
  <c r="A215" i="11"/>
  <c r="W214" i="11"/>
  <c r="V214" i="11"/>
  <c r="U214" i="11"/>
  <c r="T214" i="11"/>
  <c r="S214" i="11"/>
  <c r="R214" i="11"/>
  <c r="Q214" i="11"/>
  <c r="P214" i="11"/>
  <c r="O214" i="11"/>
  <c r="N214" i="11"/>
  <c r="M214" i="11"/>
  <c r="L214" i="11"/>
  <c r="K214" i="11"/>
  <c r="I214" i="11"/>
  <c r="H214" i="11"/>
  <c r="G214" i="11"/>
  <c r="F214" i="11"/>
  <c r="E214" i="11"/>
  <c r="D214" i="11"/>
  <c r="C214" i="11"/>
  <c r="B214" i="11"/>
  <c r="A214" i="11"/>
  <c r="W213" i="11"/>
  <c r="V213" i="11"/>
  <c r="U213" i="11"/>
  <c r="T213" i="11"/>
  <c r="S213" i="11"/>
  <c r="R213" i="11"/>
  <c r="Q213" i="11"/>
  <c r="P213" i="11"/>
  <c r="O213" i="11"/>
  <c r="N213" i="11"/>
  <c r="M213" i="11"/>
  <c r="L213" i="11"/>
  <c r="K213" i="11"/>
  <c r="I213" i="11"/>
  <c r="H213" i="11"/>
  <c r="G213" i="11"/>
  <c r="F213" i="11"/>
  <c r="E213" i="11"/>
  <c r="D213" i="11"/>
  <c r="C213" i="11"/>
  <c r="B213" i="11"/>
  <c r="A213" i="11"/>
  <c r="W212" i="11"/>
  <c r="V212" i="11"/>
  <c r="U212" i="11"/>
  <c r="T212" i="11"/>
  <c r="S212" i="11"/>
  <c r="R212" i="11"/>
  <c r="Q212" i="11"/>
  <c r="P212" i="11"/>
  <c r="O212" i="11"/>
  <c r="N212" i="11"/>
  <c r="M212" i="11"/>
  <c r="L212" i="11"/>
  <c r="K212" i="11"/>
  <c r="I212" i="11"/>
  <c r="H212" i="11"/>
  <c r="G212" i="11"/>
  <c r="F212" i="11"/>
  <c r="E212" i="11"/>
  <c r="D212" i="11"/>
  <c r="C212" i="11"/>
  <c r="B212" i="11"/>
  <c r="A212" i="11"/>
  <c r="W211" i="11"/>
  <c r="V211" i="11"/>
  <c r="U211" i="11"/>
  <c r="T211" i="11"/>
  <c r="S211" i="11"/>
  <c r="R211" i="11"/>
  <c r="Q211" i="11"/>
  <c r="P211" i="11"/>
  <c r="O211" i="11"/>
  <c r="N211" i="11"/>
  <c r="M211" i="11"/>
  <c r="L211" i="11"/>
  <c r="K211" i="11"/>
  <c r="I211" i="11"/>
  <c r="H211" i="11"/>
  <c r="G211" i="11"/>
  <c r="F211" i="11"/>
  <c r="E211" i="11"/>
  <c r="D211" i="11"/>
  <c r="C211" i="11"/>
  <c r="B211" i="11"/>
  <c r="A211" i="11"/>
  <c r="W210" i="11"/>
  <c r="V210" i="11"/>
  <c r="U210" i="11"/>
  <c r="T210" i="11"/>
  <c r="S210" i="11"/>
  <c r="R210" i="11"/>
  <c r="Q210" i="11"/>
  <c r="P210" i="11"/>
  <c r="O210" i="11"/>
  <c r="N210" i="11"/>
  <c r="M210" i="11"/>
  <c r="L210" i="11"/>
  <c r="K210" i="11"/>
  <c r="I210" i="11"/>
  <c r="H210" i="11"/>
  <c r="G210" i="11"/>
  <c r="F210" i="11"/>
  <c r="E210" i="11"/>
  <c r="D210" i="11"/>
  <c r="C210" i="11"/>
  <c r="B210" i="11"/>
  <c r="A210" i="11"/>
  <c r="W209" i="11"/>
  <c r="V209" i="11"/>
  <c r="U209" i="11"/>
  <c r="T209" i="11"/>
  <c r="S209" i="11"/>
  <c r="R209" i="11"/>
  <c r="Q209" i="11"/>
  <c r="P209" i="11"/>
  <c r="O209" i="11"/>
  <c r="N209" i="11"/>
  <c r="M209" i="11"/>
  <c r="L209" i="11"/>
  <c r="K209" i="11"/>
  <c r="I209" i="11"/>
  <c r="H209" i="11"/>
  <c r="G209" i="11"/>
  <c r="F209" i="11"/>
  <c r="E209" i="11"/>
  <c r="D209" i="11"/>
  <c r="C209" i="11"/>
  <c r="B209" i="11"/>
  <c r="A209" i="11"/>
  <c r="W208" i="11"/>
  <c r="V208" i="11"/>
  <c r="U208" i="11"/>
  <c r="T208" i="11"/>
  <c r="S208" i="11"/>
  <c r="R208" i="11"/>
  <c r="Q208" i="11"/>
  <c r="P208" i="11"/>
  <c r="O208" i="11"/>
  <c r="N208" i="11"/>
  <c r="M208" i="11"/>
  <c r="L208" i="11"/>
  <c r="K208" i="11"/>
  <c r="I208" i="11"/>
  <c r="H208" i="11"/>
  <c r="G208" i="11"/>
  <c r="F208" i="11"/>
  <c r="E208" i="11"/>
  <c r="D208" i="11"/>
  <c r="C208" i="11"/>
  <c r="B208" i="11"/>
  <c r="A208" i="11"/>
  <c r="W207" i="11"/>
  <c r="V207" i="11"/>
  <c r="U207" i="11"/>
  <c r="T207" i="11"/>
  <c r="S207" i="11"/>
  <c r="R207" i="11"/>
  <c r="Q207" i="11"/>
  <c r="P207" i="11"/>
  <c r="O207" i="11"/>
  <c r="N207" i="11"/>
  <c r="M207" i="11"/>
  <c r="L207" i="11"/>
  <c r="K207" i="11"/>
  <c r="J207" i="11"/>
  <c r="I207" i="11"/>
  <c r="H207" i="11"/>
  <c r="G207" i="11"/>
  <c r="F207" i="11"/>
  <c r="E207" i="11"/>
  <c r="D207" i="11"/>
  <c r="C207" i="11"/>
  <c r="B207" i="11"/>
  <c r="A207" i="11"/>
  <c r="W206" i="11"/>
  <c r="V206" i="11"/>
  <c r="U206" i="11"/>
  <c r="T206" i="11"/>
  <c r="S206" i="11"/>
  <c r="R206" i="11"/>
  <c r="Q206" i="11"/>
  <c r="P206" i="11"/>
  <c r="O206" i="11"/>
  <c r="N206" i="11"/>
  <c r="M206" i="11"/>
  <c r="L206" i="11"/>
  <c r="K206" i="11"/>
  <c r="J206" i="11"/>
  <c r="I206" i="11"/>
  <c r="H206" i="11"/>
  <c r="G206" i="11"/>
  <c r="F206" i="11"/>
  <c r="E206" i="11"/>
  <c r="D206" i="11"/>
  <c r="C206" i="11"/>
  <c r="B206" i="11"/>
  <c r="A206" i="11"/>
  <c r="W205" i="11"/>
  <c r="V205" i="11"/>
  <c r="U205" i="11"/>
  <c r="T205" i="11"/>
  <c r="S205" i="11"/>
  <c r="R205" i="11"/>
  <c r="Q205" i="11"/>
  <c r="P205" i="11"/>
  <c r="O205" i="11"/>
  <c r="N205" i="11"/>
  <c r="M205" i="11"/>
  <c r="L205" i="11"/>
  <c r="K205" i="11"/>
  <c r="J205" i="11"/>
  <c r="I205" i="11"/>
  <c r="H205" i="11"/>
  <c r="G205" i="11"/>
  <c r="F205" i="11"/>
  <c r="E205" i="11"/>
  <c r="D205" i="11"/>
  <c r="C205" i="11"/>
  <c r="B205" i="11"/>
  <c r="A205" i="11"/>
  <c r="W204" i="11"/>
  <c r="V204" i="11"/>
  <c r="U204" i="11"/>
  <c r="T204" i="11"/>
  <c r="S204" i="11"/>
  <c r="R204" i="11"/>
  <c r="Q204" i="11"/>
  <c r="P204" i="11"/>
  <c r="O204" i="11"/>
  <c r="N204" i="11"/>
  <c r="M204" i="11"/>
  <c r="L204" i="11"/>
  <c r="K204" i="11"/>
  <c r="J204" i="11"/>
  <c r="I204" i="11"/>
  <c r="H204" i="11"/>
  <c r="G204" i="11"/>
  <c r="F204" i="11"/>
  <c r="E204" i="11"/>
  <c r="D204" i="11"/>
  <c r="C204" i="11"/>
  <c r="B204" i="11"/>
  <c r="A204" i="11"/>
  <c r="W203" i="11"/>
  <c r="V203" i="11"/>
  <c r="U203" i="11"/>
  <c r="T203" i="11"/>
  <c r="S203" i="11"/>
  <c r="R203" i="11"/>
  <c r="Q203" i="11"/>
  <c r="P203" i="11"/>
  <c r="O203" i="11"/>
  <c r="N203" i="11"/>
  <c r="M203" i="11"/>
  <c r="L203" i="11"/>
  <c r="K203" i="11"/>
  <c r="I203" i="11"/>
  <c r="H203" i="11"/>
  <c r="G203" i="11"/>
  <c r="F203" i="11"/>
  <c r="E203" i="11"/>
  <c r="D203" i="11"/>
  <c r="C203" i="11"/>
  <c r="B203" i="11"/>
  <c r="A203" i="11"/>
  <c r="W202" i="11"/>
  <c r="V202" i="11"/>
  <c r="U202" i="11"/>
  <c r="T202" i="11"/>
  <c r="S202" i="11"/>
  <c r="R202" i="11"/>
  <c r="Q202" i="11"/>
  <c r="P202" i="11"/>
  <c r="O202" i="11"/>
  <c r="N202" i="11"/>
  <c r="M202" i="11"/>
  <c r="L202" i="11"/>
  <c r="K202" i="11"/>
  <c r="I202" i="11"/>
  <c r="H202" i="11"/>
  <c r="G202" i="11"/>
  <c r="F202" i="11"/>
  <c r="E202" i="11"/>
  <c r="D202" i="11"/>
  <c r="C202" i="11"/>
  <c r="B202" i="11"/>
  <c r="A202" i="11"/>
  <c r="W201" i="11"/>
  <c r="V201" i="11"/>
  <c r="U201" i="11"/>
  <c r="T201" i="11"/>
  <c r="S201" i="11"/>
  <c r="R201" i="11"/>
  <c r="Q201" i="11"/>
  <c r="P201" i="11"/>
  <c r="O201" i="11"/>
  <c r="N201" i="11"/>
  <c r="M201" i="11"/>
  <c r="L201" i="11"/>
  <c r="K201" i="11"/>
  <c r="I201" i="11"/>
  <c r="H201" i="11"/>
  <c r="G201" i="11"/>
  <c r="F201" i="11"/>
  <c r="E201" i="11"/>
  <c r="D201" i="11"/>
  <c r="C201" i="11"/>
  <c r="B201" i="11"/>
  <c r="A201" i="11"/>
  <c r="W200" i="11"/>
  <c r="V200" i="11"/>
  <c r="U200" i="11"/>
  <c r="T200" i="11"/>
  <c r="S200" i="11"/>
  <c r="R200" i="11"/>
  <c r="Q200" i="11"/>
  <c r="P200" i="11"/>
  <c r="O200" i="11"/>
  <c r="N200" i="11"/>
  <c r="M200" i="11"/>
  <c r="L200" i="11"/>
  <c r="K200" i="11"/>
  <c r="I200" i="11"/>
  <c r="H200" i="11"/>
  <c r="G200" i="11"/>
  <c r="F200" i="11"/>
  <c r="E200" i="11"/>
  <c r="D200" i="11"/>
  <c r="C200" i="11"/>
  <c r="B200" i="11"/>
  <c r="A200" i="11"/>
  <c r="W199" i="11"/>
  <c r="V199" i="11"/>
  <c r="U199" i="11"/>
  <c r="T199" i="11"/>
  <c r="S199" i="11"/>
  <c r="R199" i="11"/>
  <c r="Q199" i="11"/>
  <c r="P199" i="11"/>
  <c r="O199" i="11"/>
  <c r="N199" i="11"/>
  <c r="M199" i="11"/>
  <c r="L199" i="11"/>
  <c r="K199" i="11"/>
  <c r="I199" i="11"/>
  <c r="H199" i="11"/>
  <c r="G199" i="11"/>
  <c r="F199" i="11"/>
  <c r="E199" i="11"/>
  <c r="D199" i="11"/>
  <c r="C199" i="11"/>
  <c r="B199" i="11"/>
  <c r="A199" i="11"/>
  <c r="W198" i="11"/>
  <c r="V198" i="11"/>
  <c r="U198" i="11"/>
  <c r="T198" i="11"/>
  <c r="S198" i="11"/>
  <c r="R198" i="11"/>
  <c r="Q198" i="11"/>
  <c r="P198" i="11"/>
  <c r="O198" i="11"/>
  <c r="N198" i="11"/>
  <c r="M198" i="11"/>
  <c r="L198" i="11"/>
  <c r="K198" i="11"/>
  <c r="I198" i="11"/>
  <c r="H198" i="11"/>
  <c r="G198" i="11"/>
  <c r="F198" i="11"/>
  <c r="E198" i="11"/>
  <c r="D198" i="11"/>
  <c r="C198" i="11"/>
  <c r="B198" i="11"/>
  <c r="A198" i="11"/>
  <c r="W197" i="11"/>
  <c r="V197" i="11"/>
  <c r="U197" i="11"/>
  <c r="T197" i="11"/>
  <c r="S197" i="11"/>
  <c r="R197" i="11"/>
  <c r="Q197" i="11"/>
  <c r="P197" i="11"/>
  <c r="O197" i="11"/>
  <c r="N197" i="11"/>
  <c r="M197" i="11"/>
  <c r="L197" i="11"/>
  <c r="K197" i="11"/>
  <c r="I197" i="11"/>
  <c r="H197" i="11"/>
  <c r="G197" i="11"/>
  <c r="F197" i="11"/>
  <c r="E197" i="11"/>
  <c r="D197" i="11"/>
  <c r="C197" i="11"/>
  <c r="B197" i="11"/>
  <c r="A197" i="11"/>
  <c r="W196" i="11"/>
  <c r="V196" i="11"/>
  <c r="U196" i="11"/>
  <c r="T196" i="11"/>
  <c r="S196" i="11"/>
  <c r="R196" i="11"/>
  <c r="Q196" i="11"/>
  <c r="P196" i="11"/>
  <c r="O196" i="11"/>
  <c r="N196" i="11"/>
  <c r="M196" i="11"/>
  <c r="L196" i="11"/>
  <c r="K196" i="11"/>
  <c r="I196" i="11"/>
  <c r="H196" i="11"/>
  <c r="G196" i="11"/>
  <c r="F196" i="11"/>
  <c r="E196" i="11"/>
  <c r="D196" i="11"/>
  <c r="C196" i="11"/>
  <c r="B196" i="11"/>
  <c r="A196" i="11"/>
  <c r="W195" i="11"/>
  <c r="V195" i="11"/>
  <c r="U195" i="11"/>
  <c r="T195" i="11"/>
  <c r="S195" i="11"/>
  <c r="R195" i="11"/>
  <c r="Q195" i="11"/>
  <c r="P195" i="11"/>
  <c r="O195" i="11"/>
  <c r="N195" i="11"/>
  <c r="M195" i="11"/>
  <c r="L195" i="11"/>
  <c r="K195" i="11"/>
  <c r="I195" i="11"/>
  <c r="H195" i="11"/>
  <c r="G195" i="11"/>
  <c r="F195" i="11"/>
  <c r="E195" i="11"/>
  <c r="D195" i="11"/>
  <c r="C195" i="11"/>
  <c r="B195" i="11"/>
  <c r="A195" i="11"/>
  <c r="W194" i="11"/>
  <c r="V194" i="11"/>
  <c r="U194" i="11"/>
  <c r="T194" i="11"/>
  <c r="S194" i="11"/>
  <c r="R194" i="11"/>
  <c r="Q194" i="11"/>
  <c r="P194" i="11"/>
  <c r="O194" i="11"/>
  <c r="N194" i="11"/>
  <c r="M194" i="11"/>
  <c r="L194" i="11"/>
  <c r="K194" i="11"/>
  <c r="I194" i="11"/>
  <c r="H194" i="11"/>
  <c r="G194" i="11"/>
  <c r="F194" i="11"/>
  <c r="E194" i="11"/>
  <c r="D194" i="11"/>
  <c r="C194" i="11"/>
  <c r="B194" i="11"/>
  <c r="A194" i="11"/>
  <c r="W193" i="11"/>
  <c r="V193" i="11"/>
  <c r="U193" i="11"/>
  <c r="T193" i="11"/>
  <c r="S193" i="11"/>
  <c r="R193" i="11"/>
  <c r="Q193" i="11"/>
  <c r="P193" i="11"/>
  <c r="O193" i="11"/>
  <c r="N193" i="11"/>
  <c r="M193" i="11"/>
  <c r="L193" i="11"/>
  <c r="K193" i="11"/>
  <c r="I193" i="11"/>
  <c r="H193" i="11"/>
  <c r="G193" i="11"/>
  <c r="F193" i="11"/>
  <c r="E193" i="11"/>
  <c r="D193" i="11"/>
  <c r="C193" i="11"/>
  <c r="B193" i="11"/>
  <c r="A193" i="11"/>
  <c r="W192" i="11"/>
  <c r="V192" i="11"/>
  <c r="U192" i="11"/>
  <c r="T192" i="11"/>
  <c r="S192" i="11"/>
  <c r="R192" i="11"/>
  <c r="Q192" i="11"/>
  <c r="P192" i="11"/>
  <c r="O192" i="11"/>
  <c r="N192" i="11"/>
  <c r="M192" i="11"/>
  <c r="L192" i="11"/>
  <c r="K192" i="11"/>
  <c r="I192" i="11"/>
  <c r="H192" i="11"/>
  <c r="G192" i="11"/>
  <c r="F192" i="11"/>
  <c r="E192" i="11"/>
  <c r="D192" i="11"/>
  <c r="C192" i="11"/>
  <c r="B192" i="11"/>
  <c r="A192" i="11"/>
  <c r="W191" i="11"/>
  <c r="V191" i="11"/>
  <c r="U191" i="11"/>
  <c r="T191" i="11"/>
  <c r="S191" i="11"/>
  <c r="R191" i="11"/>
  <c r="Q191" i="11"/>
  <c r="P191" i="11"/>
  <c r="O191" i="11"/>
  <c r="N191" i="11"/>
  <c r="M191" i="11"/>
  <c r="L191" i="11"/>
  <c r="K191" i="11"/>
  <c r="I191" i="11"/>
  <c r="H191" i="11"/>
  <c r="G191" i="11"/>
  <c r="F191" i="11"/>
  <c r="E191" i="11"/>
  <c r="D191" i="11"/>
  <c r="C191" i="11"/>
  <c r="B191" i="11"/>
  <c r="A191" i="11"/>
  <c r="W190" i="11"/>
  <c r="V190" i="11"/>
  <c r="U190" i="11"/>
  <c r="T190" i="11"/>
  <c r="S190" i="11"/>
  <c r="R190" i="11"/>
  <c r="Q190" i="11"/>
  <c r="P190" i="11"/>
  <c r="O190" i="11"/>
  <c r="N190" i="11"/>
  <c r="M190" i="11"/>
  <c r="L190" i="11"/>
  <c r="K190" i="11"/>
  <c r="I190" i="11"/>
  <c r="H190" i="11"/>
  <c r="G190" i="11"/>
  <c r="F190" i="11"/>
  <c r="E190" i="11"/>
  <c r="D190" i="11"/>
  <c r="C190" i="11"/>
  <c r="B190" i="11"/>
  <c r="A190" i="11"/>
  <c r="W189" i="11"/>
  <c r="V189" i="11"/>
  <c r="U189" i="11"/>
  <c r="T189" i="11"/>
  <c r="S189" i="11"/>
  <c r="R189" i="11"/>
  <c r="Q189" i="11"/>
  <c r="P189" i="11"/>
  <c r="O189" i="11"/>
  <c r="N189" i="11"/>
  <c r="M189" i="11"/>
  <c r="L189" i="11"/>
  <c r="K189" i="11"/>
  <c r="I189" i="11"/>
  <c r="H189" i="11"/>
  <c r="G189" i="11"/>
  <c r="F189" i="11"/>
  <c r="E189" i="11"/>
  <c r="D189" i="11"/>
  <c r="C189" i="11"/>
  <c r="B189" i="11"/>
  <c r="A189" i="11"/>
  <c r="W188" i="11"/>
  <c r="V188" i="11"/>
  <c r="U188" i="11"/>
  <c r="T188" i="11"/>
  <c r="S188" i="11"/>
  <c r="R188" i="11"/>
  <c r="Q188" i="11"/>
  <c r="P188" i="11"/>
  <c r="O188" i="11"/>
  <c r="N188" i="11"/>
  <c r="M188" i="11"/>
  <c r="L188" i="11"/>
  <c r="K188" i="11"/>
  <c r="I188" i="11"/>
  <c r="H188" i="11"/>
  <c r="G188" i="11"/>
  <c r="F188" i="11"/>
  <c r="E188" i="11"/>
  <c r="D188" i="11"/>
  <c r="C188" i="11"/>
  <c r="B188" i="11"/>
  <c r="A188" i="11"/>
  <c r="W187" i="11"/>
  <c r="V187" i="11"/>
  <c r="U187" i="11"/>
  <c r="T187" i="11"/>
  <c r="S187" i="11"/>
  <c r="R187" i="11"/>
  <c r="Q187" i="11"/>
  <c r="P187" i="11"/>
  <c r="O187" i="11"/>
  <c r="N187" i="11"/>
  <c r="M187" i="11"/>
  <c r="L187" i="11"/>
  <c r="K187" i="11"/>
  <c r="I187" i="11"/>
  <c r="H187" i="11"/>
  <c r="G187" i="11"/>
  <c r="F187" i="11"/>
  <c r="E187" i="11"/>
  <c r="D187" i="11"/>
  <c r="C187" i="11"/>
  <c r="B187" i="11"/>
  <c r="A187" i="11"/>
  <c r="W186" i="11"/>
  <c r="V186" i="11"/>
  <c r="U186" i="11"/>
  <c r="T186" i="11"/>
  <c r="S186" i="11"/>
  <c r="R186" i="11"/>
  <c r="Q186" i="11"/>
  <c r="P186" i="11"/>
  <c r="O186" i="11"/>
  <c r="N186" i="11"/>
  <c r="M186" i="11"/>
  <c r="L186" i="11"/>
  <c r="K186" i="11"/>
  <c r="I186" i="11"/>
  <c r="H186" i="11"/>
  <c r="G186" i="11"/>
  <c r="F186" i="11"/>
  <c r="E186" i="11"/>
  <c r="D186" i="11"/>
  <c r="C186" i="11"/>
  <c r="B186" i="11"/>
  <c r="A186" i="11"/>
  <c r="W185" i="11"/>
  <c r="V185" i="11"/>
  <c r="U185" i="11"/>
  <c r="T185" i="11"/>
  <c r="S185" i="11"/>
  <c r="R185" i="11"/>
  <c r="Q185" i="11"/>
  <c r="P185" i="11"/>
  <c r="O185" i="11"/>
  <c r="N185" i="11"/>
  <c r="M185" i="11"/>
  <c r="L185" i="11"/>
  <c r="K185" i="11"/>
  <c r="I185" i="11"/>
  <c r="H185" i="11"/>
  <c r="G185" i="11"/>
  <c r="F185" i="11"/>
  <c r="E185" i="11"/>
  <c r="D185" i="11"/>
  <c r="C185" i="11"/>
  <c r="B185" i="11"/>
  <c r="A185" i="11"/>
  <c r="W184" i="11"/>
  <c r="V184" i="11"/>
  <c r="U184" i="11"/>
  <c r="T184" i="11"/>
  <c r="S184" i="11"/>
  <c r="R184" i="11"/>
  <c r="Q184" i="11"/>
  <c r="P184" i="11"/>
  <c r="O184" i="11"/>
  <c r="N184" i="11"/>
  <c r="M184" i="11"/>
  <c r="L184" i="11"/>
  <c r="K184" i="11"/>
  <c r="I184" i="11"/>
  <c r="H184" i="11"/>
  <c r="G184" i="11"/>
  <c r="F184" i="11"/>
  <c r="E184" i="11"/>
  <c r="D184" i="11"/>
  <c r="C184" i="11"/>
  <c r="B184" i="11"/>
  <c r="A184" i="11"/>
  <c r="W183" i="11"/>
  <c r="V183" i="11"/>
  <c r="U183" i="11"/>
  <c r="T183" i="11"/>
  <c r="S183" i="11"/>
  <c r="R183" i="11"/>
  <c r="Q183" i="11"/>
  <c r="P183" i="11"/>
  <c r="O183" i="11"/>
  <c r="N183" i="11"/>
  <c r="M183" i="11"/>
  <c r="L183" i="11"/>
  <c r="K183" i="11"/>
  <c r="I183" i="11"/>
  <c r="H183" i="11"/>
  <c r="G183" i="11"/>
  <c r="F183" i="11"/>
  <c r="E183" i="11"/>
  <c r="D183" i="11"/>
  <c r="C183" i="11"/>
  <c r="B183" i="11"/>
  <c r="A183" i="11"/>
  <c r="W182" i="11"/>
  <c r="V182" i="11"/>
  <c r="U182" i="11"/>
  <c r="T182" i="11"/>
  <c r="S182" i="11"/>
  <c r="R182" i="11"/>
  <c r="Q182" i="11"/>
  <c r="P182" i="11"/>
  <c r="O182" i="11"/>
  <c r="N182" i="11"/>
  <c r="M182" i="11"/>
  <c r="L182" i="11"/>
  <c r="K182" i="11"/>
  <c r="I182" i="11"/>
  <c r="H182" i="11"/>
  <c r="G182" i="11"/>
  <c r="F182" i="11"/>
  <c r="E182" i="11"/>
  <c r="D182" i="11"/>
  <c r="C182" i="11"/>
  <c r="B182" i="11"/>
  <c r="A182" i="11"/>
  <c r="W181" i="11"/>
  <c r="V181" i="11"/>
  <c r="U181" i="11"/>
  <c r="T181" i="11"/>
  <c r="S181" i="11"/>
  <c r="R181" i="11"/>
  <c r="Q181" i="11"/>
  <c r="P181" i="11"/>
  <c r="O181" i="11"/>
  <c r="N181" i="11"/>
  <c r="M181" i="11"/>
  <c r="L181" i="11"/>
  <c r="K181" i="11"/>
  <c r="I181" i="11"/>
  <c r="H181" i="11"/>
  <c r="G181" i="11"/>
  <c r="F181" i="11"/>
  <c r="E181" i="11"/>
  <c r="D181" i="11"/>
  <c r="C181" i="11"/>
  <c r="B181" i="11"/>
  <c r="A181" i="11"/>
  <c r="W180" i="11"/>
  <c r="V180" i="11"/>
  <c r="U180" i="11"/>
  <c r="T180" i="11"/>
  <c r="S180" i="11"/>
  <c r="R180" i="11"/>
  <c r="Q180" i="11"/>
  <c r="P180" i="11"/>
  <c r="O180" i="11"/>
  <c r="N180" i="11"/>
  <c r="M180" i="11"/>
  <c r="L180" i="11"/>
  <c r="K180" i="11"/>
  <c r="I180" i="11"/>
  <c r="H180" i="11"/>
  <c r="G180" i="11"/>
  <c r="F180" i="11"/>
  <c r="E180" i="11"/>
  <c r="D180" i="11"/>
  <c r="C180" i="11"/>
  <c r="B180" i="11"/>
  <c r="A180" i="11"/>
  <c r="W179" i="11"/>
  <c r="V179" i="11"/>
  <c r="U179" i="11"/>
  <c r="T179" i="11"/>
  <c r="S179" i="11"/>
  <c r="R179" i="11"/>
  <c r="Q179" i="11"/>
  <c r="P179" i="11"/>
  <c r="O179" i="11"/>
  <c r="N179" i="11"/>
  <c r="M179" i="11"/>
  <c r="L179" i="11"/>
  <c r="K179" i="11"/>
  <c r="I179" i="11"/>
  <c r="H179" i="11"/>
  <c r="G179" i="11"/>
  <c r="F179" i="11"/>
  <c r="E179" i="11"/>
  <c r="D179" i="11"/>
  <c r="C179" i="11"/>
  <c r="B179" i="11"/>
  <c r="A179" i="11"/>
  <c r="W178" i="11"/>
  <c r="V178" i="11"/>
  <c r="U178" i="11"/>
  <c r="T178" i="11"/>
  <c r="S178" i="11"/>
  <c r="R178" i="11"/>
  <c r="Q178" i="11"/>
  <c r="P178" i="11"/>
  <c r="O178" i="11"/>
  <c r="N178" i="11"/>
  <c r="M178" i="11"/>
  <c r="L178" i="11"/>
  <c r="K178" i="11"/>
  <c r="I178" i="11"/>
  <c r="H178" i="11"/>
  <c r="G178" i="11"/>
  <c r="F178" i="11"/>
  <c r="E178" i="11"/>
  <c r="D178" i="11"/>
  <c r="C178" i="11"/>
  <c r="B178" i="11"/>
  <c r="A178" i="11"/>
  <c r="W177" i="11"/>
  <c r="V177" i="11"/>
  <c r="U177" i="11"/>
  <c r="T177" i="11"/>
  <c r="S177" i="11"/>
  <c r="R177" i="11"/>
  <c r="Q177" i="11"/>
  <c r="P177" i="11"/>
  <c r="O177" i="11"/>
  <c r="N177" i="11"/>
  <c r="M177" i="11"/>
  <c r="L177" i="11"/>
  <c r="K177" i="11"/>
  <c r="I177" i="11"/>
  <c r="H177" i="11"/>
  <c r="G177" i="11"/>
  <c r="F177" i="11"/>
  <c r="E177" i="11"/>
  <c r="D177" i="11"/>
  <c r="C177" i="11"/>
  <c r="B177" i="11"/>
  <c r="A177" i="11"/>
  <c r="W176" i="11"/>
  <c r="V176" i="11"/>
  <c r="U176" i="11"/>
  <c r="T176" i="11"/>
  <c r="S176" i="11"/>
  <c r="R176" i="11"/>
  <c r="Q176" i="11"/>
  <c r="P176" i="11"/>
  <c r="O176" i="11"/>
  <c r="N176" i="11"/>
  <c r="M176" i="11"/>
  <c r="L176" i="11"/>
  <c r="K176" i="11"/>
  <c r="I176" i="11"/>
  <c r="H176" i="11"/>
  <c r="G176" i="11"/>
  <c r="F176" i="11"/>
  <c r="E176" i="11"/>
  <c r="D176" i="11"/>
  <c r="C176" i="11"/>
  <c r="B176" i="11"/>
  <c r="A176" i="11"/>
  <c r="W175" i="11"/>
  <c r="V175" i="11"/>
  <c r="U175" i="11"/>
  <c r="T175" i="11"/>
  <c r="S175" i="11"/>
  <c r="R175" i="11"/>
  <c r="Q175" i="11"/>
  <c r="P175" i="11"/>
  <c r="O175" i="11"/>
  <c r="N175" i="11"/>
  <c r="M175" i="11"/>
  <c r="L175" i="11"/>
  <c r="K175" i="11"/>
  <c r="I175" i="11"/>
  <c r="H175" i="11"/>
  <c r="G175" i="11"/>
  <c r="F175" i="11"/>
  <c r="E175" i="11"/>
  <c r="D175" i="11"/>
  <c r="C175" i="11"/>
  <c r="B175" i="11"/>
  <c r="A175" i="11"/>
  <c r="W174" i="11"/>
  <c r="V174" i="11"/>
  <c r="U174" i="11"/>
  <c r="T174" i="11"/>
  <c r="S174" i="11"/>
  <c r="R174" i="11"/>
  <c r="Q174" i="11"/>
  <c r="P174" i="11"/>
  <c r="O174" i="11"/>
  <c r="N174" i="11"/>
  <c r="M174" i="11"/>
  <c r="L174" i="11"/>
  <c r="K174" i="11"/>
  <c r="I174" i="11"/>
  <c r="H174" i="11"/>
  <c r="G174" i="11"/>
  <c r="F174" i="11"/>
  <c r="E174" i="11"/>
  <c r="D174" i="11"/>
  <c r="C174" i="11"/>
  <c r="B174" i="11"/>
  <c r="A174" i="11"/>
  <c r="W173" i="11"/>
  <c r="V173" i="11"/>
  <c r="U173" i="11"/>
  <c r="T173" i="11"/>
  <c r="S173" i="11"/>
  <c r="R173" i="11"/>
  <c r="Q173" i="11"/>
  <c r="P173" i="11"/>
  <c r="O173" i="11"/>
  <c r="N173" i="11"/>
  <c r="M173" i="11"/>
  <c r="L173" i="11"/>
  <c r="K173" i="11"/>
  <c r="I173" i="11"/>
  <c r="H173" i="11"/>
  <c r="G173" i="11"/>
  <c r="F173" i="11"/>
  <c r="E173" i="11"/>
  <c r="D173" i="11"/>
  <c r="C173" i="11"/>
  <c r="B173" i="11"/>
  <c r="A173" i="11"/>
  <c r="W172" i="11"/>
  <c r="V172" i="11"/>
  <c r="U172" i="11"/>
  <c r="T172" i="11"/>
  <c r="S172" i="11"/>
  <c r="R172" i="11"/>
  <c r="Q172" i="11"/>
  <c r="P172" i="11"/>
  <c r="O172" i="11"/>
  <c r="N172" i="11"/>
  <c r="M172" i="11"/>
  <c r="L172" i="11"/>
  <c r="K172" i="11"/>
  <c r="I172" i="11"/>
  <c r="H172" i="11"/>
  <c r="G172" i="11"/>
  <c r="F172" i="11"/>
  <c r="E172" i="11"/>
  <c r="D172" i="11"/>
  <c r="C172" i="11"/>
  <c r="B172" i="11"/>
  <c r="A172" i="11"/>
  <c r="W171" i="11"/>
  <c r="V171" i="11"/>
  <c r="U171" i="11"/>
  <c r="T171" i="11"/>
  <c r="S171" i="11"/>
  <c r="R171" i="11"/>
  <c r="Q171" i="11"/>
  <c r="P171" i="11"/>
  <c r="O171" i="11"/>
  <c r="N171" i="11"/>
  <c r="M171" i="11"/>
  <c r="L171" i="11"/>
  <c r="K171" i="11"/>
  <c r="I171" i="11"/>
  <c r="H171" i="11"/>
  <c r="G171" i="11"/>
  <c r="F171" i="11"/>
  <c r="E171" i="11"/>
  <c r="D171" i="11"/>
  <c r="C171" i="11"/>
  <c r="B171" i="11"/>
  <c r="A171" i="11"/>
  <c r="W170" i="11"/>
  <c r="V170" i="11"/>
  <c r="U170" i="11"/>
  <c r="T170" i="11"/>
  <c r="S170" i="11"/>
  <c r="R170" i="11"/>
  <c r="Q170" i="11"/>
  <c r="P170" i="11"/>
  <c r="O170" i="11"/>
  <c r="N170" i="11"/>
  <c r="M170" i="11"/>
  <c r="L170" i="11"/>
  <c r="K170" i="11"/>
  <c r="I170" i="11"/>
  <c r="H170" i="11"/>
  <c r="G170" i="11"/>
  <c r="F170" i="11"/>
  <c r="E170" i="11"/>
  <c r="D170" i="11"/>
  <c r="C170" i="11"/>
  <c r="B170" i="11"/>
  <c r="A170" i="11"/>
  <c r="W169" i="11"/>
  <c r="V169" i="11"/>
  <c r="U169" i="11"/>
  <c r="T169" i="11"/>
  <c r="S169" i="11"/>
  <c r="R169" i="11"/>
  <c r="Q169" i="11"/>
  <c r="P169" i="11"/>
  <c r="O169" i="11"/>
  <c r="N169" i="11"/>
  <c r="M169" i="11"/>
  <c r="L169" i="11"/>
  <c r="K169" i="11"/>
  <c r="I169" i="11"/>
  <c r="H169" i="11"/>
  <c r="G169" i="11"/>
  <c r="F169" i="11"/>
  <c r="E169" i="11"/>
  <c r="D169" i="11"/>
  <c r="C169" i="11"/>
  <c r="B169" i="11"/>
  <c r="A169" i="11"/>
  <c r="W168" i="11"/>
  <c r="V168" i="11"/>
  <c r="U168" i="11"/>
  <c r="T168" i="11"/>
  <c r="S168" i="11"/>
  <c r="R168" i="11"/>
  <c r="Q168" i="11"/>
  <c r="P168" i="11"/>
  <c r="O168" i="11"/>
  <c r="N168" i="11"/>
  <c r="M168" i="11"/>
  <c r="L168" i="11"/>
  <c r="K168" i="11"/>
  <c r="I168" i="11"/>
  <c r="H168" i="11"/>
  <c r="G168" i="11"/>
  <c r="F168" i="11"/>
  <c r="E168" i="11"/>
  <c r="D168" i="11"/>
  <c r="C168" i="11"/>
  <c r="B168" i="11"/>
  <c r="A168" i="11"/>
  <c r="W167" i="11"/>
  <c r="V167" i="11"/>
  <c r="U167" i="11"/>
  <c r="T167" i="11"/>
  <c r="S167" i="11"/>
  <c r="R167" i="11"/>
  <c r="Q167" i="11"/>
  <c r="P167" i="11"/>
  <c r="O167" i="11"/>
  <c r="N167" i="11"/>
  <c r="M167" i="11"/>
  <c r="L167" i="11"/>
  <c r="K167" i="11"/>
  <c r="I167" i="11"/>
  <c r="H167" i="11"/>
  <c r="G167" i="11"/>
  <c r="F167" i="11"/>
  <c r="E167" i="11"/>
  <c r="D167" i="11"/>
  <c r="C167" i="11"/>
  <c r="B167" i="11"/>
  <c r="A167" i="11"/>
  <c r="W166" i="11"/>
  <c r="V166" i="11"/>
  <c r="U166" i="11"/>
  <c r="T166" i="11"/>
  <c r="S166" i="11"/>
  <c r="R166" i="11"/>
  <c r="Q166" i="11"/>
  <c r="P166" i="11"/>
  <c r="O166" i="11"/>
  <c r="N166" i="11"/>
  <c r="M166" i="11"/>
  <c r="L166" i="11"/>
  <c r="K166" i="11"/>
  <c r="I166" i="11"/>
  <c r="H166" i="11"/>
  <c r="G166" i="11"/>
  <c r="F166" i="11"/>
  <c r="E166" i="11"/>
  <c r="D166" i="11"/>
  <c r="C166" i="11"/>
  <c r="B166" i="11"/>
  <c r="A166" i="11"/>
  <c r="W165" i="11"/>
  <c r="V165" i="11"/>
  <c r="U165" i="11"/>
  <c r="T165" i="11"/>
  <c r="S165" i="11"/>
  <c r="R165" i="11"/>
  <c r="Q165" i="11"/>
  <c r="P165" i="11"/>
  <c r="O165" i="11"/>
  <c r="N165" i="11"/>
  <c r="M165" i="11"/>
  <c r="L165" i="11"/>
  <c r="K165" i="11"/>
  <c r="I165" i="11"/>
  <c r="H165" i="11"/>
  <c r="G165" i="11"/>
  <c r="F165" i="11"/>
  <c r="E165" i="11"/>
  <c r="D165" i="11"/>
  <c r="C165" i="11"/>
  <c r="B165" i="11"/>
  <c r="A165" i="11"/>
  <c r="W164" i="11"/>
  <c r="V164" i="11"/>
  <c r="U164" i="11"/>
  <c r="T164" i="11"/>
  <c r="S164" i="11"/>
  <c r="R164" i="11"/>
  <c r="Q164" i="11"/>
  <c r="P164" i="11"/>
  <c r="O164" i="11"/>
  <c r="N164" i="11"/>
  <c r="M164" i="11"/>
  <c r="L164" i="11"/>
  <c r="K164" i="11"/>
  <c r="I164" i="11"/>
  <c r="H164" i="11"/>
  <c r="G164" i="11"/>
  <c r="F164" i="11"/>
  <c r="E164" i="11"/>
  <c r="D164" i="11"/>
  <c r="C164" i="11"/>
  <c r="B164" i="11"/>
  <c r="A164" i="11"/>
  <c r="W163" i="11"/>
  <c r="V163" i="11"/>
  <c r="U163" i="11"/>
  <c r="T163" i="11"/>
  <c r="S163" i="11"/>
  <c r="R163" i="11"/>
  <c r="Q163" i="11"/>
  <c r="P163" i="11"/>
  <c r="O163" i="11"/>
  <c r="N163" i="11"/>
  <c r="M163" i="11"/>
  <c r="L163" i="11"/>
  <c r="K163" i="11"/>
  <c r="I163" i="11"/>
  <c r="H163" i="11"/>
  <c r="G163" i="11"/>
  <c r="F163" i="11"/>
  <c r="E163" i="11"/>
  <c r="D163" i="11"/>
  <c r="C163" i="11"/>
  <c r="B163" i="11"/>
  <c r="A163" i="11"/>
  <c r="W162" i="11"/>
  <c r="V162" i="11"/>
  <c r="U162" i="11"/>
  <c r="T162" i="11"/>
  <c r="S162" i="11"/>
  <c r="R162" i="11"/>
  <c r="Q162" i="11"/>
  <c r="P162" i="11"/>
  <c r="O162" i="11"/>
  <c r="N162" i="11"/>
  <c r="M162" i="11"/>
  <c r="L162" i="11"/>
  <c r="K162" i="11"/>
  <c r="I162" i="11"/>
  <c r="H162" i="11"/>
  <c r="G162" i="11"/>
  <c r="F162" i="11"/>
  <c r="E162" i="11"/>
  <c r="D162" i="11"/>
  <c r="C162" i="11"/>
  <c r="B162" i="11"/>
  <c r="A162" i="11"/>
  <c r="W161" i="11"/>
  <c r="V161" i="11"/>
  <c r="U161" i="11"/>
  <c r="T161" i="11"/>
  <c r="S161" i="11"/>
  <c r="R161" i="11"/>
  <c r="Q161" i="11"/>
  <c r="P161" i="11"/>
  <c r="O161" i="11"/>
  <c r="N161" i="11"/>
  <c r="M161" i="11"/>
  <c r="L161" i="11"/>
  <c r="K161" i="11"/>
  <c r="I161" i="11"/>
  <c r="H161" i="11"/>
  <c r="G161" i="11"/>
  <c r="F161" i="11"/>
  <c r="E161" i="11"/>
  <c r="D161" i="11"/>
  <c r="C161" i="11"/>
  <c r="B161" i="11"/>
  <c r="A161" i="11"/>
  <c r="W160" i="11"/>
  <c r="V160" i="11"/>
  <c r="U160" i="11"/>
  <c r="T160" i="11"/>
  <c r="S160" i="11"/>
  <c r="R160" i="11"/>
  <c r="Q160" i="11"/>
  <c r="P160" i="11"/>
  <c r="O160" i="11"/>
  <c r="N160" i="11"/>
  <c r="M160" i="11"/>
  <c r="L160" i="11"/>
  <c r="K160" i="11"/>
  <c r="I160" i="11"/>
  <c r="H160" i="11"/>
  <c r="G160" i="11"/>
  <c r="F160" i="11"/>
  <c r="E160" i="11"/>
  <c r="D160" i="11"/>
  <c r="C160" i="11"/>
  <c r="B160" i="11"/>
  <c r="A160" i="11"/>
  <c r="W159" i="11"/>
  <c r="V159" i="11"/>
  <c r="U159" i="11"/>
  <c r="T159" i="11"/>
  <c r="S159" i="11"/>
  <c r="R159" i="11"/>
  <c r="Q159" i="11"/>
  <c r="P159" i="11"/>
  <c r="O159" i="11"/>
  <c r="N159" i="11"/>
  <c r="M159" i="11"/>
  <c r="L159" i="11"/>
  <c r="K159" i="11"/>
  <c r="I159" i="11"/>
  <c r="H159" i="11"/>
  <c r="G159" i="11"/>
  <c r="F159" i="11"/>
  <c r="E159" i="11"/>
  <c r="D159" i="11"/>
  <c r="C159" i="11"/>
  <c r="B159" i="11"/>
  <c r="A159" i="11"/>
  <c r="W158" i="11"/>
  <c r="V158" i="11"/>
  <c r="U158" i="11"/>
  <c r="T158" i="11"/>
  <c r="S158" i="11"/>
  <c r="R158" i="11"/>
  <c r="Q158" i="11"/>
  <c r="P158" i="11"/>
  <c r="O158" i="11"/>
  <c r="N158" i="11"/>
  <c r="M158" i="11"/>
  <c r="L158" i="11"/>
  <c r="K158" i="11"/>
  <c r="I158" i="11"/>
  <c r="H158" i="11"/>
  <c r="G158" i="11"/>
  <c r="F158" i="11"/>
  <c r="E158" i="11"/>
  <c r="D158" i="11"/>
  <c r="C158" i="11"/>
  <c r="B158" i="11"/>
  <c r="A158" i="11"/>
  <c r="W157" i="11"/>
  <c r="V157" i="11"/>
  <c r="U157" i="11"/>
  <c r="T157" i="11"/>
  <c r="S157" i="11"/>
  <c r="R157" i="11"/>
  <c r="Q157" i="11"/>
  <c r="P157" i="11"/>
  <c r="O157" i="11"/>
  <c r="N157" i="11"/>
  <c r="M157" i="11"/>
  <c r="L157" i="11"/>
  <c r="K157" i="11"/>
  <c r="I157" i="11"/>
  <c r="H157" i="11"/>
  <c r="G157" i="11"/>
  <c r="F157" i="11"/>
  <c r="E157" i="11"/>
  <c r="D157" i="11"/>
  <c r="C157" i="11"/>
  <c r="B157" i="11"/>
  <c r="A157" i="11"/>
  <c r="W156" i="11"/>
  <c r="V156" i="11"/>
  <c r="U156" i="11"/>
  <c r="T156" i="11"/>
  <c r="S156" i="11"/>
  <c r="R156" i="11"/>
  <c r="Q156" i="11"/>
  <c r="P156" i="11"/>
  <c r="O156" i="11"/>
  <c r="N156" i="11"/>
  <c r="M156" i="11"/>
  <c r="L156" i="11"/>
  <c r="K156" i="11"/>
  <c r="I156" i="11"/>
  <c r="H156" i="11"/>
  <c r="G156" i="11"/>
  <c r="F156" i="11"/>
  <c r="E156" i="11"/>
  <c r="D156" i="11"/>
  <c r="C156" i="11"/>
  <c r="B156" i="11"/>
  <c r="A156" i="11"/>
  <c r="W155" i="11"/>
  <c r="V155" i="11"/>
  <c r="U155" i="11"/>
  <c r="T155" i="11"/>
  <c r="S155" i="11"/>
  <c r="R155" i="11"/>
  <c r="Q155" i="11"/>
  <c r="P155" i="11"/>
  <c r="O155" i="11"/>
  <c r="N155" i="11"/>
  <c r="M155" i="11"/>
  <c r="L155" i="11"/>
  <c r="K155" i="11"/>
  <c r="I155" i="11"/>
  <c r="H155" i="11"/>
  <c r="G155" i="11"/>
  <c r="F155" i="11"/>
  <c r="E155" i="11"/>
  <c r="D155" i="11"/>
  <c r="C155" i="11"/>
  <c r="B155" i="11"/>
  <c r="A155" i="11"/>
  <c r="W154" i="11"/>
  <c r="V154" i="11"/>
  <c r="U154" i="11"/>
  <c r="T154" i="11"/>
  <c r="S154" i="11"/>
  <c r="R154" i="11"/>
  <c r="Q154" i="11"/>
  <c r="P154" i="11"/>
  <c r="O154" i="11"/>
  <c r="N154" i="11"/>
  <c r="M154" i="11"/>
  <c r="L154" i="11"/>
  <c r="K154" i="11"/>
  <c r="I154" i="11"/>
  <c r="H154" i="11"/>
  <c r="G154" i="11"/>
  <c r="F154" i="11"/>
  <c r="E154" i="11"/>
  <c r="D154" i="11"/>
  <c r="C154" i="11"/>
  <c r="B154" i="11"/>
  <c r="A154" i="11"/>
  <c r="W153" i="11"/>
  <c r="V153" i="11"/>
  <c r="U153" i="11"/>
  <c r="T153" i="11"/>
  <c r="S153" i="11"/>
  <c r="R153" i="11"/>
  <c r="Q153" i="11"/>
  <c r="P153" i="11"/>
  <c r="O153" i="11"/>
  <c r="N153" i="11"/>
  <c r="M153" i="11"/>
  <c r="L153" i="11"/>
  <c r="K153" i="11"/>
  <c r="I153" i="11"/>
  <c r="H153" i="11"/>
  <c r="G153" i="11"/>
  <c r="F153" i="11"/>
  <c r="E153" i="11"/>
  <c r="D153" i="11"/>
  <c r="C153" i="11"/>
  <c r="B153" i="11"/>
  <c r="A153" i="11"/>
  <c r="W152" i="11"/>
  <c r="V152" i="11"/>
  <c r="U152" i="11"/>
  <c r="T152" i="11"/>
  <c r="S152" i="11"/>
  <c r="R152" i="11"/>
  <c r="Q152" i="11"/>
  <c r="P152" i="11"/>
  <c r="O152" i="11"/>
  <c r="N152" i="11"/>
  <c r="M152" i="11"/>
  <c r="L152" i="11"/>
  <c r="K152" i="11"/>
  <c r="I152" i="11"/>
  <c r="H152" i="11"/>
  <c r="G152" i="11"/>
  <c r="F152" i="11"/>
  <c r="E152" i="11"/>
  <c r="D152" i="11"/>
  <c r="C152" i="11"/>
  <c r="B152" i="11"/>
  <c r="A152" i="11"/>
  <c r="W151" i="11"/>
  <c r="V151" i="11"/>
  <c r="U151" i="11"/>
  <c r="T151" i="11"/>
  <c r="S151" i="11"/>
  <c r="R151" i="11"/>
  <c r="Q151" i="11"/>
  <c r="P151" i="11"/>
  <c r="O151" i="11"/>
  <c r="N151" i="11"/>
  <c r="M151" i="11"/>
  <c r="L151" i="11"/>
  <c r="K151" i="11"/>
  <c r="I151" i="11"/>
  <c r="H151" i="11"/>
  <c r="G151" i="11"/>
  <c r="F151" i="11"/>
  <c r="E151" i="11"/>
  <c r="D151" i="11"/>
  <c r="C151" i="11"/>
  <c r="B151" i="11"/>
  <c r="A151" i="11"/>
  <c r="W150" i="11"/>
  <c r="V150" i="11"/>
  <c r="U150" i="11"/>
  <c r="T150" i="11"/>
  <c r="S150" i="11"/>
  <c r="R150" i="11"/>
  <c r="Q150" i="11"/>
  <c r="P150" i="11"/>
  <c r="O150" i="11"/>
  <c r="N150" i="11"/>
  <c r="M150" i="11"/>
  <c r="L150" i="11"/>
  <c r="K150" i="11"/>
  <c r="I150" i="11"/>
  <c r="H150" i="11"/>
  <c r="G150" i="11"/>
  <c r="F150" i="11"/>
  <c r="E150" i="11"/>
  <c r="D150" i="11"/>
  <c r="C150" i="11"/>
  <c r="B150" i="11"/>
  <c r="A150" i="11"/>
  <c r="W149" i="11"/>
  <c r="V149" i="11"/>
  <c r="U149" i="11"/>
  <c r="T149" i="11"/>
  <c r="S149" i="11"/>
  <c r="R149" i="11"/>
  <c r="Q149" i="11"/>
  <c r="P149" i="11"/>
  <c r="O149" i="11"/>
  <c r="N149" i="11"/>
  <c r="M149" i="11"/>
  <c r="L149" i="11"/>
  <c r="K149" i="11"/>
  <c r="I149" i="11"/>
  <c r="H149" i="11"/>
  <c r="G149" i="11"/>
  <c r="F149" i="11"/>
  <c r="E149" i="11"/>
  <c r="D149" i="11"/>
  <c r="C149" i="11"/>
  <c r="B149" i="11"/>
  <c r="A149" i="11"/>
  <c r="W148" i="11"/>
  <c r="V148" i="11"/>
  <c r="U148" i="11"/>
  <c r="T148" i="11"/>
  <c r="S148" i="11"/>
  <c r="R148" i="11"/>
  <c r="Q148" i="11"/>
  <c r="P148" i="11"/>
  <c r="O148" i="11"/>
  <c r="N148" i="11"/>
  <c r="M148" i="11"/>
  <c r="L148" i="11"/>
  <c r="K148" i="11"/>
  <c r="I148" i="11"/>
  <c r="H148" i="11"/>
  <c r="G148" i="11"/>
  <c r="F148" i="11"/>
  <c r="E148" i="11"/>
  <c r="D148" i="11"/>
  <c r="C148" i="11"/>
  <c r="B148" i="11"/>
  <c r="A148" i="11"/>
  <c r="W147" i="11"/>
  <c r="V147" i="11"/>
  <c r="U147" i="11"/>
  <c r="T147" i="11"/>
  <c r="S147" i="11"/>
  <c r="R147" i="11"/>
  <c r="Q147" i="11"/>
  <c r="P147" i="11"/>
  <c r="O147" i="11"/>
  <c r="N147" i="11"/>
  <c r="M147" i="11"/>
  <c r="L147" i="11"/>
  <c r="K147" i="11"/>
  <c r="I147" i="11"/>
  <c r="H147" i="11"/>
  <c r="G147" i="11"/>
  <c r="F147" i="11"/>
  <c r="E147" i="11"/>
  <c r="D147" i="11"/>
  <c r="C147" i="11"/>
  <c r="B147" i="11"/>
  <c r="A147" i="11"/>
  <c r="W146" i="11"/>
  <c r="V146" i="11"/>
  <c r="U146" i="11"/>
  <c r="T146" i="11"/>
  <c r="S146" i="11"/>
  <c r="R146" i="11"/>
  <c r="Q146" i="11"/>
  <c r="P146" i="11"/>
  <c r="O146" i="11"/>
  <c r="N146" i="11"/>
  <c r="M146" i="11"/>
  <c r="L146" i="11"/>
  <c r="K146" i="11"/>
  <c r="I146" i="11"/>
  <c r="H146" i="11"/>
  <c r="G146" i="11"/>
  <c r="F146" i="11"/>
  <c r="E146" i="11"/>
  <c r="D146" i="11"/>
  <c r="C146" i="11"/>
  <c r="B146" i="11"/>
  <c r="A146" i="11"/>
  <c r="W145" i="11"/>
  <c r="V145" i="11"/>
  <c r="U145" i="11"/>
  <c r="T145" i="11"/>
  <c r="S145" i="11"/>
  <c r="R145" i="11"/>
  <c r="Q145" i="11"/>
  <c r="P145" i="11"/>
  <c r="O145" i="11"/>
  <c r="N145" i="11"/>
  <c r="M145" i="11"/>
  <c r="L145" i="11"/>
  <c r="K145" i="11"/>
  <c r="I145" i="11"/>
  <c r="H145" i="11"/>
  <c r="G145" i="11"/>
  <c r="F145" i="11"/>
  <c r="E145" i="11"/>
  <c r="D145" i="11"/>
  <c r="C145" i="11"/>
  <c r="B145" i="11"/>
  <c r="A145" i="11"/>
  <c r="W144" i="11"/>
  <c r="V144" i="11"/>
  <c r="U144" i="11"/>
  <c r="T144" i="11"/>
  <c r="S144" i="11"/>
  <c r="R144" i="11"/>
  <c r="Q144" i="11"/>
  <c r="P144" i="11"/>
  <c r="O144" i="11"/>
  <c r="N144" i="11"/>
  <c r="M144" i="11"/>
  <c r="L144" i="11"/>
  <c r="K144" i="11"/>
  <c r="I144" i="11"/>
  <c r="H144" i="11"/>
  <c r="G144" i="11"/>
  <c r="F144" i="11"/>
  <c r="E144" i="11"/>
  <c r="D144" i="11"/>
  <c r="C144" i="11"/>
  <c r="B144" i="11"/>
  <c r="A144" i="11"/>
  <c r="W143" i="11"/>
  <c r="V143" i="11"/>
  <c r="U143" i="11"/>
  <c r="T143" i="11"/>
  <c r="S143" i="11"/>
  <c r="R143" i="11"/>
  <c r="Q143" i="11"/>
  <c r="P143" i="11"/>
  <c r="O143" i="11"/>
  <c r="N143" i="11"/>
  <c r="M143" i="11"/>
  <c r="L143" i="11"/>
  <c r="K143" i="11"/>
  <c r="I143" i="11"/>
  <c r="H143" i="11"/>
  <c r="G143" i="11"/>
  <c r="F143" i="11"/>
  <c r="E143" i="11"/>
  <c r="D143" i="11"/>
  <c r="C143" i="11"/>
  <c r="B143" i="11"/>
  <c r="A143" i="11"/>
  <c r="W142" i="11"/>
  <c r="V142" i="11"/>
  <c r="U142" i="11"/>
  <c r="T142" i="11"/>
  <c r="S142" i="11"/>
  <c r="R142" i="11"/>
  <c r="Q142" i="11"/>
  <c r="P142" i="11"/>
  <c r="O142" i="11"/>
  <c r="N142" i="11"/>
  <c r="M142" i="11"/>
  <c r="L142" i="11"/>
  <c r="K142" i="11"/>
  <c r="I142" i="11"/>
  <c r="H142" i="11"/>
  <c r="G142" i="11"/>
  <c r="F142" i="11"/>
  <c r="E142" i="11"/>
  <c r="D142" i="11"/>
  <c r="C142" i="11"/>
  <c r="B142" i="11"/>
  <c r="A142" i="11"/>
  <c r="W141" i="11"/>
  <c r="V141" i="11"/>
  <c r="U141" i="11"/>
  <c r="T141" i="11"/>
  <c r="S141" i="11"/>
  <c r="R141" i="11"/>
  <c r="Q141" i="11"/>
  <c r="P141" i="11"/>
  <c r="O141" i="11"/>
  <c r="N141" i="11"/>
  <c r="M141" i="11"/>
  <c r="L141" i="11"/>
  <c r="K141" i="11"/>
  <c r="I141" i="11"/>
  <c r="H141" i="11"/>
  <c r="G141" i="11"/>
  <c r="F141" i="11"/>
  <c r="E141" i="11"/>
  <c r="D141" i="11"/>
  <c r="C141" i="11"/>
  <c r="B141" i="11"/>
  <c r="A141" i="11"/>
  <c r="W140" i="11"/>
  <c r="V140" i="11"/>
  <c r="U140" i="11"/>
  <c r="T140" i="11"/>
  <c r="S140" i="11"/>
  <c r="R140" i="11"/>
  <c r="Q140" i="11"/>
  <c r="P140" i="11"/>
  <c r="O140" i="11"/>
  <c r="N140" i="11"/>
  <c r="M140" i="11"/>
  <c r="L140" i="11"/>
  <c r="K140" i="11"/>
  <c r="I140" i="11"/>
  <c r="H140" i="11"/>
  <c r="G140" i="11"/>
  <c r="F140" i="11"/>
  <c r="E140" i="11"/>
  <c r="D140" i="11"/>
  <c r="C140" i="11"/>
  <c r="B140" i="11"/>
  <c r="A140" i="11"/>
  <c r="W139" i="11"/>
  <c r="V139" i="11"/>
  <c r="U139" i="11"/>
  <c r="T139" i="11"/>
  <c r="S139" i="11"/>
  <c r="R139" i="11"/>
  <c r="Q139" i="11"/>
  <c r="P139" i="11"/>
  <c r="O139" i="11"/>
  <c r="N139" i="11"/>
  <c r="M139" i="11"/>
  <c r="L139" i="11"/>
  <c r="K139" i="11"/>
  <c r="I139" i="11"/>
  <c r="H139" i="11"/>
  <c r="G139" i="11"/>
  <c r="F139" i="11"/>
  <c r="E139" i="11"/>
  <c r="D139" i="11"/>
  <c r="C139" i="11"/>
  <c r="B139" i="11"/>
  <c r="A139" i="11"/>
  <c r="W138" i="11"/>
  <c r="V138" i="11"/>
  <c r="U138" i="11"/>
  <c r="T138" i="11"/>
  <c r="S138" i="11"/>
  <c r="R138" i="11"/>
  <c r="Q138" i="11"/>
  <c r="P138" i="11"/>
  <c r="O138" i="11"/>
  <c r="N138" i="11"/>
  <c r="M138" i="11"/>
  <c r="L138" i="11"/>
  <c r="K138" i="11"/>
  <c r="I138" i="11"/>
  <c r="H138" i="11"/>
  <c r="G138" i="11"/>
  <c r="F138" i="11"/>
  <c r="E138" i="11"/>
  <c r="D138" i="11"/>
  <c r="C138" i="11"/>
  <c r="B138" i="11"/>
  <c r="A138" i="11"/>
  <c r="W137" i="11"/>
  <c r="V137" i="11"/>
  <c r="U137" i="11"/>
  <c r="T137" i="11"/>
  <c r="S137" i="11"/>
  <c r="R137" i="11"/>
  <c r="Q137" i="11"/>
  <c r="P137" i="11"/>
  <c r="O137" i="11"/>
  <c r="N137" i="11"/>
  <c r="M137" i="11"/>
  <c r="L137" i="11"/>
  <c r="K137" i="11"/>
  <c r="I137" i="11"/>
  <c r="H137" i="11"/>
  <c r="G137" i="11"/>
  <c r="F137" i="11"/>
  <c r="E137" i="11"/>
  <c r="D137" i="11"/>
  <c r="C137" i="11"/>
  <c r="B137" i="11"/>
  <c r="A137" i="11"/>
  <c r="W136" i="11"/>
  <c r="V136" i="11"/>
  <c r="U136" i="11"/>
  <c r="T136" i="11"/>
  <c r="S136" i="11"/>
  <c r="R136" i="11"/>
  <c r="Q136" i="11"/>
  <c r="P136" i="11"/>
  <c r="O136" i="11"/>
  <c r="N136" i="11"/>
  <c r="M136" i="11"/>
  <c r="L136" i="11"/>
  <c r="K136" i="11"/>
  <c r="I136" i="11"/>
  <c r="H136" i="11"/>
  <c r="G136" i="11"/>
  <c r="F136" i="11"/>
  <c r="E136" i="11"/>
  <c r="D136" i="11"/>
  <c r="C136" i="11"/>
  <c r="B136" i="11"/>
  <c r="A136" i="11"/>
  <c r="W135" i="11"/>
  <c r="V135" i="11"/>
  <c r="U135" i="11"/>
  <c r="T135" i="11"/>
  <c r="S135" i="11"/>
  <c r="R135" i="11"/>
  <c r="Q135" i="11"/>
  <c r="P135" i="11"/>
  <c r="O135" i="11"/>
  <c r="N135" i="11"/>
  <c r="M135" i="11"/>
  <c r="L135" i="11"/>
  <c r="K135" i="11"/>
  <c r="I135" i="11"/>
  <c r="H135" i="11"/>
  <c r="G135" i="11"/>
  <c r="F135" i="11"/>
  <c r="E135" i="11"/>
  <c r="D135" i="11"/>
  <c r="C135" i="11"/>
  <c r="B135" i="11"/>
  <c r="A135" i="11"/>
  <c r="W134" i="11"/>
  <c r="V134" i="11"/>
  <c r="U134" i="11"/>
  <c r="T134" i="11"/>
  <c r="S134" i="11"/>
  <c r="R134" i="11"/>
  <c r="Q134" i="11"/>
  <c r="P134" i="11"/>
  <c r="O134" i="11"/>
  <c r="N134" i="11"/>
  <c r="M134" i="11"/>
  <c r="L134" i="11"/>
  <c r="K134" i="11"/>
  <c r="I134" i="11"/>
  <c r="H134" i="11"/>
  <c r="G134" i="11"/>
  <c r="F134" i="11"/>
  <c r="E134" i="11"/>
  <c r="D134" i="11"/>
  <c r="C134" i="11"/>
  <c r="B134" i="11"/>
  <c r="A134" i="11"/>
  <c r="W133" i="11"/>
  <c r="V133" i="11"/>
  <c r="U133" i="11"/>
  <c r="T133" i="11"/>
  <c r="S133" i="11"/>
  <c r="R133" i="11"/>
  <c r="Q133" i="11"/>
  <c r="P133" i="11"/>
  <c r="O133" i="11"/>
  <c r="N133" i="11"/>
  <c r="M133" i="11"/>
  <c r="L133" i="11"/>
  <c r="K133" i="11"/>
  <c r="I133" i="11"/>
  <c r="H133" i="11"/>
  <c r="G133" i="11"/>
  <c r="F133" i="11"/>
  <c r="E133" i="11"/>
  <c r="D133" i="11"/>
  <c r="C133" i="11"/>
  <c r="B133" i="11"/>
  <c r="A133" i="11"/>
  <c r="W132" i="11"/>
  <c r="V132" i="11"/>
  <c r="U132" i="11"/>
  <c r="T132" i="11"/>
  <c r="S132" i="11"/>
  <c r="R132" i="11"/>
  <c r="Q132" i="11"/>
  <c r="P132" i="11"/>
  <c r="O132" i="11"/>
  <c r="N132" i="11"/>
  <c r="M132" i="11"/>
  <c r="L132" i="11"/>
  <c r="K132" i="11"/>
  <c r="I132" i="11"/>
  <c r="H132" i="11"/>
  <c r="G132" i="11"/>
  <c r="F132" i="11"/>
  <c r="E132" i="11"/>
  <c r="D132" i="11"/>
  <c r="C132" i="11"/>
  <c r="B132" i="11"/>
  <c r="A132" i="11"/>
  <c r="W131" i="11"/>
  <c r="V131" i="11"/>
  <c r="U131" i="11"/>
  <c r="T131" i="11"/>
  <c r="S131" i="11"/>
  <c r="R131" i="11"/>
  <c r="Q131" i="11"/>
  <c r="P131" i="11"/>
  <c r="O131" i="11"/>
  <c r="N131" i="11"/>
  <c r="M131" i="11"/>
  <c r="L131" i="11"/>
  <c r="K131" i="11"/>
  <c r="I131" i="11"/>
  <c r="H131" i="11"/>
  <c r="G131" i="11"/>
  <c r="F131" i="11"/>
  <c r="E131" i="11"/>
  <c r="D131" i="11"/>
  <c r="C131" i="11"/>
  <c r="B131" i="11"/>
  <c r="A131" i="11"/>
  <c r="W130" i="11"/>
  <c r="V130" i="11"/>
  <c r="U130" i="11"/>
  <c r="T130" i="11"/>
  <c r="S130" i="11"/>
  <c r="R130" i="11"/>
  <c r="Q130" i="11"/>
  <c r="P130" i="11"/>
  <c r="O130" i="11"/>
  <c r="N130" i="11"/>
  <c r="M130" i="11"/>
  <c r="L130" i="11"/>
  <c r="K130" i="11"/>
  <c r="I130" i="11"/>
  <c r="H130" i="11"/>
  <c r="G130" i="11"/>
  <c r="F130" i="11"/>
  <c r="E130" i="11"/>
  <c r="D130" i="11"/>
  <c r="C130" i="11"/>
  <c r="B130" i="11"/>
  <c r="A130" i="11"/>
  <c r="W129" i="11"/>
  <c r="V129" i="11"/>
  <c r="U129" i="11"/>
  <c r="T129" i="11"/>
  <c r="S129" i="11"/>
  <c r="R129" i="11"/>
  <c r="Q129" i="11"/>
  <c r="P129" i="11"/>
  <c r="O129" i="11"/>
  <c r="N129" i="11"/>
  <c r="M129" i="11"/>
  <c r="L129" i="11"/>
  <c r="K129" i="11"/>
  <c r="I129" i="11"/>
  <c r="H129" i="11"/>
  <c r="G129" i="11"/>
  <c r="F129" i="11"/>
  <c r="E129" i="11"/>
  <c r="D129" i="11"/>
  <c r="C129" i="11"/>
  <c r="B129" i="11"/>
  <c r="A129" i="11"/>
  <c r="W128" i="11"/>
  <c r="V128" i="11"/>
  <c r="U128" i="11"/>
  <c r="T128" i="11"/>
  <c r="S128" i="11"/>
  <c r="R128" i="11"/>
  <c r="Q128" i="11"/>
  <c r="P128" i="11"/>
  <c r="O128" i="11"/>
  <c r="N128" i="11"/>
  <c r="M128" i="11"/>
  <c r="L128" i="11"/>
  <c r="K128" i="11"/>
  <c r="I128" i="11"/>
  <c r="H128" i="11"/>
  <c r="G128" i="11"/>
  <c r="F128" i="11"/>
  <c r="E128" i="11"/>
  <c r="D128" i="11"/>
  <c r="C128" i="11"/>
  <c r="B128" i="11"/>
  <c r="A128" i="11"/>
  <c r="W127" i="11"/>
  <c r="V127" i="11"/>
  <c r="U127" i="11"/>
  <c r="T127" i="11"/>
  <c r="S127" i="11"/>
  <c r="R127" i="11"/>
  <c r="Q127" i="11"/>
  <c r="P127" i="11"/>
  <c r="O127" i="11"/>
  <c r="N127" i="11"/>
  <c r="M127" i="11"/>
  <c r="L127" i="11"/>
  <c r="K127" i="11"/>
  <c r="I127" i="11"/>
  <c r="H127" i="11"/>
  <c r="G127" i="11"/>
  <c r="F127" i="11"/>
  <c r="E127" i="11"/>
  <c r="D127" i="11"/>
  <c r="C127" i="11"/>
  <c r="B127" i="11"/>
  <c r="A127" i="11"/>
  <c r="W126" i="11"/>
  <c r="V126" i="11"/>
  <c r="U126" i="11"/>
  <c r="T126" i="11"/>
  <c r="S126" i="11"/>
  <c r="R126" i="11"/>
  <c r="Q126" i="11"/>
  <c r="P126" i="11"/>
  <c r="O126" i="11"/>
  <c r="N126" i="11"/>
  <c r="M126" i="11"/>
  <c r="L126" i="11"/>
  <c r="K126" i="11"/>
  <c r="I126" i="11"/>
  <c r="H126" i="11"/>
  <c r="G126" i="11"/>
  <c r="F126" i="11"/>
  <c r="E126" i="11"/>
  <c r="D126" i="11"/>
  <c r="C126" i="11"/>
  <c r="B126" i="11"/>
  <c r="A126" i="11"/>
  <c r="W125" i="11"/>
  <c r="V125" i="11"/>
  <c r="U125" i="11"/>
  <c r="T125" i="11"/>
  <c r="S125" i="11"/>
  <c r="R125" i="11"/>
  <c r="Q125" i="11"/>
  <c r="P125" i="11"/>
  <c r="O125" i="11"/>
  <c r="N125" i="11"/>
  <c r="M125" i="11"/>
  <c r="L125" i="11"/>
  <c r="K125" i="11"/>
  <c r="I125" i="11"/>
  <c r="H125" i="11"/>
  <c r="G125" i="11"/>
  <c r="F125" i="11"/>
  <c r="E125" i="11"/>
  <c r="D125" i="11"/>
  <c r="C125" i="11"/>
  <c r="B125" i="11"/>
  <c r="A125" i="11"/>
  <c r="W124" i="11"/>
  <c r="V124" i="11"/>
  <c r="U124" i="11"/>
  <c r="T124" i="11"/>
  <c r="S124" i="11"/>
  <c r="R124" i="11"/>
  <c r="Q124" i="11"/>
  <c r="P124" i="11"/>
  <c r="O124" i="11"/>
  <c r="N124" i="11"/>
  <c r="M124" i="11"/>
  <c r="L124" i="11"/>
  <c r="K124" i="11"/>
  <c r="I124" i="11"/>
  <c r="H124" i="11"/>
  <c r="G124" i="11"/>
  <c r="F124" i="11"/>
  <c r="E124" i="11"/>
  <c r="D124" i="11"/>
  <c r="C124" i="11"/>
  <c r="B124" i="11"/>
  <c r="A124" i="11"/>
  <c r="W123" i="11"/>
  <c r="V123" i="11"/>
  <c r="U123" i="11"/>
  <c r="T123" i="11"/>
  <c r="S123" i="11"/>
  <c r="R123" i="11"/>
  <c r="Q123" i="11"/>
  <c r="P123" i="11"/>
  <c r="O123" i="11"/>
  <c r="N123" i="11"/>
  <c r="M123" i="11"/>
  <c r="L123" i="11"/>
  <c r="K123" i="11"/>
  <c r="I123" i="11"/>
  <c r="H123" i="11"/>
  <c r="G123" i="11"/>
  <c r="F123" i="11"/>
  <c r="E123" i="11"/>
  <c r="D123" i="11"/>
  <c r="C123" i="11"/>
  <c r="B123" i="11"/>
  <c r="A123" i="11"/>
  <c r="W122" i="11"/>
  <c r="V122" i="11"/>
  <c r="U122" i="11"/>
  <c r="T122" i="11"/>
  <c r="S122" i="11"/>
  <c r="R122" i="11"/>
  <c r="Q122" i="11"/>
  <c r="P122" i="11"/>
  <c r="O122" i="11"/>
  <c r="N122" i="11"/>
  <c r="M122" i="11"/>
  <c r="L122" i="11"/>
  <c r="K122" i="11"/>
  <c r="I122" i="11"/>
  <c r="H122" i="11"/>
  <c r="G122" i="11"/>
  <c r="F122" i="11"/>
  <c r="E122" i="11"/>
  <c r="D122" i="11"/>
  <c r="C122" i="11"/>
  <c r="B122" i="11"/>
  <c r="A122" i="11"/>
  <c r="W121" i="11"/>
  <c r="V121" i="11"/>
  <c r="U121" i="11"/>
  <c r="T121" i="11"/>
  <c r="S121" i="11"/>
  <c r="R121" i="11"/>
  <c r="Q121" i="11"/>
  <c r="P121" i="11"/>
  <c r="O121" i="11"/>
  <c r="N121" i="11"/>
  <c r="M121" i="11"/>
  <c r="L121" i="11"/>
  <c r="K121" i="11"/>
  <c r="I121" i="11"/>
  <c r="H121" i="11"/>
  <c r="G121" i="11"/>
  <c r="F121" i="11"/>
  <c r="E121" i="11"/>
  <c r="D121" i="11"/>
  <c r="C121" i="11"/>
  <c r="B121" i="11"/>
  <c r="A121" i="11"/>
  <c r="W120" i="11"/>
  <c r="V120" i="11"/>
  <c r="U120" i="11"/>
  <c r="T120" i="11"/>
  <c r="S120" i="11"/>
  <c r="R120" i="11"/>
  <c r="Q120" i="11"/>
  <c r="P120" i="11"/>
  <c r="O120" i="11"/>
  <c r="N120" i="11"/>
  <c r="M120" i="11"/>
  <c r="L120" i="11"/>
  <c r="K120" i="11"/>
  <c r="I120" i="11"/>
  <c r="H120" i="11"/>
  <c r="G120" i="11"/>
  <c r="F120" i="11"/>
  <c r="E120" i="11"/>
  <c r="D120" i="11"/>
  <c r="C120" i="11"/>
  <c r="B120" i="11"/>
  <c r="A120" i="11"/>
  <c r="W119" i="11"/>
  <c r="V119" i="11"/>
  <c r="U119" i="11"/>
  <c r="T119" i="11"/>
  <c r="S119" i="11"/>
  <c r="R119" i="11"/>
  <c r="Q119" i="11"/>
  <c r="P119" i="11"/>
  <c r="O119" i="11"/>
  <c r="N119" i="11"/>
  <c r="M119" i="11"/>
  <c r="L119" i="11"/>
  <c r="K119" i="11"/>
  <c r="I119" i="11"/>
  <c r="H119" i="11"/>
  <c r="G119" i="11"/>
  <c r="F119" i="11"/>
  <c r="E119" i="11"/>
  <c r="D119" i="11"/>
  <c r="C119" i="11"/>
  <c r="B119" i="11"/>
  <c r="A119" i="11"/>
  <c r="W118" i="11"/>
  <c r="V118" i="11"/>
  <c r="U118" i="11"/>
  <c r="T118" i="11"/>
  <c r="S118" i="11"/>
  <c r="R118" i="11"/>
  <c r="Q118" i="11"/>
  <c r="P118" i="11"/>
  <c r="O118" i="11"/>
  <c r="N118" i="11"/>
  <c r="M118" i="11"/>
  <c r="L118" i="11"/>
  <c r="K118" i="11"/>
  <c r="I118" i="11"/>
  <c r="H118" i="11"/>
  <c r="G118" i="11"/>
  <c r="F118" i="11"/>
  <c r="E118" i="11"/>
  <c r="D118" i="11"/>
  <c r="C118" i="11"/>
  <c r="B118" i="11"/>
  <c r="A118" i="11"/>
  <c r="W117" i="11"/>
  <c r="V117" i="11"/>
  <c r="U117" i="11"/>
  <c r="T117" i="11"/>
  <c r="S117" i="11"/>
  <c r="R117" i="11"/>
  <c r="Q117" i="11"/>
  <c r="P117" i="11"/>
  <c r="O117" i="11"/>
  <c r="N117" i="11"/>
  <c r="M117" i="11"/>
  <c r="L117" i="11"/>
  <c r="K117" i="11"/>
  <c r="I117" i="11"/>
  <c r="H117" i="11"/>
  <c r="G117" i="11"/>
  <c r="F117" i="11"/>
  <c r="E117" i="11"/>
  <c r="D117" i="11"/>
  <c r="C117" i="11"/>
  <c r="B117" i="11"/>
  <c r="A117" i="11"/>
  <c r="W116" i="11"/>
  <c r="V116" i="11"/>
  <c r="U116" i="11"/>
  <c r="T116" i="11"/>
  <c r="S116" i="11"/>
  <c r="R116" i="11"/>
  <c r="Q116" i="11"/>
  <c r="P116" i="11"/>
  <c r="O116" i="11"/>
  <c r="N116" i="11"/>
  <c r="M116" i="11"/>
  <c r="L116" i="11"/>
  <c r="K116" i="11"/>
  <c r="I116" i="11"/>
  <c r="H116" i="11"/>
  <c r="G116" i="11"/>
  <c r="F116" i="11"/>
  <c r="E116" i="11"/>
  <c r="D116" i="11"/>
  <c r="C116" i="11"/>
  <c r="B116" i="11"/>
  <c r="A116" i="11"/>
  <c r="W115" i="11"/>
  <c r="V115" i="11"/>
  <c r="U115" i="11"/>
  <c r="T115" i="11"/>
  <c r="S115" i="11"/>
  <c r="R115" i="11"/>
  <c r="Q115" i="11"/>
  <c r="P115" i="11"/>
  <c r="O115" i="11"/>
  <c r="N115" i="11"/>
  <c r="M115" i="11"/>
  <c r="L115" i="11"/>
  <c r="K115" i="11"/>
  <c r="I115" i="11"/>
  <c r="H115" i="11"/>
  <c r="G115" i="11"/>
  <c r="F115" i="11"/>
  <c r="E115" i="11"/>
  <c r="D115" i="11"/>
  <c r="C115" i="11"/>
  <c r="B115" i="11"/>
  <c r="A115" i="11"/>
  <c r="W114" i="11"/>
  <c r="V114" i="11"/>
  <c r="U114" i="11"/>
  <c r="T114" i="11"/>
  <c r="S114" i="11"/>
  <c r="R114" i="11"/>
  <c r="Q114" i="11"/>
  <c r="P114" i="11"/>
  <c r="O114" i="11"/>
  <c r="N114" i="11"/>
  <c r="M114" i="11"/>
  <c r="L114" i="11"/>
  <c r="K114" i="11"/>
  <c r="I114" i="11"/>
  <c r="H114" i="11"/>
  <c r="G114" i="11"/>
  <c r="F114" i="11"/>
  <c r="E114" i="11"/>
  <c r="D114" i="11"/>
  <c r="C114" i="11"/>
  <c r="B114" i="11"/>
  <c r="A114" i="11"/>
  <c r="W113" i="11"/>
  <c r="V113" i="11"/>
  <c r="U113" i="11"/>
  <c r="T113" i="11"/>
  <c r="S113" i="11"/>
  <c r="R113" i="11"/>
  <c r="Q113" i="11"/>
  <c r="P113" i="11"/>
  <c r="O113" i="11"/>
  <c r="N113" i="11"/>
  <c r="M113" i="11"/>
  <c r="L113" i="11"/>
  <c r="K113" i="11"/>
  <c r="I113" i="11"/>
  <c r="H113" i="11"/>
  <c r="G113" i="11"/>
  <c r="F113" i="11"/>
  <c r="E113" i="11"/>
  <c r="D113" i="11"/>
  <c r="C113" i="11"/>
  <c r="B113" i="11"/>
  <c r="A113" i="11"/>
  <c r="W112" i="11"/>
  <c r="V112" i="11"/>
  <c r="U112" i="11"/>
  <c r="T112" i="11"/>
  <c r="S112" i="11"/>
  <c r="R112" i="11"/>
  <c r="Q112" i="11"/>
  <c r="P112" i="11"/>
  <c r="O112" i="11"/>
  <c r="N112" i="11"/>
  <c r="M112" i="11"/>
  <c r="L112" i="11"/>
  <c r="K112" i="11"/>
  <c r="I112" i="11"/>
  <c r="H112" i="11"/>
  <c r="G112" i="11"/>
  <c r="F112" i="11"/>
  <c r="E112" i="11"/>
  <c r="D112" i="11"/>
  <c r="C112" i="11"/>
  <c r="B112" i="11"/>
  <c r="A112" i="11"/>
  <c r="W111" i="11"/>
  <c r="V111" i="11"/>
  <c r="U111" i="11"/>
  <c r="T111" i="11"/>
  <c r="S111" i="11"/>
  <c r="R111" i="11"/>
  <c r="Q111" i="11"/>
  <c r="P111" i="11"/>
  <c r="O111" i="11"/>
  <c r="N111" i="11"/>
  <c r="M111" i="11"/>
  <c r="L111" i="11"/>
  <c r="K111" i="11"/>
  <c r="I111" i="11"/>
  <c r="H111" i="11"/>
  <c r="G111" i="11"/>
  <c r="F111" i="11"/>
  <c r="E111" i="11"/>
  <c r="D111" i="11"/>
  <c r="C111" i="11"/>
  <c r="B111" i="11"/>
  <c r="A111" i="11"/>
  <c r="W110" i="11"/>
  <c r="V110" i="11"/>
  <c r="U110" i="11"/>
  <c r="T110" i="11"/>
  <c r="S110" i="11"/>
  <c r="R110" i="11"/>
  <c r="Q110" i="11"/>
  <c r="P110" i="11"/>
  <c r="O110" i="11"/>
  <c r="N110" i="11"/>
  <c r="M110" i="11"/>
  <c r="L110" i="11"/>
  <c r="K110" i="11"/>
  <c r="I110" i="11"/>
  <c r="H110" i="11"/>
  <c r="G110" i="11"/>
  <c r="F110" i="11"/>
  <c r="E110" i="11"/>
  <c r="D110" i="11"/>
  <c r="C110" i="11"/>
  <c r="B110" i="11"/>
  <c r="A110" i="11"/>
  <c r="W109" i="11"/>
  <c r="V109" i="11"/>
  <c r="U109" i="11"/>
  <c r="T109" i="11"/>
  <c r="S109" i="11"/>
  <c r="R109" i="11"/>
  <c r="Q109" i="11"/>
  <c r="P109" i="11"/>
  <c r="O109" i="11"/>
  <c r="N109" i="11"/>
  <c r="M109" i="11"/>
  <c r="L109" i="11"/>
  <c r="K109" i="11"/>
  <c r="I109" i="11"/>
  <c r="H109" i="11"/>
  <c r="G109" i="11"/>
  <c r="F109" i="11"/>
  <c r="E109" i="11"/>
  <c r="D109" i="11"/>
  <c r="C109" i="11"/>
  <c r="B109" i="11"/>
  <c r="A109" i="11"/>
  <c r="W108" i="11"/>
  <c r="V108" i="11"/>
  <c r="U108" i="11"/>
  <c r="T108" i="11"/>
  <c r="S108" i="11"/>
  <c r="R108" i="11"/>
  <c r="Q108" i="11"/>
  <c r="P108" i="11"/>
  <c r="O108" i="11"/>
  <c r="N108" i="11"/>
  <c r="M108" i="11"/>
  <c r="L108" i="11"/>
  <c r="K108" i="11"/>
  <c r="I108" i="11"/>
  <c r="H108" i="11"/>
  <c r="G108" i="11"/>
  <c r="F108" i="11"/>
  <c r="E108" i="11"/>
  <c r="D108" i="11"/>
  <c r="C108" i="11"/>
  <c r="B108" i="11"/>
  <c r="A108" i="11"/>
  <c r="W107" i="11"/>
  <c r="V107" i="11"/>
  <c r="U107" i="11"/>
  <c r="T107" i="11"/>
  <c r="S107" i="11"/>
  <c r="R107" i="11"/>
  <c r="Q107" i="11"/>
  <c r="P107" i="11"/>
  <c r="O107" i="11"/>
  <c r="N107" i="11"/>
  <c r="M107" i="11"/>
  <c r="L107" i="11"/>
  <c r="K107" i="11"/>
  <c r="I107" i="11"/>
  <c r="H107" i="11"/>
  <c r="G107" i="11"/>
  <c r="F107" i="11"/>
  <c r="E107" i="11"/>
  <c r="D107" i="11"/>
  <c r="C107" i="11"/>
  <c r="B107" i="11"/>
  <c r="A107" i="11"/>
  <c r="W106" i="11"/>
  <c r="V106" i="11"/>
  <c r="U106" i="11"/>
  <c r="T106" i="11"/>
  <c r="S106" i="11"/>
  <c r="R106" i="11"/>
  <c r="Q106" i="11"/>
  <c r="P106" i="11"/>
  <c r="O106" i="11"/>
  <c r="N106" i="11"/>
  <c r="M106" i="11"/>
  <c r="L106" i="11"/>
  <c r="K106" i="11"/>
  <c r="I106" i="11"/>
  <c r="H106" i="11"/>
  <c r="G106" i="11"/>
  <c r="F106" i="11"/>
  <c r="E106" i="11"/>
  <c r="D106" i="11"/>
  <c r="C106" i="11"/>
  <c r="B106" i="11"/>
  <c r="A106" i="11"/>
  <c r="W105" i="11"/>
  <c r="V105" i="11"/>
  <c r="U105" i="11"/>
  <c r="T105" i="11"/>
  <c r="S105" i="11"/>
  <c r="R105" i="11"/>
  <c r="Q105" i="11"/>
  <c r="P105" i="11"/>
  <c r="O105" i="11"/>
  <c r="N105" i="11"/>
  <c r="M105" i="11"/>
  <c r="L105" i="11"/>
  <c r="K105" i="11"/>
  <c r="I105" i="11"/>
  <c r="H105" i="11"/>
  <c r="G105" i="11"/>
  <c r="F105" i="11"/>
  <c r="E105" i="11"/>
  <c r="D105" i="11"/>
  <c r="C105" i="11"/>
  <c r="B105" i="11"/>
  <c r="A105" i="11"/>
  <c r="W104" i="11"/>
  <c r="V104" i="11"/>
  <c r="U104" i="11"/>
  <c r="T104" i="11"/>
  <c r="S104" i="11"/>
  <c r="R104" i="11"/>
  <c r="Q104" i="11"/>
  <c r="P104" i="11"/>
  <c r="O104" i="11"/>
  <c r="N104" i="11"/>
  <c r="M104" i="11"/>
  <c r="L104" i="11"/>
  <c r="K104" i="11"/>
  <c r="I104" i="11"/>
  <c r="H104" i="11"/>
  <c r="G104" i="11"/>
  <c r="F104" i="11"/>
  <c r="E104" i="11"/>
  <c r="D104" i="11"/>
  <c r="C104" i="11"/>
  <c r="B104" i="11"/>
  <c r="A104" i="11"/>
  <c r="W103" i="11"/>
  <c r="V103" i="11"/>
  <c r="U103" i="11"/>
  <c r="T103" i="11"/>
  <c r="S103" i="11"/>
  <c r="R103" i="11"/>
  <c r="Q103" i="11"/>
  <c r="P103" i="11"/>
  <c r="O103" i="11"/>
  <c r="N103" i="11"/>
  <c r="M103" i="11"/>
  <c r="L103" i="11"/>
  <c r="K103" i="11"/>
  <c r="I103" i="11"/>
  <c r="H103" i="11"/>
  <c r="G103" i="11"/>
  <c r="F103" i="11"/>
  <c r="E103" i="11"/>
  <c r="D103" i="11"/>
  <c r="C103" i="11"/>
  <c r="B103" i="11"/>
  <c r="A103" i="11"/>
  <c r="W102" i="11"/>
  <c r="V102" i="11"/>
  <c r="U102" i="11"/>
  <c r="T102" i="11"/>
  <c r="S102" i="11"/>
  <c r="R102" i="11"/>
  <c r="Q102" i="11"/>
  <c r="P102" i="11"/>
  <c r="O102" i="11"/>
  <c r="N102" i="11"/>
  <c r="M102" i="11"/>
  <c r="L102" i="11"/>
  <c r="K102" i="11"/>
  <c r="I102" i="11"/>
  <c r="H102" i="11"/>
  <c r="G102" i="11"/>
  <c r="F102" i="11"/>
  <c r="E102" i="11"/>
  <c r="D102" i="11"/>
  <c r="C102" i="11"/>
  <c r="B102" i="11"/>
  <c r="A102" i="11"/>
  <c r="W101" i="11"/>
  <c r="V101" i="11"/>
  <c r="U101" i="11"/>
  <c r="T101" i="11"/>
  <c r="S101" i="11"/>
  <c r="R101" i="11"/>
  <c r="Q101" i="11"/>
  <c r="P101" i="11"/>
  <c r="O101" i="11"/>
  <c r="N101" i="11"/>
  <c r="M101" i="11"/>
  <c r="L101" i="11"/>
  <c r="K101" i="11"/>
  <c r="I101" i="11"/>
  <c r="H101" i="11"/>
  <c r="G101" i="11"/>
  <c r="F101" i="11"/>
  <c r="E101" i="11"/>
  <c r="D101" i="11"/>
  <c r="C101" i="11"/>
  <c r="B101" i="11"/>
  <c r="A101" i="11"/>
  <c r="W100" i="11"/>
  <c r="V100" i="11"/>
  <c r="U100" i="11"/>
  <c r="T100" i="11"/>
  <c r="S100" i="11"/>
  <c r="R100" i="11"/>
  <c r="Q100" i="11"/>
  <c r="P100" i="11"/>
  <c r="O100" i="11"/>
  <c r="N100" i="11"/>
  <c r="M100" i="11"/>
  <c r="L100" i="11"/>
  <c r="K100" i="11"/>
  <c r="I100" i="11"/>
  <c r="H100" i="11"/>
  <c r="G100" i="11"/>
  <c r="F100" i="11"/>
  <c r="E100" i="11"/>
  <c r="D100" i="11"/>
  <c r="C100" i="11"/>
  <c r="B100" i="11"/>
  <c r="A100" i="11"/>
  <c r="W99" i="11"/>
  <c r="V99" i="11"/>
  <c r="U99" i="11"/>
  <c r="T99" i="11"/>
  <c r="S99" i="11"/>
  <c r="R99" i="11"/>
  <c r="Q99" i="11"/>
  <c r="P99" i="11"/>
  <c r="O99" i="11"/>
  <c r="N99" i="11"/>
  <c r="M99" i="11"/>
  <c r="L99" i="11"/>
  <c r="K99" i="11"/>
  <c r="I99" i="11"/>
  <c r="H99" i="11"/>
  <c r="G99" i="11"/>
  <c r="F99" i="11"/>
  <c r="E99" i="11"/>
  <c r="D99" i="11"/>
  <c r="C99" i="11"/>
  <c r="B99" i="11"/>
  <c r="A99" i="11"/>
  <c r="W98" i="11"/>
  <c r="V98" i="11"/>
  <c r="U98" i="11"/>
  <c r="T98" i="11"/>
  <c r="S98" i="11"/>
  <c r="R98" i="11"/>
  <c r="Q98" i="11"/>
  <c r="P98" i="11"/>
  <c r="O98" i="11"/>
  <c r="N98" i="11"/>
  <c r="M98" i="11"/>
  <c r="L98" i="11"/>
  <c r="K98" i="11"/>
  <c r="I98" i="11"/>
  <c r="H98" i="11"/>
  <c r="G98" i="11"/>
  <c r="F98" i="11"/>
  <c r="E98" i="11"/>
  <c r="D98" i="11"/>
  <c r="C98" i="11"/>
  <c r="B98" i="11"/>
  <c r="A98" i="11"/>
  <c r="W97" i="11"/>
  <c r="V97" i="11"/>
  <c r="U97" i="11"/>
  <c r="T97" i="11"/>
  <c r="S97" i="11"/>
  <c r="R97" i="11"/>
  <c r="Q97" i="11"/>
  <c r="P97" i="11"/>
  <c r="O97" i="11"/>
  <c r="N97" i="11"/>
  <c r="M97" i="11"/>
  <c r="L97" i="11"/>
  <c r="K97" i="11"/>
  <c r="I97" i="11"/>
  <c r="H97" i="11"/>
  <c r="G97" i="11"/>
  <c r="F97" i="11"/>
  <c r="E97" i="11"/>
  <c r="D97" i="11"/>
  <c r="C97" i="11"/>
  <c r="B97" i="11"/>
  <c r="A97" i="11"/>
  <c r="W96" i="11"/>
  <c r="V96" i="11"/>
  <c r="U96" i="11"/>
  <c r="T96" i="11"/>
  <c r="S96" i="11"/>
  <c r="R96" i="11"/>
  <c r="Q96" i="11"/>
  <c r="P96" i="11"/>
  <c r="O96" i="11"/>
  <c r="N96" i="11"/>
  <c r="M96" i="11"/>
  <c r="L96" i="11"/>
  <c r="K96" i="11"/>
  <c r="I96" i="11"/>
  <c r="H96" i="11"/>
  <c r="G96" i="11"/>
  <c r="F96" i="11"/>
  <c r="E96" i="11"/>
  <c r="D96" i="11"/>
  <c r="C96" i="11"/>
  <c r="B96" i="11"/>
  <c r="A96" i="11"/>
  <c r="W95" i="11"/>
  <c r="V95" i="11"/>
  <c r="U95" i="11"/>
  <c r="T95" i="11"/>
  <c r="S95" i="11"/>
  <c r="R95" i="11"/>
  <c r="Q95" i="11"/>
  <c r="P95" i="11"/>
  <c r="O95" i="11"/>
  <c r="N95" i="11"/>
  <c r="M95" i="11"/>
  <c r="L95" i="11"/>
  <c r="K95" i="11"/>
  <c r="I95" i="11"/>
  <c r="H95" i="11"/>
  <c r="G95" i="11"/>
  <c r="F95" i="11"/>
  <c r="E95" i="11"/>
  <c r="D95" i="11"/>
  <c r="C95" i="11"/>
  <c r="B95" i="11"/>
  <c r="A95" i="11"/>
  <c r="W94" i="11"/>
  <c r="V94" i="11"/>
  <c r="U94" i="11"/>
  <c r="T94" i="11"/>
  <c r="S94" i="11"/>
  <c r="R94" i="11"/>
  <c r="Q94" i="11"/>
  <c r="P94" i="11"/>
  <c r="O94" i="11"/>
  <c r="N94" i="11"/>
  <c r="M94" i="11"/>
  <c r="L94" i="11"/>
  <c r="K94" i="11"/>
  <c r="I94" i="11"/>
  <c r="H94" i="11"/>
  <c r="G94" i="11"/>
  <c r="F94" i="11"/>
  <c r="E94" i="11"/>
  <c r="D94" i="11"/>
  <c r="C94" i="11"/>
  <c r="B94" i="11"/>
  <c r="A94" i="11"/>
  <c r="W93" i="11"/>
  <c r="V93" i="11"/>
  <c r="U93" i="11"/>
  <c r="T93" i="11"/>
  <c r="S93" i="11"/>
  <c r="R93" i="11"/>
  <c r="Q93" i="11"/>
  <c r="P93" i="11"/>
  <c r="O93" i="11"/>
  <c r="N93" i="11"/>
  <c r="M93" i="11"/>
  <c r="L93" i="11"/>
  <c r="K93" i="11"/>
  <c r="I93" i="11"/>
  <c r="H93" i="11"/>
  <c r="G93" i="11"/>
  <c r="F93" i="11"/>
  <c r="E93" i="11"/>
  <c r="D93" i="11"/>
  <c r="C93" i="11"/>
  <c r="B93" i="11"/>
  <c r="A93" i="11"/>
  <c r="W92" i="11"/>
  <c r="V92" i="11"/>
  <c r="U92" i="11"/>
  <c r="T92" i="11"/>
  <c r="S92" i="11"/>
  <c r="R92" i="11"/>
  <c r="Q92" i="11"/>
  <c r="P92" i="11"/>
  <c r="O92" i="11"/>
  <c r="N92" i="11"/>
  <c r="M92" i="11"/>
  <c r="L92" i="11"/>
  <c r="K92" i="11"/>
  <c r="I92" i="11"/>
  <c r="H92" i="11"/>
  <c r="G92" i="11"/>
  <c r="F92" i="11"/>
  <c r="E92" i="11"/>
  <c r="D92" i="11"/>
  <c r="C92" i="11"/>
  <c r="B92" i="11"/>
  <c r="A92" i="11"/>
  <c r="W91" i="11"/>
  <c r="V91" i="11"/>
  <c r="U91" i="11"/>
  <c r="T91" i="11"/>
  <c r="S91" i="11"/>
  <c r="R91" i="11"/>
  <c r="Q91" i="11"/>
  <c r="P91" i="11"/>
  <c r="O91" i="11"/>
  <c r="N91" i="11"/>
  <c r="M91" i="11"/>
  <c r="L91" i="11"/>
  <c r="K91" i="11"/>
  <c r="I91" i="11"/>
  <c r="H91" i="11"/>
  <c r="G91" i="11"/>
  <c r="F91" i="11"/>
  <c r="E91" i="11"/>
  <c r="D91" i="11"/>
  <c r="C91" i="11"/>
  <c r="B91" i="11"/>
  <c r="A91" i="11"/>
  <c r="W90" i="11"/>
  <c r="V90" i="11"/>
  <c r="U90" i="11"/>
  <c r="T90" i="11"/>
  <c r="S90" i="11"/>
  <c r="R90" i="11"/>
  <c r="Q90" i="11"/>
  <c r="P90" i="11"/>
  <c r="O90" i="11"/>
  <c r="N90" i="11"/>
  <c r="M90" i="11"/>
  <c r="L90" i="11"/>
  <c r="K90" i="11"/>
  <c r="I90" i="11"/>
  <c r="H90" i="11"/>
  <c r="G90" i="11"/>
  <c r="F90" i="11"/>
  <c r="E90" i="11"/>
  <c r="D90" i="11"/>
  <c r="C90" i="11"/>
  <c r="B90" i="11"/>
  <c r="A90" i="11"/>
  <c r="W89" i="11"/>
  <c r="V89" i="11"/>
  <c r="U89" i="11"/>
  <c r="T89" i="11"/>
  <c r="S89" i="11"/>
  <c r="R89" i="11"/>
  <c r="Q89" i="11"/>
  <c r="P89" i="11"/>
  <c r="O89" i="11"/>
  <c r="N89" i="11"/>
  <c r="M89" i="11"/>
  <c r="L89" i="11"/>
  <c r="K89" i="11"/>
  <c r="I89" i="11"/>
  <c r="H89" i="11"/>
  <c r="G89" i="11"/>
  <c r="F89" i="11"/>
  <c r="E89" i="11"/>
  <c r="D89" i="11"/>
  <c r="C89" i="11"/>
  <c r="B89" i="11"/>
  <c r="A89" i="11"/>
  <c r="W88" i="11"/>
  <c r="V88" i="11"/>
  <c r="U88" i="11"/>
  <c r="T88" i="11"/>
  <c r="S88" i="11"/>
  <c r="R88" i="11"/>
  <c r="Q88" i="11"/>
  <c r="P88" i="11"/>
  <c r="O88" i="11"/>
  <c r="N88" i="11"/>
  <c r="M88" i="11"/>
  <c r="L88" i="11"/>
  <c r="K88" i="11"/>
  <c r="I88" i="11"/>
  <c r="H88" i="11"/>
  <c r="G88" i="11"/>
  <c r="F88" i="11"/>
  <c r="E88" i="11"/>
  <c r="D88" i="11"/>
  <c r="C88" i="11"/>
  <c r="B88" i="11"/>
  <c r="A88" i="11"/>
  <c r="W87" i="11"/>
  <c r="V87" i="11"/>
  <c r="U87" i="11"/>
  <c r="T87" i="11"/>
  <c r="S87" i="11"/>
  <c r="R87" i="11"/>
  <c r="Q87" i="11"/>
  <c r="P87" i="11"/>
  <c r="O87" i="11"/>
  <c r="N87" i="11"/>
  <c r="M87" i="11"/>
  <c r="L87" i="11"/>
  <c r="K87" i="11"/>
  <c r="I87" i="11"/>
  <c r="H87" i="11"/>
  <c r="G87" i="11"/>
  <c r="F87" i="11"/>
  <c r="E87" i="11"/>
  <c r="D87" i="11"/>
  <c r="C87" i="11"/>
  <c r="B87" i="11"/>
  <c r="A87" i="11"/>
  <c r="W86" i="11"/>
  <c r="V86" i="11"/>
  <c r="U86" i="11"/>
  <c r="T86" i="11"/>
  <c r="S86" i="11"/>
  <c r="R86" i="11"/>
  <c r="Q86" i="11"/>
  <c r="P86" i="11"/>
  <c r="O86" i="11"/>
  <c r="N86" i="11"/>
  <c r="M86" i="11"/>
  <c r="L86" i="11"/>
  <c r="K86" i="11"/>
  <c r="I86" i="11"/>
  <c r="H86" i="11"/>
  <c r="G86" i="11"/>
  <c r="F86" i="11"/>
  <c r="E86" i="11"/>
  <c r="D86" i="11"/>
  <c r="C86" i="11"/>
  <c r="B86" i="11"/>
  <c r="A86" i="11"/>
  <c r="W85" i="11"/>
  <c r="V85" i="11"/>
  <c r="U85" i="11"/>
  <c r="T85" i="11"/>
  <c r="S85" i="11"/>
  <c r="R85" i="11"/>
  <c r="Q85" i="11"/>
  <c r="P85" i="11"/>
  <c r="O85" i="11"/>
  <c r="N85" i="11"/>
  <c r="M85" i="11"/>
  <c r="L85" i="11"/>
  <c r="K85" i="11"/>
  <c r="I85" i="11"/>
  <c r="H85" i="11"/>
  <c r="G85" i="11"/>
  <c r="F85" i="11"/>
  <c r="E85" i="11"/>
  <c r="D85" i="11"/>
  <c r="C85" i="11"/>
  <c r="B85" i="11"/>
  <c r="A85" i="11"/>
  <c r="W84" i="11"/>
  <c r="V84" i="11"/>
  <c r="U84" i="11"/>
  <c r="T84" i="11"/>
  <c r="S84" i="11"/>
  <c r="R84" i="11"/>
  <c r="Q84" i="11"/>
  <c r="P84" i="11"/>
  <c r="O84" i="11"/>
  <c r="N84" i="11"/>
  <c r="M84" i="11"/>
  <c r="L84" i="11"/>
  <c r="K84" i="11"/>
  <c r="I84" i="11"/>
  <c r="H84" i="11"/>
  <c r="G84" i="11"/>
  <c r="F84" i="11"/>
  <c r="E84" i="11"/>
  <c r="D84" i="11"/>
  <c r="C84" i="11"/>
  <c r="B84" i="11"/>
  <c r="A84" i="11"/>
  <c r="W83" i="11"/>
  <c r="V83" i="11"/>
  <c r="U83" i="11"/>
  <c r="T83" i="11"/>
  <c r="S83" i="11"/>
  <c r="R83" i="11"/>
  <c r="Q83" i="11"/>
  <c r="P83" i="11"/>
  <c r="O83" i="11"/>
  <c r="N83" i="11"/>
  <c r="M83" i="11"/>
  <c r="L83" i="11"/>
  <c r="K83" i="11"/>
  <c r="I83" i="11"/>
  <c r="H83" i="11"/>
  <c r="G83" i="11"/>
  <c r="F83" i="11"/>
  <c r="E83" i="11"/>
  <c r="D83" i="11"/>
  <c r="C83" i="11"/>
  <c r="B83" i="11"/>
  <c r="A83" i="11"/>
  <c r="W82" i="11"/>
  <c r="V82" i="11"/>
  <c r="U82" i="11"/>
  <c r="T82" i="11"/>
  <c r="S82" i="11"/>
  <c r="R82" i="11"/>
  <c r="Q82" i="11"/>
  <c r="P82" i="11"/>
  <c r="O82" i="11"/>
  <c r="N82" i="11"/>
  <c r="M82" i="11"/>
  <c r="L82" i="11"/>
  <c r="K82" i="11"/>
  <c r="I82" i="11"/>
  <c r="H82" i="11"/>
  <c r="G82" i="11"/>
  <c r="F82" i="11"/>
  <c r="E82" i="11"/>
  <c r="D82" i="11"/>
  <c r="C82" i="11"/>
  <c r="B82" i="11"/>
  <c r="A82" i="11"/>
  <c r="W81" i="11"/>
  <c r="V81" i="11"/>
  <c r="U81" i="11"/>
  <c r="T81" i="11"/>
  <c r="S81" i="11"/>
  <c r="R81" i="11"/>
  <c r="Q81" i="11"/>
  <c r="P81" i="11"/>
  <c r="O81" i="11"/>
  <c r="N81" i="11"/>
  <c r="M81" i="11"/>
  <c r="L81" i="11"/>
  <c r="K81" i="11"/>
  <c r="I81" i="11"/>
  <c r="H81" i="11"/>
  <c r="G81" i="11"/>
  <c r="F81" i="11"/>
  <c r="E81" i="11"/>
  <c r="D81" i="11"/>
  <c r="C81" i="11"/>
  <c r="B81" i="11"/>
  <c r="A81" i="11"/>
  <c r="W80" i="11"/>
  <c r="V80" i="11"/>
  <c r="U80" i="11"/>
  <c r="T80" i="11"/>
  <c r="S80" i="11"/>
  <c r="R80" i="11"/>
  <c r="Q80" i="11"/>
  <c r="P80" i="11"/>
  <c r="O80" i="11"/>
  <c r="N80" i="11"/>
  <c r="M80" i="11"/>
  <c r="L80" i="11"/>
  <c r="K80" i="11"/>
  <c r="I80" i="11"/>
  <c r="H80" i="11"/>
  <c r="G80" i="11"/>
  <c r="F80" i="11"/>
  <c r="E80" i="11"/>
  <c r="D80" i="11"/>
  <c r="C80" i="11"/>
  <c r="B80" i="11"/>
  <c r="A80" i="11"/>
  <c r="W79" i="11"/>
  <c r="V79" i="11"/>
  <c r="U79" i="11"/>
  <c r="T79" i="11"/>
  <c r="S79" i="11"/>
  <c r="R79" i="11"/>
  <c r="Q79" i="11"/>
  <c r="P79" i="11"/>
  <c r="O79" i="11"/>
  <c r="N79" i="11"/>
  <c r="M79" i="11"/>
  <c r="L79" i="11"/>
  <c r="K79" i="11"/>
  <c r="I79" i="11"/>
  <c r="H79" i="11"/>
  <c r="G79" i="11"/>
  <c r="F79" i="11"/>
  <c r="E79" i="11"/>
  <c r="D79" i="11"/>
  <c r="C79" i="11"/>
  <c r="B79" i="11"/>
  <c r="A79" i="11"/>
  <c r="W78" i="11"/>
  <c r="V78" i="11"/>
  <c r="U78" i="11"/>
  <c r="T78" i="11"/>
  <c r="S78" i="11"/>
  <c r="R78" i="11"/>
  <c r="Q78" i="11"/>
  <c r="P78" i="11"/>
  <c r="O78" i="11"/>
  <c r="N78" i="11"/>
  <c r="M78" i="11"/>
  <c r="L78" i="11"/>
  <c r="K78" i="11"/>
  <c r="I78" i="11"/>
  <c r="H78" i="11"/>
  <c r="G78" i="11"/>
  <c r="F78" i="11"/>
  <c r="E78" i="11"/>
  <c r="D78" i="11"/>
  <c r="C78" i="11"/>
  <c r="B78" i="11"/>
  <c r="A78" i="11"/>
  <c r="W77" i="11"/>
  <c r="V77" i="11"/>
  <c r="U77" i="11"/>
  <c r="T77" i="11"/>
  <c r="S77" i="11"/>
  <c r="R77" i="11"/>
  <c r="Q77" i="11"/>
  <c r="P77" i="11"/>
  <c r="O77" i="11"/>
  <c r="N77" i="11"/>
  <c r="M77" i="11"/>
  <c r="L77" i="11"/>
  <c r="K77" i="11"/>
  <c r="I77" i="11"/>
  <c r="H77" i="11"/>
  <c r="G77" i="11"/>
  <c r="F77" i="11"/>
  <c r="E77" i="11"/>
  <c r="D77" i="11"/>
  <c r="C77" i="11"/>
  <c r="B77" i="11"/>
  <c r="A77" i="11"/>
  <c r="W76" i="11"/>
  <c r="V76" i="11"/>
  <c r="U76" i="11"/>
  <c r="T76" i="11"/>
  <c r="S76" i="11"/>
  <c r="R76" i="11"/>
  <c r="Q76" i="11"/>
  <c r="P76" i="11"/>
  <c r="O76" i="11"/>
  <c r="N76" i="11"/>
  <c r="M76" i="11"/>
  <c r="L76" i="11"/>
  <c r="K76" i="11"/>
  <c r="I76" i="11"/>
  <c r="H76" i="11"/>
  <c r="G76" i="11"/>
  <c r="F76" i="11"/>
  <c r="E76" i="11"/>
  <c r="D76" i="11"/>
  <c r="C76" i="11"/>
  <c r="B76" i="11"/>
  <c r="A76" i="11"/>
  <c r="W75" i="11"/>
  <c r="V75" i="11"/>
  <c r="U75" i="11"/>
  <c r="T75" i="11"/>
  <c r="S75" i="11"/>
  <c r="R75" i="11"/>
  <c r="Q75" i="11"/>
  <c r="P75" i="11"/>
  <c r="O75" i="11"/>
  <c r="N75" i="11"/>
  <c r="M75" i="11"/>
  <c r="L75" i="11"/>
  <c r="K75" i="11"/>
  <c r="I75" i="11"/>
  <c r="H75" i="11"/>
  <c r="G75" i="11"/>
  <c r="F75" i="11"/>
  <c r="E75" i="11"/>
  <c r="D75" i="11"/>
  <c r="C75" i="11"/>
  <c r="B75" i="11"/>
  <c r="A75" i="11"/>
  <c r="W74" i="11"/>
  <c r="V74" i="11"/>
  <c r="U74" i="11"/>
  <c r="T74" i="11"/>
  <c r="S74" i="11"/>
  <c r="R74" i="11"/>
  <c r="Q74" i="11"/>
  <c r="P74" i="11"/>
  <c r="O74" i="11"/>
  <c r="N74" i="11"/>
  <c r="M74" i="11"/>
  <c r="L74" i="11"/>
  <c r="K74" i="11"/>
  <c r="I74" i="11"/>
  <c r="H74" i="11"/>
  <c r="G74" i="11"/>
  <c r="F74" i="11"/>
  <c r="E74" i="11"/>
  <c r="D74" i="11"/>
  <c r="C74" i="11"/>
  <c r="B74" i="11"/>
  <c r="A74" i="11"/>
  <c r="W73" i="11"/>
  <c r="V73" i="11"/>
  <c r="U73" i="11"/>
  <c r="T73" i="11"/>
  <c r="S73" i="11"/>
  <c r="R73" i="11"/>
  <c r="Q73" i="11"/>
  <c r="P73" i="11"/>
  <c r="O73" i="11"/>
  <c r="N73" i="11"/>
  <c r="M73" i="11"/>
  <c r="L73" i="11"/>
  <c r="K73" i="11"/>
  <c r="I73" i="11"/>
  <c r="H73" i="11"/>
  <c r="G73" i="11"/>
  <c r="F73" i="11"/>
  <c r="E73" i="11"/>
  <c r="D73" i="11"/>
  <c r="C73" i="11"/>
  <c r="B73" i="11"/>
  <c r="A73" i="11"/>
  <c r="W72" i="11"/>
  <c r="V72" i="11"/>
  <c r="U72" i="11"/>
  <c r="T72" i="11"/>
  <c r="S72" i="11"/>
  <c r="R72" i="11"/>
  <c r="Q72" i="11"/>
  <c r="P72" i="11"/>
  <c r="O72" i="11"/>
  <c r="N72" i="11"/>
  <c r="M72" i="11"/>
  <c r="L72" i="11"/>
  <c r="K72" i="11"/>
  <c r="I72" i="11"/>
  <c r="H72" i="11"/>
  <c r="G72" i="11"/>
  <c r="F72" i="11"/>
  <c r="E72" i="11"/>
  <c r="D72" i="11"/>
  <c r="C72" i="11"/>
  <c r="B72" i="11"/>
  <c r="A72" i="11"/>
  <c r="W71" i="11"/>
  <c r="V71" i="11"/>
  <c r="U71" i="11"/>
  <c r="T71" i="11"/>
  <c r="S71" i="11"/>
  <c r="R71" i="11"/>
  <c r="Q71" i="11"/>
  <c r="P71" i="11"/>
  <c r="O71" i="11"/>
  <c r="N71" i="11"/>
  <c r="M71" i="11"/>
  <c r="L71" i="11"/>
  <c r="K71" i="11"/>
  <c r="I71" i="11"/>
  <c r="H71" i="11"/>
  <c r="G71" i="11"/>
  <c r="F71" i="11"/>
  <c r="E71" i="11"/>
  <c r="D71" i="11"/>
  <c r="C71" i="11"/>
  <c r="B71" i="11"/>
  <c r="A71" i="11"/>
  <c r="W70" i="11"/>
  <c r="V70" i="11"/>
  <c r="U70" i="11"/>
  <c r="T70" i="11"/>
  <c r="S70" i="11"/>
  <c r="R70" i="11"/>
  <c r="Q70" i="11"/>
  <c r="P70" i="11"/>
  <c r="O70" i="11"/>
  <c r="N70" i="11"/>
  <c r="M70" i="11"/>
  <c r="L70" i="11"/>
  <c r="K70" i="11"/>
  <c r="I70" i="11"/>
  <c r="H70" i="11"/>
  <c r="G70" i="11"/>
  <c r="F70" i="11"/>
  <c r="E70" i="11"/>
  <c r="D70" i="11"/>
  <c r="C70" i="11"/>
  <c r="B70" i="11"/>
  <c r="A70" i="11"/>
  <c r="W69" i="11"/>
  <c r="V69" i="11"/>
  <c r="U69" i="11"/>
  <c r="T69" i="11"/>
  <c r="S69" i="11"/>
  <c r="R69" i="11"/>
  <c r="Q69" i="11"/>
  <c r="P69" i="11"/>
  <c r="O69" i="11"/>
  <c r="N69" i="11"/>
  <c r="M69" i="11"/>
  <c r="L69" i="11"/>
  <c r="K69" i="11"/>
  <c r="I69" i="11"/>
  <c r="H69" i="11"/>
  <c r="G69" i="11"/>
  <c r="F69" i="11"/>
  <c r="E69" i="11"/>
  <c r="D69" i="11"/>
  <c r="C69" i="11"/>
  <c r="B69" i="11"/>
  <c r="A69" i="11"/>
  <c r="W68" i="11"/>
  <c r="V68" i="11"/>
  <c r="U68" i="11"/>
  <c r="T68" i="11"/>
  <c r="S68" i="11"/>
  <c r="R68" i="11"/>
  <c r="Q68" i="11"/>
  <c r="P68" i="11"/>
  <c r="O68" i="11"/>
  <c r="N68" i="11"/>
  <c r="M68" i="11"/>
  <c r="L68" i="11"/>
  <c r="K68" i="11"/>
  <c r="I68" i="11"/>
  <c r="H68" i="11"/>
  <c r="G68" i="11"/>
  <c r="F68" i="11"/>
  <c r="E68" i="11"/>
  <c r="D68" i="11"/>
  <c r="C68" i="11"/>
  <c r="B68" i="11"/>
  <c r="A68" i="11"/>
  <c r="W67" i="11"/>
  <c r="V67" i="11"/>
  <c r="U67" i="11"/>
  <c r="T67" i="11"/>
  <c r="S67" i="11"/>
  <c r="R67" i="11"/>
  <c r="Q67" i="11"/>
  <c r="P67" i="11"/>
  <c r="O67" i="11"/>
  <c r="N67" i="11"/>
  <c r="M67" i="11"/>
  <c r="L67" i="11"/>
  <c r="K67" i="11"/>
  <c r="I67" i="11"/>
  <c r="H67" i="11"/>
  <c r="G67" i="11"/>
  <c r="F67" i="11"/>
  <c r="E67" i="11"/>
  <c r="D67" i="11"/>
  <c r="C67" i="11"/>
  <c r="B67" i="11"/>
  <c r="A67" i="11"/>
  <c r="W66" i="11"/>
  <c r="V66" i="11"/>
  <c r="U66" i="11"/>
  <c r="T66" i="11"/>
  <c r="S66" i="11"/>
  <c r="R66" i="11"/>
  <c r="Q66" i="11"/>
  <c r="P66" i="11"/>
  <c r="O66" i="11"/>
  <c r="N66" i="11"/>
  <c r="M66" i="11"/>
  <c r="L66" i="11"/>
  <c r="K66" i="11"/>
  <c r="I66" i="11"/>
  <c r="H66" i="11"/>
  <c r="G66" i="11"/>
  <c r="F66" i="11"/>
  <c r="E66" i="11"/>
  <c r="D66" i="11"/>
  <c r="C66" i="11"/>
  <c r="B66" i="11"/>
  <c r="A66" i="11"/>
  <c r="W65" i="11"/>
  <c r="V65" i="11"/>
  <c r="U65" i="11"/>
  <c r="T65" i="11"/>
  <c r="S65" i="11"/>
  <c r="R65" i="11"/>
  <c r="Q65" i="11"/>
  <c r="P65" i="11"/>
  <c r="O65" i="11"/>
  <c r="N65" i="11"/>
  <c r="M65" i="11"/>
  <c r="L65" i="11"/>
  <c r="K65" i="11"/>
  <c r="I65" i="11"/>
  <c r="H65" i="11"/>
  <c r="G65" i="11"/>
  <c r="F65" i="11"/>
  <c r="E65" i="11"/>
  <c r="D65" i="11"/>
  <c r="C65" i="11"/>
  <c r="B65" i="11"/>
  <c r="A65" i="11"/>
  <c r="W64" i="11"/>
  <c r="V64" i="11"/>
  <c r="U64" i="11"/>
  <c r="T64" i="11"/>
  <c r="S64" i="11"/>
  <c r="R64" i="11"/>
  <c r="Q64" i="11"/>
  <c r="P64" i="11"/>
  <c r="O64" i="11"/>
  <c r="N64" i="11"/>
  <c r="M64" i="11"/>
  <c r="L64" i="11"/>
  <c r="K64" i="11"/>
  <c r="I64" i="11"/>
  <c r="H64" i="11"/>
  <c r="G64" i="11"/>
  <c r="F64" i="11"/>
  <c r="E64" i="11"/>
  <c r="D64" i="11"/>
  <c r="C64" i="11"/>
  <c r="B64" i="11"/>
  <c r="A64" i="11"/>
  <c r="W63" i="11"/>
  <c r="V63" i="11"/>
  <c r="U63" i="11"/>
  <c r="T63" i="11"/>
  <c r="S63" i="11"/>
  <c r="R63" i="11"/>
  <c r="Q63" i="11"/>
  <c r="P63" i="11"/>
  <c r="O63" i="11"/>
  <c r="N63" i="11"/>
  <c r="M63" i="11"/>
  <c r="L63" i="11"/>
  <c r="K63" i="11"/>
  <c r="I63" i="11"/>
  <c r="H63" i="11"/>
  <c r="G63" i="11"/>
  <c r="F63" i="11"/>
  <c r="E63" i="11"/>
  <c r="D63" i="11"/>
  <c r="C63" i="11"/>
  <c r="B63" i="11"/>
  <c r="A63" i="11"/>
  <c r="W62" i="11"/>
  <c r="V62" i="11"/>
  <c r="U62" i="11"/>
  <c r="T62" i="11"/>
  <c r="S62" i="11"/>
  <c r="R62" i="11"/>
  <c r="Q62" i="11"/>
  <c r="P62" i="11"/>
  <c r="O62" i="11"/>
  <c r="N62" i="11"/>
  <c r="M62" i="11"/>
  <c r="L62" i="11"/>
  <c r="K62" i="11"/>
  <c r="I62" i="11"/>
  <c r="H62" i="11"/>
  <c r="G62" i="11"/>
  <c r="F62" i="11"/>
  <c r="E62" i="11"/>
  <c r="D62" i="11"/>
  <c r="C62" i="11"/>
  <c r="B62" i="11"/>
  <c r="A62" i="11"/>
  <c r="W61" i="11"/>
  <c r="V61" i="11"/>
  <c r="U61" i="11"/>
  <c r="T61" i="11"/>
  <c r="S61" i="11"/>
  <c r="R61" i="11"/>
  <c r="Q61" i="11"/>
  <c r="P61" i="11"/>
  <c r="O61" i="11"/>
  <c r="N61" i="11"/>
  <c r="M61" i="11"/>
  <c r="L61" i="11"/>
  <c r="K61" i="11"/>
  <c r="I61" i="11"/>
  <c r="H61" i="11"/>
  <c r="G61" i="11"/>
  <c r="F61" i="11"/>
  <c r="E61" i="11"/>
  <c r="D61" i="11"/>
  <c r="C61" i="11"/>
  <c r="B61" i="11"/>
  <c r="A61" i="11"/>
  <c r="W60" i="11"/>
  <c r="V60" i="11"/>
  <c r="U60" i="11"/>
  <c r="T60" i="11"/>
  <c r="S60" i="11"/>
  <c r="R60" i="11"/>
  <c r="Q60" i="11"/>
  <c r="P60" i="11"/>
  <c r="O60" i="11"/>
  <c r="N60" i="11"/>
  <c r="M60" i="11"/>
  <c r="L60" i="11"/>
  <c r="K60" i="11"/>
  <c r="I60" i="11"/>
  <c r="H60" i="11"/>
  <c r="G60" i="11"/>
  <c r="F60" i="11"/>
  <c r="E60" i="11"/>
  <c r="D60" i="11"/>
  <c r="C60" i="11"/>
  <c r="B60" i="11"/>
  <c r="A60" i="11"/>
  <c r="W59" i="11"/>
  <c r="V59" i="11"/>
  <c r="U59" i="11"/>
  <c r="T59" i="11"/>
  <c r="S59" i="11"/>
  <c r="R59" i="11"/>
  <c r="Q59" i="11"/>
  <c r="P59" i="11"/>
  <c r="O59" i="11"/>
  <c r="N59" i="11"/>
  <c r="M59" i="11"/>
  <c r="L59" i="11"/>
  <c r="K59" i="11"/>
  <c r="I59" i="11"/>
  <c r="H59" i="11"/>
  <c r="G59" i="11"/>
  <c r="F59" i="11"/>
  <c r="E59" i="11"/>
  <c r="D59" i="11"/>
  <c r="C59" i="11"/>
  <c r="B59" i="11"/>
  <c r="A59" i="11"/>
  <c r="W58" i="11"/>
  <c r="V58" i="11"/>
  <c r="U58" i="11"/>
  <c r="T58" i="11"/>
  <c r="S58" i="11"/>
  <c r="R58" i="11"/>
  <c r="Q58" i="11"/>
  <c r="P58" i="11"/>
  <c r="O58" i="11"/>
  <c r="N58" i="11"/>
  <c r="M58" i="11"/>
  <c r="L58" i="11"/>
  <c r="K58" i="11"/>
  <c r="I58" i="11"/>
  <c r="H58" i="11"/>
  <c r="G58" i="11"/>
  <c r="F58" i="11"/>
  <c r="E58" i="11"/>
  <c r="D58" i="11"/>
  <c r="C58" i="11"/>
  <c r="B58" i="11"/>
  <c r="A58" i="11"/>
  <c r="W57" i="11"/>
  <c r="V57" i="11"/>
  <c r="U57" i="11"/>
  <c r="T57" i="11"/>
  <c r="S57" i="11"/>
  <c r="R57" i="11"/>
  <c r="Q57" i="11"/>
  <c r="P57" i="11"/>
  <c r="O57" i="11"/>
  <c r="N57" i="11"/>
  <c r="M57" i="11"/>
  <c r="L57" i="11"/>
  <c r="K57" i="11"/>
  <c r="I57" i="11"/>
  <c r="H57" i="11"/>
  <c r="G57" i="11"/>
  <c r="F57" i="11"/>
  <c r="E57" i="11"/>
  <c r="D57" i="11"/>
  <c r="C57" i="11"/>
  <c r="B57" i="11"/>
  <c r="A57" i="11"/>
  <c r="W56" i="11"/>
  <c r="V56" i="11"/>
  <c r="U56" i="11"/>
  <c r="T56" i="11"/>
  <c r="S56" i="11"/>
  <c r="R56" i="11"/>
  <c r="Q56" i="11"/>
  <c r="P56" i="11"/>
  <c r="O56" i="11"/>
  <c r="N56" i="11"/>
  <c r="M56" i="11"/>
  <c r="L56" i="11"/>
  <c r="K56" i="11"/>
  <c r="I56" i="11"/>
  <c r="H56" i="11"/>
  <c r="G56" i="11"/>
  <c r="F56" i="11"/>
  <c r="E56" i="11"/>
  <c r="D56" i="11"/>
  <c r="C56" i="11"/>
  <c r="B56" i="11"/>
  <c r="A56" i="11"/>
  <c r="W55" i="11"/>
  <c r="V55" i="11"/>
  <c r="U55" i="11"/>
  <c r="T55" i="11"/>
  <c r="S55" i="11"/>
  <c r="R55" i="11"/>
  <c r="Q55" i="11"/>
  <c r="P55" i="11"/>
  <c r="O55" i="11"/>
  <c r="N55" i="11"/>
  <c r="M55" i="11"/>
  <c r="L55" i="11"/>
  <c r="K55" i="11"/>
  <c r="I55" i="11"/>
  <c r="H55" i="11"/>
  <c r="G55" i="11"/>
  <c r="F55" i="11"/>
  <c r="E55" i="11"/>
  <c r="D55" i="11"/>
  <c r="C55" i="11"/>
  <c r="B55" i="11"/>
  <c r="A55" i="11"/>
  <c r="W54" i="11"/>
  <c r="V54" i="11"/>
  <c r="U54" i="11"/>
  <c r="T54" i="11"/>
  <c r="S54" i="11"/>
  <c r="R54" i="11"/>
  <c r="Q54" i="11"/>
  <c r="P54" i="11"/>
  <c r="O54" i="11"/>
  <c r="N54" i="11"/>
  <c r="M54" i="11"/>
  <c r="L54" i="11"/>
  <c r="K54" i="11"/>
  <c r="I54" i="11"/>
  <c r="H54" i="11"/>
  <c r="G54" i="11"/>
  <c r="F54" i="11"/>
  <c r="E54" i="11"/>
  <c r="D54" i="11"/>
  <c r="C54" i="11"/>
  <c r="B54" i="11"/>
  <c r="A54" i="11"/>
  <c r="W53" i="11"/>
  <c r="V53" i="11"/>
  <c r="U53" i="11"/>
  <c r="T53" i="11"/>
  <c r="S53" i="11"/>
  <c r="R53" i="11"/>
  <c r="Q53" i="11"/>
  <c r="P53" i="11"/>
  <c r="O53" i="11"/>
  <c r="N53" i="11"/>
  <c r="M53" i="11"/>
  <c r="L53" i="11"/>
  <c r="K53" i="11"/>
  <c r="I53" i="11"/>
  <c r="H53" i="11"/>
  <c r="G53" i="11"/>
  <c r="F53" i="11"/>
  <c r="E53" i="11"/>
  <c r="D53" i="11"/>
  <c r="C53" i="11"/>
  <c r="B53" i="11"/>
  <c r="A53" i="11"/>
  <c r="W52" i="11"/>
  <c r="V52" i="11"/>
  <c r="U52" i="11"/>
  <c r="T52" i="11"/>
  <c r="S52" i="11"/>
  <c r="R52" i="11"/>
  <c r="Q52" i="11"/>
  <c r="P52" i="11"/>
  <c r="O52" i="11"/>
  <c r="N52" i="11"/>
  <c r="M52" i="11"/>
  <c r="L52" i="11"/>
  <c r="K52" i="11"/>
  <c r="I52" i="11"/>
  <c r="H52" i="11"/>
  <c r="G52" i="11"/>
  <c r="F52" i="11"/>
  <c r="E52" i="11"/>
  <c r="D52" i="11"/>
  <c r="C52" i="11"/>
  <c r="B52" i="11"/>
  <c r="A52" i="11"/>
  <c r="W51" i="11"/>
  <c r="V51" i="11"/>
  <c r="U51" i="11"/>
  <c r="T51" i="11"/>
  <c r="S51" i="11"/>
  <c r="R51" i="11"/>
  <c r="Q51" i="11"/>
  <c r="P51" i="11"/>
  <c r="O51" i="11"/>
  <c r="N51" i="11"/>
  <c r="M51" i="11"/>
  <c r="L51" i="11"/>
  <c r="K51" i="11"/>
  <c r="I51" i="11"/>
  <c r="H51" i="11"/>
  <c r="G51" i="11"/>
  <c r="F51" i="11"/>
  <c r="E51" i="11"/>
  <c r="D51" i="11"/>
  <c r="C51" i="11"/>
  <c r="B51" i="11"/>
  <c r="A51" i="11"/>
  <c r="W50" i="11"/>
  <c r="V50" i="11"/>
  <c r="U50" i="11"/>
  <c r="T50" i="11"/>
  <c r="S50" i="11"/>
  <c r="R50" i="11"/>
  <c r="Q50" i="11"/>
  <c r="P50" i="11"/>
  <c r="O50" i="11"/>
  <c r="N50" i="11"/>
  <c r="M50" i="11"/>
  <c r="L50" i="11"/>
  <c r="K50" i="11"/>
  <c r="I50" i="11"/>
  <c r="H50" i="11"/>
  <c r="G50" i="11"/>
  <c r="F50" i="11"/>
  <c r="E50" i="11"/>
  <c r="D50" i="11"/>
  <c r="C50" i="11"/>
  <c r="B50" i="11"/>
  <c r="A50" i="11"/>
  <c r="W49" i="11"/>
  <c r="V49" i="11"/>
  <c r="U49" i="11"/>
  <c r="T49" i="11"/>
  <c r="S49" i="11"/>
  <c r="R49" i="11"/>
  <c r="Q49" i="11"/>
  <c r="P49" i="11"/>
  <c r="O49" i="11"/>
  <c r="N49" i="11"/>
  <c r="M49" i="11"/>
  <c r="L49" i="11"/>
  <c r="K49" i="11"/>
  <c r="I49" i="11"/>
  <c r="H49" i="11"/>
  <c r="G49" i="11"/>
  <c r="F49" i="11"/>
  <c r="E49" i="11"/>
  <c r="D49" i="11"/>
  <c r="C49" i="11"/>
  <c r="B49" i="11"/>
  <c r="A49" i="11"/>
  <c r="W48" i="11"/>
  <c r="V48" i="11"/>
  <c r="U48" i="11"/>
  <c r="T48" i="11"/>
  <c r="S48" i="11"/>
  <c r="R48" i="11"/>
  <c r="Q48" i="11"/>
  <c r="P48" i="11"/>
  <c r="O48" i="11"/>
  <c r="N48" i="11"/>
  <c r="M48" i="11"/>
  <c r="L48" i="11"/>
  <c r="K48" i="11"/>
  <c r="I48" i="11"/>
  <c r="H48" i="11"/>
  <c r="G48" i="11"/>
  <c r="F48" i="11"/>
  <c r="E48" i="11"/>
  <c r="D48" i="11"/>
  <c r="C48" i="11"/>
  <c r="B48" i="11"/>
  <c r="A48" i="11"/>
  <c r="W47" i="11"/>
  <c r="V47" i="11"/>
  <c r="U47" i="11"/>
  <c r="T47" i="11"/>
  <c r="S47" i="11"/>
  <c r="R47" i="11"/>
  <c r="Q47" i="11"/>
  <c r="P47" i="11"/>
  <c r="O47" i="11"/>
  <c r="N47" i="11"/>
  <c r="M47" i="11"/>
  <c r="L47" i="11"/>
  <c r="K47" i="11"/>
  <c r="I47" i="11"/>
  <c r="H47" i="11"/>
  <c r="G47" i="11"/>
  <c r="F47" i="11"/>
  <c r="E47" i="11"/>
  <c r="D47" i="11"/>
  <c r="C47" i="11"/>
  <c r="B47" i="11"/>
  <c r="A47" i="11"/>
  <c r="W46" i="11"/>
  <c r="V46" i="11"/>
  <c r="U46" i="11"/>
  <c r="T46" i="11"/>
  <c r="S46" i="11"/>
  <c r="R46" i="11"/>
  <c r="Q46" i="11"/>
  <c r="P46" i="11"/>
  <c r="O46" i="11"/>
  <c r="N46" i="11"/>
  <c r="M46" i="11"/>
  <c r="L46" i="11"/>
  <c r="K46" i="11"/>
  <c r="I46" i="11"/>
  <c r="H46" i="11"/>
  <c r="G46" i="11"/>
  <c r="F46" i="11"/>
  <c r="E46" i="11"/>
  <c r="D46" i="11"/>
  <c r="C46" i="11"/>
  <c r="B46" i="11"/>
  <c r="A46" i="11"/>
  <c r="W45" i="11"/>
  <c r="V45" i="11"/>
  <c r="U45" i="11"/>
  <c r="T45" i="11"/>
  <c r="S45" i="11"/>
  <c r="R45" i="11"/>
  <c r="Q45" i="11"/>
  <c r="P45" i="11"/>
  <c r="O45" i="11"/>
  <c r="N45" i="11"/>
  <c r="M45" i="11"/>
  <c r="L45" i="11"/>
  <c r="K45" i="11"/>
  <c r="I45" i="11"/>
  <c r="H45" i="11"/>
  <c r="G45" i="11"/>
  <c r="F45" i="11"/>
  <c r="E45" i="11"/>
  <c r="D45" i="11"/>
  <c r="C45" i="11"/>
  <c r="B45" i="11"/>
  <c r="A45" i="11"/>
  <c r="W44" i="11"/>
  <c r="V44" i="11"/>
  <c r="U44" i="11"/>
  <c r="T44" i="11"/>
  <c r="S44" i="11"/>
  <c r="R44" i="11"/>
  <c r="Q44" i="11"/>
  <c r="P44" i="11"/>
  <c r="O44" i="11"/>
  <c r="N44" i="11"/>
  <c r="M44" i="11"/>
  <c r="L44" i="11"/>
  <c r="K44" i="11"/>
  <c r="I44" i="11"/>
  <c r="H44" i="11"/>
  <c r="G44" i="11"/>
  <c r="F44" i="11"/>
  <c r="E44" i="11"/>
  <c r="D44" i="11"/>
  <c r="C44" i="11"/>
  <c r="B44" i="11"/>
  <c r="A44" i="11"/>
  <c r="W43" i="11"/>
  <c r="V43" i="11"/>
  <c r="U43" i="11"/>
  <c r="T43" i="11"/>
  <c r="S43" i="11"/>
  <c r="R43" i="11"/>
  <c r="Q43" i="11"/>
  <c r="P43" i="11"/>
  <c r="O43" i="11"/>
  <c r="N43" i="11"/>
  <c r="M43" i="11"/>
  <c r="L43" i="11"/>
  <c r="K43" i="11"/>
  <c r="I43" i="11"/>
  <c r="H43" i="11"/>
  <c r="G43" i="11"/>
  <c r="F43" i="11"/>
  <c r="E43" i="11"/>
  <c r="D43" i="11"/>
  <c r="C43" i="11"/>
  <c r="B43" i="11"/>
  <c r="A43" i="11"/>
  <c r="W42" i="11"/>
  <c r="V42" i="11"/>
  <c r="U42" i="11"/>
  <c r="T42" i="11"/>
  <c r="S42" i="11"/>
  <c r="R42" i="11"/>
  <c r="Q42" i="11"/>
  <c r="P42" i="11"/>
  <c r="O42" i="11"/>
  <c r="N42" i="11"/>
  <c r="M42" i="11"/>
  <c r="L42" i="11"/>
  <c r="K42" i="11"/>
  <c r="I42" i="11"/>
  <c r="H42" i="11"/>
  <c r="G42" i="11"/>
  <c r="F42" i="11"/>
  <c r="E42" i="11"/>
  <c r="D42" i="11"/>
  <c r="C42" i="11"/>
  <c r="B42" i="11"/>
  <c r="A42" i="11"/>
  <c r="W41" i="11"/>
  <c r="V41" i="11"/>
  <c r="U41" i="11"/>
  <c r="T41" i="11"/>
  <c r="S41" i="11"/>
  <c r="R41" i="11"/>
  <c r="Q41" i="11"/>
  <c r="P41" i="11"/>
  <c r="O41" i="11"/>
  <c r="N41" i="11"/>
  <c r="M41" i="11"/>
  <c r="L41" i="11"/>
  <c r="K41" i="11"/>
  <c r="I41" i="11"/>
  <c r="H41" i="11"/>
  <c r="G41" i="11"/>
  <c r="F41" i="11"/>
  <c r="E41" i="11"/>
  <c r="D41" i="11"/>
  <c r="C41" i="11"/>
  <c r="B41" i="11"/>
  <c r="A41" i="11"/>
  <c r="W40" i="11"/>
  <c r="V40" i="11"/>
  <c r="U40" i="11"/>
  <c r="T40" i="11"/>
  <c r="S40" i="11"/>
  <c r="R40" i="11"/>
  <c r="Q40" i="11"/>
  <c r="P40" i="11"/>
  <c r="O40" i="11"/>
  <c r="N40" i="11"/>
  <c r="M40" i="11"/>
  <c r="L40" i="11"/>
  <c r="K40" i="11"/>
  <c r="I40" i="11"/>
  <c r="H40" i="11"/>
  <c r="G40" i="11"/>
  <c r="F40" i="11"/>
  <c r="E40" i="11"/>
  <c r="D40" i="11"/>
  <c r="C40" i="11"/>
  <c r="B40" i="11"/>
  <c r="A40" i="11"/>
  <c r="W39" i="11"/>
  <c r="V39" i="11"/>
  <c r="U39" i="11"/>
  <c r="T39" i="11"/>
  <c r="S39" i="11"/>
  <c r="R39" i="11"/>
  <c r="Q39" i="11"/>
  <c r="P39" i="11"/>
  <c r="O39" i="11"/>
  <c r="N39" i="11"/>
  <c r="M39" i="11"/>
  <c r="L39" i="11"/>
  <c r="K39" i="11"/>
  <c r="I39" i="11"/>
  <c r="H39" i="11"/>
  <c r="G39" i="11"/>
  <c r="F39" i="11"/>
  <c r="E39" i="11"/>
  <c r="D39" i="11"/>
  <c r="C39" i="11"/>
  <c r="B39" i="11"/>
  <c r="A39" i="11"/>
  <c r="W38" i="11"/>
  <c r="V38" i="11"/>
  <c r="U38" i="11"/>
  <c r="T38" i="11"/>
  <c r="S38" i="11"/>
  <c r="R38" i="11"/>
  <c r="Q38" i="11"/>
  <c r="P38" i="11"/>
  <c r="O38" i="11"/>
  <c r="N38" i="11"/>
  <c r="M38" i="11"/>
  <c r="L38" i="11"/>
  <c r="K38" i="11"/>
  <c r="I38" i="11"/>
  <c r="H38" i="11"/>
  <c r="G38" i="11"/>
  <c r="F38" i="11"/>
  <c r="E38" i="11"/>
  <c r="D38" i="11"/>
  <c r="C38" i="11"/>
  <c r="B38" i="11"/>
  <c r="A38" i="11"/>
  <c r="W37" i="11"/>
  <c r="V37" i="11"/>
  <c r="U37" i="11"/>
  <c r="T37" i="11"/>
  <c r="S37" i="11"/>
  <c r="R37" i="11"/>
  <c r="Q37" i="11"/>
  <c r="P37" i="11"/>
  <c r="O37" i="11"/>
  <c r="N37" i="11"/>
  <c r="M37" i="11"/>
  <c r="L37" i="11"/>
  <c r="K37" i="11"/>
  <c r="I37" i="11"/>
  <c r="H37" i="11"/>
  <c r="G37" i="11"/>
  <c r="F37" i="11"/>
  <c r="E37" i="11"/>
  <c r="D37" i="11"/>
  <c r="C37" i="11"/>
  <c r="B37" i="11"/>
  <c r="A37" i="11"/>
  <c r="W36" i="11"/>
  <c r="V36" i="11"/>
  <c r="U36" i="11"/>
  <c r="T36" i="11"/>
  <c r="S36" i="11"/>
  <c r="R36" i="11"/>
  <c r="Q36" i="11"/>
  <c r="P36" i="11"/>
  <c r="O36" i="11"/>
  <c r="N36" i="11"/>
  <c r="M36" i="11"/>
  <c r="L36" i="11"/>
  <c r="K36" i="11"/>
  <c r="I36" i="11"/>
  <c r="H36" i="11"/>
  <c r="G36" i="11"/>
  <c r="F36" i="11"/>
  <c r="E36" i="11"/>
  <c r="D36" i="11"/>
  <c r="C36" i="11"/>
  <c r="B36" i="11"/>
  <c r="A36" i="11"/>
  <c r="W35" i="11"/>
  <c r="V35" i="11"/>
  <c r="U35" i="11"/>
  <c r="T35" i="11"/>
  <c r="S35" i="11"/>
  <c r="R35" i="11"/>
  <c r="Q35" i="11"/>
  <c r="P35" i="11"/>
  <c r="O35" i="11"/>
  <c r="N35" i="11"/>
  <c r="M35" i="11"/>
  <c r="L35" i="11"/>
  <c r="K35" i="11"/>
  <c r="I35" i="11"/>
  <c r="H35" i="11"/>
  <c r="G35" i="11"/>
  <c r="F35" i="11"/>
  <c r="E35" i="11"/>
  <c r="D35" i="11"/>
  <c r="C35" i="11"/>
  <c r="B35" i="11"/>
  <c r="A35" i="11"/>
  <c r="W34" i="11"/>
  <c r="V34" i="11"/>
  <c r="U34" i="11"/>
  <c r="T34" i="11"/>
  <c r="S34" i="11"/>
  <c r="R34" i="11"/>
  <c r="Q34" i="11"/>
  <c r="P34" i="11"/>
  <c r="O34" i="11"/>
  <c r="N34" i="11"/>
  <c r="M34" i="11"/>
  <c r="L34" i="11"/>
  <c r="K34" i="11"/>
  <c r="I34" i="11"/>
  <c r="H34" i="11"/>
  <c r="G34" i="11"/>
  <c r="F34" i="11"/>
  <c r="E34" i="11"/>
  <c r="D34" i="11"/>
  <c r="C34" i="11"/>
  <c r="B34" i="11"/>
  <c r="A34" i="11"/>
  <c r="W33" i="11"/>
  <c r="V33" i="11"/>
  <c r="U33" i="11"/>
  <c r="T33" i="11"/>
  <c r="S33" i="11"/>
  <c r="R33" i="11"/>
  <c r="Q33" i="11"/>
  <c r="P33" i="11"/>
  <c r="O33" i="11"/>
  <c r="N33" i="11"/>
  <c r="M33" i="11"/>
  <c r="L33" i="11"/>
  <c r="K33" i="11"/>
  <c r="I33" i="11"/>
  <c r="H33" i="11"/>
  <c r="G33" i="11"/>
  <c r="F33" i="11"/>
  <c r="E33" i="11"/>
  <c r="D33" i="11"/>
  <c r="C33" i="11"/>
  <c r="B33" i="11"/>
  <c r="A33" i="11"/>
  <c r="W32" i="11"/>
  <c r="V32" i="11"/>
  <c r="U32" i="11"/>
  <c r="T32" i="11"/>
  <c r="S32" i="11"/>
  <c r="R32" i="11"/>
  <c r="Q32" i="11"/>
  <c r="P32" i="11"/>
  <c r="O32" i="11"/>
  <c r="N32" i="11"/>
  <c r="M32" i="11"/>
  <c r="L32" i="11"/>
  <c r="K32" i="11"/>
  <c r="I32" i="11"/>
  <c r="H32" i="11"/>
  <c r="G32" i="11"/>
  <c r="F32" i="11"/>
  <c r="E32" i="11"/>
  <c r="D32" i="11"/>
  <c r="C32" i="11"/>
  <c r="B32" i="11"/>
  <c r="A32" i="11"/>
  <c r="W31" i="11"/>
  <c r="V31" i="11"/>
  <c r="U31" i="11"/>
  <c r="T31" i="11"/>
  <c r="S31" i="11"/>
  <c r="R31" i="11"/>
  <c r="Q31" i="11"/>
  <c r="P31" i="11"/>
  <c r="O31" i="11"/>
  <c r="N31" i="11"/>
  <c r="M31" i="11"/>
  <c r="L31" i="11"/>
  <c r="K31" i="11"/>
  <c r="I31" i="11"/>
  <c r="H31" i="11"/>
  <c r="G31" i="11"/>
  <c r="F31" i="11"/>
  <c r="E31" i="11"/>
  <c r="D31" i="11"/>
  <c r="C31" i="11"/>
  <c r="B31" i="11"/>
  <c r="A31" i="11"/>
  <c r="W30" i="11"/>
  <c r="V30" i="11"/>
  <c r="U30" i="11"/>
  <c r="T30" i="11"/>
  <c r="S30" i="11"/>
  <c r="R30" i="11"/>
  <c r="Q30" i="11"/>
  <c r="P30" i="11"/>
  <c r="O30" i="11"/>
  <c r="N30" i="11"/>
  <c r="M30" i="11"/>
  <c r="L30" i="11"/>
  <c r="K30" i="11"/>
  <c r="I30" i="11"/>
  <c r="H30" i="11"/>
  <c r="G30" i="11"/>
  <c r="F30" i="11"/>
  <c r="E30" i="11"/>
  <c r="D30" i="11"/>
  <c r="C30" i="11"/>
  <c r="B30" i="11"/>
  <c r="A30" i="11"/>
  <c r="W29" i="11"/>
  <c r="V29" i="11"/>
  <c r="U29" i="11"/>
  <c r="T29" i="11"/>
  <c r="S29" i="11"/>
  <c r="R29" i="11"/>
  <c r="Q29" i="11"/>
  <c r="P29" i="11"/>
  <c r="O29" i="11"/>
  <c r="N29" i="11"/>
  <c r="M29" i="11"/>
  <c r="L29" i="11"/>
  <c r="K29" i="11"/>
  <c r="I29" i="11"/>
  <c r="H29" i="11"/>
  <c r="G29" i="11"/>
  <c r="F29" i="11"/>
  <c r="E29" i="11"/>
  <c r="D29" i="11"/>
  <c r="C29" i="11"/>
  <c r="B29" i="11"/>
  <c r="A29" i="11"/>
  <c r="W28" i="11"/>
  <c r="V28" i="11"/>
  <c r="U28" i="11"/>
  <c r="T28" i="11"/>
  <c r="S28" i="11"/>
  <c r="R28" i="11"/>
  <c r="Q28" i="11"/>
  <c r="P28" i="11"/>
  <c r="O28" i="11"/>
  <c r="N28" i="11"/>
  <c r="M28" i="11"/>
  <c r="L28" i="11"/>
  <c r="K28" i="11"/>
  <c r="I28" i="11"/>
  <c r="H28" i="11"/>
  <c r="G28" i="11"/>
  <c r="F28" i="11"/>
  <c r="E28" i="11"/>
  <c r="D28" i="11"/>
  <c r="C28" i="11"/>
  <c r="B28" i="11"/>
  <c r="A28" i="11"/>
  <c r="W27" i="11"/>
  <c r="V27" i="11"/>
  <c r="U27" i="11"/>
  <c r="T27" i="11"/>
  <c r="S27" i="11"/>
  <c r="R27" i="11"/>
  <c r="Q27" i="11"/>
  <c r="P27" i="11"/>
  <c r="O27" i="11"/>
  <c r="N27" i="11"/>
  <c r="M27" i="11"/>
  <c r="L27" i="11"/>
  <c r="K27" i="11"/>
  <c r="I27" i="11"/>
  <c r="H27" i="11"/>
  <c r="G27" i="11"/>
  <c r="F27" i="11"/>
  <c r="E27" i="11"/>
  <c r="D27" i="11"/>
  <c r="C27" i="11"/>
  <c r="B27" i="11"/>
  <c r="A27" i="11"/>
  <c r="W26" i="11"/>
  <c r="V26" i="11"/>
  <c r="U26" i="11"/>
  <c r="T26" i="11"/>
  <c r="S26" i="11"/>
  <c r="R26" i="11"/>
  <c r="Q26" i="11"/>
  <c r="P26" i="11"/>
  <c r="O26" i="11"/>
  <c r="N26" i="11"/>
  <c r="M26" i="11"/>
  <c r="L26" i="11"/>
  <c r="K26" i="11"/>
  <c r="I26" i="11"/>
  <c r="H26" i="11"/>
  <c r="G26" i="11"/>
  <c r="F26" i="11"/>
  <c r="E26" i="11"/>
  <c r="D26" i="11"/>
  <c r="C26" i="11"/>
  <c r="B26" i="11"/>
  <c r="A26" i="11"/>
  <c r="W25" i="11"/>
  <c r="V25" i="11"/>
  <c r="U25" i="11"/>
  <c r="T25" i="11"/>
  <c r="S25" i="11"/>
  <c r="R25" i="11"/>
  <c r="Q25" i="11"/>
  <c r="P25" i="11"/>
  <c r="O25" i="11"/>
  <c r="N25" i="11"/>
  <c r="M25" i="11"/>
  <c r="L25" i="11"/>
  <c r="K25" i="11"/>
  <c r="I25" i="11"/>
  <c r="H25" i="11"/>
  <c r="G25" i="11"/>
  <c r="F25" i="11"/>
  <c r="E25" i="11"/>
  <c r="D25" i="11"/>
  <c r="C25" i="11"/>
  <c r="B25" i="11"/>
  <c r="A25" i="11"/>
  <c r="W24" i="11"/>
  <c r="V24" i="11"/>
  <c r="U24" i="11"/>
  <c r="T24" i="11"/>
  <c r="S24" i="11"/>
  <c r="R24" i="11"/>
  <c r="Q24" i="11"/>
  <c r="P24" i="11"/>
  <c r="O24" i="11"/>
  <c r="N24" i="11"/>
  <c r="M24" i="11"/>
  <c r="L24" i="11"/>
  <c r="K24" i="11"/>
  <c r="I24" i="11"/>
  <c r="H24" i="11"/>
  <c r="G24" i="11"/>
  <c r="F24" i="11"/>
  <c r="E24" i="11"/>
  <c r="D24" i="11"/>
  <c r="C24" i="11"/>
  <c r="B24" i="11"/>
  <c r="A24" i="11"/>
  <c r="W23" i="11"/>
  <c r="V23" i="11"/>
  <c r="U23" i="11"/>
  <c r="T23" i="11"/>
  <c r="S23" i="11"/>
  <c r="R23" i="11"/>
  <c r="Q23" i="11"/>
  <c r="P23" i="11"/>
  <c r="O23" i="11"/>
  <c r="N23" i="11"/>
  <c r="M23" i="11"/>
  <c r="L23" i="11"/>
  <c r="K23" i="11"/>
  <c r="I23" i="11"/>
  <c r="H23" i="11"/>
  <c r="G23" i="11"/>
  <c r="F23" i="11"/>
  <c r="E23" i="11"/>
  <c r="D23" i="11"/>
  <c r="C23" i="11"/>
  <c r="B23" i="11"/>
  <c r="A23" i="11"/>
  <c r="W22" i="11"/>
  <c r="V22" i="11"/>
  <c r="U22" i="11"/>
  <c r="T22" i="11"/>
  <c r="S22" i="11"/>
  <c r="R22" i="11"/>
  <c r="Q22" i="11"/>
  <c r="P22" i="11"/>
  <c r="O22" i="11"/>
  <c r="N22" i="11"/>
  <c r="M22" i="11"/>
  <c r="L22" i="11"/>
  <c r="K22" i="11"/>
  <c r="I22" i="11"/>
  <c r="H22" i="11"/>
  <c r="G22" i="11"/>
  <c r="F22" i="11"/>
  <c r="E22" i="11"/>
  <c r="D22" i="11"/>
  <c r="C22" i="11"/>
  <c r="B22" i="11"/>
  <c r="A22" i="11"/>
  <c r="W21" i="11"/>
  <c r="V21" i="11"/>
  <c r="U21" i="11"/>
  <c r="T21" i="11"/>
  <c r="S21" i="11"/>
  <c r="R21" i="11"/>
  <c r="Q21" i="11"/>
  <c r="P21" i="11"/>
  <c r="O21" i="11"/>
  <c r="N21" i="11"/>
  <c r="M21" i="11"/>
  <c r="L21" i="11"/>
  <c r="K21" i="11"/>
  <c r="I21" i="11"/>
  <c r="H21" i="11"/>
  <c r="G21" i="11"/>
  <c r="F21" i="11"/>
  <c r="E21" i="11"/>
  <c r="D21" i="11"/>
  <c r="C21" i="11"/>
  <c r="B21" i="11"/>
  <c r="A21" i="11"/>
  <c r="W20" i="11"/>
  <c r="V20" i="11"/>
  <c r="U20" i="11"/>
  <c r="T20" i="11"/>
  <c r="S20" i="11"/>
  <c r="R20" i="11"/>
  <c r="Q20" i="11"/>
  <c r="P20" i="11"/>
  <c r="O20" i="11"/>
  <c r="N20" i="11"/>
  <c r="M20" i="11"/>
  <c r="L20" i="11"/>
  <c r="K20" i="11"/>
  <c r="I20" i="11"/>
  <c r="H20" i="11"/>
  <c r="G20" i="11"/>
  <c r="F20" i="11"/>
  <c r="E20" i="11"/>
  <c r="D20" i="11"/>
  <c r="C20" i="11"/>
  <c r="B20" i="11"/>
  <c r="A20" i="11"/>
  <c r="W19" i="11"/>
  <c r="V19" i="11"/>
  <c r="U19" i="11"/>
  <c r="T19" i="11"/>
  <c r="S19" i="11"/>
  <c r="R19" i="11"/>
  <c r="Q19" i="11"/>
  <c r="P19" i="11"/>
  <c r="O19" i="11"/>
  <c r="N19" i="11"/>
  <c r="M19" i="11"/>
  <c r="L19" i="11"/>
  <c r="K19" i="11"/>
  <c r="I19" i="11"/>
  <c r="H19" i="11"/>
  <c r="G19" i="11"/>
  <c r="F19" i="11"/>
  <c r="E19" i="11"/>
  <c r="D19" i="11"/>
  <c r="C19" i="11"/>
  <c r="B19" i="11"/>
  <c r="A19" i="11"/>
  <c r="W18" i="11"/>
  <c r="V18" i="11"/>
  <c r="U18" i="11"/>
  <c r="T18" i="11"/>
  <c r="S18" i="11"/>
  <c r="R18" i="11"/>
  <c r="Q18" i="11"/>
  <c r="P18" i="11"/>
  <c r="O18" i="11"/>
  <c r="N18" i="11"/>
  <c r="M18" i="11"/>
  <c r="L18" i="11"/>
  <c r="K18" i="11"/>
  <c r="I18" i="11"/>
  <c r="H18" i="11"/>
  <c r="G18" i="11"/>
  <c r="F18" i="11"/>
  <c r="E18" i="11"/>
  <c r="D18" i="11"/>
  <c r="C18" i="11"/>
  <c r="B18" i="11"/>
  <c r="A18" i="11"/>
  <c r="W17" i="11"/>
  <c r="V17" i="11"/>
  <c r="U17" i="11"/>
  <c r="T17" i="11"/>
  <c r="S17" i="11"/>
  <c r="R17" i="11"/>
  <c r="Q17" i="11"/>
  <c r="P17" i="11"/>
  <c r="O17" i="11"/>
  <c r="N17" i="11"/>
  <c r="M17" i="11"/>
  <c r="L17" i="11"/>
  <c r="K17" i="11"/>
  <c r="I17" i="11"/>
  <c r="H17" i="11"/>
  <c r="G17" i="11"/>
  <c r="F17" i="11"/>
  <c r="E17" i="11"/>
  <c r="D17" i="11"/>
  <c r="C17" i="11"/>
  <c r="B17" i="11"/>
  <c r="A17" i="11"/>
  <c r="W16" i="11"/>
  <c r="V16" i="11"/>
  <c r="U16" i="11"/>
  <c r="T16" i="11"/>
  <c r="S16" i="11"/>
  <c r="R16" i="11"/>
  <c r="Q16" i="11"/>
  <c r="P16" i="11"/>
  <c r="O16" i="11"/>
  <c r="N16" i="11"/>
  <c r="M16" i="11"/>
  <c r="L16" i="11"/>
  <c r="K16" i="11"/>
  <c r="I16" i="11"/>
  <c r="H16" i="11"/>
  <c r="G16" i="11"/>
  <c r="F16" i="11"/>
  <c r="E16" i="11"/>
  <c r="D16" i="11"/>
  <c r="C16" i="11"/>
  <c r="B16" i="11"/>
  <c r="A16" i="11"/>
  <c r="W15" i="11"/>
  <c r="V15" i="11"/>
  <c r="U15" i="11"/>
  <c r="T15" i="11"/>
  <c r="S15" i="11"/>
  <c r="R15" i="11"/>
  <c r="Q15" i="11"/>
  <c r="P15" i="11"/>
  <c r="O15" i="11"/>
  <c r="N15" i="11"/>
  <c r="M15" i="11"/>
  <c r="L15" i="11"/>
  <c r="K15" i="11"/>
  <c r="I15" i="11"/>
  <c r="H15" i="11"/>
  <c r="G15" i="11"/>
  <c r="F15" i="11"/>
  <c r="E15" i="11"/>
  <c r="D15" i="11"/>
  <c r="C15" i="11"/>
  <c r="B15" i="11"/>
  <c r="A15" i="11"/>
  <c r="W14" i="11"/>
  <c r="V14" i="11"/>
  <c r="U14" i="11"/>
  <c r="T14" i="11"/>
  <c r="S14" i="11"/>
  <c r="R14" i="11"/>
  <c r="Q14" i="11"/>
  <c r="P14" i="11"/>
  <c r="O14" i="11"/>
  <c r="N14" i="11"/>
  <c r="M14" i="11"/>
  <c r="L14" i="11"/>
  <c r="K14" i="11"/>
  <c r="I14" i="11"/>
  <c r="H14" i="11"/>
  <c r="G14" i="11"/>
  <c r="F14" i="11"/>
  <c r="E14" i="11"/>
  <c r="D14" i="11"/>
  <c r="C14" i="11"/>
  <c r="B14" i="11"/>
  <c r="A14" i="11"/>
  <c r="W13" i="11"/>
  <c r="V13" i="11"/>
  <c r="U13" i="11"/>
  <c r="T13" i="11"/>
  <c r="S13" i="11"/>
  <c r="R13" i="11"/>
  <c r="Q13" i="11"/>
  <c r="P13" i="11"/>
  <c r="O13" i="11"/>
  <c r="N13" i="11"/>
  <c r="M13" i="11"/>
  <c r="L13" i="11"/>
  <c r="K13" i="11"/>
  <c r="I13" i="11"/>
  <c r="H13" i="11"/>
  <c r="G13" i="11"/>
  <c r="F13" i="11"/>
  <c r="E13" i="11"/>
  <c r="D13" i="11"/>
  <c r="C13" i="11"/>
  <c r="B13" i="11"/>
  <c r="A13" i="11"/>
  <c r="W12" i="11"/>
  <c r="V12" i="11"/>
  <c r="U12" i="11"/>
  <c r="T12" i="11"/>
  <c r="S12" i="11"/>
  <c r="R12" i="11"/>
  <c r="Q12" i="11"/>
  <c r="P12" i="11"/>
  <c r="O12" i="11"/>
  <c r="N12" i="11"/>
  <c r="M12" i="11"/>
  <c r="L12" i="11"/>
  <c r="K12" i="11"/>
  <c r="I12" i="11"/>
  <c r="H12" i="11"/>
  <c r="G12" i="11"/>
  <c r="F12" i="11"/>
  <c r="E12" i="11"/>
  <c r="D12" i="11"/>
  <c r="C12" i="11"/>
  <c r="B12" i="11"/>
  <c r="A12" i="11"/>
  <c r="W11" i="11"/>
  <c r="V11" i="11"/>
  <c r="U11" i="11"/>
  <c r="T11" i="11"/>
  <c r="S11" i="11"/>
  <c r="R11" i="11"/>
  <c r="Q11" i="11"/>
  <c r="P11" i="11"/>
  <c r="O11" i="11"/>
  <c r="N11" i="11"/>
  <c r="M11" i="11"/>
  <c r="L11" i="11"/>
  <c r="K11" i="11"/>
  <c r="I11" i="11"/>
  <c r="H11" i="11"/>
  <c r="G11" i="11"/>
  <c r="F11" i="11"/>
  <c r="E11" i="11"/>
  <c r="D11" i="11"/>
  <c r="C11" i="11"/>
  <c r="B11" i="11"/>
  <c r="A11" i="11"/>
  <c r="W10" i="11"/>
  <c r="V10" i="11"/>
  <c r="U10" i="11"/>
  <c r="T10" i="11"/>
  <c r="S10" i="11"/>
  <c r="R10" i="11"/>
  <c r="Q10" i="11"/>
  <c r="P10" i="11"/>
  <c r="O10" i="11"/>
  <c r="N10" i="11"/>
  <c r="M10" i="11"/>
  <c r="L10" i="11"/>
  <c r="K10" i="11"/>
  <c r="I10" i="11"/>
  <c r="H10" i="11"/>
  <c r="G10" i="11"/>
  <c r="F10" i="11"/>
  <c r="E10" i="11"/>
  <c r="D10" i="11"/>
  <c r="C10" i="11"/>
  <c r="B10" i="11"/>
  <c r="A10" i="11"/>
  <c r="W9" i="11"/>
  <c r="V9" i="11"/>
  <c r="U9" i="11"/>
  <c r="T9" i="11"/>
  <c r="S9" i="11"/>
  <c r="R9" i="11"/>
  <c r="Q9" i="11"/>
  <c r="P9" i="11"/>
  <c r="O9" i="11"/>
  <c r="N9" i="11"/>
  <c r="M9" i="11"/>
  <c r="L9" i="11"/>
  <c r="K9" i="11"/>
  <c r="I9" i="11"/>
  <c r="H9" i="11"/>
  <c r="G9" i="11"/>
  <c r="F9" i="11"/>
  <c r="E9" i="11"/>
  <c r="D9" i="11"/>
  <c r="C9" i="11"/>
  <c r="B9" i="11"/>
  <c r="A9" i="11"/>
  <c r="W8" i="11"/>
  <c r="V8" i="11"/>
  <c r="U8" i="11"/>
  <c r="T8" i="11"/>
  <c r="S8" i="11"/>
  <c r="R8" i="11"/>
  <c r="Q8" i="11"/>
  <c r="P8" i="11"/>
  <c r="O8" i="11"/>
  <c r="N8" i="11"/>
  <c r="M8" i="11"/>
  <c r="L8" i="11"/>
  <c r="K8" i="11"/>
  <c r="I8" i="11"/>
  <c r="H8" i="11"/>
  <c r="G8" i="11"/>
  <c r="F8" i="11"/>
  <c r="E8" i="11"/>
  <c r="D8" i="11"/>
  <c r="C8" i="11"/>
  <c r="B8" i="11"/>
  <c r="A8" i="11"/>
  <c r="W7" i="11"/>
  <c r="V7" i="11"/>
  <c r="U7" i="11"/>
  <c r="T7" i="11"/>
  <c r="S7" i="11"/>
  <c r="R7" i="11"/>
  <c r="Q7" i="11"/>
  <c r="P7" i="11"/>
  <c r="O7" i="11"/>
  <c r="N7" i="11"/>
  <c r="M7" i="11"/>
  <c r="L7" i="11"/>
  <c r="K7" i="11"/>
  <c r="I7" i="11"/>
  <c r="H7" i="11"/>
  <c r="G7" i="11"/>
  <c r="F7" i="11"/>
  <c r="E7" i="11"/>
  <c r="D7" i="11"/>
  <c r="C7" i="11"/>
  <c r="B7" i="11"/>
  <c r="A7" i="11"/>
  <c r="W6" i="11"/>
  <c r="V6" i="11"/>
  <c r="U6" i="11"/>
  <c r="T6" i="11"/>
  <c r="S6" i="11"/>
  <c r="R6" i="11"/>
  <c r="Q6" i="11"/>
  <c r="P6" i="11"/>
  <c r="O6" i="11"/>
  <c r="N6" i="11"/>
  <c r="M6" i="11"/>
  <c r="L6" i="11"/>
  <c r="K6" i="11"/>
  <c r="I6" i="11"/>
  <c r="H6" i="11"/>
  <c r="G6" i="11"/>
  <c r="F6" i="11"/>
  <c r="E6" i="11"/>
  <c r="D6" i="11"/>
  <c r="C6" i="11"/>
  <c r="B6" i="11"/>
  <c r="A6" i="11"/>
  <c r="W5" i="11"/>
  <c r="V5" i="11"/>
  <c r="U5" i="11"/>
  <c r="T5" i="11"/>
  <c r="S5" i="11"/>
  <c r="R5" i="11"/>
  <c r="Q5" i="11"/>
  <c r="P5" i="11"/>
  <c r="O5" i="11"/>
  <c r="N5" i="11"/>
  <c r="M5" i="11"/>
  <c r="L5" i="11"/>
  <c r="K5" i="11"/>
  <c r="J5" i="11"/>
  <c r="I5" i="11"/>
  <c r="H5" i="11"/>
  <c r="G5" i="11"/>
  <c r="F5" i="11"/>
  <c r="E5" i="11"/>
  <c r="D5" i="11"/>
  <c r="C5" i="11"/>
  <c r="B5" i="11"/>
  <c r="A5" i="11"/>
  <c r="W4" i="11"/>
  <c r="V4" i="11"/>
  <c r="U4" i="11"/>
  <c r="T4" i="11"/>
  <c r="S4" i="11"/>
  <c r="R4" i="11"/>
  <c r="Q4" i="11"/>
  <c r="P4" i="11"/>
  <c r="O4" i="11"/>
  <c r="N4" i="11"/>
  <c r="M4" i="11"/>
  <c r="L4" i="11"/>
  <c r="K4" i="11"/>
  <c r="J4" i="11"/>
  <c r="I4" i="11"/>
  <c r="H4" i="11"/>
  <c r="G4" i="11"/>
  <c r="F4" i="11"/>
  <c r="E4" i="11"/>
  <c r="D4" i="11"/>
  <c r="C4" i="11"/>
  <c r="B4" i="11"/>
  <c r="A4" i="11"/>
  <c r="E6" i="10"/>
  <c r="D6" i="10"/>
  <c r="B6" i="10"/>
  <c r="A6" i="10"/>
  <c r="E5" i="10"/>
  <c r="D5" i="10"/>
  <c r="B5" i="10"/>
  <c r="A5" i="10"/>
  <c r="E4" i="10"/>
  <c r="D4" i="10"/>
  <c r="B4" i="10"/>
  <c r="A4" i="10"/>
  <c r="E3" i="10"/>
  <c r="D3" i="10"/>
  <c r="B3" i="10"/>
  <c r="A3" i="10"/>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E5" i="9"/>
  <c r="A5" i="9"/>
  <c r="A4" i="9"/>
  <c r="A3" i="9"/>
  <c r="C535" i="8"/>
  <c r="C534" i="8"/>
  <c r="C533" i="8"/>
  <c r="C532" i="8"/>
  <c r="C531" i="8"/>
  <c r="C530" i="8"/>
  <c r="C529" i="8"/>
  <c r="C528" i="8"/>
  <c r="C527" i="8"/>
  <c r="C526" i="8"/>
  <c r="C525" i="8"/>
  <c r="C524" i="8"/>
  <c r="C523" i="8"/>
  <c r="C522" i="8"/>
  <c r="C521" i="8"/>
  <c r="C520" i="8"/>
  <c r="C519" i="8"/>
  <c r="C518" i="8"/>
  <c r="C517" i="8"/>
  <c r="C516" i="8"/>
  <c r="C515" i="8"/>
  <c r="C514" i="8"/>
  <c r="C513" i="8"/>
  <c r="C512" i="8"/>
  <c r="C511" i="8"/>
  <c r="C510" i="8"/>
  <c r="C509" i="8"/>
  <c r="C508" i="8"/>
  <c r="C507" i="8"/>
  <c r="C506" i="8"/>
  <c r="C505" i="8"/>
  <c r="C504" i="8"/>
  <c r="C503" i="8"/>
  <c r="C502" i="8"/>
  <c r="C501" i="8"/>
  <c r="C500" i="8"/>
  <c r="C499" i="8"/>
  <c r="C498" i="8"/>
  <c r="C497" i="8"/>
  <c r="C496" i="8"/>
  <c r="C495" i="8"/>
  <c r="C494" i="8"/>
  <c r="C493" i="8"/>
  <c r="C492" i="8"/>
  <c r="C491" i="8"/>
  <c r="C490" i="8"/>
  <c r="C489" i="8"/>
  <c r="C488" i="8"/>
  <c r="C487" i="8"/>
  <c r="C486" i="8"/>
  <c r="C485" i="8"/>
  <c r="C484" i="8"/>
  <c r="C483" i="8"/>
  <c r="C482" i="8"/>
  <c r="C481" i="8"/>
  <c r="C480" i="8"/>
  <c r="C479" i="8"/>
  <c r="C478" i="8"/>
  <c r="C477" i="8"/>
  <c r="C476" i="8"/>
  <c r="C475" i="8"/>
  <c r="C474" i="8"/>
  <c r="C473" i="8"/>
  <c r="C472" i="8"/>
  <c r="C471" i="8"/>
  <c r="C470" i="8"/>
  <c r="C469" i="8"/>
  <c r="C468" i="8"/>
  <c r="C467" i="8"/>
  <c r="C466" i="8"/>
  <c r="C465" i="8"/>
  <c r="C464" i="8"/>
  <c r="C463" i="8"/>
  <c r="C462" i="8"/>
  <c r="C461" i="8"/>
  <c r="C460" i="8"/>
  <c r="C459" i="8"/>
  <c r="C458" i="8"/>
  <c r="C457" i="8"/>
  <c r="C456" i="8"/>
  <c r="C455" i="8"/>
  <c r="C454" i="8"/>
  <c r="C453" i="8"/>
  <c r="C452" i="8"/>
  <c r="C451" i="8"/>
  <c r="C450" i="8"/>
  <c r="C449" i="8"/>
  <c r="C448" i="8"/>
  <c r="C447" i="8"/>
  <c r="C446" i="8"/>
  <c r="C445" i="8"/>
  <c r="C444" i="8"/>
  <c r="C443" i="8"/>
  <c r="C442" i="8"/>
  <c r="C441" i="8"/>
  <c r="C440" i="8"/>
  <c r="C439" i="8"/>
  <c r="C438" i="8"/>
  <c r="C437" i="8"/>
  <c r="C436" i="8"/>
  <c r="C435" i="8"/>
  <c r="C434" i="8"/>
  <c r="C433" i="8"/>
  <c r="C432" i="8"/>
  <c r="C431" i="8"/>
  <c r="C430" i="8"/>
  <c r="C429" i="8"/>
  <c r="C428" i="8"/>
  <c r="C427" i="8"/>
  <c r="C426" i="8"/>
  <c r="C425" i="8"/>
  <c r="C424" i="8"/>
  <c r="C423" i="8"/>
  <c r="C422" i="8"/>
  <c r="C421" i="8"/>
  <c r="C420" i="8"/>
  <c r="C419" i="8"/>
  <c r="C418" i="8"/>
  <c r="C417" i="8"/>
  <c r="C416" i="8"/>
  <c r="C415" i="8"/>
  <c r="C414" i="8"/>
  <c r="C413" i="8"/>
  <c r="C412" i="8"/>
  <c r="C411" i="8"/>
  <c r="C410" i="8"/>
  <c r="C409" i="8"/>
  <c r="C408" i="8"/>
  <c r="C407" i="8"/>
  <c r="C406" i="8"/>
  <c r="C405" i="8"/>
  <c r="C404" i="8"/>
  <c r="C403" i="8"/>
  <c r="C402" i="8"/>
  <c r="C401" i="8"/>
  <c r="C400" i="8"/>
  <c r="C399" i="8"/>
  <c r="C398" i="8"/>
  <c r="C397" i="8"/>
  <c r="C396" i="8"/>
  <c r="C395" i="8"/>
  <c r="C394" i="8"/>
  <c r="C393" i="8"/>
  <c r="C392" i="8"/>
  <c r="C391" i="8"/>
  <c r="C390" i="8"/>
  <c r="C389" i="8"/>
  <c r="C388" i="8"/>
  <c r="C387" i="8"/>
  <c r="C386" i="8"/>
  <c r="C385" i="8"/>
  <c r="C384" i="8"/>
  <c r="C383" i="8"/>
  <c r="C382" i="8"/>
  <c r="C381" i="8"/>
  <c r="C380" i="8"/>
  <c r="C379" i="8"/>
  <c r="C378" i="8"/>
  <c r="C377" i="8"/>
  <c r="C376" i="8"/>
  <c r="C375" i="8"/>
  <c r="C374" i="8"/>
  <c r="C373" i="8"/>
  <c r="C372" i="8"/>
  <c r="C371" i="8"/>
  <c r="C370" i="8"/>
  <c r="C369" i="8"/>
  <c r="C368" i="8"/>
  <c r="C367" i="8"/>
  <c r="C366" i="8"/>
  <c r="C365" i="8"/>
  <c r="C364" i="8"/>
  <c r="C363" i="8"/>
  <c r="C362" i="8"/>
  <c r="C361" i="8"/>
  <c r="C360" i="8"/>
  <c r="C359" i="8"/>
  <c r="C358" i="8"/>
  <c r="C357" i="8"/>
  <c r="C356" i="8"/>
  <c r="C355" i="8"/>
  <c r="C354" i="8"/>
  <c r="C353" i="8"/>
  <c r="C352" i="8"/>
  <c r="C351" i="8"/>
  <c r="C350" i="8"/>
  <c r="C349" i="8"/>
  <c r="C348" i="8"/>
  <c r="C347" i="8"/>
  <c r="C346" i="8"/>
  <c r="C345" i="8"/>
  <c r="C344" i="8"/>
  <c r="C343" i="8"/>
  <c r="C342" i="8"/>
  <c r="C341" i="8"/>
  <c r="C340" i="8"/>
  <c r="C339" i="8"/>
  <c r="C338" i="8"/>
  <c r="C337" i="8"/>
  <c r="C336" i="8"/>
  <c r="C335" i="8"/>
  <c r="C334" i="8"/>
  <c r="C333" i="8"/>
  <c r="C332" i="8"/>
  <c r="C331" i="8"/>
  <c r="C330" i="8"/>
  <c r="C329" i="8"/>
  <c r="C328" i="8"/>
  <c r="C327" i="8"/>
  <c r="C326" i="8"/>
  <c r="C325" i="8"/>
  <c r="C324" i="8"/>
  <c r="C323" i="8"/>
  <c r="C322" i="8"/>
  <c r="C321" i="8"/>
  <c r="C320" i="8"/>
  <c r="C319" i="8"/>
  <c r="C318" i="8"/>
  <c r="C317" i="8"/>
  <c r="C316" i="8"/>
  <c r="C315" i="8"/>
  <c r="C314" i="8"/>
  <c r="C313" i="8"/>
  <c r="C312" i="8"/>
  <c r="C311" i="8"/>
  <c r="C310" i="8"/>
  <c r="C309" i="8"/>
  <c r="C308" i="8"/>
  <c r="C307" i="8"/>
  <c r="C306" i="8"/>
  <c r="C305" i="8"/>
  <c r="C304" i="8"/>
  <c r="C303" i="8"/>
  <c r="C302" i="8"/>
  <c r="C301" i="8"/>
  <c r="C300" i="8"/>
  <c r="C299" i="8"/>
  <c r="C298" i="8"/>
  <c r="C297" i="8"/>
  <c r="C296" i="8"/>
  <c r="C295" i="8"/>
  <c r="C294" i="8"/>
  <c r="C293" i="8"/>
  <c r="C292" i="8"/>
  <c r="C291" i="8"/>
  <c r="C290" i="8"/>
  <c r="C289" i="8"/>
  <c r="C288" i="8"/>
  <c r="C287" i="8"/>
  <c r="C286" i="8"/>
  <c r="C285" i="8"/>
  <c r="C284" i="8"/>
  <c r="C283" i="8"/>
  <c r="C282" i="8"/>
  <c r="C281" i="8"/>
  <c r="C280" i="8"/>
  <c r="C279" i="8"/>
  <c r="C278" i="8"/>
  <c r="C277" i="8"/>
  <c r="C276" i="8"/>
  <c r="C275" i="8"/>
  <c r="C274" i="8"/>
  <c r="C273" i="8"/>
  <c r="C272" i="8"/>
  <c r="C271" i="8"/>
  <c r="C270" i="8"/>
  <c r="C269" i="8"/>
  <c r="C268" i="8"/>
  <c r="C267" i="8"/>
  <c r="C266" i="8"/>
  <c r="C265" i="8"/>
  <c r="C264" i="8"/>
  <c r="C263" i="8"/>
  <c r="C262" i="8"/>
  <c r="C261" i="8"/>
  <c r="C260" i="8"/>
  <c r="C259" i="8"/>
  <c r="C258" i="8"/>
  <c r="C257" i="8"/>
  <c r="C256" i="8"/>
  <c r="C255" i="8"/>
  <c r="C254" i="8"/>
  <c r="C253" i="8"/>
  <c r="C252" i="8"/>
  <c r="C251" i="8"/>
  <c r="C250" i="8"/>
  <c r="C249" i="8"/>
  <c r="C248" i="8"/>
  <c r="C247" i="8"/>
  <c r="C246" i="8"/>
  <c r="C245" i="8"/>
  <c r="C244" i="8"/>
  <c r="C243" i="8"/>
  <c r="C242" i="8"/>
  <c r="C241" i="8"/>
  <c r="C240" i="8"/>
  <c r="C239" i="8"/>
  <c r="C238" i="8"/>
  <c r="C237" i="8"/>
  <c r="C236" i="8"/>
  <c r="C235" i="8"/>
  <c r="C234" i="8"/>
  <c r="C233" i="8"/>
  <c r="C232" i="8"/>
  <c r="C231" i="8"/>
  <c r="C230" i="8"/>
  <c r="C229" i="8"/>
  <c r="C228" i="8"/>
  <c r="C227" i="8"/>
  <c r="C226" i="8"/>
  <c r="C225" i="8"/>
  <c r="C224" i="8"/>
  <c r="C223" i="8"/>
  <c r="C222" i="8"/>
  <c r="C221" i="8"/>
  <c r="C220" i="8"/>
  <c r="C219" i="8"/>
  <c r="C218" i="8"/>
  <c r="C217" i="8"/>
  <c r="C216" i="8"/>
  <c r="C215" i="8"/>
  <c r="C214" i="8"/>
  <c r="C213" i="8"/>
  <c r="C212" i="8"/>
  <c r="C211" i="8"/>
  <c r="C210" i="8"/>
  <c r="C209" i="8"/>
  <c r="C208" i="8"/>
  <c r="C207" i="8"/>
  <c r="C206" i="8"/>
  <c r="C205" i="8"/>
  <c r="C204" i="8"/>
  <c r="C203" i="8"/>
  <c r="C202" i="8"/>
  <c r="C201" i="8"/>
  <c r="C200" i="8"/>
  <c r="C199" i="8"/>
  <c r="C198" i="8"/>
  <c r="C197" i="8"/>
  <c r="C196" i="8"/>
  <c r="C195" i="8"/>
  <c r="C194" i="8"/>
  <c r="C193" i="8"/>
  <c r="C192" i="8"/>
  <c r="C191" i="8"/>
  <c r="C190" i="8"/>
  <c r="C189" i="8"/>
  <c r="C188" i="8"/>
  <c r="C187" i="8"/>
  <c r="C186" i="8"/>
  <c r="C185" i="8"/>
  <c r="C184" i="8"/>
  <c r="C183" i="8"/>
  <c r="C182" i="8"/>
  <c r="C181" i="8"/>
  <c r="C180" i="8"/>
  <c r="C179" i="8"/>
  <c r="C178" i="8"/>
  <c r="C177" i="8"/>
  <c r="C176" i="8"/>
  <c r="C175" i="8"/>
  <c r="C174" i="8"/>
  <c r="C173" i="8"/>
  <c r="C172" i="8"/>
  <c r="C171" i="8"/>
  <c r="C170" i="8"/>
  <c r="C169" i="8"/>
  <c r="C168" i="8"/>
  <c r="C167" i="8"/>
  <c r="C166" i="8"/>
  <c r="C165" i="8"/>
  <c r="C164" i="8"/>
  <c r="C163" i="8"/>
  <c r="C162" i="8"/>
  <c r="C161" i="8"/>
  <c r="C160" i="8"/>
  <c r="C159" i="8"/>
  <c r="C158" i="8"/>
  <c r="C157" i="8"/>
  <c r="C156" i="8"/>
  <c r="C155" i="8"/>
  <c r="C154" i="8"/>
  <c r="C153" i="8"/>
  <c r="C152" i="8"/>
  <c r="C151" i="8"/>
  <c r="C150" i="8"/>
  <c r="C149" i="8"/>
  <c r="C148" i="8"/>
  <c r="C147" i="8"/>
  <c r="C146" i="8"/>
  <c r="C145" i="8"/>
  <c r="C144" i="8"/>
  <c r="C143" i="8"/>
  <c r="C142" i="8"/>
  <c r="C141" i="8"/>
  <c r="C140" i="8"/>
  <c r="C139" i="8"/>
  <c r="C138" i="8"/>
  <c r="C137" i="8"/>
  <c r="C136" i="8"/>
  <c r="C135" i="8"/>
  <c r="C134" i="8"/>
  <c r="C133" i="8"/>
  <c r="C132" i="8"/>
  <c r="C131" i="8"/>
  <c r="C130" i="8"/>
  <c r="C129" i="8"/>
  <c r="C128" i="8"/>
  <c r="C127" i="8"/>
  <c r="C126" i="8"/>
  <c r="C125" i="8"/>
  <c r="C124" i="8"/>
  <c r="C123" i="8"/>
  <c r="C122" i="8"/>
  <c r="C121" i="8"/>
  <c r="C120" i="8"/>
  <c r="C119" i="8"/>
  <c r="C118" i="8"/>
  <c r="C117" i="8"/>
  <c r="C116" i="8"/>
  <c r="C115" i="8"/>
  <c r="C114" i="8"/>
  <c r="C113" i="8"/>
  <c r="C112" i="8"/>
  <c r="C111" i="8"/>
  <c r="C110" i="8"/>
  <c r="C109" i="8"/>
  <c r="C108" i="8"/>
  <c r="C107" i="8"/>
  <c r="C106" i="8"/>
  <c r="C105" i="8"/>
  <c r="C104" i="8"/>
  <c r="C103" i="8"/>
  <c r="C102" i="8"/>
  <c r="C101" i="8"/>
  <c r="C100" i="8"/>
  <c r="C99" i="8"/>
  <c r="C98" i="8"/>
  <c r="C97" i="8"/>
  <c r="C96" i="8"/>
  <c r="C95" i="8"/>
  <c r="C94" i="8"/>
  <c r="C93" i="8"/>
  <c r="C92" i="8"/>
  <c r="C91" i="8"/>
  <c r="C90" i="8"/>
  <c r="C89" i="8"/>
  <c r="C88" i="8"/>
  <c r="C87" i="8"/>
  <c r="C86" i="8"/>
  <c r="C85" i="8"/>
  <c r="C84" i="8"/>
  <c r="C83" i="8"/>
  <c r="C82" i="8"/>
  <c r="C81" i="8"/>
  <c r="C80" i="8"/>
  <c r="C79" i="8"/>
  <c r="C78" i="8"/>
  <c r="C77" i="8"/>
  <c r="C76" i="8"/>
  <c r="C75" i="8"/>
  <c r="C74" i="8"/>
  <c r="C73" i="8"/>
  <c r="C72" i="8"/>
  <c r="C71" i="8"/>
  <c r="C70" i="8"/>
  <c r="C69" i="8"/>
  <c r="C68" i="8"/>
  <c r="C67" i="8"/>
  <c r="C66" i="8"/>
  <c r="C65" i="8"/>
  <c r="C64" i="8"/>
  <c r="C63" i="8"/>
  <c r="C62" i="8"/>
  <c r="C61" i="8"/>
  <c r="C60" i="8"/>
  <c r="C59" i="8"/>
  <c r="C58" i="8"/>
  <c r="C57" i="8"/>
  <c r="C56" i="8"/>
  <c r="C55" i="8"/>
  <c r="C54" i="8"/>
  <c r="C53" i="8"/>
  <c r="C52" i="8"/>
  <c r="C51" i="8"/>
  <c r="C50" i="8"/>
  <c r="C49" i="8"/>
  <c r="C48" i="8"/>
  <c r="C47" i="8"/>
  <c r="C46" i="8"/>
  <c r="C45" i="8"/>
  <c r="C44" i="8"/>
  <c r="C43" i="8"/>
  <c r="C42" i="8"/>
  <c r="C41" i="8"/>
  <c r="C40" i="8"/>
  <c r="C39" i="8"/>
  <c r="C38" i="8"/>
  <c r="C37" i="8"/>
  <c r="C36" i="8"/>
  <c r="C35" i="8"/>
  <c r="C34" i="8"/>
  <c r="C33" i="8"/>
  <c r="C32" i="8"/>
  <c r="C31" i="8"/>
  <c r="C30" i="8"/>
  <c r="C29" i="8"/>
  <c r="C28" i="8"/>
  <c r="C27" i="8"/>
  <c r="C26" i="8"/>
  <c r="C25" i="8"/>
  <c r="C24" i="8"/>
  <c r="C23" i="8"/>
  <c r="C22" i="8"/>
  <c r="C21" i="8"/>
  <c r="C20" i="8"/>
  <c r="C19" i="8"/>
  <c r="C18" i="8"/>
  <c r="C17" i="8"/>
  <c r="C16" i="8"/>
  <c r="C15" i="8"/>
  <c r="C14" i="8"/>
  <c r="C13" i="8"/>
  <c r="C12" i="8"/>
  <c r="C11" i="8"/>
  <c r="C10" i="8"/>
  <c r="C9" i="8"/>
  <c r="C8" i="8"/>
  <c r="C7" i="8"/>
  <c r="C6" i="8"/>
  <c r="C5" i="8"/>
  <c r="A5" i="8"/>
  <c r="C7" i="7"/>
  <c r="B7" i="7"/>
  <c r="A7" i="7"/>
  <c r="C6" i="7"/>
  <c r="B6" i="7"/>
  <c r="A6" i="7"/>
  <c r="C5" i="7"/>
  <c r="B5" i="7"/>
  <c r="A5" i="7"/>
  <c r="C4" i="7"/>
  <c r="B4" i="7"/>
  <c r="A4" i="7"/>
  <c r="C3" i="7"/>
  <c r="B3" i="7"/>
  <c r="A3" i="7"/>
  <c r="W307" i="6"/>
  <c r="V307" i="6"/>
  <c r="U307" i="6"/>
  <c r="T307" i="6"/>
  <c r="S307" i="6"/>
  <c r="R307" i="6"/>
  <c r="Q307" i="6"/>
  <c r="P307" i="6"/>
  <c r="O307" i="6"/>
  <c r="N307" i="6"/>
  <c r="M307" i="6"/>
  <c r="L307" i="6"/>
  <c r="K307" i="6"/>
  <c r="I307" i="6"/>
  <c r="H307" i="6"/>
  <c r="G307" i="6"/>
  <c r="F307" i="6"/>
  <c r="E307" i="6"/>
  <c r="D307" i="6"/>
  <c r="C307" i="6"/>
  <c r="B307" i="6"/>
  <c r="A307" i="6"/>
  <c r="W306" i="6"/>
  <c r="V306" i="6"/>
  <c r="U306" i="6"/>
  <c r="T306" i="6"/>
  <c r="S306" i="6"/>
  <c r="R306" i="6"/>
  <c r="Q306" i="6"/>
  <c r="P306" i="6"/>
  <c r="O306" i="6"/>
  <c r="N306" i="6"/>
  <c r="M306" i="6"/>
  <c r="L306" i="6"/>
  <c r="K306" i="6"/>
  <c r="I306" i="6"/>
  <c r="H306" i="6"/>
  <c r="G306" i="6"/>
  <c r="F306" i="6"/>
  <c r="E306" i="6"/>
  <c r="D306" i="6"/>
  <c r="C306" i="6"/>
  <c r="B306" i="6"/>
  <c r="A306" i="6"/>
  <c r="W305" i="6"/>
  <c r="V305" i="6"/>
  <c r="U305" i="6"/>
  <c r="T305" i="6"/>
  <c r="S305" i="6"/>
  <c r="R305" i="6"/>
  <c r="Q305" i="6"/>
  <c r="P305" i="6"/>
  <c r="O305" i="6"/>
  <c r="N305" i="6"/>
  <c r="M305" i="6"/>
  <c r="L305" i="6"/>
  <c r="K305" i="6"/>
  <c r="I305" i="6"/>
  <c r="H305" i="6"/>
  <c r="G305" i="6"/>
  <c r="F305" i="6"/>
  <c r="E305" i="6"/>
  <c r="D305" i="6"/>
  <c r="C305" i="6"/>
  <c r="B305" i="6"/>
  <c r="A305" i="6"/>
  <c r="W304" i="6"/>
  <c r="V304" i="6"/>
  <c r="U304" i="6"/>
  <c r="T304" i="6"/>
  <c r="S304" i="6"/>
  <c r="R304" i="6"/>
  <c r="Q304" i="6"/>
  <c r="P304" i="6"/>
  <c r="O304" i="6"/>
  <c r="N304" i="6"/>
  <c r="M304" i="6"/>
  <c r="L304" i="6"/>
  <c r="K304" i="6"/>
  <c r="I304" i="6"/>
  <c r="H304" i="6"/>
  <c r="G304" i="6"/>
  <c r="F304" i="6"/>
  <c r="E304" i="6"/>
  <c r="D304" i="6"/>
  <c r="C304" i="6"/>
  <c r="B304" i="6"/>
  <c r="A304" i="6"/>
  <c r="W303" i="6"/>
  <c r="V303" i="6"/>
  <c r="U303" i="6"/>
  <c r="T303" i="6"/>
  <c r="S303" i="6"/>
  <c r="R303" i="6"/>
  <c r="Q303" i="6"/>
  <c r="P303" i="6"/>
  <c r="O303" i="6"/>
  <c r="N303" i="6"/>
  <c r="M303" i="6"/>
  <c r="L303" i="6"/>
  <c r="K303" i="6"/>
  <c r="I303" i="6"/>
  <c r="H303" i="6"/>
  <c r="G303" i="6"/>
  <c r="F303" i="6"/>
  <c r="E303" i="6"/>
  <c r="D303" i="6"/>
  <c r="C303" i="6"/>
  <c r="B303" i="6"/>
  <c r="A303" i="6"/>
  <c r="W302" i="6"/>
  <c r="V302" i="6"/>
  <c r="U302" i="6"/>
  <c r="T302" i="6"/>
  <c r="S302" i="6"/>
  <c r="R302" i="6"/>
  <c r="Q302" i="6"/>
  <c r="P302" i="6"/>
  <c r="O302" i="6"/>
  <c r="N302" i="6"/>
  <c r="M302" i="6"/>
  <c r="L302" i="6"/>
  <c r="K302" i="6"/>
  <c r="I302" i="6"/>
  <c r="H302" i="6"/>
  <c r="G302" i="6"/>
  <c r="F302" i="6"/>
  <c r="E302" i="6"/>
  <c r="D302" i="6"/>
  <c r="C302" i="6"/>
  <c r="B302" i="6"/>
  <c r="A302" i="6"/>
  <c r="W301" i="6"/>
  <c r="V301" i="6"/>
  <c r="U301" i="6"/>
  <c r="T301" i="6"/>
  <c r="S301" i="6"/>
  <c r="R301" i="6"/>
  <c r="Q301" i="6"/>
  <c r="P301" i="6"/>
  <c r="O301" i="6"/>
  <c r="N301" i="6"/>
  <c r="M301" i="6"/>
  <c r="L301" i="6"/>
  <c r="K301" i="6"/>
  <c r="I301" i="6"/>
  <c r="H301" i="6"/>
  <c r="G301" i="6"/>
  <c r="F301" i="6"/>
  <c r="E301" i="6"/>
  <c r="D301" i="6"/>
  <c r="C301" i="6"/>
  <c r="B301" i="6"/>
  <c r="A301" i="6"/>
  <c r="W300" i="6"/>
  <c r="V300" i="6"/>
  <c r="U300" i="6"/>
  <c r="T300" i="6"/>
  <c r="S300" i="6"/>
  <c r="R300" i="6"/>
  <c r="Q300" i="6"/>
  <c r="P300" i="6"/>
  <c r="O300" i="6"/>
  <c r="N300" i="6"/>
  <c r="M300" i="6"/>
  <c r="L300" i="6"/>
  <c r="K300" i="6"/>
  <c r="I300" i="6"/>
  <c r="H300" i="6"/>
  <c r="G300" i="6"/>
  <c r="F300" i="6"/>
  <c r="E300" i="6"/>
  <c r="D300" i="6"/>
  <c r="C300" i="6"/>
  <c r="B300" i="6"/>
  <c r="A300" i="6"/>
  <c r="W299" i="6"/>
  <c r="V299" i="6"/>
  <c r="U299" i="6"/>
  <c r="T299" i="6"/>
  <c r="S299" i="6"/>
  <c r="R299" i="6"/>
  <c r="Q299" i="6"/>
  <c r="P299" i="6"/>
  <c r="O299" i="6"/>
  <c r="N299" i="6"/>
  <c r="M299" i="6"/>
  <c r="L299" i="6"/>
  <c r="K299" i="6"/>
  <c r="I299" i="6"/>
  <c r="H299" i="6"/>
  <c r="G299" i="6"/>
  <c r="F299" i="6"/>
  <c r="E299" i="6"/>
  <c r="D299" i="6"/>
  <c r="C299" i="6"/>
  <c r="B299" i="6"/>
  <c r="A299" i="6"/>
  <c r="W298" i="6"/>
  <c r="V298" i="6"/>
  <c r="U298" i="6"/>
  <c r="T298" i="6"/>
  <c r="S298" i="6"/>
  <c r="R298" i="6"/>
  <c r="Q298" i="6"/>
  <c r="P298" i="6"/>
  <c r="O298" i="6"/>
  <c r="N298" i="6"/>
  <c r="M298" i="6"/>
  <c r="L298" i="6"/>
  <c r="K298" i="6"/>
  <c r="I298" i="6"/>
  <c r="H298" i="6"/>
  <c r="G298" i="6"/>
  <c r="F298" i="6"/>
  <c r="E298" i="6"/>
  <c r="D298" i="6"/>
  <c r="C298" i="6"/>
  <c r="B298" i="6"/>
  <c r="A298" i="6"/>
  <c r="W297" i="6"/>
  <c r="V297" i="6"/>
  <c r="U297" i="6"/>
  <c r="T297" i="6"/>
  <c r="S297" i="6"/>
  <c r="R297" i="6"/>
  <c r="Q297" i="6"/>
  <c r="P297" i="6"/>
  <c r="O297" i="6"/>
  <c r="N297" i="6"/>
  <c r="M297" i="6"/>
  <c r="L297" i="6"/>
  <c r="K297" i="6"/>
  <c r="I297" i="6"/>
  <c r="H297" i="6"/>
  <c r="G297" i="6"/>
  <c r="F297" i="6"/>
  <c r="E297" i="6"/>
  <c r="D297" i="6"/>
  <c r="C297" i="6"/>
  <c r="B297" i="6"/>
  <c r="A297" i="6"/>
  <c r="W296" i="6"/>
  <c r="V296" i="6"/>
  <c r="U296" i="6"/>
  <c r="T296" i="6"/>
  <c r="S296" i="6"/>
  <c r="R296" i="6"/>
  <c r="Q296" i="6"/>
  <c r="P296" i="6"/>
  <c r="O296" i="6"/>
  <c r="N296" i="6"/>
  <c r="M296" i="6"/>
  <c r="L296" i="6"/>
  <c r="K296" i="6"/>
  <c r="I296" i="6"/>
  <c r="H296" i="6"/>
  <c r="G296" i="6"/>
  <c r="F296" i="6"/>
  <c r="E296" i="6"/>
  <c r="D296" i="6"/>
  <c r="C296" i="6"/>
  <c r="B296" i="6"/>
  <c r="A296" i="6"/>
  <c r="W295" i="6"/>
  <c r="V295" i="6"/>
  <c r="U295" i="6"/>
  <c r="T295" i="6"/>
  <c r="S295" i="6"/>
  <c r="R295" i="6"/>
  <c r="Q295" i="6"/>
  <c r="P295" i="6"/>
  <c r="O295" i="6"/>
  <c r="N295" i="6"/>
  <c r="M295" i="6"/>
  <c r="L295" i="6"/>
  <c r="K295" i="6"/>
  <c r="I295" i="6"/>
  <c r="H295" i="6"/>
  <c r="G295" i="6"/>
  <c r="F295" i="6"/>
  <c r="E295" i="6"/>
  <c r="D295" i="6"/>
  <c r="C295" i="6"/>
  <c r="B295" i="6"/>
  <c r="A295" i="6"/>
  <c r="W294" i="6"/>
  <c r="V294" i="6"/>
  <c r="U294" i="6"/>
  <c r="T294" i="6"/>
  <c r="S294" i="6"/>
  <c r="R294" i="6"/>
  <c r="Q294" i="6"/>
  <c r="P294" i="6"/>
  <c r="O294" i="6"/>
  <c r="N294" i="6"/>
  <c r="M294" i="6"/>
  <c r="L294" i="6"/>
  <c r="K294" i="6"/>
  <c r="I294" i="6"/>
  <c r="H294" i="6"/>
  <c r="G294" i="6"/>
  <c r="F294" i="6"/>
  <c r="E294" i="6"/>
  <c r="D294" i="6"/>
  <c r="C294" i="6"/>
  <c r="B294" i="6"/>
  <c r="A294" i="6"/>
  <c r="W293" i="6"/>
  <c r="V293" i="6"/>
  <c r="U293" i="6"/>
  <c r="T293" i="6"/>
  <c r="S293" i="6"/>
  <c r="R293" i="6"/>
  <c r="Q293" i="6"/>
  <c r="P293" i="6"/>
  <c r="O293" i="6"/>
  <c r="N293" i="6"/>
  <c r="M293" i="6"/>
  <c r="L293" i="6"/>
  <c r="K293" i="6"/>
  <c r="I293" i="6"/>
  <c r="H293" i="6"/>
  <c r="G293" i="6"/>
  <c r="F293" i="6"/>
  <c r="E293" i="6"/>
  <c r="D293" i="6"/>
  <c r="C293" i="6"/>
  <c r="B293" i="6"/>
  <c r="A293" i="6"/>
  <c r="W292" i="6"/>
  <c r="V292" i="6"/>
  <c r="U292" i="6"/>
  <c r="T292" i="6"/>
  <c r="S292" i="6"/>
  <c r="R292" i="6"/>
  <c r="Q292" i="6"/>
  <c r="P292" i="6"/>
  <c r="O292" i="6"/>
  <c r="N292" i="6"/>
  <c r="M292" i="6"/>
  <c r="L292" i="6"/>
  <c r="K292" i="6"/>
  <c r="I292" i="6"/>
  <c r="H292" i="6"/>
  <c r="G292" i="6"/>
  <c r="F292" i="6"/>
  <c r="E292" i="6"/>
  <c r="D292" i="6"/>
  <c r="C292" i="6"/>
  <c r="B292" i="6"/>
  <c r="A292" i="6"/>
  <c r="W291" i="6"/>
  <c r="V291" i="6"/>
  <c r="U291" i="6"/>
  <c r="T291" i="6"/>
  <c r="S291" i="6"/>
  <c r="R291" i="6"/>
  <c r="Q291" i="6"/>
  <c r="P291" i="6"/>
  <c r="O291" i="6"/>
  <c r="N291" i="6"/>
  <c r="M291" i="6"/>
  <c r="L291" i="6"/>
  <c r="K291" i="6"/>
  <c r="I291" i="6"/>
  <c r="H291" i="6"/>
  <c r="G291" i="6"/>
  <c r="F291" i="6"/>
  <c r="E291" i="6"/>
  <c r="D291" i="6"/>
  <c r="C291" i="6"/>
  <c r="B291" i="6"/>
  <c r="A291" i="6"/>
  <c r="W290" i="6"/>
  <c r="V290" i="6"/>
  <c r="U290" i="6"/>
  <c r="T290" i="6"/>
  <c r="S290" i="6"/>
  <c r="R290" i="6"/>
  <c r="Q290" i="6"/>
  <c r="P290" i="6"/>
  <c r="O290" i="6"/>
  <c r="N290" i="6"/>
  <c r="M290" i="6"/>
  <c r="L290" i="6"/>
  <c r="K290" i="6"/>
  <c r="I290" i="6"/>
  <c r="H290" i="6"/>
  <c r="G290" i="6"/>
  <c r="F290" i="6"/>
  <c r="E290" i="6"/>
  <c r="D290" i="6"/>
  <c r="C290" i="6"/>
  <c r="B290" i="6"/>
  <c r="A290" i="6"/>
  <c r="W289" i="6"/>
  <c r="V289" i="6"/>
  <c r="U289" i="6"/>
  <c r="T289" i="6"/>
  <c r="S289" i="6"/>
  <c r="R289" i="6"/>
  <c r="Q289" i="6"/>
  <c r="P289" i="6"/>
  <c r="O289" i="6"/>
  <c r="N289" i="6"/>
  <c r="M289" i="6"/>
  <c r="L289" i="6"/>
  <c r="K289" i="6"/>
  <c r="I289" i="6"/>
  <c r="H289" i="6"/>
  <c r="G289" i="6"/>
  <c r="F289" i="6"/>
  <c r="E289" i="6"/>
  <c r="D289" i="6"/>
  <c r="C289" i="6"/>
  <c r="B289" i="6"/>
  <c r="A289" i="6"/>
  <c r="W288" i="6"/>
  <c r="V288" i="6"/>
  <c r="U288" i="6"/>
  <c r="T288" i="6"/>
  <c r="S288" i="6"/>
  <c r="R288" i="6"/>
  <c r="Q288" i="6"/>
  <c r="P288" i="6"/>
  <c r="O288" i="6"/>
  <c r="N288" i="6"/>
  <c r="M288" i="6"/>
  <c r="L288" i="6"/>
  <c r="K288" i="6"/>
  <c r="I288" i="6"/>
  <c r="H288" i="6"/>
  <c r="G288" i="6"/>
  <c r="F288" i="6"/>
  <c r="E288" i="6"/>
  <c r="D288" i="6"/>
  <c r="C288" i="6"/>
  <c r="B288" i="6"/>
  <c r="A288" i="6"/>
  <c r="W287" i="6"/>
  <c r="V287" i="6"/>
  <c r="U287" i="6"/>
  <c r="T287" i="6"/>
  <c r="S287" i="6"/>
  <c r="R287" i="6"/>
  <c r="Q287" i="6"/>
  <c r="P287" i="6"/>
  <c r="O287" i="6"/>
  <c r="N287" i="6"/>
  <c r="M287" i="6"/>
  <c r="L287" i="6"/>
  <c r="K287" i="6"/>
  <c r="I287" i="6"/>
  <c r="H287" i="6"/>
  <c r="G287" i="6"/>
  <c r="F287" i="6"/>
  <c r="E287" i="6"/>
  <c r="D287" i="6"/>
  <c r="C287" i="6"/>
  <c r="B287" i="6"/>
  <c r="A287" i="6"/>
  <c r="W286" i="6"/>
  <c r="V286" i="6"/>
  <c r="U286" i="6"/>
  <c r="T286" i="6"/>
  <c r="S286" i="6"/>
  <c r="R286" i="6"/>
  <c r="Q286" i="6"/>
  <c r="P286" i="6"/>
  <c r="O286" i="6"/>
  <c r="N286" i="6"/>
  <c r="M286" i="6"/>
  <c r="L286" i="6"/>
  <c r="K286" i="6"/>
  <c r="I286" i="6"/>
  <c r="H286" i="6"/>
  <c r="G286" i="6"/>
  <c r="F286" i="6"/>
  <c r="E286" i="6"/>
  <c r="D286" i="6"/>
  <c r="C286" i="6"/>
  <c r="B286" i="6"/>
  <c r="A286" i="6"/>
  <c r="W285" i="6"/>
  <c r="V285" i="6"/>
  <c r="U285" i="6"/>
  <c r="T285" i="6"/>
  <c r="S285" i="6"/>
  <c r="R285" i="6"/>
  <c r="Q285" i="6"/>
  <c r="P285" i="6"/>
  <c r="O285" i="6"/>
  <c r="N285" i="6"/>
  <c r="M285" i="6"/>
  <c r="L285" i="6"/>
  <c r="K285" i="6"/>
  <c r="I285" i="6"/>
  <c r="H285" i="6"/>
  <c r="G285" i="6"/>
  <c r="F285" i="6"/>
  <c r="E285" i="6"/>
  <c r="D285" i="6"/>
  <c r="C285" i="6"/>
  <c r="B285" i="6"/>
  <c r="A285" i="6"/>
  <c r="W284" i="6"/>
  <c r="V284" i="6"/>
  <c r="U284" i="6"/>
  <c r="T284" i="6"/>
  <c r="S284" i="6"/>
  <c r="R284" i="6"/>
  <c r="Q284" i="6"/>
  <c r="P284" i="6"/>
  <c r="O284" i="6"/>
  <c r="N284" i="6"/>
  <c r="M284" i="6"/>
  <c r="L284" i="6"/>
  <c r="K284" i="6"/>
  <c r="I284" i="6"/>
  <c r="H284" i="6"/>
  <c r="G284" i="6"/>
  <c r="F284" i="6"/>
  <c r="E284" i="6"/>
  <c r="D284" i="6"/>
  <c r="C284" i="6"/>
  <c r="B284" i="6"/>
  <c r="A284" i="6"/>
  <c r="W283" i="6"/>
  <c r="V283" i="6"/>
  <c r="U283" i="6"/>
  <c r="T283" i="6"/>
  <c r="S283" i="6"/>
  <c r="R283" i="6"/>
  <c r="Q283" i="6"/>
  <c r="P283" i="6"/>
  <c r="O283" i="6"/>
  <c r="N283" i="6"/>
  <c r="M283" i="6"/>
  <c r="L283" i="6"/>
  <c r="K283" i="6"/>
  <c r="I283" i="6"/>
  <c r="H283" i="6"/>
  <c r="G283" i="6"/>
  <c r="F283" i="6"/>
  <c r="E283" i="6"/>
  <c r="D283" i="6"/>
  <c r="C283" i="6"/>
  <c r="B283" i="6"/>
  <c r="A283" i="6"/>
  <c r="W282" i="6"/>
  <c r="V282" i="6"/>
  <c r="U282" i="6"/>
  <c r="T282" i="6"/>
  <c r="S282" i="6"/>
  <c r="R282" i="6"/>
  <c r="Q282" i="6"/>
  <c r="P282" i="6"/>
  <c r="O282" i="6"/>
  <c r="N282" i="6"/>
  <c r="M282" i="6"/>
  <c r="L282" i="6"/>
  <c r="K282" i="6"/>
  <c r="I282" i="6"/>
  <c r="H282" i="6"/>
  <c r="G282" i="6"/>
  <c r="F282" i="6"/>
  <c r="E282" i="6"/>
  <c r="D282" i="6"/>
  <c r="C282" i="6"/>
  <c r="B282" i="6"/>
  <c r="A282" i="6"/>
  <c r="W281" i="6"/>
  <c r="V281" i="6"/>
  <c r="U281" i="6"/>
  <c r="T281" i="6"/>
  <c r="S281" i="6"/>
  <c r="R281" i="6"/>
  <c r="Q281" i="6"/>
  <c r="P281" i="6"/>
  <c r="O281" i="6"/>
  <c r="N281" i="6"/>
  <c r="M281" i="6"/>
  <c r="L281" i="6"/>
  <c r="K281" i="6"/>
  <c r="I281" i="6"/>
  <c r="H281" i="6"/>
  <c r="G281" i="6"/>
  <c r="F281" i="6"/>
  <c r="E281" i="6"/>
  <c r="D281" i="6"/>
  <c r="C281" i="6"/>
  <c r="B281" i="6"/>
  <c r="A281" i="6"/>
  <c r="W280" i="6"/>
  <c r="V280" i="6"/>
  <c r="U280" i="6"/>
  <c r="T280" i="6"/>
  <c r="S280" i="6"/>
  <c r="R280" i="6"/>
  <c r="Q280" i="6"/>
  <c r="P280" i="6"/>
  <c r="O280" i="6"/>
  <c r="N280" i="6"/>
  <c r="M280" i="6"/>
  <c r="L280" i="6"/>
  <c r="K280" i="6"/>
  <c r="I280" i="6"/>
  <c r="H280" i="6"/>
  <c r="G280" i="6"/>
  <c r="F280" i="6"/>
  <c r="E280" i="6"/>
  <c r="D280" i="6"/>
  <c r="C280" i="6"/>
  <c r="B280" i="6"/>
  <c r="A280" i="6"/>
  <c r="W279" i="6"/>
  <c r="V279" i="6"/>
  <c r="U279" i="6"/>
  <c r="T279" i="6"/>
  <c r="S279" i="6"/>
  <c r="R279" i="6"/>
  <c r="Q279" i="6"/>
  <c r="P279" i="6"/>
  <c r="O279" i="6"/>
  <c r="N279" i="6"/>
  <c r="M279" i="6"/>
  <c r="L279" i="6"/>
  <c r="K279" i="6"/>
  <c r="I279" i="6"/>
  <c r="H279" i="6"/>
  <c r="G279" i="6"/>
  <c r="F279" i="6"/>
  <c r="E279" i="6"/>
  <c r="D279" i="6"/>
  <c r="C279" i="6"/>
  <c r="B279" i="6"/>
  <c r="A279" i="6"/>
  <c r="W278" i="6"/>
  <c r="V278" i="6"/>
  <c r="U278" i="6"/>
  <c r="T278" i="6"/>
  <c r="S278" i="6"/>
  <c r="R278" i="6"/>
  <c r="Q278" i="6"/>
  <c r="P278" i="6"/>
  <c r="O278" i="6"/>
  <c r="N278" i="6"/>
  <c r="M278" i="6"/>
  <c r="L278" i="6"/>
  <c r="K278" i="6"/>
  <c r="I278" i="6"/>
  <c r="H278" i="6"/>
  <c r="G278" i="6"/>
  <c r="F278" i="6"/>
  <c r="E278" i="6"/>
  <c r="D278" i="6"/>
  <c r="C278" i="6"/>
  <c r="B278" i="6"/>
  <c r="A278" i="6"/>
  <c r="W277" i="6"/>
  <c r="V277" i="6"/>
  <c r="U277" i="6"/>
  <c r="T277" i="6"/>
  <c r="S277" i="6"/>
  <c r="R277" i="6"/>
  <c r="Q277" i="6"/>
  <c r="P277" i="6"/>
  <c r="O277" i="6"/>
  <c r="N277" i="6"/>
  <c r="M277" i="6"/>
  <c r="L277" i="6"/>
  <c r="K277" i="6"/>
  <c r="I277" i="6"/>
  <c r="H277" i="6"/>
  <c r="G277" i="6"/>
  <c r="F277" i="6"/>
  <c r="E277" i="6"/>
  <c r="D277" i="6"/>
  <c r="C277" i="6"/>
  <c r="B277" i="6"/>
  <c r="A277" i="6"/>
  <c r="W276" i="6"/>
  <c r="V276" i="6"/>
  <c r="U276" i="6"/>
  <c r="T276" i="6"/>
  <c r="S276" i="6"/>
  <c r="R276" i="6"/>
  <c r="Q276" i="6"/>
  <c r="P276" i="6"/>
  <c r="O276" i="6"/>
  <c r="N276" i="6"/>
  <c r="M276" i="6"/>
  <c r="L276" i="6"/>
  <c r="K276" i="6"/>
  <c r="I276" i="6"/>
  <c r="H276" i="6"/>
  <c r="G276" i="6"/>
  <c r="F276" i="6"/>
  <c r="E276" i="6"/>
  <c r="D276" i="6"/>
  <c r="C276" i="6"/>
  <c r="B276" i="6"/>
  <c r="A276" i="6"/>
  <c r="W275" i="6"/>
  <c r="V275" i="6"/>
  <c r="U275" i="6"/>
  <c r="T275" i="6"/>
  <c r="S275" i="6"/>
  <c r="R275" i="6"/>
  <c r="Q275" i="6"/>
  <c r="P275" i="6"/>
  <c r="O275" i="6"/>
  <c r="N275" i="6"/>
  <c r="M275" i="6"/>
  <c r="L275" i="6"/>
  <c r="K275" i="6"/>
  <c r="I275" i="6"/>
  <c r="H275" i="6"/>
  <c r="G275" i="6"/>
  <c r="F275" i="6"/>
  <c r="E275" i="6"/>
  <c r="D275" i="6"/>
  <c r="C275" i="6"/>
  <c r="B275" i="6"/>
  <c r="A275" i="6"/>
  <c r="W274" i="6"/>
  <c r="V274" i="6"/>
  <c r="U274" i="6"/>
  <c r="T274" i="6"/>
  <c r="S274" i="6"/>
  <c r="R274" i="6"/>
  <c r="Q274" i="6"/>
  <c r="P274" i="6"/>
  <c r="O274" i="6"/>
  <c r="N274" i="6"/>
  <c r="M274" i="6"/>
  <c r="L274" i="6"/>
  <c r="K274" i="6"/>
  <c r="I274" i="6"/>
  <c r="H274" i="6"/>
  <c r="G274" i="6"/>
  <c r="F274" i="6"/>
  <c r="E274" i="6"/>
  <c r="D274" i="6"/>
  <c r="C274" i="6"/>
  <c r="B274" i="6"/>
  <c r="A274" i="6"/>
  <c r="W273" i="6"/>
  <c r="V273" i="6"/>
  <c r="U273" i="6"/>
  <c r="T273" i="6"/>
  <c r="S273" i="6"/>
  <c r="R273" i="6"/>
  <c r="Q273" i="6"/>
  <c r="P273" i="6"/>
  <c r="O273" i="6"/>
  <c r="N273" i="6"/>
  <c r="M273" i="6"/>
  <c r="L273" i="6"/>
  <c r="K273" i="6"/>
  <c r="I273" i="6"/>
  <c r="H273" i="6"/>
  <c r="G273" i="6"/>
  <c r="F273" i="6"/>
  <c r="E273" i="6"/>
  <c r="D273" i="6"/>
  <c r="C273" i="6"/>
  <c r="B273" i="6"/>
  <c r="A273" i="6"/>
  <c r="W272" i="6"/>
  <c r="V272" i="6"/>
  <c r="U272" i="6"/>
  <c r="T272" i="6"/>
  <c r="S272" i="6"/>
  <c r="R272" i="6"/>
  <c r="Q272" i="6"/>
  <c r="P272" i="6"/>
  <c r="O272" i="6"/>
  <c r="N272" i="6"/>
  <c r="M272" i="6"/>
  <c r="L272" i="6"/>
  <c r="K272" i="6"/>
  <c r="I272" i="6"/>
  <c r="H272" i="6"/>
  <c r="G272" i="6"/>
  <c r="F272" i="6"/>
  <c r="E272" i="6"/>
  <c r="D272" i="6"/>
  <c r="C272" i="6"/>
  <c r="B272" i="6"/>
  <c r="A272" i="6"/>
  <c r="W271" i="6"/>
  <c r="V271" i="6"/>
  <c r="U271" i="6"/>
  <c r="T271" i="6"/>
  <c r="S271" i="6"/>
  <c r="R271" i="6"/>
  <c r="Q271" i="6"/>
  <c r="P271" i="6"/>
  <c r="O271" i="6"/>
  <c r="N271" i="6"/>
  <c r="M271" i="6"/>
  <c r="L271" i="6"/>
  <c r="K271" i="6"/>
  <c r="I271" i="6"/>
  <c r="H271" i="6"/>
  <c r="G271" i="6"/>
  <c r="F271" i="6"/>
  <c r="E271" i="6"/>
  <c r="D271" i="6"/>
  <c r="C271" i="6"/>
  <c r="B271" i="6"/>
  <c r="A271" i="6"/>
  <c r="W270" i="6"/>
  <c r="V270" i="6"/>
  <c r="U270" i="6"/>
  <c r="T270" i="6"/>
  <c r="S270" i="6"/>
  <c r="R270" i="6"/>
  <c r="Q270" i="6"/>
  <c r="P270" i="6"/>
  <c r="O270" i="6"/>
  <c r="N270" i="6"/>
  <c r="M270" i="6"/>
  <c r="L270" i="6"/>
  <c r="K270" i="6"/>
  <c r="I270" i="6"/>
  <c r="H270" i="6"/>
  <c r="G270" i="6"/>
  <c r="F270" i="6"/>
  <c r="E270" i="6"/>
  <c r="D270" i="6"/>
  <c r="C270" i="6"/>
  <c r="B270" i="6"/>
  <c r="A270" i="6"/>
  <c r="W269" i="6"/>
  <c r="V269" i="6"/>
  <c r="U269" i="6"/>
  <c r="T269" i="6"/>
  <c r="S269" i="6"/>
  <c r="R269" i="6"/>
  <c r="Q269" i="6"/>
  <c r="P269" i="6"/>
  <c r="O269" i="6"/>
  <c r="N269" i="6"/>
  <c r="M269" i="6"/>
  <c r="L269" i="6"/>
  <c r="K269" i="6"/>
  <c r="I269" i="6"/>
  <c r="H269" i="6"/>
  <c r="G269" i="6"/>
  <c r="F269" i="6"/>
  <c r="E269" i="6"/>
  <c r="D269" i="6"/>
  <c r="C269" i="6"/>
  <c r="B269" i="6"/>
  <c r="A269" i="6"/>
  <c r="W268" i="6"/>
  <c r="V268" i="6"/>
  <c r="U268" i="6"/>
  <c r="T268" i="6"/>
  <c r="S268" i="6"/>
  <c r="R268" i="6"/>
  <c r="Q268" i="6"/>
  <c r="P268" i="6"/>
  <c r="O268" i="6"/>
  <c r="N268" i="6"/>
  <c r="M268" i="6"/>
  <c r="L268" i="6"/>
  <c r="K268" i="6"/>
  <c r="I268" i="6"/>
  <c r="H268" i="6"/>
  <c r="G268" i="6"/>
  <c r="F268" i="6"/>
  <c r="E268" i="6"/>
  <c r="D268" i="6"/>
  <c r="C268" i="6"/>
  <c r="B268" i="6"/>
  <c r="A268" i="6"/>
  <c r="W267" i="6"/>
  <c r="V267" i="6"/>
  <c r="U267" i="6"/>
  <c r="T267" i="6"/>
  <c r="S267" i="6"/>
  <c r="R267" i="6"/>
  <c r="Q267" i="6"/>
  <c r="P267" i="6"/>
  <c r="O267" i="6"/>
  <c r="N267" i="6"/>
  <c r="M267" i="6"/>
  <c r="L267" i="6"/>
  <c r="K267" i="6"/>
  <c r="I267" i="6"/>
  <c r="H267" i="6"/>
  <c r="G267" i="6"/>
  <c r="F267" i="6"/>
  <c r="E267" i="6"/>
  <c r="D267" i="6"/>
  <c r="C267" i="6"/>
  <c r="B267" i="6"/>
  <c r="A267" i="6"/>
  <c r="W266" i="6"/>
  <c r="V266" i="6"/>
  <c r="U266" i="6"/>
  <c r="T266" i="6"/>
  <c r="S266" i="6"/>
  <c r="R266" i="6"/>
  <c r="Q266" i="6"/>
  <c r="P266" i="6"/>
  <c r="O266" i="6"/>
  <c r="N266" i="6"/>
  <c r="M266" i="6"/>
  <c r="L266" i="6"/>
  <c r="K266" i="6"/>
  <c r="I266" i="6"/>
  <c r="H266" i="6"/>
  <c r="G266" i="6"/>
  <c r="F266" i="6"/>
  <c r="E266" i="6"/>
  <c r="D266" i="6"/>
  <c r="C266" i="6"/>
  <c r="B266" i="6"/>
  <c r="A266" i="6"/>
  <c r="W265" i="6"/>
  <c r="V265" i="6"/>
  <c r="U265" i="6"/>
  <c r="T265" i="6"/>
  <c r="S265" i="6"/>
  <c r="R265" i="6"/>
  <c r="Q265" i="6"/>
  <c r="P265" i="6"/>
  <c r="O265" i="6"/>
  <c r="N265" i="6"/>
  <c r="M265" i="6"/>
  <c r="L265" i="6"/>
  <c r="K265" i="6"/>
  <c r="I265" i="6"/>
  <c r="H265" i="6"/>
  <c r="G265" i="6"/>
  <c r="F265" i="6"/>
  <c r="E265" i="6"/>
  <c r="D265" i="6"/>
  <c r="C265" i="6"/>
  <c r="B265" i="6"/>
  <c r="A265" i="6"/>
  <c r="W264" i="6"/>
  <c r="V264" i="6"/>
  <c r="U264" i="6"/>
  <c r="T264" i="6"/>
  <c r="S264" i="6"/>
  <c r="R264" i="6"/>
  <c r="Q264" i="6"/>
  <c r="P264" i="6"/>
  <c r="O264" i="6"/>
  <c r="N264" i="6"/>
  <c r="M264" i="6"/>
  <c r="L264" i="6"/>
  <c r="K264" i="6"/>
  <c r="I264" i="6"/>
  <c r="H264" i="6"/>
  <c r="G264" i="6"/>
  <c r="F264" i="6"/>
  <c r="E264" i="6"/>
  <c r="D264" i="6"/>
  <c r="C264" i="6"/>
  <c r="B264" i="6"/>
  <c r="A264" i="6"/>
  <c r="W263" i="6"/>
  <c r="V263" i="6"/>
  <c r="U263" i="6"/>
  <c r="T263" i="6"/>
  <c r="S263" i="6"/>
  <c r="R263" i="6"/>
  <c r="Q263" i="6"/>
  <c r="P263" i="6"/>
  <c r="O263" i="6"/>
  <c r="N263" i="6"/>
  <c r="M263" i="6"/>
  <c r="L263" i="6"/>
  <c r="K263" i="6"/>
  <c r="I263" i="6"/>
  <c r="H263" i="6"/>
  <c r="G263" i="6"/>
  <c r="F263" i="6"/>
  <c r="E263" i="6"/>
  <c r="D263" i="6"/>
  <c r="C263" i="6"/>
  <c r="B263" i="6"/>
  <c r="A263" i="6"/>
  <c r="W262" i="6"/>
  <c r="V262" i="6"/>
  <c r="U262" i="6"/>
  <c r="T262" i="6"/>
  <c r="S262" i="6"/>
  <c r="R262" i="6"/>
  <c r="Q262" i="6"/>
  <c r="P262" i="6"/>
  <c r="O262" i="6"/>
  <c r="N262" i="6"/>
  <c r="M262" i="6"/>
  <c r="L262" i="6"/>
  <c r="K262" i="6"/>
  <c r="I262" i="6"/>
  <c r="H262" i="6"/>
  <c r="G262" i="6"/>
  <c r="F262" i="6"/>
  <c r="E262" i="6"/>
  <c r="D262" i="6"/>
  <c r="C262" i="6"/>
  <c r="B262" i="6"/>
  <c r="A262" i="6"/>
  <c r="W261" i="6"/>
  <c r="V261" i="6"/>
  <c r="U261" i="6"/>
  <c r="T261" i="6"/>
  <c r="S261" i="6"/>
  <c r="R261" i="6"/>
  <c r="Q261" i="6"/>
  <c r="P261" i="6"/>
  <c r="O261" i="6"/>
  <c r="N261" i="6"/>
  <c r="M261" i="6"/>
  <c r="L261" i="6"/>
  <c r="K261" i="6"/>
  <c r="I261" i="6"/>
  <c r="H261" i="6"/>
  <c r="G261" i="6"/>
  <c r="F261" i="6"/>
  <c r="E261" i="6"/>
  <c r="D261" i="6"/>
  <c r="C261" i="6"/>
  <c r="B261" i="6"/>
  <c r="A261" i="6"/>
  <c r="W260" i="6"/>
  <c r="V260" i="6"/>
  <c r="U260" i="6"/>
  <c r="T260" i="6"/>
  <c r="S260" i="6"/>
  <c r="R260" i="6"/>
  <c r="Q260" i="6"/>
  <c r="P260" i="6"/>
  <c r="O260" i="6"/>
  <c r="N260" i="6"/>
  <c r="M260" i="6"/>
  <c r="L260" i="6"/>
  <c r="K260" i="6"/>
  <c r="I260" i="6"/>
  <c r="H260" i="6"/>
  <c r="G260" i="6"/>
  <c r="F260" i="6"/>
  <c r="E260" i="6"/>
  <c r="D260" i="6"/>
  <c r="C260" i="6"/>
  <c r="B260" i="6"/>
  <c r="A260" i="6"/>
  <c r="W259" i="6"/>
  <c r="V259" i="6"/>
  <c r="U259" i="6"/>
  <c r="T259" i="6"/>
  <c r="S259" i="6"/>
  <c r="R259" i="6"/>
  <c r="Q259" i="6"/>
  <c r="P259" i="6"/>
  <c r="O259" i="6"/>
  <c r="N259" i="6"/>
  <c r="M259" i="6"/>
  <c r="L259" i="6"/>
  <c r="K259" i="6"/>
  <c r="I259" i="6"/>
  <c r="H259" i="6"/>
  <c r="G259" i="6"/>
  <c r="F259" i="6"/>
  <c r="E259" i="6"/>
  <c r="D259" i="6"/>
  <c r="C259" i="6"/>
  <c r="B259" i="6"/>
  <c r="A259" i="6"/>
  <c r="W258" i="6"/>
  <c r="V258" i="6"/>
  <c r="U258" i="6"/>
  <c r="T258" i="6"/>
  <c r="S258" i="6"/>
  <c r="R258" i="6"/>
  <c r="Q258" i="6"/>
  <c r="P258" i="6"/>
  <c r="O258" i="6"/>
  <c r="N258" i="6"/>
  <c r="M258" i="6"/>
  <c r="L258" i="6"/>
  <c r="K258" i="6"/>
  <c r="I258" i="6"/>
  <c r="H258" i="6"/>
  <c r="G258" i="6"/>
  <c r="F258" i="6"/>
  <c r="E258" i="6"/>
  <c r="D258" i="6"/>
  <c r="C258" i="6"/>
  <c r="B258" i="6"/>
  <c r="A258" i="6"/>
  <c r="W257" i="6"/>
  <c r="V257" i="6"/>
  <c r="U257" i="6"/>
  <c r="T257" i="6"/>
  <c r="S257" i="6"/>
  <c r="R257" i="6"/>
  <c r="Q257" i="6"/>
  <c r="P257" i="6"/>
  <c r="O257" i="6"/>
  <c r="N257" i="6"/>
  <c r="M257" i="6"/>
  <c r="L257" i="6"/>
  <c r="K257" i="6"/>
  <c r="I257" i="6"/>
  <c r="H257" i="6"/>
  <c r="G257" i="6"/>
  <c r="F257" i="6"/>
  <c r="E257" i="6"/>
  <c r="D257" i="6"/>
  <c r="C257" i="6"/>
  <c r="B257" i="6"/>
  <c r="A257" i="6"/>
  <c r="W256" i="6"/>
  <c r="V256" i="6"/>
  <c r="U256" i="6"/>
  <c r="T256" i="6"/>
  <c r="S256" i="6"/>
  <c r="R256" i="6"/>
  <c r="Q256" i="6"/>
  <c r="P256" i="6"/>
  <c r="O256" i="6"/>
  <c r="N256" i="6"/>
  <c r="M256" i="6"/>
  <c r="L256" i="6"/>
  <c r="K256" i="6"/>
  <c r="I256" i="6"/>
  <c r="H256" i="6"/>
  <c r="G256" i="6"/>
  <c r="F256" i="6"/>
  <c r="E256" i="6"/>
  <c r="D256" i="6"/>
  <c r="C256" i="6"/>
  <c r="B256" i="6"/>
  <c r="A256" i="6"/>
  <c r="W255" i="6"/>
  <c r="V255" i="6"/>
  <c r="U255" i="6"/>
  <c r="T255" i="6"/>
  <c r="S255" i="6"/>
  <c r="R255" i="6"/>
  <c r="Q255" i="6"/>
  <c r="P255" i="6"/>
  <c r="O255" i="6"/>
  <c r="N255" i="6"/>
  <c r="M255" i="6"/>
  <c r="L255" i="6"/>
  <c r="K255" i="6"/>
  <c r="I255" i="6"/>
  <c r="H255" i="6"/>
  <c r="G255" i="6"/>
  <c r="F255" i="6"/>
  <c r="E255" i="6"/>
  <c r="D255" i="6"/>
  <c r="C255" i="6"/>
  <c r="B255" i="6"/>
  <c r="A255" i="6"/>
  <c r="W254" i="6"/>
  <c r="V254" i="6"/>
  <c r="U254" i="6"/>
  <c r="T254" i="6"/>
  <c r="S254" i="6"/>
  <c r="R254" i="6"/>
  <c r="Q254" i="6"/>
  <c r="P254" i="6"/>
  <c r="O254" i="6"/>
  <c r="N254" i="6"/>
  <c r="M254" i="6"/>
  <c r="L254" i="6"/>
  <c r="K254" i="6"/>
  <c r="I254" i="6"/>
  <c r="H254" i="6"/>
  <c r="G254" i="6"/>
  <c r="F254" i="6"/>
  <c r="E254" i="6"/>
  <c r="D254" i="6"/>
  <c r="C254" i="6"/>
  <c r="B254" i="6"/>
  <c r="A254" i="6"/>
  <c r="W253" i="6"/>
  <c r="V253" i="6"/>
  <c r="U253" i="6"/>
  <c r="T253" i="6"/>
  <c r="S253" i="6"/>
  <c r="R253" i="6"/>
  <c r="Q253" i="6"/>
  <c r="P253" i="6"/>
  <c r="O253" i="6"/>
  <c r="N253" i="6"/>
  <c r="M253" i="6"/>
  <c r="L253" i="6"/>
  <c r="K253" i="6"/>
  <c r="I253" i="6"/>
  <c r="H253" i="6"/>
  <c r="G253" i="6"/>
  <c r="F253" i="6"/>
  <c r="E253" i="6"/>
  <c r="D253" i="6"/>
  <c r="C253" i="6"/>
  <c r="B253" i="6"/>
  <c r="A253" i="6"/>
  <c r="W252" i="6"/>
  <c r="V252" i="6"/>
  <c r="U252" i="6"/>
  <c r="T252" i="6"/>
  <c r="S252" i="6"/>
  <c r="R252" i="6"/>
  <c r="Q252" i="6"/>
  <c r="P252" i="6"/>
  <c r="O252" i="6"/>
  <c r="N252" i="6"/>
  <c r="M252" i="6"/>
  <c r="L252" i="6"/>
  <c r="K252" i="6"/>
  <c r="I252" i="6"/>
  <c r="H252" i="6"/>
  <c r="G252" i="6"/>
  <c r="F252" i="6"/>
  <c r="E252" i="6"/>
  <c r="D252" i="6"/>
  <c r="C252" i="6"/>
  <c r="B252" i="6"/>
  <c r="A252" i="6"/>
  <c r="W251" i="6"/>
  <c r="V251" i="6"/>
  <c r="U251" i="6"/>
  <c r="T251" i="6"/>
  <c r="S251" i="6"/>
  <c r="R251" i="6"/>
  <c r="Q251" i="6"/>
  <c r="P251" i="6"/>
  <c r="O251" i="6"/>
  <c r="N251" i="6"/>
  <c r="M251" i="6"/>
  <c r="L251" i="6"/>
  <c r="K251" i="6"/>
  <c r="I251" i="6"/>
  <c r="H251" i="6"/>
  <c r="G251" i="6"/>
  <c r="F251" i="6"/>
  <c r="E251" i="6"/>
  <c r="D251" i="6"/>
  <c r="C251" i="6"/>
  <c r="B251" i="6"/>
  <c r="A251" i="6"/>
  <c r="W250" i="6"/>
  <c r="V250" i="6"/>
  <c r="U250" i="6"/>
  <c r="T250" i="6"/>
  <c r="S250" i="6"/>
  <c r="R250" i="6"/>
  <c r="Q250" i="6"/>
  <c r="P250" i="6"/>
  <c r="O250" i="6"/>
  <c r="N250" i="6"/>
  <c r="M250" i="6"/>
  <c r="L250" i="6"/>
  <c r="K250" i="6"/>
  <c r="I250" i="6"/>
  <c r="H250" i="6"/>
  <c r="G250" i="6"/>
  <c r="F250" i="6"/>
  <c r="E250" i="6"/>
  <c r="D250" i="6"/>
  <c r="C250" i="6"/>
  <c r="B250" i="6"/>
  <c r="A250" i="6"/>
  <c r="W249" i="6"/>
  <c r="V249" i="6"/>
  <c r="U249" i="6"/>
  <c r="T249" i="6"/>
  <c r="S249" i="6"/>
  <c r="R249" i="6"/>
  <c r="Q249" i="6"/>
  <c r="P249" i="6"/>
  <c r="O249" i="6"/>
  <c r="N249" i="6"/>
  <c r="M249" i="6"/>
  <c r="L249" i="6"/>
  <c r="K249" i="6"/>
  <c r="I249" i="6"/>
  <c r="H249" i="6"/>
  <c r="G249" i="6"/>
  <c r="F249" i="6"/>
  <c r="E249" i="6"/>
  <c r="D249" i="6"/>
  <c r="C249" i="6"/>
  <c r="B249" i="6"/>
  <c r="A249" i="6"/>
  <c r="W248" i="6"/>
  <c r="V248" i="6"/>
  <c r="U248" i="6"/>
  <c r="T248" i="6"/>
  <c r="S248" i="6"/>
  <c r="R248" i="6"/>
  <c r="Q248" i="6"/>
  <c r="P248" i="6"/>
  <c r="O248" i="6"/>
  <c r="N248" i="6"/>
  <c r="M248" i="6"/>
  <c r="L248" i="6"/>
  <c r="K248" i="6"/>
  <c r="I248" i="6"/>
  <c r="H248" i="6"/>
  <c r="G248" i="6"/>
  <c r="F248" i="6"/>
  <c r="E248" i="6"/>
  <c r="D248" i="6"/>
  <c r="C248" i="6"/>
  <c r="B248" i="6"/>
  <c r="A248" i="6"/>
  <c r="W247" i="6"/>
  <c r="V247" i="6"/>
  <c r="U247" i="6"/>
  <c r="T247" i="6"/>
  <c r="S247" i="6"/>
  <c r="R247" i="6"/>
  <c r="Q247" i="6"/>
  <c r="P247" i="6"/>
  <c r="O247" i="6"/>
  <c r="N247" i="6"/>
  <c r="M247" i="6"/>
  <c r="L247" i="6"/>
  <c r="K247" i="6"/>
  <c r="I247" i="6"/>
  <c r="H247" i="6"/>
  <c r="G247" i="6"/>
  <c r="F247" i="6"/>
  <c r="E247" i="6"/>
  <c r="D247" i="6"/>
  <c r="C247" i="6"/>
  <c r="B247" i="6"/>
  <c r="A247" i="6"/>
  <c r="W246" i="6"/>
  <c r="V246" i="6"/>
  <c r="U246" i="6"/>
  <c r="T246" i="6"/>
  <c r="S246" i="6"/>
  <c r="R246" i="6"/>
  <c r="Q246" i="6"/>
  <c r="P246" i="6"/>
  <c r="O246" i="6"/>
  <c r="N246" i="6"/>
  <c r="M246" i="6"/>
  <c r="L246" i="6"/>
  <c r="K246" i="6"/>
  <c r="I246" i="6"/>
  <c r="H246" i="6"/>
  <c r="G246" i="6"/>
  <c r="F246" i="6"/>
  <c r="E246" i="6"/>
  <c r="D246" i="6"/>
  <c r="C246" i="6"/>
  <c r="B246" i="6"/>
  <c r="A246" i="6"/>
  <c r="W245" i="6"/>
  <c r="V245" i="6"/>
  <c r="U245" i="6"/>
  <c r="T245" i="6"/>
  <c r="S245" i="6"/>
  <c r="R245" i="6"/>
  <c r="Q245" i="6"/>
  <c r="P245" i="6"/>
  <c r="O245" i="6"/>
  <c r="N245" i="6"/>
  <c r="M245" i="6"/>
  <c r="L245" i="6"/>
  <c r="K245" i="6"/>
  <c r="I245" i="6"/>
  <c r="H245" i="6"/>
  <c r="G245" i="6"/>
  <c r="F245" i="6"/>
  <c r="E245" i="6"/>
  <c r="D245" i="6"/>
  <c r="C245" i="6"/>
  <c r="B245" i="6"/>
  <c r="A245" i="6"/>
  <c r="W244" i="6"/>
  <c r="V244" i="6"/>
  <c r="U244" i="6"/>
  <c r="T244" i="6"/>
  <c r="S244" i="6"/>
  <c r="R244" i="6"/>
  <c r="Q244" i="6"/>
  <c r="P244" i="6"/>
  <c r="O244" i="6"/>
  <c r="N244" i="6"/>
  <c r="M244" i="6"/>
  <c r="L244" i="6"/>
  <c r="K244" i="6"/>
  <c r="I244" i="6"/>
  <c r="H244" i="6"/>
  <c r="G244" i="6"/>
  <c r="F244" i="6"/>
  <c r="E244" i="6"/>
  <c r="D244" i="6"/>
  <c r="C244" i="6"/>
  <c r="B244" i="6"/>
  <c r="A244" i="6"/>
  <c r="W243" i="6"/>
  <c r="V243" i="6"/>
  <c r="U243" i="6"/>
  <c r="T243" i="6"/>
  <c r="S243" i="6"/>
  <c r="R243" i="6"/>
  <c r="Q243" i="6"/>
  <c r="P243" i="6"/>
  <c r="O243" i="6"/>
  <c r="N243" i="6"/>
  <c r="M243" i="6"/>
  <c r="L243" i="6"/>
  <c r="K243" i="6"/>
  <c r="I243" i="6"/>
  <c r="H243" i="6"/>
  <c r="G243" i="6"/>
  <c r="F243" i="6"/>
  <c r="E243" i="6"/>
  <c r="D243" i="6"/>
  <c r="C243" i="6"/>
  <c r="B243" i="6"/>
  <c r="A243" i="6"/>
  <c r="W242" i="6"/>
  <c r="V242" i="6"/>
  <c r="U242" i="6"/>
  <c r="T242" i="6"/>
  <c r="S242" i="6"/>
  <c r="R242" i="6"/>
  <c r="Q242" i="6"/>
  <c r="P242" i="6"/>
  <c r="O242" i="6"/>
  <c r="N242" i="6"/>
  <c r="M242" i="6"/>
  <c r="L242" i="6"/>
  <c r="K242" i="6"/>
  <c r="I242" i="6"/>
  <c r="H242" i="6"/>
  <c r="G242" i="6"/>
  <c r="F242" i="6"/>
  <c r="E242" i="6"/>
  <c r="D242" i="6"/>
  <c r="C242" i="6"/>
  <c r="B242" i="6"/>
  <c r="A242" i="6"/>
  <c r="W241" i="6"/>
  <c r="V241" i="6"/>
  <c r="U241" i="6"/>
  <c r="T241" i="6"/>
  <c r="S241" i="6"/>
  <c r="R241" i="6"/>
  <c r="Q241" i="6"/>
  <c r="P241" i="6"/>
  <c r="O241" i="6"/>
  <c r="N241" i="6"/>
  <c r="M241" i="6"/>
  <c r="L241" i="6"/>
  <c r="K241" i="6"/>
  <c r="I241" i="6"/>
  <c r="H241" i="6"/>
  <c r="G241" i="6"/>
  <c r="F241" i="6"/>
  <c r="E241" i="6"/>
  <c r="D241" i="6"/>
  <c r="C241" i="6"/>
  <c r="B241" i="6"/>
  <c r="A241" i="6"/>
  <c r="W240" i="6"/>
  <c r="V240" i="6"/>
  <c r="U240" i="6"/>
  <c r="T240" i="6"/>
  <c r="S240" i="6"/>
  <c r="R240" i="6"/>
  <c r="Q240" i="6"/>
  <c r="P240" i="6"/>
  <c r="O240" i="6"/>
  <c r="N240" i="6"/>
  <c r="M240" i="6"/>
  <c r="L240" i="6"/>
  <c r="K240" i="6"/>
  <c r="I240" i="6"/>
  <c r="H240" i="6"/>
  <c r="G240" i="6"/>
  <c r="F240" i="6"/>
  <c r="E240" i="6"/>
  <c r="D240" i="6"/>
  <c r="C240" i="6"/>
  <c r="B240" i="6"/>
  <c r="A240" i="6"/>
  <c r="W239" i="6"/>
  <c r="V239" i="6"/>
  <c r="U239" i="6"/>
  <c r="T239" i="6"/>
  <c r="S239" i="6"/>
  <c r="R239" i="6"/>
  <c r="Q239" i="6"/>
  <c r="P239" i="6"/>
  <c r="O239" i="6"/>
  <c r="N239" i="6"/>
  <c r="M239" i="6"/>
  <c r="L239" i="6"/>
  <c r="K239" i="6"/>
  <c r="I239" i="6"/>
  <c r="H239" i="6"/>
  <c r="G239" i="6"/>
  <c r="F239" i="6"/>
  <c r="E239" i="6"/>
  <c r="D239" i="6"/>
  <c r="C239" i="6"/>
  <c r="B239" i="6"/>
  <c r="A239" i="6"/>
  <c r="W238" i="6"/>
  <c r="V238" i="6"/>
  <c r="U238" i="6"/>
  <c r="T238" i="6"/>
  <c r="S238" i="6"/>
  <c r="R238" i="6"/>
  <c r="Q238" i="6"/>
  <c r="P238" i="6"/>
  <c r="O238" i="6"/>
  <c r="N238" i="6"/>
  <c r="M238" i="6"/>
  <c r="L238" i="6"/>
  <c r="K238" i="6"/>
  <c r="I238" i="6"/>
  <c r="H238" i="6"/>
  <c r="G238" i="6"/>
  <c r="F238" i="6"/>
  <c r="E238" i="6"/>
  <c r="D238" i="6"/>
  <c r="C238" i="6"/>
  <c r="B238" i="6"/>
  <c r="A238" i="6"/>
  <c r="W237" i="6"/>
  <c r="V237" i="6"/>
  <c r="U237" i="6"/>
  <c r="T237" i="6"/>
  <c r="S237" i="6"/>
  <c r="R237" i="6"/>
  <c r="Q237" i="6"/>
  <c r="P237" i="6"/>
  <c r="O237" i="6"/>
  <c r="N237" i="6"/>
  <c r="M237" i="6"/>
  <c r="L237" i="6"/>
  <c r="K237" i="6"/>
  <c r="I237" i="6"/>
  <c r="H237" i="6"/>
  <c r="G237" i="6"/>
  <c r="F237" i="6"/>
  <c r="E237" i="6"/>
  <c r="D237" i="6"/>
  <c r="C237" i="6"/>
  <c r="B237" i="6"/>
  <c r="A237" i="6"/>
  <c r="W236" i="6"/>
  <c r="V236" i="6"/>
  <c r="U236" i="6"/>
  <c r="T236" i="6"/>
  <c r="S236" i="6"/>
  <c r="R236" i="6"/>
  <c r="Q236" i="6"/>
  <c r="P236" i="6"/>
  <c r="O236" i="6"/>
  <c r="N236" i="6"/>
  <c r="M236" i="6"/>
  <c r="L236" i="6"/>
  <c r="K236" i="6"/>
  <c r="I236" i="6"/>
  <c r="H236" i="6"/>
  <c r="G236" i="6"/>
  <c r="F236" i="6"/>
  <c r="E236" i="6"/>
  <c r="D236" i="6"/>
  <c r="C236" i="6"/>
  <c r="B236" i="6"/>
  <c r="A236" i="6"/>
  <c r="W235" i="6"/>
  <c r="V235" i="6"/>
  <c r="U235" i="6"/>
  <c r="T235" i="6"/>
  <c r="S235" i="6"/>
  <c r="R235" i="6"/>
  <c r="Q235" i="6"/>
  <c r="P235" i="6"/>
  <c r="O235" i="6"/>
  <c r="N235" i="6"/>
  <c r="M235" i="6"/>
  <c r="L235" i="6"/>
  <c r="K235" i="6"/>
  <c r="I235" i="6"/>
  <c r="H235" i="6"/>
  <c r="G235" i="6"/>
  <c r="F235" i="6"/>
  <c r="E235" i="6"/>
  <c r="D235" i="6"/>
  <c r="C235" i="6"/>
  <c r="B235" i="6"/>
  <c r="A235" i="6"/>
  <c r="W234" i="6"/>
  <c r="V234" i="6"/>
  <c r="U234" i="6"/>
  <c r="T234" i="6"/>
  <c r="S234" i="6"/>
  <c r="R234" i="6"/>
  <c r="Q234" i="6"/>
  <c r="P234" i="6"/>
  <c r="O234" i="6"/>
  <c r="N234" i="6"/>
  <c r="M234" i="6"/>
  <c r="L234" i="6"/>
  <c r="K234" i="6"/>
  <c r="I234" i="6"/>
  <c r="H234" i="6"/>
  <c r="G234" i="6"/>
  <c r="F234" i="6"/>
  <c r="E234" i="6"/>
  <c r="D234" i="6"/>
  <c r="C234" i="6"/>
  <c r="B234" i="6"/>
  <c r="A234" i="6"/>
  <c r="W233" i="6"/>
  <c r="V233" i="6"/>
  <c r="U233" i="6"/>
  <c r="T233" i="6"/>
  <c r="S233" i="6"/>
  <c r="R233" i="6"/>
  <c r="Q233" i="6"/>
  <c r="P233" i="6"/>
  <c r="O233" i="6"/>
  <c r="N233" i="6"/>
  <c r="M233" i="6"/>
  <c r="L233" i="6"/>
  <c r="K233" i="6"/>
  <c r="I233" i="6"/>
  <c r="H233" i="6"/>
  <c r="G233" i="6"/>
  <c r="F233" i="6"/>
  <c r="E233" i="6"/>
  <c r="D233" i="6"/>
  <c r="C233" i="6"/>
  <c r="B233" i="6"/>
  <c r="A233" i="6"/>
  <c r="W232" i="6"/>
  <c r="V232" i="6"/>
  <c r="U232" i="6"/>
  <c r="T232" i="6"/>
  <c r="S232" i="6"/>
  <c r="R232" i="6"/>
  <c r="Q232" i="6"/>
  <c r="P232" i="6"/>
  <c r="O232" i="6"/>
  <c r="N232" i="6"/>
  <c r="M232" i="6"/>
  <c r="L232" i="6"/>
  <c r="K232" i="6"/>
  <c r="I232" i="6"/>
  <c r="H232" i="6"/>
  <c r="G232" i="6"/>
  <c r="F232" i="6"/>
  <c r="E232" i="6"/>
  <c r="D232" i="6"/>
  <c r="C232" i="6"/>
  <c r="B232" i="6"/>
  <c r="A232" i="6"/>
  <c r="W231" i="6"/>
  <c r="V231" i="6"/>
  <c r="U231" i="6"/>
  <c r="T231" i="6"/>
  <c r="S231" i="6"/>
  <c r="R231" i="6"/>
  <c r="Q231" i="6"/>
  <c r="P231" i="6"/>
  <c r="O231" i="6"/>
  <c r="N231" i="6"/>
  <c r="M231" i="6"/>
  <c r="L231" i="6"/>
  <c r="K231" i="6"/>
  <c r="I231" i="6"/>
  <c r="H231" i="6"/>
  <c r="G231" i="6"/>
  <c r="F231" i="6"/>
  <c r="E231" i="6"/>
  <c r="D231" i="6"/>
  <c r="C231" i="6"/>
  <c r="B231" i="6"/>
  <c r="A231" i="6"/>
  <c r="W230" i="6"/>
  <c r="V230" i="6"/>
  <c r="U230" i="6"/>
  <c r="T230" i="6"/>
  <c r="S230" i="6"/>
  <c r="R230" i="6"/>
  <c r="Q230" i="6"/>
  <c r="P230" i="6"/>
  <c r="O230" i="6"/>
  <c r="N230" i="6"/>
  <c r="M230" i="6"/>
  <c r="L230" i="6"/>
  <c r="K230" i="6"/>
  <c r="I230" i="6"/>
  <c r="H230" i="6"/>
  <c r="G230" i="6"/>
  <c r="F230" i="6"/>
  <c r="E230" i="6"/>
  <c r="D230" i="6"/>
  <c r="C230" i="6"/>
  <c r="B230" i="6"/>
  <c r="A230" i="6"/>
  <c r="W229" i="6"/>
  <c r="V229" i="6"/>
  <c r="U229" i="6"/>
  <c r="T229" i="6"/>
  <c r="S229" i="6"/>
  <c r="R229" i="6"/>
  <c r="Q229" i="6"/>
  <c r="P229" i="6"/>
  <c r="O229" i="6"/>
  <c r="N229" i="6"/>
  <c r="M229" i="6"/>
  <c r="L229" i="6"/>
  <c r="K229" i="6"/>
  <c r="I229" i="6"/>
  <c r="H229" i="6"/>
  <c r="G229" i="6"/>
  <c r="F229" i="6"/>
  <c r="E229" i="6"/>
  <c r="D229" i="6"/>
  <c r="C229" i="6"/>
  <c r="B229" i="6"/>
  <c r="A229" i="6"/>
  <c r="W228" i="6"/>
  <c r="V228" i="6"/>
  <c r="U228" i="6"/>
  <c r="T228" i="6"/>
  <c r="S228" i="6"/>
  <c r="R228" i="6"/>
  <c r="Q228" i="6"/>
  <c r="P228" i="6"/>
  <c r="O228" i="6"/>
  <c r="N228" i="6"/>
  <c r="M228" i="6"/>
  <c r="L228" i="6"/>
  <c r="K228" i="6"/>
  <c r="I228" i="6"/>
  <c r="H228" i="6"/>
  <c r="G228" i="6"/>
  <c r="F228" i="6"/>
  <c r="E228" i="6"/>
  <c r="D228" i="6"/>
  <c r="C228" i="6"/>
  <c r="B228" i="6"/>
  <c r="A228" i="6"/>
  <c r="W227" i="6"/>
  <c r="V227" i="6"/>
  <c r="U227" i="6"/>
  <c r="T227" i="6"/>
  <c r="S227" i="6"/>
  <c r="R227" i="6"/>
  <c r="Q227" i="6"/>
  <c r="P227" i="6"/>
  <c r="O227" i="6"/>
  <c r="N227" i="6"/>
  <c r="M227" i="6"/>
  <c r="L227" i="6"/>
  <c r="K227" i="6"/>
  <c r="I227" i="6"/>
  <c r="H227" i="6"/>
  <c r="G227" i="6"/>
  <c r="F227" i="6"/>
  <c r="E227" i="6"/>
  <c r="D227" i="6"/>
  <c r="C227" i="6"/>
  <c r="B227" i="6"/>
  <c r="A227" i="6"/>
  <c r="W226" i="6"/>
  <c r="V226" i="6"/>
  <c r="U226" i="6"/>
  <c r="T226" i="6"/>
  <c r="S226" i="6"/>
  <c r="R226" i="6"/>
  <c r="Q226" i="6"/>
  <c r="P226" i="6"/>
  <c r="O226" i="6"/>
  <c r="N226" i="6"/>
  <c r="M226" i="6"/>
  <c r="L226" i="6"/>
  <c r="K226" i="6"/>
  <c r="I226" i="6"/>
  <c r="H226" i="6"/>
  <c r="G226" i="6"/>
  <c r="F226" i="6"/>
  <c r="E226" i="6"/>
  <c r="D226" i="6"/>
  <c r="C226" i="6"/>
  <c r="B226" i="6"/>
  <c r="A226" i="6"/>
  <c r="W225" i="6"/>
  <c r="V225" i="6"/>
  <c r="U225" i="6"/>
  <c r="T225" i="6"/>
  <c r="S225" i="6"/>
  <c r="R225" i="6"/>
  <c r="Q225" i="6"/>
  <c r="P225" i="6"/>
  <c r="O225" i="6"/>
  <c r="N225" i="6"/>
  <c r="M225" i="6"/>
  <c r="L225" i="6"/>
  <c r="K225" i="6"/>
  <c r="I225" i="6"/>
  <c r="H225" i="6"/>
  <c r="G225" i="6"/>
  <c r="F225" i="6"/>
  <c r="E225" i="6"/>
  <c r="D225" i="6"/>
  <c r="C225" i="6"/>
  <c r="B225" i="6"/>
  <c r="A225" i="6"/>
  <c r="W224" i="6"/>
  <c r="V224" i="6"/>
  <c r="U224" i="6"/>
  <c r="T224" i="6"/>
  <c r="S224" i="6"/>
  <c r="R224" i="6"/>
  <c r="Q224" i="6"/>
  <c r="P224" i="6"/>
  <c r="O224" i="6"/>
  <c r="N224" i="6"/>
  <c r="M224" i="6"/>
  <c r="L224" i="6"/>
  <c r="K224" i="6"/>
  <c r="I224" i="6"/>
  <c r="H224" i="6"/>
  <c r="G224" i="6"/>
  <c r="F224" i="6"/>
  <c r="E224" i="6"/>
  <c r="D224" i="6"/>
  <c r="C224" i="6"/>
  <c r="B224" i="6"/>
  <c r="A224" i="6"/>
  <c r="W223" i="6"/>
  <c r="V223" i="6"/>
  <c r="U223" i="6"/>
  <c r="T223" i="6"/>
  <c r="S223" i="6"/>
  <c r="R223" i="6"/>
  <c r="Q223" i="6"/>
  <c r="P223" i="6"/>
  <c r="O223" i="6"/>
  <c r="N223" i="6"/>
  <c r="M223" i="6"/>
  <c r="L223" i="6"/>
  <c r="K223" i="6"/>
  <c r="I223" i="6"/>
  <c r="H223" i="6"/>
  <c r="G223" i="6"/>
  <c r="F223" i="6"/>
  <c r="E223" i="6"/>
  <c r="D223" i="6"/>
  <c r="C223" i="6"/>
  <c r="B223" i="6"/>
  <c r="A223" i="6"/>
  <c r="W222" i="6"/>
  <c r="V222" i="6"/>
  <c r="U222" i="6"/>
  <c r="T222" i="6"/>
  <c r="S222" i="6"/>
  <c r="R222" i="6"/>
  <c r="Q222" i="6"/>
  <c r="P222" i="6"/>
  <c r="O222" i="6"/>
  <c r="N222" i="6"/>
  <c r="M222" i="6"/>
  <c r="L222" i="6"/>
  <c r="K222" i="6"/>
  <c r="I222" i="6"/>
  <c r="H222" i="6"/>
  <c r="G222" i="6"/>
  <c r="F222" i="6"/>
  <c r="E222" i="6"/>
  <c r="D222" i="6"/>
  <c r="C222" i="6"/>
  <c r="B222" i="6"/>
  <c r="A222" i="6"/>
  <c r="W221" i="6"/>
  <c r="V221" i="6"/>
  <c r="U221" i="6"/>
  <c r="T221" i="6"/>
  <c r="S221" i="6"/>
  <c r="R221" i="6"/>
  <c r="Q221" i="6"/>
  <c r="P221" i="6"/>
  <c r="O221" i="6"/>
  <c r="N221" i="6"/>
  <c r="M221" i="6"/>
  <c r="L221" i="6"/>
  <c r="K221" i="6"/>
  <c r="I221" i="6"/>
  <c r="H221" i="6"/>
  <c r="G221" i="6"/>
  <c r="F221" i="6"/>
  <c r="E221" i="6"/>
  <c r="D221" i="6"/>
  <c r="C221" i="6"/>
  <c r="B221" i="6"/>
  <c r="A221" i="6"/>
  <c r="W220" i="6"/>
  <c r="V220" i="6"/>
  <c r="U220" i="6"/>
  <c r="T220" i="6"/>
  <c r="S220" i="6"/>
  <c r="R220" i="6"/>
  <c r="Q220" i="6"/>
  <c r="P220" i="6"/>
  <c r="O220" i="6"/>
  <c r="N220" i="6"/>
  <c r="M220" i="6"/>
  <c r="L220" i="6"/>
  <c r="K220" i="6"/>
  <c r="I220" i="6"/>
  <c r="H220" i="6"/>
  <c r="G220" i="6"/>
  <c r="F220" i="6"/>
  <c r="E220" i="6"/>
  <c r="D220" i="6"/>
  <c r="C220" i="6"/>
  <c r="B220" i="6"/>
  <c r="A220" i="6"/>
  <c r="W219" i="6"/>
  <c r="V219" i="6"/>
  <c r="U219" i="6"/>
  <c r="T219" i="6"/>
  <c r="S219" i="6"/>
  <c r="R219" i="6"/>
  <c r="Q219" i="6"/>
  <c r="P219" i="6"/>
  <c r="O219" i="6"/>
  <c r="N219" i="6"/>
  <c r="M219" i="6"/>
  <c r="L219" i="6"/>
  <c r="K219" i="6"/>
  <c r="I219" i="6"/>
  <c r="H219" i="6"/>
  <c r="G219" i="6"/>
  <c r="F219" i="6"/>
  <c r="E219" i="6"/>
  <c r="D219" i="6"/>
  <c r="C219" i="6"/>
  <c r="B219" i="6"/>
  <c r="A219" i="6"/>
  <c r="W218" i="6"/>
  <c r="V218" i="6"/>
  <c r="U218" i="6"/>
  <c r="T218" i="6"/>
  <c r="S218" i="6"/>
  <c r="R218" i="6"/>
  <c r="Q218" i="6"/>
  <c r="P218" i="6"/>
  <c r="O218" i="6"/>
  <c r="N218" i="6"/>
  <c r="M218" i="6"/>
  <c r="L218" i="6"/>
  <c r="K218" i="6"/>
  <c r="I218" i="6"/>
  <c r="H218" i="6"/>
  <c r="G218" i="6"/>
  <c r="F218" i="6"/>
  <c r="E218" i="6"/>
  <c r="D218" i="6"/>
  <c r="C218" i="6"/>
  <c r="B218" i="6"/>
  <c r="A218" i="6"/>
  <c r="W217" i="6"/>
  <c r="V217" i="6"/>
  <c r="U217" i="6"/>
  <c r="T217" i="6"/>
  <c r="S217" i="6"/>
  <c r="R217" i="6"/>
  <c r="Q217" i="6"/>
  <c r="P217" i="6"/>
  <c r="O217" i="6"/>
  <c r="N217" i="6"/>
  <c r="M217" i="6"/>
  <c r="L217" i="6"/>
  <c r="K217" i="6"/>
  <c r="I217" i="6"/>
  <c r="H217" i="6"/>
  <c r="G217" i="6"/>
  <c r="F217" i="6"/>
  <c r="E217" i="6"/>
  <c r="D217" i="6"/>
  <c r="C217" i="6"/>
  <c r="B217" i="6"/>
  <c r="A217" i="6"/>
  <c r="W216" i="6"/>
  <c r="V216" i="6"/>
  <c r="U216" i="6"/>
  <c r="T216" i="6"/>
  <c r="S216" i="6"/>
  <c r="R216" i="6"/>
  <c r="Q216" i="6"/>
  <c r="P216" i="6"/>
  <c r="O216" i="6"/>
  <c r="N216" i="6"/>
  <c r="M216" i="6"/>
  <c r="L216" i="6"/>
  <c r="K216" i="6"/>
  <c r="I216" i="6"/>
  <c r="H216" i="6"/>
  <c r="G216" i="6"/>
  <c r="F216" i="6"/>
  <c r="E216" i="6"/>
  <c r="D216" i="6"/>
  <c r="C216" i="6"/>
  <c r="B216" i="6"/>
  <c r="A216" i="6"/>
  <c r="W215" i="6"/>
  <c r="V215" i="6"/>
  <c r="U215" i="6"/>
  <c r="T215" i="6"/>
  <c r="S215" i="6"/>
  <c r="R215" i="6"/>
  <c r="Q215" i="6"/>
  <c r="P215" i="6"/>
  <c r="O215" i="6"/>
  <c r="N215" i="6"/>
  <c r="M215" i="6"/>
  <c r="L215" i="6"/>
  <c r="K215" i="6"/>
  <c r="I215" i="6"/>
  <c r="H215" i="6"/>
  <c r="G215" i="6"/>
  <c r="F215" i="6"/>
  <c r="E215" i="6"/>
  <c r="D215" i="6"/>
  <c r="C215" i="6"/>
  <c r="B215" i="6"/>
  <c r="A215" i="6"/>
  <c r="W214" i="6"/>
  <c r="V214" i="6"/>
  <c r="U214" i="6"/>
  <c r="T214" i="6"/>
  <c r="S214" i="6"/>
  <c r="R214" i="6"/>
  <c r="Q214" i="6"/>
  <c r="P214" i="6"/>
  <c r="O214" i="6"/>
  <c r="N214" i="6"/>
  <c r="M214" i="6"/>
  <c r="L214" i="6"/>
  <c r="K214" i="6"/>
  <c r="I214" i="6"/>
  <c r="H214" i="6"/>
  <c r="G214" i="6"/>
  <c r="F214" i="6"/>
  <c r="E214" i="6"/>
  <c r="D214" i="6"/>
  <c r="C214" i="6"/>
  <c r="B214" i="6"/>
  <c r="A214" i="6"/>
  <c r="W213" i="6"/>
  <c r="V213" i="6"/>
  <c r="U213" i="6"/>
  <c r="T213" i="6"/>
  <c r="S213" i="6"/>
  <c r="R213" i="6"/>
  <c r="Q213" i="6"/>
  <c r="P213" i="6"/>
  <c r="O213" i="6"/>
  <c r="N213" i="6"/>
  <c r="M213" i="6"/>
  <c r="L213" i="6"/>
  <c r="K213" i="6"/>
  <c r="I213" i="6"/>
  <c r="H213" i="6"/>
  <c r="G213" i="6"/>
  <c r="F213" i="6"/>
  <c r="E213" i="6"/>
  <c r="D213" i="6"/>
  <c r="C213" i="6"/>
  <c r="B213" i="6"/>
  <c r="A213" i="6"/>
  <c r="W212" i="6"/>
  <c r="V212" i="6"/>
  <c r="U212" i="6"/>
  <c r="T212" i="6"/>
  <c r="S212" i="6"/>
  <c r="R212" i="6"/>
  <c r="Q212" i="6"/>
  <c r="P212" i="6"/>
  <c r="O212" i="6"/>
  <c r="N212" i="6"/>
  <c r="M212" i="6"/>
  <c r="L212" i="6"/>
  <c r="K212" i="6"/>
  <c r="I212" i="6"/>
  <c r="H212" i="6"/>
  <c r="G212" i="6"/>
  <c r="F212" i="6"/>
  <c r="E212" i="6"/>
  <c r="D212" i="6"/>
  <c r="C212" i="6"/>
  <c r="B212" i="6"/>
  <c r="A212" i="6"/>
  <c r="W211" i="6"/>
  <c r="V211" i="6"/>
  <c r="U211" i="6"/>
  <c r="T211" i="6"/>
  <c r="S211" i="6"/>
  <c r="R211" i="6"/>
  <c r="Q211" i="6"/>
  <c r="P211" i="6"/>
  <c r="O211" i="6"/>
  <c r="N211" i="6"/>
  <c r="M211" i="6"/>
  <c r="L211" i="6"/>
  <c r="K211" i="6"/>
  <c r="I211" i="6"/>
  <c r="H211" i="6"/>
  <c r="G211" i="6"/>
  <c r="F211" i="6"/>
  <c r="E211" i="6"/>
  <c r="D211" i="6"/>
  <c r="C211" i="6"/>
  <c r="B211" i="6"/>
  <c r="A211" i="6"/>
  <c r="W210" i="6"/>
  <c r="V210" i="6"/>
  <c r="U210" i="6"/>
  <c r="T210" i="6"/>
  <c r="S210" i="6"/>
  <c r="R210" i="6"/>
  <c r="Q210" i="6"/>
  <c r="P210" i="6"/>
  <c r="O210" i="6"/>
  <c r="N210" i="6"/>
  <c r="M210" i="6"/>
  <c r="L210" i="6"/>
  <c r="K210" i="6"/>
  <c r="I210" i="6"/>
  <c r="H210" i="6"/>
  <c r="G210" i="6"/>
  <c r="F210" i="6"/>
  <c r="E210" i="6"/>
  <c r="D210" i="6"/>
  <c r="C210" i="6"/>
  <c r="B210" i="6"/>
  <c r="A210" i="6"/>
  <c r="W209" i="6"/>
  <c r="V209" i="6"/>
  <c r="U209" i="6"/>
  <c r="T209" i="6"/>
  <c r="S209" i="6"/>
  <c r="R209" i="6"/>
  <c r="Q209" i="6"/>
  <c r="P209" i="6"/>
  <c r="O209" i="6"/>
  <c r="N209" i="6"/>
  <c r="M209" i="6"/>
  <c r="L209" i="6"/>
  <c r="K209" i="6"/>
  <c r="I209" i="6"/>
  <c r="H209" i="6"/>
  <c r="G209" i="6"/>
  <c r="F209" i="6"/>
  <c r="E209" i="6"/>
  <c r="D209" i="6"/>
  <c r="C209" i="6"/>
  <c r="B209" i="6"/>
  <c r="A209" i="6"/>
  <c r="W208" i="6"/>
  <c r="V208" i="6"/>
  <c r="U208" i="6"/>
  <c r="T208" i="6"/>
  <c r="S208" i="6"/>
  <c r="R208" i="6"/>
  <c r="Q208" i="6"/>
  <c r="P208" i="6"/>
  <c r="O208" i="6"/>
  <c r="N208" i="6"/>
  <c r="M208" i="6"/>
  <c r="L208" i="6"/>
  <c r="K208" i="6"/>
  <c r="I208" i="6"/>
  <c r="H208" i="6"/>
  <c r="G208" i="6"/>
  <c r="F208" i="6"/>
  <c r="E208" i="6"/>
  <c r="D208" i="6"/>
  <c r="C208" i="6"/>
  <c r="B208" i="6"/>
  <c r="A208" i="6"/>
  <c r="W207" i="6"/>
  <c r="V207" i="6"/>
  <c r="U207" i="6"/>
  <c r="T207" i="6"/>
  <c r="S207" i="6"/>
  <c r="R207" i="6"/>
  <c r="Q207" i="6"/>
  <c r="P207" i="6"/>
  <c r="O207" i="6"/>
  <c r="N207" i="6"/>
  <c r="M207" i="6"/>
  <c r="L207" i="6"/>
  <c r="K207" i="6"/>
  <c r="I207" i="6"/>
  <c r="H207" i="6"/>
  <c r="G207" i="6"/>
  <c r="F207" i="6"/>
  <c r="E207" i="6"/>
  <c r="D207" i="6"/>
  <c r="C207" i="6"/>
  <c r="B207" i="6"/>
  <c r="A207" i="6"/>
  <c r="W206" i="6"/>
  <c r="V206" i="6"/>
  <c r="U206" i="6"/>
  <c r="T206" i="6"/>
  <c r="S206" i="6"/>
  <c r="R206" i="6"/>
  <c r="Q206" i="6"/>
  <c r="P206" i="6"/>
  <c r="O206" i="6"/>
  <c r="N206" i="6"/>
  <c r="M206" i="6"/>
  <c r="L206" i="6"/>
  <c r="K206" i="6"/>
  <c r="I206" i="6"/>
  <c r="H206" i="6"/>
  <c r="G206" i="6"/>
  <c r="F206" i="6"/>
  <c r="E206" i="6"/>
  <c r="D206" i="6"/>
  <c r="C206" i="6"/>
  <c r="B206" i="6"/>
  <c r="A206" i="6"/>
  <c r="W205" i="6"/>
  <c r="V205" i="6"/>
  <c r="U205" i="6"/>
  <c r="T205" i="6"/>
  <c r="S205" i="6"/>
  <c r="R205" i="6"/>
  <c r="Q205" i="6"/>
  <c r="P205" i="6"/>
  <c r="O205" i="6"/>
  <c r="N205" i="6"/>
  <c r="M205" i="6"/>
  <c r="L205" i="6"/>
  <c r="K205" i="6"/>
  <c r="I205" i="6"/>
  <c r="H205" i="6"/>
  <c r="G205" i="6"/>
  <c r="F205" i="6"/>
  <c r="E205" i="6"/>
  <c r="D205" i="6"/>
  <c r="C205" i="6"/>
  <c r="B205" i="6"/>
  <c r="A205" i="6"/>
  <c r="W204" i="6"/>
  <c r="V204" i="6"/>
  <c r="U204" i="6"/>
  <c r="T204" i="6"/>
  <c r="S204" i="6"/>
  <c r="R204" i="6"/>
  <c r="Q204" i="6"/>
  <c r="P204" i="6"/>
  <c r="O204" i="6"/>
  <c r="N204" i="6"/>
  <c r="M204" i="6"/>
  <c r="L204" i="6"/>
  <c r="K204" i="6"/>
  <c r="I204" i="6"/>
  <c r="H204" i="6"/>
  <c r="G204" i="6"/>
  <c r="F204" i="6"/>
  <c r="E204" i="6"/>
  <c r="D204" i="6"/>
  <c r="C204" i="6"/>
  <c r="B204" i="6"/>
  <c r="A204" i="6"/>
  <c r="W203" i="6"/>
  <c r="V203" i="6"/>
  <c r="U203" i="6"/>
  <c r="T203" i="6"/>
  <c r="S203" i="6"/>
  <c r="R203" i="6"/>
  <c r="Q203" i="6"/>
  <c r="P203" i="6"/>
  <c r="O203" i="6"/>
  <c r="N203" i="6"/>
  <c r="M203" i="6"/>
  <c r="L203" i="6"/>
  <c r="K203" i="6"/>
  <c r="I203" i="6"/>
  <c r="H203" i="6"/>
  <c r="G203" i="6"/>
  <c r="F203" i="6"/>
  <c r="E203" i="6"/>
  <c r="D203" i="6"/>
  <c r="C203" i="6"/>
  <c r="B203" i="6"/>
  <c r="A203" i="6"/>
  <c r="W202" i="6"/>
  <c r="V202" i="6"/>
  <c r="U202" i="6"/>
  <c r="T202" i="6"/>
  <c r="S202" i="6"/>
  <c r="R202" i="6"/>
  <c r="Q202" i="6"/>
  <c r="P202" i="6"/>
  <c r="O202" i="6"/>
  <c r="N202" i="6"/>
  <c r="M202" i="6"/>
  <c r="L202" i="6"/>
  <c r="K202" i="6"/>
  <c r="I202" i="6"/>
  <c r="H202" i="6"/>
  <c r="G202" i="6"/>
  <c r="F202" i="6"/>
  <c r="E202" i="6"/>
  <c r="D202" i="6"/>
  <c r="C202" i="6"/>
  <c r="B202" i="6"/>
  <c r="A202" i="6"/>
  <c r="W201" i="6"/>
  <c r="V201" i="6"/>
  <c r="U201" i="6"/>
  <c r="T201" i="6"/>
  <c r="S201" i="6"/>
  <c r="R201" i="6"/>
  <c r="Q201" i="6"/>
  <c r="P201" i="6"/>
  <c r="O201" i="6"/>
  <c r="N201" i="6"/>
  <c r="M201" i="6"/>
  <c r="L201" i="6"/>
  <c r="K201" i="6"/>
  <c r="I201" i="6"/>
  <c r="H201" i="6"/>
  <c r="G201" i="6"/>
  <c r="F201" i="6"/>
  <c r="E201" i="6"/>
  <c r="D201" i="6"/>
  <c r="C201" i="6"/>
  <c r="B201" i="6"/>
  <c r="A201" i="6"/>
  <c r="W200" i="6"/>
  <c r="V200" i="6"/>
  <c r="U200" i="6"/>
  <c r="T200" i="6"/>
  <c r="S200" i="6"/>
  <c r="R200" i="6"/>
  <c r="Q200" i="6"/>
  <c r="P200" i="6"/>
  <c r="O200" i="6"/>
  <c r="N200" i="6"/>
  <c r="M200" i="6"/>
  <c r="L200" i="6"/>
  <c r="K200" i="6"/>
  <c r="I200" i="6"/>
  <c r="H200" i="6"/>
  <c r="G200" i="6"/>
  <c r="F200" i="6"/>
  <c r="E200" i="6"/>
  <c r="D200" i="6"/>
  <c r="C200" i="6"/>
  <c r="B200" i="6"/>
  <c r="A200" i="6"/>
  <c r="W199" i="6"/>
  <c r="V199" i="6"/>
  <c r="U199" i="6"/>
  <c r="T199" i="6"/>
  <c r="S199" i="6"/>
  <c r="R199" i="6"/>
  <c r="Q199" i="6"/>
  <c r="P199" i="6"/>
  <c r="O199" i="6"/>
  <c r="N199" i="6"/>
  <c r="M199" i="6"/>
  <c r="L199" i="6"/>
  <c r="K199" i="6"/>
  <c r="I199" i="6"/>
  <c r="H199" i="6"/>
  <c r="G199" i="6"/>
  <c r="F199" i="6"/>
  <c r="E199" i="6"/>
  <c r="D199" i="6"/>
  <c r="C199" i="6"/>
  <c r="B199" i="6"/>
  <c r="A199" i="6"/>
  <c r="W198" i="6"/>
  <c r="V198" i="6"/>
  <c r="U198" i="6"/>
  <c r="T198" i="6"/>
  <c r="S198" i="6"/>
  <c r="R198" i="6"/>
  <c r="Q198" i="6"/>
  <c r="P198" i="6"/>
  <c r="O198" i="6"/>
  <c r="N198" i="6"/>
  <c r="M198" i="6"/>
  <c r="L198" i="6"/>
  <c r="K198" i="6"/>
  <c r="I198" i="6"/>
  <c r="H198" i="6"/>
  <c r="G198" i="6"/>
  <c r="F198" i="6"/>
  <c r="E198" i="6"/>
  <c r="D198" i="6"/>
  <c r="C198" i="6"/>
  <c r="B198" i="6"/>
  <c r="A198" i="6"/>
  <c r="W197" i="6"/>
  <c r="V197" i="6"/>
  <c r="U197" i="6"/>
  <c r="T197" i="6"/>
  <c r="S197" i="6"/>
  <c r="R197" i="6"/>
  <c r="Q197" i="6"/>
  <c r="P197" i="6"/>
  <c r="O197" i="6"/>
  <c r="N197" i="6"/>
  <c r="M197" i="6"/>
  <c r="L197" i="6"/>
  <c r="K197" i="6"/>
  <c r="I197" i="6"/>
  <c r="H197" i="6"/>
  <c r="G197" i="6"/>
  <c r="F197" i="6"/>
  <c r="E197" i="6"/>
  <c r="D197" i="6"/>
  <c r="C197" i="6"/>
  <c r="B197" i="6"/>
  <c r="A197" i="6"/>
  <c r="W196" i="6"/>
  <c r="V196" i="6"/>
  <c r="U196" i="6"/>
  <c r="T196" i="6"/>
  <c r="S196" i="6"/>
  <c r="R196" i="6"/>
  <c r="Q196" i="6"/>
  <c r="P196" i="6"/>
  <c r="O196" i="6"/>
  <c r="N196" i="6"/>
  <c r="M196" i="6"/>
  <c r="L196" i="6"/>
  <c r="K196" i="6"/>
  <c r="I196" i="6"/>
  <c r="H196" i="6"/>
  <c r="G196" i="6"/>
  <c r="F196" i="6"/>
  <c r="E196" i="6"/>
  <c r="D196" i="6"/>
  <c r="C196" i="6"/>
  <c r="B196" i="6"/>
  <c r="A196" i="6"/>
  <c r="W195" i="6"/>
  <c r="V195" i="6"/>
  <c r="U195" i="6"/>
  <c r="T195" i="6"/>
  <c r="S195" i="6"/>
  <c r="R195" i="6"/>
  <c r="Q195" i="6"/>
  <c r="P195" i="6"/>
  <c r="O195" i="6"/>
  <c r="N195" i="6"/>
  <c r="M195" i="6"/>
  <c r="L195" i="6"/>
  <c r="K195" i="6"/>
  <c r="I195" i="6"/>
  <c r="H195" i="6"/>
  <c r="G195" i="6"/>
  <c r="F195" i="6"/>
  <c r="E195" i="6"/>
  <c r="D195" i="6"/>
  <c r="C195" i="6"/>
  <c r="B195" i="6"/>
  <c r="A195" i="6"/>
  <c r="W194" i="6"/>
  <c r="V194" i="6"/>
  <c r="U194" i="6"/>
  <c r="T194" i="6"/>
  <c r="S194" i="6"/>
  <c r="R194" i="6"/>
  <c r="Q194" i="6"/>
  <c r="P194" i="6"/>
  <c r="O194" i="6"/>
  <c r="N194" i="6"/>
  <c r="M194" i="6"/>
  <c r="L194" i="6"/>
  <c r="K194" i="6"/>
  <c r="I194" i="6"/>
  <c r="H194" i="6"/>
  <c r="G194" i="6"/>
  <c r="F194" i="6"/>
  <c r="E194" i="6"/>
  <c r="D194" i="6"/>
  <c r="C194" i="6"/>
  <c r="B194" i="6"/>
  <c r="A194" i="6"/>
  <c r="W193" i="6"/>
  <c r="V193" i="6"/>
  <c r="U193" i="6"/>
  <c r="T193" i="6"/>
  <c r="S193" i="6"/>
  <c r="R193" i="6"/>
  <c r="Q193" i="6"/>
  <c r="P193" i="6"/>
  <c r="O193" i="6"/>
  <c r="N193" i="6"/>
  <c r="M193" i="6"/>
  <c r="L193" i="6"/>
  <c r="K193" i="6"/>
  <c r="I193" i="6"/>
  <c r="H193" i="6"/>
  <c r="G193" i="6"/>
  <c r="F193" i="6"/>
  <c r="E193" i="6"/>
  <c r="D193" i="6"/>
  <c r="C193" i="6"/>
  <c r="B193" i="6"/>
  <c r="A193" i="6"/>
  <c r="W192" i="6"/>
  <c r="V192" i="6"/>
  <c r="U192" i="6"/>
  <c r="T192" i="6"/>
  <c r="S192" i="6"/>
  <c r="R192" i="6"/>
  <c r="Q192" i="6"/>
  <c r="P192" i="6"/>
  <c r="O192" i="6"/>
  <c r="N192" i="6"/>
  <c r="M192" i="6"/>
  <c r="L192" i="6"/>
  <c r="K192" i="6"/>
  <c r="I192" i="6"/>
  <c r="H192" i="6"/>
  <c r="G192" i="6"/>
  <c r="F192" i="6"/>
  <c r="E192" i="6"/>
  <c r="D192" i="6"/>
  <c r="C192" i="6"/>
  <c r="B192" i="6"/>
  <c r="A192" i="6"/>
  <c r="W191" i="6"/>
  <c r="V191" i="6"/>
  <c r="U191" i="6"/>
  <c r="T191" i="6"/>
  <c r="S191" i="6"/>
  <c r="R191" i="6"/>
  <c r="Q191" i="6"/>
  <c r="P191" i="6"/>
  <c r="O191" i="6"/>
  <c r="N191" i="6"/>
  <c r="M191" i="6"/>
  <c r="L191" i="6"/>
  <c r="K191" i="6"/>
  <c r="I191" i="6"/>
  <c r="H191" i="6"/>
  <c r="G191" i="6"/>
  <c r="F191" i="6"/>
  <c r="E191" i="6"/>
  <c r="D191" i="6"/>
  <c r="C191" i="6"/>
  <c r="B191" i="6"/>
  <c r="A191" i="6"/>
  <c r="W190" i="6"/>
  <c r="V190" i="6"/>
  <c r="U190" i="6"/>
  <c r="T190" i="6"/>
  <c r="S190" i="6"/>
  <c r="R190" i="6"/>
  <c r="Q190" i="6"/>
  <c r="P190" i="6"/>
  <c r="O190" i="6"/>
  <c r="N190" i="6"/>
  <c r="M190" i="6"/>
  <c r="L190" i="6"/>
  <c r="K190" i="6"/>
  <c r="I190" i="6"/>
  <c r="H190" i="6"/>
  <c r="G190" i="6"/>
  <c r="F190" i="6"/>
  <c r="E190" i="6"/>
  <c r="D190" i="6"/>
  <c r="C190" i="6"/>
  <c r="B190" i="6"/>
  <c r="A190" i="6"/>
  <c r="W189" i="6"/>
  <c r="V189" i="6"/>
  <c r="U189" i="6"/>
  <c r="T189" i="6"/>
  <c r="S189" i="6"/>
  <c r="R189" i="6"/>
  <c r="Q189" i="6"/>
  <c r="P189" i="6"/>
  <c r="O189" i="6"/>
  <c r="N189" i="6"/>
  <c r="M189" i="6"/>
  <c r="L189" i="6"/>
  <c r="K189" i="6"/>
  <c r="I189" i="6"/>
  <c r="H189" i="6"/>
  <c r="G189" i="6"/>
  <c r="F189" i="6"/>
  <c r="E189" i="6"/>
  <c r="D189" i="6"/>
  <c r="C189" i="6"/>
  <c r="B189" i="6"/>
  <c r="A189" i="6"/>
  <c r="W188" i="6"/>
  <c r="V188" i="6"/>
  <c r="U188" i="6"/>
  <c r="T188" i="6"/>
  <c r="S188" i="6"/>
  <c r="R188" i="6"/>
  <c r="Q188" i="6"/>
  <c r="P188" i="6"/>
  <c r="O188" i="6"/>
  <c r="N188" i="6"/>
  <c r="M188" i="6"/>
  <c r="L188" i="6"/>
  <c r="K188" i="6"/>
  <c r="I188" i="6"/>
  <c r="H188" i="6"/>
  <c r="G188" i="6"/>
  <c r="F188" i="6"/>
  <c r="E188" i="6"/>
  <c r="D188" i="6"/>
  <c r="C188" i="6"/>
  <c r="B188" i="6"/>
  <c r="A188" i="6"/>
  <c r="W187" i="6"/>
  <c r="V187" i="6"/>
  <c r="U187" i="6"/>
  <c r="T187" i="6"/>
  <c r="S187" i="6"/>
  <c r="R187" i="6"/>
  <c r="Q187" i="6"/>
  <c r="P187" i="6"/>
  <c r="O187" i="6"/>
  <c r="N187" i="6"/>
  <c r="M187" i="6"/>
  <c r="L187" i="6"/>
  <c r="K187" i="6"/>
  <c r="I187" i="6"/>
  <c r="H187" i="6"/>
  <c r="G187" i="6"/>
  <c r="F187" i="6"/>
  <c r="E187" i="6"/>
  <c r="D187" i="6"/>
  <c r="C187" i="6"/>
  <c r="B187" i="6"/>
  <c r="A187" i="6"/>
  <c r="W186" i="6"/>
  <c r="V186" i="6"/>
  <c r="U186" i="6"/>
  <c r="T186" i="6"/>
  <c r="S186" i="6"/>
  <c r="R186" i="6"/>
  <c r="Q186" i="6"/>
  <c r="P186" i="6"/>
  <c r="O186" i="6"/>
  <c r="N186" i="6"/>
  <c r="M186" i="6"/>
  <c r="L186" i="6"/>
  <c r="K186" i="6"/>
  <c r="I186" i="6"/>
  <c r="H186" i="6"/>
  <c r="G186" i="6"/>
  <c r="F186" i="6"/>
  <c r="E186" i="6"/>
  <c r="D186" i="6"/>
  <c r="C186" i="6"/>
  <c r="B186" i="6"/>
  <c r="A186" i="6"/>
  <c r="W185" i="6"/>
  <c r="V185" i="6"/>
  <c r="U185" i="6"/>
  <c r="T185" i="6"/>
  <c r="S185" i="6"/>
  <c r="R185" i="6"/>
  <c r="Q185" i="6"/>
  <c r="P185" i="6"/>
  <c r="O185" i="6"/>
  <c r="N185" i="6"/>
  <c r="M185" i="6"/>
  <c r="L185" i="6"/>
  <c r="K185" i="6"/>
  <c r="I185" i="6"/>
  <c r="H185" i="6"/>
  <c r="G185" i="6"/>
  <c r="F185" i="6"/>
  <c r="E185" i="6"/>
  <c r="D185" i="6"/>
  <c r="C185" i="6"/>
  <c r="B185" i="6"/>
  <c r="A185" i="6"/>
  <c r="W184" i="6"/>
  <c r="V184" i="6"/>
  <c r="U184" i="6"/>
  <c r="T184" i="6"/>
  <c r="S184" i="6"/>
  <c r="R184" i="6"/>
  <c r="Q184" i="6"/>
  <c r="P184" i="6"/>
  <c r="O184" i="6"/>
  <c r="N184" i="6"/>
  <c r="M184" i="6"/>
  <c r="L184" i="6"/>
  <c r="K184" i="6"/>
  <c r="I184" i="6"/>
  <c r="H184" i="6"/>
  <c r="G184" i="6"/>
  <c r="F184" i="6"/>
  <c r="E184" i="6"/>
  <c r="D184" i="6"/>
  <c r="C184" i="6"/>
  <c r="B184" i="6"/>
  <c r="A184" i="6"/>
  <c r="W183" i="6"/>
  <c r="V183" i="6"/>
  <c r="U183" i="6"/>
  <c r="T183" i="6"/>
  <c r="S183" i="6"/>
  <c r="R183" i="6"/>
  <c r="Q183" i="6"/>
  <c r="P183" i="6"/>
  <c r="O183" i="6"/>
  <c r="N183" i="6"/>
  <c r="M183" i="6"/>
  <c r="L183" i="6"/>
  <c r="K183" i="6"/>
  <c r="I183" i="6"/>
  <c r="H183" i="6"/>
  <c r="G183" i="6"/>
  <c r="F183" i="6"/>
  <c r="E183" i="6"/>
  <c r="D183" i="6"/>
  <c r="C183" i="6"/>
  <c r="B183" i="6"/>
  <c r="A183" i="6"/>
  <c r="W182" i="6"/>
  <c r="V182" i="6"/>
  <c r="U182" i="6"/>
  <c r="T182" i="6"/>
  <c r="S182" i="6"/>
  <c r="R182" i="6"/>
  <c r="Q182" i="6"/>
  <c r="P182" i="6"/>
  <c r="O182" i="6"/>
  <c r="N182" i="6"/>
  <c r="M182" i="6"/>
  <c r="L182" i="6"/>
  <c r="K182" i="6"/>
  <c r="I182" i="6"/>
  <c r="H182" i="6"/>
  <c r="G182" i="6"/>
  <c r="F182" i="6"/>
  <c r="E182" i="6"/>
  <c r="D182" i="6"/>
  <c r="C182" i="6"/>
  <c r="B182" i="6"/>
  <c r="A182" i="6"/>
  <c r="W181" i="6"/>
  <c r="V181" i="6"/>
  <c r="U181" i="6"/>
  <c r="T181" i="6"/>
  <c r="S181" i="6"/>
  <c r="R181" i="6"/>
  <c r="Q181" i="6"/>
  <c r="P181" i="6"/>
  <c r="O181" i="6"/>
  <c r="N181" i="6"/>
  <c r="M181" i="6"/>
  <c r="L181" i="6"/>
  <c r="K181" i="6"/>
  <c r="I181" i="6"/>
  <c r="H181" i="6"/>
  <c r="G181" i="6"/>
  <c r="F181" i="6"/>
  <c r="E181" i="6"/>
  <c r="D181" i="6"/>
  <c r="C181" i="6"/>
  <c r="B181" i="6"/>
  <c r="A181" i="6"/>
  <c r="W180" i="6"/>
  <c r="V180" i="6"/>
  <c r="U180" i="6"/>
  <c r="T180" i="6"/>
  <c r="S180" i="6"/>
  <c r="R180" i="6"/>
  <c r="Q180" i="6"/>
  <c r="P180" i="6"/>
  <c r="O180" i="6"/>
  <c r="N180" i="6"/>
  <c r="M180" i="6"/>
  <c r="L180" i="6"/>
  <c r="K180" i="6"/>
  <c r="I180" i="6"/>
  <c r="H180" i="6"/>
  <c r="G180" i="6"/>
  <c r="F180" i="6"/>
  <c r="E180" i="6"/>
  <c r="D180" i="6"/>
  <c r="C180" i="6"/>
  <c r="B180" i="6"/>
  <c r="A180" i="6"/>
  <c r="W179" i="6"/>
  <c r="V179" i="6"/>
  <c r="U179" i="6"/>
  <c r="T179" i="6"/>
  <c r="S179" i="6"/>
  <c r="R179" i="6"/>
  <c r="Q179" i="6"/>
  <c r="P179" i="6"/>
  <c r="O179" i="6"/>
  <c r="N179" i="6"/>
  <c r="M179" i="6"/>
  <c r="L179" i="6"/>
  <c r="K179" i="6"/>
  <c r="I179" i="6"/>
  <c r="H179" i="6"/>
  <c r="G179" i="6"/>
  <c r="F179" i="6"/>
  <c r="E179" i="6"/>
  <c r="D179" i="6"/>
  <c r="C179" i="6"/>
  <c r="B179" i="6"/>
  <c r="A179" i="6"/>
  <c r="W178" i="6"/>
  <c r="V178" i="6"/>
  <c r="U178" i="6"/>
  <c r="T178" i="6"/>
  <c r="S178" i="6"/>
  <c r="R178" i="6"/>
  <c r="Q178" i="6"/>
  <c r="P178" i="6"/>
  <c r="O178" i="6"/>
  <c r="N178" i="6"/>
  <c r="M178" i="6"/>
  <c r="L178" i="6"/>
  <c r="K178" i="6"/>
  <c r="I178" i="6"/>
  <c r="H178" i="6"/>
  <c r="G178" i="6"/>
  <c r="F178" i="6"/>
  <c r="E178" i="6"/>
  <c r="D178" i="6"/>
  <c r="C178" i="6"/>
  <c r="B178" i="6"/>
  <c r="A178" i="6"/>
  <c r="W177" i="6"/>
  <c r="V177" i="6"/>
  <c r="U177" i="6"/>
  <c r="T177" i="6"/>
  <c r="S177" i="6"/>
  <c r="R177" i="6"/>
  <c r="Q177" i="6"/>
  <c r="P177" i="6"/>
  <c r="O177" i="6"/>
  <c r="N177" i="6"/>
  <c r="M177" i="6"/>
  <c r="L177" i="6"/>
  <c r="K177" i="6"/>
  <c r="I177" i="6"/>
  <c r="H177" i="6"/>
  <c r="G177" i="6"/>
  <c r="F177" i="6"/>
  <c r="E177" i="6"/>
  <c r="D177" i="6"/>
  <c r="C177" i="6"/>
  <c r="B177" i="6"/>
  <c r="A177" i="6"/>
  <c r="W176" i="6"/>
  <c r="V176" i="6"/>
  <c r="U176" i="6"/>
  <c r="T176" i="6"/>
  <c r="S176" i="6"/>
  <c r="R176" i="6"/>
  <c r="Q176" i="6"/>
  <c r="P176" i="6"/>
  <c r="O176" i="6"/>
  <c r="N176" i="6"/>
  <c r="M176" i="6"/>
  <c r="L176" i="6"/>
  <c r="K176" i="6"/>
  <c r="I176" i="6"/>
  <c r="H176" i="6"/>
  <c r="G176" i="6"/>
  <c r="F176" i="6"/>
  <c r="E176" i="6"/>
  <c r="D176" i="6"/>
  <c r="C176" i="6"/>
  <c r="B176" i="6"/>
  <c r="A176" i="6"/>
  <c r="W175" i="6"/>
  <c r="V175" i="6"/>
  <c r="U175" i="6"/>
  <c r="T175" i="6"/>
  <c r="S175" i="6"/>
  <c r="R175" i="6"/>
  <c r="Q175" i="6"/>
  <c r="P175" i="6"/>
  <c r="O175" i="6"/>
  <c r="N175" i="6"/>
  <c r="M175" i="6"/>
  <c r="L175" i="6"/>
  <c r="K175" i="6"/>
  <c r="I175" i="6"/>
  <c r="H175" i="6"/>
  <c r="G175" i="6"/>
  <c r="F175" i="6"/>
  <c r="E175" i="6"/>
  <c r="D175" i="6"/>
  <c r="C175" i="6"/>
  <c r="B175" i="6"/>
  <c r="A175" i="6"/>
  <c r="W174" i="6"/>
  <c r="V174" i="6"/>
  <c r="U174" i="6"/>
  <c r="T174" i="6"/>
  <c r="S174" i="6"/>
  <c r="R174" i="6"/>
  <c r="Q174" i="6"/>
  <c r="P174" i="6"/>
  <c r="O174" i="6"/>
  <c r="N174" i="6"/>
  <c r="M174" i="6"/>
  <c r="L174" i="6"/>
  <c r="K174" i="6"/>
  <c r="I174" i="6"/>
  <c r="H174" i="6"/>
  <c r="G174" i="6"/>
  <c r="F174" i="6"/>
  <c r="E174" i="6"/>
  <c r="D174" i="6"/>
  <c r="C174" i="6"/>
  <c r="B174" i="6"/>
  <c r="A174" i="6"/>
  <c r="W173" i="6"/>
  <c r="V173" i="6"/>
  <c r="U173" i="6"/>
  <c r="T173" i="6"/>
  <c r="S173" i="6"/>
  <c r="R173" i="6"/>
  <c r="Q173" i="6"/>
  <c r="P173" i="6"/>
  <c r="O173" i="6"/>
  <c r="N173" i="6"/>
  <c r="M173" i="6"/>
  <c r="L173" i="6"/>
  <c r="K173" i="6"/>
  <c r="I173" i="6"/>
  <c r="H173" i="6"/>
  <c r="G173" i="6"/>
  <c r="F173" i="6"/>
  <c r="E173" i="6"/>
  <c r="D173" i="6"/>
  <c r="C173" i="6"/>
  <c r="B173" i="6"/>
  <c r="A173" i="6"/>
  <c r="W172" i="6"/>
  <c r="V172" i="6"/>
  <c r="U172" i="6"/>
  <c r="T172" i="6"/>
  <c r="S172" i="6"/>
  <c r="R172" i="6"/>
  <c r="Q172" i="6"/>
  <c r="P172" i="6"/>
  <c r="O172" i="6"/>
  <c r="N172" i="6"/>
  <c r="M172" i="6"/>
  <c r="L172" i="6"/>
  <c r="K172" i="6"/>
  <c r="I172" i="6"/>
  <c r="H172" i="6"/>
  <c r="G172" i="6"/>
  <c r="F172" i="6"/>
  <c r="E172" i="6"/>
  <c r="D172" i="6"/>
  <c r="C172" i="6"/>
  <c r="B172" i="6"/>
  <c r="A172" i="6"/>
  <c r="W171" i="6"/>
  <c r="V171" i="6"/>
  <c r="U171" i="6"/>
  <c r="T171" i="6"/>
  <c r="S171" i="6"/>
  <c r="R171" i="6"/>
  <c r="Q171" i="6"/>
  <c r="P171" i="6"/>
  <c r="O171" i="6"/>
  <c r="N171" i="6"/>
  <c r="M171" i="6"/>
  <c r="L171" i="6"/>
  <c r="K171" i="6"/>
  <c r="I171" i="6"/>
  <c r="H171" i="6"/>
  <c r="G171" i="6"/>
  <c r="F171" i="6"/>
  <c r="E171" i="6"/>
  <c r="D171" i="6"/>
  <c r="C171" i="6"/>
  <c r="B171" i="6"/>
  <c r="A171" i="6"/>
  <c r="W170" i="6"/>
  <c r="V170" i="6"/>
  <c r="U170" i="6"/>
  <c r="T170" i="6"/>
  <c r="S170" i="6"/>
  <c r="R170" i="6"/>
  <c r="Q170" i="6"/>
  <c r="P170" i="6"/>
  <c r="O170" i="6"/>
  <c r="N170" i="6"/>
  <c r="M170" i="6"/>
  <c r="L170" i="6"/>
  <c r="K170" i="6"/>
  <c r="I170" i="6"/>
  <c r="H170" i="6"/>
  <c r="G170" i="6"/>
  <c r="F170" i="6"/>
  <c r="E170" i="6"/>
  <c r="D170" i="6"/>
  <c r="C170" i="6"/>
  <c r="B170" i="6"/>
  <c r="A170" i="6"/>
  <c r="W169" i="6"/>
  <c r="V169" i="6"/>
  <c r="U169" i="6"/>
  <c r="T169" i="6"/>
  <c r="S169" i="6"/>
  <c r="R169" i="6"/>
  <c r="Q169" i="6"/>
  <c r="P169" i="6"/>
  <c r="O169" i="6"/>
  <c r="N169" i="6"/>
  <c r="M169" i="6"/>
  <c r="L169" i="6"/>
  <c r="K169" i="6"/>
  <c r="I169" i="6"/>
  <c r="H169" i="6"/>
  <c r="G169" i="6"/>
  <c r="F169" i="6"/>
  <c r="E169" i="6"/>
  <c r="D169" i="6"/>
  <c r="C169" i="6"/>
  <c r="B169" i="6"/>
  <c r="A169" i="6"/>
  <c r="W168" i="6"/>
  <c r="V168" i="6"/>
  <c r="U168" i="6"/>
  <c r="T168" i="6"/>
  <c r="S168" i="6"/>
  <c r="R168" i="6"/>
  <c r="Q168" i="6"/>
  <c r="P168" i="6"/>
  <c r="O168" i="6"/>
  <c r="N168" i="6"/>
  <c r="M168" i="6"/>
  <c r="L168" i="6"/>
  <c r="K168" i="6"/>
  <c r="I168" i="6"/>
  <c r="H168" i="6"/>
  <c r="G168" i="6"/>
  <c r="F168" i="6"/>
  <c r="E168" i="6"/>
  <c r="D168" i="6"/>
  <c r="C168" i="6"/>
  <c r="B168" i="6"/>
  <c r="A168" i="6"/>
  <c r="W167" i="6"/>
  <c r="V167" i="6"/>
  <c r="U167" i="6"/>
  <c r="T167" i="6"/>
  <c r="S167" i="6"/>
  <c r="R167" i="6"/>
  <c r="Q167" i="6"/>
  <c r="P167" i="6"/>
  <c r="O167" i="6"/>
  <c r="N167" i="6"/>
  <c r="M167" i="6"/>
  <c r="L167" i="6"/>
  <c r="K167" i="6"/>
  <c r="I167" i="6"/>
  <c r="H167" i="6"/>
  <c r="G167" i="6"/>
  <c r="F167" i="6"/>
  <c r="E167" i="6"/>
  <c r="D167" i="6"/>
  <c r="C167" i="6"/>
  <c r="B167" i="6"/>
  <c r="A167" i="6"/>
  <c r="W166" i="6"/>
  <c r="V166" i="6"/>
  <c r="U166" i="6"/>
  <c r="T166" i="6"/>
  <c r="S166" i="6"/>
  <c r="R166" i="6"/>
  <c r="Q166" i="6"/>
  <c r="P166" i="6"/>
  <c r="O166" i="6"/>
  <c r="N166" i="6"/>
  <c r="M166" i="6"/>
  <c r="L166" i="6"/>
  <c r="K166" i="6"/>
  <c r="I166" i="6"/>
  <c r="H166" i="6"/>
  <c r="G166" i="6"/>
  <c r="F166" i="6"/>
  <c r="E166" i="6"/>
  <c r="D166" i="6"/>
  <c r="C166" i="6"/>
  <c r="B166" i="6"/>
  <c r="A166" i="6"/>
  <c r="W165" i="6"/>
  <c r="V165" i="6"/>
  <c r="U165" i="6"/>
  <c r="T165" i="6"/>
  <c r="S165" i="6"/>
  <c r="R165" i="6"/>
  <c r="Q165" i="6"/>
  <c r="P165" i="6"/>
  <c r="O165" i="6"/>
  <c r="N165" i="6"/>
  <c r="M165" i="6"/>
  <c r="L165" i="6"/>
  <c r="K165" i="6"/>
  <c r="I165" i="6"/>
  <c r="H165" i="6"/>
  <c r="G165" i="6"/>
  <c r="F165" i="6"/>
  <c r="E165" i="6"/>
  <c r="D165" i="6"/>
  <c r="C165" i="6"/>
  <c r="B165" i="6"/>
  <c r="A165" i="6"/>
  <c r="W164" i="6"/>
  <c r="V164" i="6"/>
  <c r="U164" i="6"/>
  <c r="T164" i="6"/>
  <c r="S164" i="6"/>
  <c r="R164" i="6"/>
  <c r="Q164" i="6"/>
  <c r="P164" i="6"/>
  <c r="O164" i="6"/>
  <c r="N164" i="6"/>
  <c r="M164" i="6"/>
  <c r="L164" i="6"/>
  <c r="K164" i="6"/>
  <c r="I164" i="6"/>
  <c r="H164" i="6"/>
  <c r="G164" i="6"/>
  <c r="F164" i="6"/>
  <c r="E164" i="6"/>
  <c r="D164" i="6"/>
  <c r="C164" i="6"/>
  <c r="B164" i="6"/>
  <c r="A164" i="6"/>
  <c r="W163" i="6"/>
  <c r="V163" i="6"/>
  <c r="U163" i="6"/>
  <c r="T163" i="6"/>
  <c r="S163" i="6"/>
  <c r="R163" i="6"/>
  <c r="Q163" i="6"/>
  <c r="P163" i="6"/>
  <c r="O163" i="6"/>
  <c r="N163" i="6"/>
  <c r="M163" i="6"/>
  <c r="L163" i="6"/>
  <c r="K163" i="6"/>
  <c r="I163" i="6"/>
  <c r="H163" i="6"/>
  <c r="G163" i="6"/>
  <c r="F163" i="6"/>
  <c r="E163" i="6"/>
  <c r="D163" i="6"/>
  <c r="C163" i="6"/>
  <c r="B163" i="6"/>
  <c r="A163" i="6"/>
  <c r="W162" i="6"/>
  <c r="V162" i="6"/>
  <c r="U162" i="6"/>
  <c r="T162" i="6"/>
  <c r="S162" i="6"/>
  <c r="R162" i="6"/>
  <c r="Q162" i="6"/>
  <c r="P162" i="6"/>
  <c r="O162" i="6"/>
  <c r="N162" i="6"/>
  <c r="M162" i="6"/>
  <c r="L162" i="6"/>
  <c r="K162" i="6"/>
  <c r="I162" i="6"/>
  <c r="H162" i="6"/>
  <c r="G162" i="6"/>
  <c r="F162" i="6"/>
  <c r="E162" i="6"/>
  <c r="D162" i="6"/>
  <c r="C162" i="6"/>
  <c r="B162" i="6"/>
  <c r="A162" i="6"/>
  <c r="W161" i="6"/>
  <c r="V161" i="6"/>
  <c r="U161" i="6"/>
  <c r="T161" i="6"/>
  <c r="S161" i="6"/>
  <c r="R161" i="6"/>
  <c r="Q161" i="6"/>
  <c r="P161" i="6"/>
  <c r="O161" i="6"/>
  <c r="N161" i="6"/>
  <c r="M161" i="6"/>
  <c r="L161" i="6"/>
  <c r="K161" i="6"/>
  <c r="I161" i="6"/>
  <c r="H161" i="6"/>
  <c r="G161" i="6"/>
  <c r="F161" i="6"/>
  <c r="E161" i="6"/>
  <c r="D161" i="6"/>
  <c r="C161" i="6"/>
  <c r="B161" i="6"/>
  <c r="A161" i="6"/>
  <c r="W160" i="6"/>
  <c r="V160" i="6"/>
  <c r="U160" i="6"/>
  <c r="T160" i="6"/>
  <c r="S160" i="6"/>
  <c r="R160" i="6"/>
  <c r="Q160" i="6"/>
  <c r="P160" i="6"/>
  <c r="O160" i="6"/>
  <c r="N160" i="6"/>
  <c r="M160" i="6"/>
  <c r="L160" i="6"/>
  <c r="K160" i="6"/>
  <c r="I160" i="6"/>
  <c r="H160" i="6"/>
  <c r="G160" i="6"/>
  <c r="F160" i="6"/>
  <c r="E160" i="6"/>
  <c r="D160" i="6"/>
  <c r="C160" i="6"/>
  <c r="B160" i="6"/>
  <c r="A160" i="6"/>
  <c r="W159" i="6"/>
  <c r="V159" i="6"/>
  <c r="U159" i="6"/>
  <c r="T159" i="6"/>
  <c r="S159" i="6"/>
  <c r="R159" i="6"/>
  <c r="Q159" i="6"/>
  <c r="P159" i="6"/>
  <c r="O159" i="6"/>
  <c r="N159" i="6"/>
  <c r="M159" i="6"/>
  <c r="L159" i="6"/>
  <c r="K159" i="6"/>
  <c r="I159" i="6"/>
  <c r="H159" i="6"/>
  <c r="G159" i="6"/>
  <c r="F159" i="6"/>
  <c r="E159" i="6"/>
  <c r="D159" i="6"/>
  <c r="C159" i="6"/>
  <c r="B159" i="6"/>
  <c r="A159" i="6"/>
  <c r="W158" i="6"/>
  <c r="V158" i="6"/>
  <c r="U158" i="6"/>
  <c r="T158" i="6"/>
  <c r="S158" i="6"/>
  <c r="R158" i="6"/>
  <c r="Q158" i="6"/>
  <c r="P158" i="6"/>
  <c r="O158" i="6"/>
  <c r="N158" i="6"/>
  <c r="M158" i="6"/>
  <c r="L158" i="6"/>
  <c r="K158" i="6"/>
  <c r="I158" i="6"/>
  <c r="H158" i="6"/>
  <c r="G158" i="6"/>
  <c r="F158" i="6"/>
  <c r="E158" i="6"/>
  <c r="D158" i="6"/>
  <c r="C158" i="6"/>
  <c r="B158" i="6"/>
  <c r="A158" i="6"/>
  <c r="W157" i="6"/>
  <c r="V157" i="6"/>
  <c r="U157" i="6"/>
  <c r="T157" i="6"/>
  <c r="S157" i="6"/>
  <c r="R157" i="6"/>
  <c r="Q157" i="6"/>
  <c r="P157" i="6"/>
  <c r="O157" i="6"/>
  <c r="N157" i="6"/>
  <c r="M157" i="6"/>
  <c r="L157" i="6"/>
  <c r="K157" i="6"/>
  <c r="I157" i="6"/>
  <c r="H157" i="6"/>
  <c r="G157" i="6"/>
  <c r="F157" i="6"/>
  <c r="E157" i="6"/>
  <c r="D157" i="6"/>
  <c r="C157" i="6"/>
  <c r="B157" i="6"/>
  <c r="A157" i="6"/>
  <c r="W156" i="6"/>
  <c r="V156" i="6"/>
  <c r="U156" i="6"/>
  <c r="T156" i="6"/>
  <c r="S156" i="6"/>
  <c r="R156" i="6"/>
  <c r="Q156" i="6"/>
  <c r="P156" i="6"/>
  <c r="O156" i="6"/>
  <c r="N156" i="6"/>
  <c r="M156" i="6"/>
  <c r="L156" i="6"/>
  <c r="K156" i="6"/>
  <c r="I156" i="6"/>
  <c r="H156" i="6"/>
  <c r="G156" i="6"/>
  <c r="F156" i="6"/>
  <c r="E156" i="6"/>
  <c r="D156" i="6"/>
  <c r="C156" i="6"/>
  <c r="B156" i="6"/>
  <c r="A156" i="6"/>
  <c r="W155" i="6"/>
  <c r="V155" i="6"/>
  <c r="U155" i="6"/>
  <c r="T155" i="6"/>
  <c r="S155" i="6"/>
  <c r="R155" i="6"/>
  <c r="Q155" i="6"/>
  <c r="P155" i="6"/>
  <c r="O155" i="6"/>
  <c r="N155" i="6"/>
  <c r="M155" i="6"/>
  <c r="L155" i="6"/>
  <c r="K155" i="6"/>
  <c r="I155" i="6"/>
  <c r="H155" i="6"/>
  <c r="G155" i="6"/>
  <c r="F155" i="6"/>
  <c r="E155" i="6"/>
  <c r="D155" i="6"/>
  <c r="C155" i="6"/>
  <c r="B155" i="6"/>
  <c r="A155" i="6"/>
  <c r="W154" i="6"/>
  <c r="V154" i="6"/>
  <c r="U154" i="6"/>
  <c r="T154" i="6"/>
  <c r="S154" i="6"/>
  <c r="R154" i="6"/>
  <c r="Q154" i="6"/>
  <c r="P154" i="6"/>
  <c r="O154" i="6"/>
  <c r="N154" i="6"/>
  <c r="M154" i="6"/>
  <c r="L154" i="6"/>
  <c r="K154" i="6"/>
  <c r="I154" i="6"/>
  <c r="H154" i="6"/>
  <c r="G154" i="6"/>
  <c r="F154" i="6"/>
  <c r="E154" i="6"/>
  <c r="D154" i="6"/>
  <c r="C154" i="6"/>
  <c r="B154" i="6"/>
  <c r="A154" i="6"/>
  <c r="W153" i="6"/>
  <c r="V153" i="6"/>
  <c r="U153" i="6"/>
  <c r="T153" i="6"/>
  <c r="S153" i="6"/>
  <c r="R153" i="6"/>
  <c r="Q153" i="6"/>
  <c r="P153" i="6"/>
  <c r="O153" i="6"/>
  <c r="N153" i="6"/>
  <c r="M153" i="6"/>
  <c r="L153" i="6"/>
  <c r="K153" i="6"/>
  <c r="I153" i="6"/>
  <c r="H153" i="6"/>
  <c r="G153" i="6"/>
  <c r="F153" i="6"/>
  <c r="E153" i="6"/>
  <c r="D153" i="6"/>
  <c r="C153" i="6"/>
  <c r="B153" i="6"/>
  <c r="A153" i="6"/>
  <c r="W152" i="6"/>
  <c r="V152" i="6"/>
  <c r="U152" i="6"/>
  <c r="T152" i="6"/>
  <c r="S152" i="6"/>
  <c r="R152" i="6"/>
  <c r="Q152" i="6"/>
  <c r="P152" i="6"/>
  <c r="O152" i="6"/>
  <c r="N152" i="6"/>
  <c r="M152" i="6"/>
  <c r="L152" i="6"/>
  <c r="K152" i="6"/>
  <c r="I152" i="6"/>
  <c r="H152" i="6"/>
  <c r="G152" i="6"/>
  <c r="F152" i="6"/>
  <c r="E152" i="6"/>
  <c r="D152" i="6"/>
  <c r="C152" i="6"/>
  <c r="B152" i="6"/>
  <c r="A152" i="6"/>
  <c r="W151" i="6"/>
  <c r="V151" i="6"/>
  <c r="U151" i="6"/>
  <c r="T151" i="6"/>
  <c r="S151" i="6"/>
  <c r="R151" i="6"/>
  <c r="Q151" i="6"/>
  <c r="P151" i="6"/>
  <c r="O151" i="6"/>
  <c r="N151" i="6"/>
  <c r="M151" i="6"/>
  <c r="L151" i="6"/>
  <c r="K151" i="6"/>
  <c r="I151" i="6"/>
  <c r="H151" i="6"/>
  <c r="G151" i="6"/>
  <c r="F151" i="6"/>
  <c r="E151" i="6"/>
  <c r="D151" i="6"/>
  <c r="C151" i="6"/>
  <c r="B151" i="6"/>
  <c r="A151" i="6"/>
  <c r="W150" i="6"/>
  <c r="V150" i="6"/>
  <c r="U150" i="6"/>
  <c r="T150" i="6"/>
  <c r="S150" i="6"/>
  <c r="R150" i="6"/>
  <c r="Q150" i="6"/>
  <c r="P150" i="6"/>
  <c r="O150" i="6"/>
  <c r="N150" i="6"/>
  <c r="M150" i="6"/>
  <c r="L150" i="6"/>
  <c r="K150" i="6"/>
  <c r="I150" i="6"/>
  <c r="H150" i="6"/>
  <c r="G150" i="6"/>
  <c r="F150" i="6"/>
  <c r="E150" i="6"/>
  <c r="D150" i="6"/>
  <c r="C150" i="6"/>
  <c r="B150" i="6"/>
  <c r="A150" i="6"/>
  <c r="W149" i="6"/>
  <c r="V149" i="6"/>
  <c r="U149" i="6"/>
  <c r="T149" i="6"/>
  <c r="S149" i="6"/>
  <c r="R149" i="6"/>
  <c r="Q149" i="6"/>
  <c r="P149" i="6"/>
  <c r="O149" i="6"/>
  <c r="N149" i="6"/>
  <c r="M149" i="6"/>
  <c r="L149" i="6"/>
  <c r="K149" i="6"/>
  <c r="I149" i="6"/>
  <c r="H149" i="6"/>
  <c r="G149" i="6"/>
  <c r="F149" i="6"/>
  <c r="E149" i="6"/>
  <c r="D149" i="6"/>
  <c r="C149" i="6"/>
  <c r="B149" i="6"/>
  <c r="A149" i="6"/>
  <c r="W148" i="6"/>
  <c r="V148" i="6"/>
  <c r="U148" i="6"/>
  <c r="T148" i="6"/>
  <c r="S148" i="6"/>
  <c r="R148" i="6"/>
  <c r="Q148" i="6"/>
  <c r="P148" i="6"/>
  <c r="O148" i="6"/>
  <c r="N148" i="6"/>
  <c r="M148" i="6"/>
  <c r="L148" i="6"/>
  <c r="K148" i="6"/>
  <c r="I148" i="6"/>
  <c r="H148" i="6"/>
  <c r="G148" i="6"/>
  <c r="F148" i="6"/>
  <c r="E148" i="6"/>
  <c r="D148" i="6"/>
  <c r="C148" i="6"/>
  <c r="B148" i="6"/>
  <c r="A148" i="6"/>
  <c r="W147" i="6"/>
  <c r="V147" i="6"/>
  <c r="U147" i="6"/>
  <c r="T147" i="6"/>
  <c r="S147" i="6"/>
  <c r="R147" i="6"/>
  <c r="Q147" i="6"/>
  <c r="P147" i="6"/>
  <c r="O147" i="6"/>
  <c r="N147" i="6"/>
  <c r="M147" i="6"/>
  <c r="L147" i="6"/>
  <c r="K147" i="6"/>
  <c r="I147" i="6"/>
  <c r="H147" i="6"/>
  <c r="G147" i="6"/>
  <c r="F147" i="6"/>
  <c r="E147" i="6"/>
  <c r="D147" i="6"/>
  <c r="C147" i="6"/>
  <c r="B147" i="6"/>
  <c r="A147" i="6"/>
  <c r="W146" i="6"/>
  <c r="V146" i="6"/>
  <c r="U146" i="6"/>
  <c r="T146" i="6"/>
  <c r="S146" i="6"/>
  <c r="R146" i="6"/>
  <c r="Q146" i="6"/>
  <c r="P146" i="6"/>
  <c r="O146" i="6"/>
  <c r="N146" i="6"/>
  <c r="M146" i="6"/>
  <c r="L146" i="6"/>
  <c r="K146" i="6"/>
  <c r="I146" i="6"/>
  <c r="H146" i="6"/>
  <c r="G146" i="6"/>
  <c r="F146" i="6"/>
  <c r="E146" i="6"/>
  <c r="D146" i="6"/>
  <c r="C146" i="6"/>
  <c r="B146" i="6"/>
  <c r="A146" i="6"/>
  <c r="W145" i="6"/>
  <c r="V145" i="6"/>
  <c r="U145" i="6"/>
  <c r="T145" i="6"/>
  <c r="S145" i="6"/>
  <c r="R145" i="6"/>
  <c r="Q145" i="6"/>
  <c r="P145" i="6"/>
  <c r="O145" i="6"/>
  <c r="N145" i="6"/>
  <c r="M145" i="6"/>
  <c r="L145" i="6"/>
  <c r="K145" i="6"/>
  <c r="I145" i="6"/>
  <c r="H145" i="6"/>
  <c r="G145" i="6"/>
  <c r="F145" i="6"/>
  <c r="E145" i="6"/>
  <c r="D145" i="6"/>
  <c r="C145" i="6"/>
  <c r="B145" i="6"/>
  <c r="A145" i="6"/>
  <c r="W144" i="6"/>
  <c r="V144" i="6"/>
  <c r="U144" i="6"/>
  <c r="T144" i="6"/>
  <c r="S144" i="6"/>
  <c r="R144" i="6"/>
  <c r="Q144" i="6"/>
  <c r="P144" i="6"/>
  <c r="O144" i="6"/>
  <c r="N144" i="6"/>
  <c r="M144" i="6"/>
  <c r="L144" i="6"/>
  <c r="K144" i="6"/>
  <c r="I144" i="6"/>
  <c r="H144" i="6"/>
  <c r="G144" i="6"/>
  <c r="F144" i="6"/>
  <c r="E144" i="6"/>
  <c r="D144" i="6"/>
  <c r="C144" i="6"/>
  <c r="B144" i="6"/>
  <c r="A144" i="6"/>
  <c r="W143" i="6"/>
  <c r="V143" i="6"/>
  <c r="U143" i="6"/>
  <c r="T143" i="6"/>
  <c r="S143" i="6"/>
  <c r="R143" i="6"/>
  <c r="Q143" i="6"/>
  <c r="P143" i="6"/>
  <c r="O143" i="6"/>
  <c r="N143" i="6"/>
  <c r="M143" i="6"/>
  <c r="L143" i="6"/>
  <c r="K143" i="6"/>
  <c r="I143" i="6"/>
  <c r="H143" i="6"/>
  <c r="G143" i="6"/>
  <c r="F143" i="6"/>
  <c r="E143" i="6"/>
  <c r="D143" i="6"/>
  <c r="C143" i="6"/>
  <c r="B143" i="6"/>
  <c r="A143" i="6"/>
  <c r="W142" i="6"/>
  <c r="V142" i="6"/>
  <c r="U142" i="6"/>
  <c r="T142" i="6"/>
  <c r="S142" i="6"/>
  <c r="R142" i="6"/>
  <c r="Q142" i="6"/>
  <c r="P142" i="6"/>
  <c r="O142" i="6"/>
  <c r="N142" i="6"/>
  <c r="M142" i="6"/>
  <c r="L142" i="6"/>
  <c r="K142" i="6"/>
  <c r="I142" i="6"/>
  <c r="H142" i="6"/>
  <c r="G142" i="6"/>
  <c r="F142" i="6"/>
  <c r="E142" i="6"/>
  <c r="D142" i="6"/>
  <c r="C142" i="6"/>
  <c r="B142" i="6"/>
  <c r="A142" i="6"/>
  <c r="W141" i="6"/>
  <c r="V141" i="6"/>
  <c r="U141" i="6"/>
  <c r="T141" i="6"/>
  <c r="S141" i="6"/>
  <c r="R141" i="6"/>
  <c r="Q141" i="6"/>
  <c r="P141" i="6"/>
  <c r="O141" i="6"/>
  <c r="N141" i="6"/>
  <c r="M141" i="6"/>
  <c r="L141" i="6"/>
  <c r="K141" i="6"/>
  <c r="I141" i="6"/>
  <c r="H141" i="6"/>
  <c r="G141" i="6"/>
  <c r="F141" i="6"/>
  <c r="E141" i="6"/>
  <c r="D141" i="6"/>
  <c r="C141" i="6"/>
  <c r="B141" i="6"/>
  <c r="A141" i="6"/>
  <c r="W140" i="6"/>
  <c r="V140" i="6"/>
  <c r="U140" i="6"/>
  <c r="T140" i="6"/>
  <c r="S140" i="6"/>
  <c r="R140" i="6"/>
  <c r="Q140" i="6"/>
  <c r="P140" i="6"/>
  <c r="O140" i="6"/>
  <c r="N140" i="6"/>
  <c r="M140" i="6"/>
  <c r="L140" i="6"/>
  <c r="K140" i="6"/>
  <c r="I140" i="6"/>
  <c r="H140" i="6"/>
  <c r="G140" i="6"/>
  <c r="F140" i="6"/>
  <c r="E140" i="6"/>
  <c r="D140" i="6"/>
  <c r="C140" i="6"/>
  <c r="B140" i="6"/>
  <c r="A140" i="6"/>
  <c r="W139" i="6"/>
  <c r="V139" i="6"/>
  <c r="U139" i="6"/>
  <c r="T139" i="6"/>
  <c r="S139" i="6"/>
  <c r="R139" i="6"/>
  <c r="Q139" i="6"/>
  <c r="P139" i="6"/>
  <c r="O139" i="6"/>
  <c r="N139" i="6"/>
  <c r="M139" i="6"/>
  <c r="L139" i="6"/>
  <c r="K139" i="6"/>
  <c r="I139" i="6"/>
  <c r="H139" i="6"/>
  <c r="G139" i="6"/>
  <c r="F139" i="6"/>
  <c r="E139" i="6"/>
  <c r="D139" i="6"/>
  <c r="C139" i="6"/>
  <c r="B139" i="6"/>
  <c r="A139" i="6"/>
  <c r="W138" i="6"/>
  <c r="V138" i="6"/>
  <c r="U138" i="6"/>
  <c r="T138" i="6"/>
  <c r="S138" i="6"/>
  <c r="R138" i="6"/>
  <c r="Q138" i="6"/>
  <c r="P138" i="6"/>
  <c r="O138" i="6"/>
  <c r="N138" i="6"/>
  <c r="M138" i="6"/>
  <c r="L138" i="6"/>
  <c r="K138" i="6"/>
  <c r="I138" i="6"/>
  <c r="H138" i="6"/>
  <c r="G138" i="6"/>
  <c r="F138" i="6"/>
  <c r="E138" i="6"/>
  <c r="D138" i="6"/>
  <c r="C138" i="6"/>
  <c r="B138" i="6"/>
  <c r="A138" i="6"/>
  <c r="W137" i="6"/>
  <c r="V137" i="6"/>
  <c r="U137" i="6"/>
  <c r="T137" i="6"/>
  <c r="S137" i="6"/>
  <c r="R137" i="6"/>
  <c r="Q137" i="6"/>
  <c r="P137" i="6"/>
  <c r="O137" i="6"/>
  <c r="N137" i="6"/>
  <c r="M137" i="6"/>
  <c r="L137" i="6"/>
  <c r="K137" i="6"/>
  <c r="I137" i="6"/>
  <c r="H137" i="6"/>
  <c r="G137" i="6"/>
  <c r="F137" i="6"/>
  <c r="E137" i="6"/>
  <c r="D137" i="6"/>
  <c r="C137" i="6"/>
  <c r="B137" i="6"/>
  <c r="A137" i="6"/>
  <c r="W136" i="6"/>
  <c r="V136" i="6"/>
  <c r="U136" i="6"/>
  <c r="T136" i="6"/>
  <c r="S136" i="6"/>
  <c r="R136" i="6"/>
  <c r="Q136" i="6"/>
  <c r="P136" i="6"/>
  <c r="O136" i="6"/>
  <c r="N136" i="6"/>
  <c r="M136" i="6"/>
  <c r="L136" i="6"/>
  <c r="K136" i="6"/>
  <c r="I136" i="6"/>
  <c r="H136" i="6"/>
  <c r="G136" i="6"/>
  <c r="F136" i="6"/>
  <c r="E136" i="6"/>
  <c r="D136" i="6"/>
  <c r="C136" i="6"/>
  <c r="B136" i="6"/>
  <c r="A136" i="6"/>
  <c r="W135" i="6"/>
  <c r="V135" i="6"/>
  <c r="U135" i="6"/>
  <c r="T135" i="6"/>
  <c r="S135" i="6"/>
  <c r="R135" i="6"/>
  <c r="Q135" i="6"/>
  <c r="P135" i="6"/>
  <c r="O135" i="6"/>
  <c r="N135" i="6"/>
  <c r="M135" i="6"/>
  <c r="L135" i="6"/>
  <c r="K135" i="6"/>
  <c r="I135" i="6"/>
  <c r="H135" i="6"/>
  <c r="G135" i="6"/>
  <c r="F135" i="6"/>
  <c r="E135" i="6"/>
  <c r="D135" i="6"/>
  <c r="C135" i="6"/>
  <c r="B135" i="6"/>
  <c r="A135" i="6"/>
  <c r="W134" i="6"/>
  <c r="V134" i="6"/>
  <c r="U134" i="6"/>
  <c r="T134" i="6"/>
  <c r="S134" i="6"/>
  <c r="R134" i="6"/>
  <c r="Q134" i="6"/>
  <c r="P134" i="6"/>
  <c r="O134" i="6"/>
  <c r="N134" i="6"/>
  <c r="M134" i="6"/>
  <c r="L134" i="6"/>
  <c r="K134" i="6"/>
  <c r="I134" i="6"/>
  <c r="H134" i="6"/>
  <c r="G134" i="6"/>
  <c r="F134" i="6"/>
  <c r="E134" i="6"/>
  <c r="D134" i="6"/>
  <c r="C134" i="6"/>
  <c r="B134" i="6"/>
  <c r="A134" i="6"/>
  <c r="W133" i="6"/>
  <c r="V133" i="6"/>
  <c r="U133" i="6"/>
  <c r="T133" i="6"/>
  <c r="S133" i="6"/>
  <c r="R133" i="6"/>
  <c r="Q133" i="6"/>
  <c r="P133" i="6"/>
  <c r="O133" i="6"/>
  <c r="N133" i="6"/>
  <c r="M133" i="6"/>
  <c r="L133" i="6"/>
  <c r="K133" i="6"/>
  <c r="I133" i="6"/>
  <c r="H133" i="6"/>
  <c r="G133" i="6"/>
  <c r="F133" i="6"/>
  <c r="E133" i="6"/>
  <c r="D133" i="6"/>
  <c r="C133" i="6"/>
  <c r="B133" i="6"/>
  <c r="A133" i="6"/>
  <c r="W132" i="6"/>
  <c r="V132" i="6"/>
  <c r="U132" i="6"/>
  <c r="T132" i="6"/>
  <c r="S132" i="6"/>
  <c r="R132" i="6"/>
  <c r="Q132" i="6"/>
  <c r="P132" i="6"/>
  <c r="O132" i="6"/>
  <c r="N132" i="6"/>
  <c r="M132" i="6"/>
  <c r="L132" i="6"/>
  <c r="K132" i="6"/>
  <c r="I132" i="6"/>
  <c r="H132" i="6"/>
  <c r="G132" i="6"/>
  <c r="F132" i="6"/>
  <c r="E132" i="6"/>
  <c r="D132" i="6"/>
  <c r="C132" i="6"/>
  <c r="B132" i="6"/>
  <c r="A132" i="6"/>
  <c r="W131" i="6"/>
  <c r="V131" i="6"/>
  <c r="U131" i="6"/>
  <c r="T131" i="6"/>
  <c r="S131" i="6"/>
  <c r="R131" i="6"/>
  <c r="Q131" i="6"/>
  <c r="P131" i="6"/>
  <c r="O131" i="6"/>
  <c r="N131" i="6"/>
  <c r="M131" i="6"/>
  <c r="L131" i="6"/>
  <c r="K131" i="6"/>
  <c r="I131" i="6"/>
  <c r="H131" i="6"/>
  <c r="G131" i="6"/>
  <c r="F131" i="6"/>
  <c r="E131" i="6"/>
  <c r="D131" i="6"/>
  <c r="C131" i="6"/>
  <c r="B131" i="6"/>
  <c r="A131" i="6"/>
  <c r="W130" i="6"/>
  <c r="V130" i="6"/>
  <c r="U130" i="6"/>
  <c r="T130" i="6"/>
  <c r="S130" i="6"/>
  <c r="R130" i="6"/>
  <c r="Q130" i="6"/>
  <c r="P130" i="6"/>
  <c r="O130" i="6"/>
  <c r="N130" i="6"/>
  <c r="M130" i="6"/>
  <c r="L130" i="6"/>
  <c r="K130" i="6"/>
  <c r="I130" i="6"/>
  <c r="H130" i="6"/>
  <c r="G130" i="6"/>
  <c r="F130" i="6"/>
  <c r="E130" i="6"/>
  <c r="D130" i="6"/>
  <c r="C130" i="6"/>
  <c r="B130" i="6"/>
  <c r="A130" i="6"/>
  <c r="W129" i="6"/>
  <c r="V129" i="6"/>
  <c r="U129" i="6"/>
  <c r="T129" i="6"/>
  <c r="S129" i="6"/>
  <c r="R129" i="6"/>
  <c r="Q129" i="6"/>
  <c r="P129" i="6"/>
  <c r="O129" i="6"/>
  <c r="N129" i="6"/>
  <c r="M129" i="6"/>
  <c r="L129" i="6"/>
  <c r="K129" i="6"/>
  <c r="I129" i="6"/>
  <c r="H129" i="6"/>
  <c r="G129" i="6"/>
  <c r="F129" i="6"/>
  <c r="E129" i="6"/>
  <c r="D129" i="6"/>
  <c r="C129" i="6"/>
  <c r="B129" i="6"/>
  <c r="A129" i="6"/>
  <c r="W128" i="6"/>
  <c r="V128" i="6"/>
  <c r="U128" i="6"/>
  <c r="T128" i="6"/>
  <c r="S128" i="6"/>
  <c r="R128" i="6"/>
  <c r="Q128" i="6"/>
  <c r="P128" i="6"/>
  <c r="O128" i="6"/>
  <c r="N128" i="6"/>
  <c r="M128" i="6"/>
  <c r="L128" i="6"/>
  <c r="K128" i="6"/>
  <c r="I128" i="6"/>
  <c r="H128" i="6"/>
  <c r="G128" i="6"/>
  <c r="F128" i="6"/>
  <c r="E128" i="6"/>
  <c r="D128" i="6"/>
  <c r="C128" i="6"/>
  <c r="B128" i="6"/>
  <c r="A128" i="6"/>
  <c r="W127" i="6"/>
  <c r="V127" i="6"/>
  <c r="U127" i="6"/>
  <c r="T127" i="6"/>
  <c r="S127" i="6"/>
  <c r="R127" i="6"/>
  <c r="Q127" i="6"/>
  <c r="P127" i="6"/>
  <c r="O127" i="6"/>
  <c r="N127" i="6"/>
  <c r="M127" i="6"/>
  <c r="L127" i="6"/>
  <c r="K127" i="6"/>
  <c r="I127" i="6"/>
  <c r="H127" i="6"/>
  <c r="G127" i="6"/>
  <c r="F127" i="6"/>
  <c r="E127" i="6"/>
  <c r="D127" i="6"/>
  <c r="C127" i="6"/>
  <c r="B127" i="6"/>
  <c r="A127" i="6"/>
  <c r="W126" i="6"/>
  <c r="V126" i="6"/>
  <c r="U126" i="6"/>
  <c r="T126" i="6"/>
  <c r="S126" i="6"/>
  <c r="R126" i="6"/>
  <c r="Q126" i="6"/>
  <c r="P126" i="6"/>
  <c r="O126" i="6"/>
  <c r="N126" i="6"/>
  <c r="M126" i="6"/>
  <c r="L126" i="6"/>
  <c r="K126" i="6"/>
  <c r="I126" i="6"/>
  <c r="H126" i="6"/>
  <c r="G126" i="6"/>
  <c r="F126" i="6"/>
  <c r="E126" i="6"/>
  <c r="D126" i="6"/>
  <c r="C126" i="6"/>
  <c r="B126" i="6"/>
  <c r="A126" i="6"/>
  <c r="W125" i="6"/>
  <c r="V125" i="6"/>
  <c r="U125" i="6"/>
  <c r="T125" i="6"/>
  <c r="S125" i="6"/>
  <c r="R125" i="6"/>
  <c r="Q125" i="6"/>
  <c r="P125" i="6"/>
  <c r="O125" i="6"/>
  <c r="N125" i="6"/>
  <c r="M125" i="6"/>
  <c r="L125" i="6"/>
  <c r="K125" i="6"/>
  <c r="I125" i="6"/>
  <c r="H125" i="6"/>
  <c r="G125" i="6"/>
  <c r="F125" i="6"/>
  <c r="E125" i="6"/>
  <c r="D125" i="6"/>
  <c r="C125" i="6"/>
  <c r="B125" i="6"/>
  <c r="A125" i="6"/>
  <c r="W124" i="6"/>
  <c r="V124" i="6"/>
  <c r="U124" i="6"/>
  <c r="T124" i="6"/>
  <c r="S124" i="6"/>
  <c r="R124" i="6"/>
  <c r="Q124" i="6"/>
  <c r="P124" i="6"/>
  <c r="O124" i="6"/>
  <c r="N124" i="6"/>
  <c r="M124" i="6"/>
  <c r="L124" i="6"/>
  <c r="K124" i="6"/>
  <c r="I124" i="6"/>
  <c r="H124" i="6"/>
  <c r="G124" i="6"/>
  <c r="F124" i="6"/>
  <c r="E124" i="6"/>
  <c r="D124" i="6"/>
  <c r="C124" i="6"/>
  <c r="B124" i="6"/>
  <c r="A124" i="6"/>
  <c r="W123" i="6"/>
  <c r="V123" i="6"/>
  <c r="U123" i="6"/>
  <c r="T123" i="6"/>
  <c r="S123" i="6"/>
  <c r="R123" i="6"/>
  <c r="Q123" i="6"/>
  <c r="P123" i="6"/>
  <c r="O123" i="6"/>
  <c r="N123" i="6"/>
  <c r="M123" i="6"/>
  <c r="L123" i="6"/>
  <c r="K123" i="6"/>
  <c r="I123" i="6"/>
  <c r="H123" i="6"/>
  <c r="G123" i="6"/>
  <c r="F123" i="6"/>
  <c r="E123" i="6"/>
  <c r="D123" i="6"/>
  <c r="C123" i="6"/>
  <c r="B123" i="6"/>
  <c r="A123" i="6"/>
  <c r="W122" i="6"/>
  <c r="V122" i="6"/>
  <c r="U122" i="6"/>
  <c r="T122" i="6"/>
  <c r="S122" i="6"/>
  <c r="R122" i="6"/>
  <c r="Q122" i="6"/>
  <c r="P122" i="6"/>
  <c r="O122" i="6"/>
  <c r="N122" i="6"/>
  <c r="M122" i="6"/>
  <c r="L122" i="6"/>
  <c r="K122" i="6"/>
  <c r="I122" i="6"/>
  <c r="H122" i="6"/>
  <c r="G122" i="6"/>
  <c r="F122" i="6"/>
  <c r="E122" i="6"/>
  <c r="D122" i="6"/>
  <c r="C122" i="6"/>
  <c r="B122" i="6"/>
  <c r="A122" i="6"/>
  <c r="W121" i="6"/>
  <c r="V121" i="6"/>
  <c r="U121" i="6"/>
  <c r="T121" i="6"/>
  <c r="S121" i="6"/>
  <c r="R121" i="6"/>
  <c r="Q121" i="6"/>
  <c r="P121" i="6"/>
  <c r="O121" i="6"/>
  <c r="N121" i="6"/>
  <c r="M121" i="6"/>
  <c r="L121" i="6"/>
  <c r="K121" i="6"/>
  <c r="I121" i="6"/>
  <c r="H121" i="6"/>
  <c r="G121" i="6"/>
  <c r="F121" i="6"/>
  <c r="E121" i="6"/>
  <c r="D121" i="6"/>
  <c r="C121" i="6"/>
  <c r="B121" i="6"/>
  <c r="A121" i="6"/>
  <c r="W120" i="6"/>
  <c r="V120" i="6"/>
  <c r="U120" i="6"/>
  <c r="T120" i="6"/>
  <c r="S120" i="6"/>
  <c r="R120" i="6"/>
  <c r="Q120" i="6"/>
  <c r="P120" i="6"/>
  <c r="O120" i="6"/>
  <c r="N120" i="6"/>
  <c r="M120" i="6"/>
  <c r="L120" i="6"/>
  <c r="K120" i="6"/>
  <c r="I120" i="6"/>
  <c r="H120" i="6"/>
  <c r="G120" i="6"/>
  <c r="F120" i="6"/>
  <c r="E120" i="6"/>
  <c r="D120" i="6"/>
  <c r="C120" i="6"/>
  <c r="B120" i="6"/>
  <c r="A120" i="6"/>
  <c r="W119" i="6"/>
  <c r="V119" i="6"/>
  <c r="U119" i="6"/>
  <c r="T119" i="6"/>
  <c r="S119" i="6"/>
  <c r="R119" i="6"/>
  <c r="Q119" i="6"/>
  <c r="P119" i="6"/>
  <c r="O119" i="6"/>
  <c r="N119" i="6"/>
  <c r="M119" i="6"/>
  <c r="L119" i="6"/>
  <c r="K119" i="6"/>
  <c r="I119" i="6"/>
  <c r="H119" i="6"/>
  <c r="G119" i="6"/>
  <c r="F119" i="6"/>
  <c r="E119" i="6"/>
  <c r="D119" i="6"/>
  <c r="C119" i="6"/>
  <c r="B119" i="6"/>
  <c r="A119" i="6"/>
  <c r="W118" i="6"/>
  <c r="V118" i="6"/>
  <c r="U118" i="6"/>
  <c r="T118" i="6"/>
  <c r="S118" i="6"/>
  <c r="R118" i="6"/>
  <c r="Q118" i="6"/>
  <c r="P118" i="6"/>
  <c r="O118" i="6"/>
  <c r="N118" i="6"/>
  <c r="M118" i="6"/>
  <c r="L118" i="6"/>
  <c r="K118" i="6"/>
  <c r="I118" i="6"/>
  <c r="H118" i="6"/>
  <c r="G118" i="6"/>
  <c r="F118" i="6"/>
  <c r="E118" i="6"/>
  <c r="D118" i="6"/>
  <c r="C118" i="6"/>
  <c r="B118" i="6"/>
  <c r="A118" i="6"/>
  <c r="W117" i="6"/>
  <c r="V117" i="6"/>
  <c r="U117" i="6"/>
  <c r="T117" i="6"/>
  <c r="S117" i="6"/>
  <c r="R117" i="6"/>
  <c r="Q117" i="6"/>
  <c r="P117" i="6"/>
  <c r="O117" i="6"/>
  <c r="N117" i="6"/>
  <c r="M117" i="6"/>
  <c r="L117" i="6"/>
  <c r="K117" i="6"/>
  <c r="I117" i="6"/>
  <c r="H117" i="6"/>
  <c r="G117" i="6"/>
  <c r="F117" i="6"/>
  <c r="E117" i="6"/>
  <c r="D117" i="6"/>
  <c r="C117" i="6"/>
  <c r="B117" i="6"/>
  <c r="A117" i="6"/>
  <c r="W116" i="6"/>
  <c r="V116" i="6"/>
  <c r="U116" i="6"/>
  <c r="T116" i="6"/>
  <c r="S116" i="6"/>
  <c r="R116" i="6"/>
  <c r="Q116" i="6"/>
  <c r="P116" i="6"/>
  <c r="O116" i="6"/>
  <c r="N116" i="6"/>
  <c r="M116" i="6"/>
  <c r="L116" i="6"/>
  <c r="K116" i="6"/>
  <c r="I116" i="6"/>
  <c r="H116" i="6"/>
  <c r="G116" i="6"/>
  <c r="F116" i="6"/>
  <c r="E116" i="6"/>
  <c r="D116" i="6"/>
  <c r="C116" i="6"/>
  <c r="B116" i="6"/>
  <c r="A116" i="6"/>
  <c r="W115" i="6"/>
  <c r="V115" i="6"/>
  <c r="U115" i="6"/>
  <c r="T115" i="6"/>
  <c r="S115" i="6"/>
  <c r="R115" i="6"/>
  <c r="Q115" i="6"/>
  <c r="P115" i="6"/>
  <c r="O115" i="6"/>
  <c r="N115" i="6"/>
  <c r="M115" i="6"/>
  <c r="L115" i="6"/>
  <c r="K115" i="6"/>
  <c r="I115" i="6"/>
  <c r="H115" i="6"/>
  <c r="G115" i="6"/>
  <c r="F115" i="6"/>
  <c r="E115" i="6"/>
  <c r="D115" i="6"/>
  <c r="C115" i="6"/>
  <c r="B115" i="6"/>
  <c r="A115" i="6"/>
  <c r="W114" i="6"/>
  <c r="V114" i="6"/>
  <c r="U114" i="6"/>
  <c r="T114" i="6"/>
  <c r="S114" i="6"/>
  <c r="R114" i="6"/>
  <c r="Q114" i="6"/>
  <c r="P114" i="6"/>
  <c r="O114" i="6"/>
  <c r="N114" i="6"/>
  <c r="M114" i="6"/>
  <c r="L114" i="6"/>
  <c r="K114" i="6"/>
  <c r="I114" i="6"/>
  <c r="H114" i="6"/>
  <c r="G114" i="6"/>
  <c r="F114" i="6"/>
  <c r="E114" i="6"/>
  <c r="D114" i="6"/>
  <c r="C114" i="6"/>
  <c r="B114" i="6"/>
  <c r="A114" i="6"/>
  <c r="W113" i="6"/>
  <c r="V113" i="6"/>
  <c r="U113" i="6"/>
  <c r="T113" i="6"/>
  <c r="S113" i="6"/>
  <c r="R113" i="6"/>
  <c r="Q113" i="6"/>
  <c r="P113" i="6"/>
  <c r="O113" i="6"/>
  <c r="N113" i="6"/>
  <c r="M113" i="6"/>
  <c r="L113" i="6"/>
  <c r="K113" i="6"/>
  <c r="I113" i="6"/>
  <c r="H113" i="6"/>
  <c r="G113" i="6"/>
  <c r="F113" i="6"/>
  <c r="E113" i="6"/>
  <c r="D113" i="6"/>
  <c r="C113" i="6"/>
  <c r="B113" i="6"/>
  <c r="A113" i="6"/>
  <c r="W112" i="6"/>
  <c r="V112" i="6"/>
  <c r="U112" i="6"/>
  <c r="T112" i="6"/>
  <c r="S112" i="6"/>
  <c r="R112" i="6"/>
  <c r="Q112" i="6"/>
  <c r="P112" i="6"/>
  <c r="O112" i="6"/>
  <c r="N112" i="6"/>
  <c r="M112" i="6"/>
  <c r="L112" i="6"/>
  <c r="K112" i="6"/>
  <c r="I112" i="6"/>
  <c r="H112" i="6"/>
  <c r="G112" i="6"/>
  <c r="F112" i="6"/>
  <c r="E112" i="6"/>
  <c r="D112" i="6"/>
  <c r="C112" i="6"/>
  <c r="B112" i="6"/>
  <c r="A112" i="6"/>
  <c r="W111" i="6"/>
  <c r="V111" i="6"/>
  <c r="U111" i="6"/>
  <c r="T111" i="6"/>
  <c r="S111" i="6"/>
  <c r="R111" i="6"/>
  <c r="Q111" i="6"/>
  <c r="P111" i="6"/>
  <c r="O111" i="6"/>
  <c r="N111" i="6"/>
  <c r="M111" i="6"/>
  <c r="L111" i="6"/>
  <c r="K111" i="6"/>
  <c r="I111" i="6"/>
  <c r="H111" i="6"/>
  <c r="G111" i="6"/>
  <c r="F111" i="6"/>
  <c r="E111" i="6"/>
  <c r="D111" i="6"/>
  <c r="C111" i="6"/>
  <c r="B111" i="6"/>
  <c r="A111" i="6"/>
  <c r="W110" i="6"/>
  <c r="V110" i="6"/>
  <c r="U110" i="6"/>
  <c r="T110" i="6"/>
  <c r="S110" i="6"/>
  <c r="R110" i="6"/>
  <c r="Q110" i="6"/>
  <c r="P110" i="6"/>
  <c r="O110" i="6"/>
  <c r="N110" i="6"/>
  <c r="M110" i="6"/>
  <c r="L110" i="6"/>
  <c r="K110" i="6"/>
  <c r="I110" i="6"/>
  <c r="H110" i="6"/>
  <c r="G110" i="6"/>
  <c r="F110" i="6"/>
  <c r="E110" i="6"/>
  <c r="D110" i="6"/>
  <c r="C110" i="6"/>
  <c r="B110" i="6"/>
  <c r="A110" i="6"/>
  <c r="W109" i="6"/>
  <c r="V109" i="6"/>
  <c r="U109" i="6"/>
  <c r="T109" i="6"/>
  <c r="S109" i="6"/>
  <c r="R109" i="6"/>
  <c r="Q109" i="6"/>
  <c r="P109" i="6"/>
  <c r="O109" i="6"/>
  <c r="N109" i="6"/>
  <c r="M109" i="6"/>
  <c r="L109" i="6"/>
  <c r="K109" i="6"/>
  <c r="I109" i="6"/>
  <c r="H109" i="6"/>
  <c r="G109" i="6"/>
  <c r="F109" i="6"/>
  <c r="E109" i="6"/>
  <c r="D109" i="6"/>
  <c r="C109" i="6"/>
  <c r="B109" i="6"/>
  <c r="A109" i="6"/>
  <c r="W108" i="6"/>
  <c r="V108" i="6"/>
  <c r="U108" i="6"/>
  <c r="T108" i="6"/>
  <c r="S108" i="6"/>
  <c r="R108" i="6"/>
  <c r="Q108" i="6"/>
  <c r="P108" i="6"/>
  <c r="O108" i="6"/>
  <c r="N108" i="6"/>
  <c r="M108" i="6"/>
  <c r="L108" i="6"/>
  <c r="K108" i="6"/>
  <c r="I108" i="6"/>
  <c r="H108" i="6"/>
  <c r="G108" i="6"/>
  <c r="F108" i="6"/>
  <c r="E108" i="6"/>
  <c r="D108" i="6"/>
  <c r="C108" i="6"/>
  <c r="B108" i="6"/>
  <c r="A108" i="6"/>
  <c r="W107" i="6"/>
  <c r="V107" i="6"/>
  <c r="U107" i="6"/>
  <c r="T107" i="6"/>
  <c r="S107" i="6"/>
  <c r="R107" i="6"/>
  <c r="Q107" i="6"/>
  <c r="P107" i="6"/>
  <c r="O107" i="6"/>
  <c r="N107" i="6"/>
  <c r="M107" i="6"/>
  <c r="L107" i="6"/>
  <c r="K107" i="6"/>
  <c r="I107" i="6"/>
  <c r="H107" i="6"/>
  <c r="G107" i="6"/>
  <c r="F107" i="6"/>
  <c r="E107" i="6"/>
  <c r="D107" i="6"/>
  <c r="C107" i="6"/>
  <c r="B107" i="6"/>
  <c r="A107" i="6"/>
  <c r="W106" i="6"/>
  <c r="V106" i="6"/>
  <c r="U106" i="6"/>
  <c r="T106" i="6"/>
  <c r="S106" i="6"/>
  <c r="R106" i="6"/>
  <c r="Q106" i="6"/>
  <c r="P106" i="6"/>
  <c r="O106" i="6"/>
  <c r="N106" i="6"/>
  <c r="M106" i="6"/>
  <c r="L106" i="6"/>
  <c r="K106" i="6"/>
  <c r="I106" i="6"/>
  <c r="H106" i="6"/>
  <c r="G106" i="6"/>
  <c r="F106" i="6"/>
  <c r="E106" i="6"/>
  <c r="D106" i="6"/>
  <c r="C106" i="6"/>
  <c r="B106" i="6"/>
  <c r="A106" i="6"/>
  <c r="W105" i="6"/>
  <c r="V105" i="6"/>
  <c r="U105" i="6"/>
  <c r="T105" i="6"/>
  <c r="S105" i="6"/>
  <c r="R105" i="6"/>
  <c r="Q105" i="6"/>
  <c r="P105" i="6"/>
  <c r="O105" i="6"/>
  <c r="N105" i="6"/>
  <c r="M105" i="6"/>
  <c r="L105" i="6"/>
  <c r="K105" i="6"/>
  <c r="I105" i="6"/>
  <c r="H105" i="6"/>
  <c r="G105" i="6"/>
  <c r="F105" i="6"/>
  <c r="E105" i="6"/>
  <c r="D105" i="6"/>
  <c r="C105" i="6"/>
  <c r="B105" i="6"/>
  <c r="A105" i="6"/>
  <c r="W104" i="6"/>
  <c r="V104" i="6"/>
  <c r="U104" i="6"/>
  <c r="T104" i="6"/>
  <c r="S104" i="6"/>
  <c r="R104" i="6"/>
  <c r="Q104" i="6"/>
  <c r="P104" i="6"/>
  <c r="O104" i="6"/>
  <c r="N104" i="6"/>
  <c r="M104" i="6"/>
  <c r="L104" i="6"/>
  <c r="K104" i="6"/>
  <c r="I104" i="6"/>
  <c r="H104" i="6"/>
  <c r="G104" i="6"/>
  <c r="F104" i="6"/>
  <c r="E104" i="6"/>
  <c r="D104" i="6"/>
  <c r="C104" i="6"/>
  <c r="B104" i="6"/>
  <c r="A104" i="6"/>
  <c r="W103" i="6"/>
  <c r="V103" i="6"/>
  <c r="U103" i="6"/>
  <c r="T103" i="6"/>
  <c r="S103" i="6"/>
  <c r="R103" i="6"/>
  <c r="Q103" i="6"/>
  <c r="P103" i="6"/>
  <c r="O103" i="6"/>
  <c r="N103" i="6"/>
  <c r="M103" i="6"/>
  <c r="L103" i="6"/>
  <c r="K103" i="6"/>
  <c r="I103" i="6"/>
  <c r="H103" i="6"/>
  <c r="G103" i="6"/>
  <c r="F103" i="6"/>
  <c r="E103" i="6"/>
  <c r="D103" i="6"/>
  <c r="C103" i="6"/>
  <c r="B103" i="6"/>
  <c r="A103" i="6"/>
  <c r="W102" i="6"/>
  <c r="V102" i="6"/>
  <c r="U102" i="6"/>
  <c r="T102" i="6"/>
  <c r="S102" i="6"/>
  <c r="R102" i="6"/>
  <c r="Q102" i="6"/>
  <c r="P102" i="6"/>
  <c r="O102" i="6"/>
  <c r="N102" i="6"/>
  <c r="M102" i="6"/>
  <c r="L102" i="6"/>
  <c r="K102" i="6"/>
  <c r="I102" i="6"/>
  <c r="H102" i="6"/>
  <c r="G102" i="6"/>
  <c r="F102" i="6"/>
  <c r="E102" i="6"/>
  <c r="D102" i="6"/>
  <c r="C102" i="6"/>
  <c r="B102" i="6"/>
  <c r="A102" i="6"/>
  <c r="W101" i="6"/>
  <c r="V101" i="6"/>
  <c r="U101" i="6"/>
  <c r="T101" i="6"/>
  <c r="S101" i="6"/>
  <c r="R101" i="6"/>
  <c r="Q101" i="6"/>
  <c r="P101" i="6"/>
  <c r="O101" i="6"/>
  <c r="N101" i="6"/>
  <c r="M101" i="6"/>
  <c r="L101" i="6"/>
  <c r="K101" i="6"/>
  <c r="I101" i="6"/>
  <c r="H101" i="6"/>
  <c r="G101" i="6"/>
  <c r="F101" i="6"/>
  <c r="E101" i="6"/>
  <c r="D101" i="6"/>
  <c r="C101" i="6"/>
  <c r="B101" i="6"/>
  <c r="A101" i="6"/>
  <c r="W100" i="6"/>
  <c r="V100" i="6"/>
  <c r="U100" i="6"/>
  <c r="T100" i="6"/>
  <c r="S100" i="6"/>
  <c r="R100" i="6"/>
  <c r="Q100" i="6"/>
  <c r="P100" i="6"/>
  <c r="O100" i="6"/>
  <c r="N100" i="6"/>
  <c r="M100" i="6"/>
  <c r="L100" i="6"/>
  <c r="K100" i="6"/>
  <c r="I100" i="6"/>
  <c r="H100" i="6"/>
  <c r="G100" i="6"/>
  <c r="F100" i="6"/>
  <c r="E100" i="6"/>
  <c r="D100" i="6"/>
  <c r="C100" i="6"/>
  <c r="B100" i="6"/>
  <c r="A100" i="6"/>
  <c r="W99" i="6"/>
  <c r="V99" i="6"/>
  <c r="U99" i="6"/>
  <c r="T99" i="6"/>
  <c r="S99" i="6"/>
  <c r="R99" i="6"/>
  <c r="Q99" i="6"/>
  <c r="P99" i="6"/>
  <c r="O99" i="6"/>
  <c r="N99" i="6"/>
  <c r="M99" i="6"/>
  <c r="L99" i="6"/>
  <c r="K99" i="6"/>
  <c r="I99" i="6"/>
  <c r="H99" i="6"/>
  <c r="G99" i="6"/>
  <c r="F99" i="6"/>
  <c r="E99" i="6"/>
  <c r="D99" i="6"/>
  <c r="C99" i="6"/>
  <c r="B99" i="6"/>
  <c r="A99" i="6"/>
  <c r="W98" i="6"/>
  <c r="V98" i="6"/>
  <c r="U98" i="6"/>
  <c r="T98" i="6"/>
  <c r="S98" i="6"/>
  <c r="R98" i="6"/>
  <c r="Q98" i="6"/>
  <c r="P98" i="6"/>
  <c r="O98" i="6"/>
  <c r="N98" i="6"/>
  <c r="M98" i="6"/>
  <c r="L98" i="6"/>
  <c r="K98" i="6"/>
  <c r="I98" i="6"/>
  <c r="H98" i="6"/>
  <c r="G98" i="6"/>
  <c r="F98" i="6"/>
  <c r="E98" i="6"/>
  <c r="D98" i="6"/>
  <c r="C98" i="6"/>
  <c r="B98" i="6"/>
  <c r="A98" i="6"/>
  <c r="W97" i="6"/>
  <c r="V97" i="6"/>
  <c r="U97" i="6"/>
  <c r="T97" i="6"/>
  <c r="S97" i="6"/>
  <c r="R97" i="6"/>
  <c r="Q97" i="6"/>
  <c r="P97" i="6"/>
  <c r="O97" i="6"/>
  <c r="N97" i="6"/>
  <c r="M97" i="6"/>
  <c r="L97" i="6"/>
  <c r="K97" i="6"/>
  <c r="I97" i="6"/>
  <c r="H97" i="6"/>
  <c r="G97" i="6"/>
  <c r="F97" i="6"/>
  <c r="E97" i="6"/>
  <c r="D97" i="6"/>
  <c r="C97" i="6"/>
  <c r="B97" i="6"/>
  <c r="A97" i="6"/>
  <c r="W96" i="6"/>
  <c r="V96" i="6"/>
  <c r="U96" i="6"/>
  <c r="T96" i="6"/>
  <c r="S96" i="6"/>
  <c r="R96" i="6"/>
  <c r="Q96" i="6"/>
  <c r="P96" i="6"/>
  <c r="O96" i="6"/>
  <c r="N96" i="6"/>
  <c r="M96" i="6"/>
  <c r="L96" i="6"/>
  <c r="K96" i="6"/>
  <c r="I96" i="6"/>
  <c r="H96" i="6"/>
  <c r="G96" i="6"/>
  <c r="F96" i="6"/>
  <c r="E96" i="6"/>
  <c r="D96" i="6"/>
  <c r="C96" i="6"/>
  <c r="B96" i="6"/>
  <c r="A96" i="6"/>
  <c r="W95" i="6"/>
  <c r="V95" i="6"/>
  <c r="U95" i="6"/>
  <c r="T95" i="6"/>
  <c r="S95" i="6"/>
  <c r="R95" i="6"/>
  <c r="Q95" i="6"/>
  <c r="P95" i="6"/>
  <c r="O95" i="6"/>
  <c r="N95" i="6"/>
  <c r="M95" i="6"/>
  <c r="L95" i="6"/>
  <c r="K95" i="6"/>
  <c r="I95" i="6"/>
  <c r="H95" i="6"/>
  <c r="G95" i="6"/>
  <c r="F95" i="6"/>
  <c r="E95" i="6"/>
  <c r="D95" i="6"/>
  <c r="C95" i="6"/>
  <c r="B95" i="6"/>
  <c r="A95" i="6"/>
  <c r="W94" i="6"/>
  <c r="V94" i="6"/>
  <c r="U94" i="6"/>
  <c r="T94" i="6"/>
  <c r="S94" i="6"/>
  <c r="R94" i="6"/>
  <c r="Q94" i="6"/>
  <c r="P94" i="6"/>
  <c r="O94" i="6"/>
  <c r="N94" i="6"/>
  <c r="M94" i="6"/>
  <c r="L94" i="6"/>
  <c r="K94" i="6"/>
  <c r="I94" i="6"/>
  <c r="H94" i="6"/>
  <c r="G94" i="6"/>
  <c r="F94" i="6"/>
  <c r="E94" i="6"/>
  <c r="D94" i="6"/>
  <c r="C94" i="6"/>
  <c r="B94" i="6"/>
  <c r="A94" i="6"/>
  <c r="W93" i="6"/>
  <c r="V93" i="6"/>
  <c r="U93" i="6"/>
  <c r="T93" i="6"/>
  <c r="S93" i="6"/>
  <c r="R93" i="6"/>
  <c r="Q93" i="6"/>
  <c r="P93" i="6"/>
  <c r="O93" i="6"/>
  <c r="N93" i="6"/>
  <c r="M93" i="6"/>
  <c r="L93" i="6"/>
  <c r="K93" i="6"/>
  <c r="I93" i="6"/>
  <c r="H93" i="6"/>
  <c r="G93" i="6"/>
  <c r="F93" i="6"/>
  <c r="E93" i="6"/>
  <c r="D93" i="6"/>
  <c r="C93" i="6"/>
  <c r="B93" i="6"/>
  <c r="A93" i="6"/>
  <c r="W92" i="6"/>
  <c r="V92" i="6"/>
  <c r="U92" i="6"/>
  <c r="T92" i="6"/>
  <c r="S92" i="6"/>
  <c r="R92" i="6"/>
  <c r="Q92" i="6"/>
  <c r="P92" i="6"/>
  <c r="O92" i="6"/>
  <c r="N92" i="6"/>
  <c r="M92" i="6"/>
  <c r="L92" i="6"/>
  <c r="K92" i="6"/>
  <c r="I92" i="6"/>
  <c r="H92" i="6"/>
  <c r="G92" i="6"/>
  <c r="F92" i="6"/>
  <c r="E92" i="6"/>
  <c r="D92" i="6"/>
  <c r="C92" i="6"/>
  <c r="B92" i="6"/>
  <c r="A92" i="6"/>
  <c r="W91" i="6"/>
  <c r="V91" i="6"/>
  <c r="U91" i="6"/>
  <c r="T91" i="6"/>
  <c r="S91" i="6"/>
  <c r="R91" i="6"/>
  <c r="Q91" i="6"/>
  <c r="P91" i="6"/>
  <c r="O91" i="6"/>
  <c r="N91" i="6"/>
  <c r="M91" i="6"/>
  <c r="L91" i="6"/>
  <c r="K91" i="6"/>
  <c r="I91" i="6"/>
  <c r="H91" i="6"/>
  <c r="G91" i="6"/>
  <c r="F91" i="6"/>
  <c r="E91" i="6"/>
  <c r="D91" i="6"/>
  <c r="C91" i="6"/>
  <c r="B91" i="6"/>
  <c r="A91" i="6"/>
  <c r="W90" i="6"/>
  <c r="V90" i="6"/>
  <c r="U90" i="6"/>
  <c r="T90" i="6"/>
  <c r="S90" i="6"/>
  <c r="R90" i="6"/>
  <c r="Q90" i="6"/>
  <c r="P90" i="6"/>
  <c r="O90" i="6"/>
  <c r="N90" i="6"/>
  <c r="M90" i="6"/>
  <c r="L90" i="6"/>
  <c r="K90" i="6"/>
  <c r="I90" i="6"/>
  <c r="H90" i="6"/>
  <c r="G90" i="6"/>
  <c r="F90" i="6"/>
  <c r="E90" i="6"/>
  <c r="D90" i="6"/>
  <c r="C90" i="6"/>
  <c r="B90" i="6"/>
  <c r="A90" i="6"/>
  <c r="W89" i="6"/>
  <c r="V89" i="6"/>
  <c r="U89" i="6"/>
  <c r="T89" i="6"/>
  <c r="S89" i="6"/>
  <c r="R89" i="6"/>
  <c r="Q89" i="6"/>
  <c r="P89" i="6"/>
  <c r="O89" i="6"/>
  <c r="N89" i="6"/>
  <c r="M89" i="6"/>
  <c r="L89" i="6"/>
  <c r="K89" i="6"/>
  <c r="I89" i="6"/>
  <c r="H89" i="6"/>
  <c r="G89" i="6"/>
  <c r="F89" i="6"/>
  <c r="E89" i="6"/>
  <c r="D89" i="6"/>
  <c r="C89" i="6"/>
  <c r="B89" i="6"/>
  <c r="A89" i="6"/>
  <c r="W88" i="6"/>
  <c r="V88" i="6"/>
  <c r="U88" i="6"/>
  <c r="T88" i="6"/>
  <c r="S88" i="6"/>
  <c r="R88" i="6"/>
  <c r="Q88" i="6"/>
  <c r="P88" i="6"/>
  <c r="O88" i="6"/>
  <c r="N88" i="6"/>
  <c r="M88" i="6"/>
  <c r="L88" i="6"/>
  <c r="K88" i="6"/>
  <c r="I88" i="6"/>
  <c r="H88" i="6"/>
  <c r="G88" i="6"/>
  <c r="F88" i="6"/>
  <c r="E88" i="6"/>
  <c r="D88" i="6"/>
  <c r="C88" i="6"/>
  <c r="B88" i="6"/>
  <c r="A88" i="6"/>
  <c r="W87" i="6"/>
  <c r="V87" i="6"/>
  <c r="U87" i="6"/>
  <c r="T87" i="6"/>
  <c r="S87" i="6"/>
  <c r="R87" i="6"/>
  <c r="Q87" i="6"/>
  <c r="P87" i="6"/>
  <c r="O87" i="6"/>
  <c r="N87" i="6"/>
  <c r="M87" i="6"/>
  <c r="L87" i="6"/>
  <c r="K87" i="6"/>
  <c r="I87" i="6"/>
  <c r="H87" i="6"/>
  <c r="G87" i="6"/>
  <c r="F87" i="6"/>
  <c r="E87" i="6"/>
  <c r="D87" i="6"/>
  <c r="C87" i="6"/>
  <c r="B87" i="6"/>
  <c r="A87" i="6"/>
  <c r="W86" i="6"/>
  <c r="V86" i="6"/>
  <c r="U86" i="6"/>
  <c r="T86" i="6"/>
  <c r="S86" i="6"/>
  <c r="R86" i="6"/>
  <c r="Q86" i="6"/>
  <c r="P86" i="6"/>
  <c r="O86" i="6"/>
  <c r="N86" i="6"/>
  <c r="M86" i="6"/>
  <c r="L86" i="6"/>
  <c r="K86" i="6"/>
  <c r="I86" i="6"/>
  <c r="H86" i="6"/>
  <c r="G86" i="6"/>
  <c r="F86" i="6"/>
  <c r="E86" i="6"/>
  <c r="D86" i="6"/>
  <c r="C86" i="6"/>
  <c r="B86" i="6"/>
  <c r="A86" i="6"/>
  <c r="W85" i="6"/>
  <c r="V85" i="6"/>
  <c r="U85" i="6"/>
  <c r="T85" i="6"/>
  <c r="S85" i="6"/>
  <c r="R85" i="6"/>
  <c r="Q85" i="6"/>
  <c r="P85" i="6"/>
  <c r="O85" i="6"/>
  <c r="N85" i="6"/>
  <c r="M85" i="6"/>
  <c r="L85" i="6"/>
  <c r="K85" i="6"/>
  <c r="I85" i="6"/>
  <c r="H85" i="6"/>
  <c r="G85" i="6"/>
  <c r="F85" i="6"/>
  <c r="E85" i="6"/>
  <c r="D85" i="6"/>
  <c r="C85" i="6"/>
  <c r="B85" i="6"/>
  <c r="A85" i="6"/>
  <c r="W84" i="6"/>
  <c r="V84" i="6"/>
  <c r="U84" i="6"/>
  <c r="T84" i="6"/>
  <c r="S84" i="6"/>
  <c r="R84" i="6"/>
  <c r="Q84" i="6"/>
  <c r="P84" i="6"/>
  <c r="O84" i="6"/>
  <c r="N84" i="6"/>
  <c r="M84" i="6"/>
  <c r="L84" i="6"/>
  <c r="K84" i="6"/>
  <c r="I84" i="6"/>
  <c r="H84" i="6"/>
  <c r="G84" i="6"/>
  <c r="F84" i="6"/>
  <c r="E84" i="6"/>
  <c r="D84" i="6"/>
  <c r="C84" i="6"/>
  <c r="B84" i="6"/>
  <c r="A84" i="6"/>
  <c r="W83" i="6"/>
  <c r="V83" i="6"/>
  <c r="U83" i="6"/>
  <c r="T83" i="6"/>
  <c r="S83" i="6"/>
  <c r="R83" i="6"/>
  <c r="Q83" i="6"/>
  <c r="P83" i="6"/>
  <c r="O83" i="6"/>
  <c r="N83" i="6"/>
  <c r="M83" i="6"/>
  <c r="L83" i="6"/>
  <c r="K83" i="6"/>
  <c r="I83" i="6"/>
  <c r="H83" i="6"/>
  <c r="G83" i="6"/>
  <c r="F83" i="6"/>
  <c r="E83" i="6"/>
  <c r="D83" i="6"/>
  <c r="C83" i="6"/>
  <c r="B83" i="6"/>
  <c r="A83" i="6"/>
  <c r="W82" i="6"/>
  <c r="V82" i="6"/>
  <c r="U82" i="6"/>
  <c r="T82" i="6"/>
  <c r="S82" i="6"/>
  <c r="R82" i="6"/>
  <c r="Q82" i="6"/>
  <c r="P82" i="6"/>
  <c r="O82" i="6"/>
  <c r="N82" i="6"/>
  <c r="M82" i="6"/>
  <c r="L82" i="6"/>
  <c r="K82" i="6"/>
  <c r="I82" i="6"/>
  <c r="H82" i="6"/>
  <c r="G82" i="6"/>
  <c r="F82" i="6"/>
  <c r="E82" i="6"/>
  <c r="D82" i="6"/>
  <c r="C82" i="6"/>
  <c r="B82" i="6"/>
  <c r="A82" i="6"/>
  <c r="W81" i="6"/>
  <c r="V81" i="6"/>
  <c r="U81" i="6"/>
  <c r="T81" i="6"/>
  <c r="S81" i="6"/>
  <c r="R81" i="6"/>
  <c r="Q81" i="6"/>
  <c r="P81" i="6"/>
  <c r="O81" i="6"/>
  <c r="N81" i="6"/>
  <c r="M81" i="6"/>
  <c r="L81" i="6"/>
  <c r="K81" i="6"/>
  <c r="I81" i="6"/>
  <c r="H81" i="6"/>
  <c r="G81" i="6"/>
  <c r="F81" i="6"/>
  <c r="E81" i="6"/>
  <c r="D81" i="6"/>
  <c r="C81" i="6"/>
  <c r="B81" i="6"/>
  <c r="A81" i="6"/>
  <c r="W80" i="6"/>
  <c r="V80" i="6"/>
  <c r="U80" i="6"/>
  <c r="T80" i="6"/>
  <c r="S80" i="6"/>
  <c r="R80" i="6"/>
  <c r="Q80" i="6"/>
  <c r="P80" i="6"/>
  <c r="O80" i="6"/>
  <c r="N80" i="6"/>
  <c r="M80" i="6"/>
  <c r="L80" i="6"/>
  <c r="K80" i="6"/>
  <c r="I80" i="6"/>
  <c r="H80" i="6"/>
  <c r="G80" i="6"/>
  <c r="F80" i="6"/>
  <c r="E80" i="6"/>
  <c r="D80" i="6"/>
  <c r="C80" i="6"/>
  <c r="B80" i="6"/>
  <c r="A80" i="6"/>
  <c r="W79" i="6"/>
  <c r="V79" i="6"/>
  <c r="U79" i="6"/>
  <c r="T79" i="6"/>
  <c r="S79" i="6"/>
  <c r="R79" i="6"/>
  <c r="Q79" i="6"/>
  <c r="P79" i="6"/>
  <c r="O79" i="6"/>
  <c r="N79" i="6"/>
  <c r="M79" i="6"/>
  <c r="L79" i="6"/>
  <c r="K79" i="6"/>
  <c r="I79" i="6"/>
  <c r="H79" i="6"/>
  <c r="G79" i="6"/>
  <c r="F79" i="6"/>
  <c r="E79" i="6"/>
  <c r="D79" i="6"/>
  <c r="C79" i="6"/>
  <c r="B79" i="6"/>
  <c r="A79" i="6"/>
  <c r="W78" i="6"/>
  <c r="V78" i="6"/>
  <c r="U78" i="6"/>
  <c r="T78" i="6"/>
  <c r="S78" i="6"/>
  <c r="R78" i="6"/>
  <c r="Q78" i="6"/>
  <c r="P78" i="6"/>
  <c r="O78" i="6"/>
  <c r="N78" i="6"/>
  <c r="M78" i="6"/>
  <c r="L78" i="6"/>
  <c r="K78" i="6"/>
  <c r="I78" i="6"/>
  <c r="H78" i="6"/>
  <c r="G78" i="6"/>
  <c r="F78" i="6"/>
  <c r="E78" i="6"/>
  <c r="D78" i="6"/>
  <c r="C78" i="6"/>
  <c r="B78" i="6"/>
  <c r="A78" i="6"/>
  <c r="W77" i="6"/>
  <c r="V77" i="6"/>
  <c r="U77" i="6"/>
  <c r="T77" i="6"/>
  <c r="S77" i="6"/>
  <c r="R77" i="6"/>
  <c r="Q77" i="6"/>
  <c r="P77" i="6"/>
  <c r="O77" i="6"/>
  <c r="N77" i="6"/>
  <c r="M77" i="6"/>
  <c r="L77" i="6"/>
  <c r="K77" i="6"/>
  <c r="I77" i="6"/>
  <c r="H77" i="6"/>
  <c r="G77" i="6"/>
  <c r="F77" i="6"/>
  <c r="E77" i="6"/>
  <c r="D77" i="6"/>
  <c r="C77" i="6"/>
  <c r="B77" i="6"/>
  <c r="A77" i="6"/>
  <c r="W76" i="6"/>
  <c r="V76" i="6"/>
  <c r="U76" i="6"/>
  <c r="T76" i="6"/>
  <c r="S76" i="6"/>
  <c r="R76" i="6"/>
  <c r="Q76" i="6"/>
  <c r="P76" i="6"/>
  <c r="O76" i="6"/>
  <c r="N76" i="6"/>
  <c r="M76" i="6"/>
  <c r="L76" i="6"/>
  <c r="K76" i="6"/>
  <c r="I76" i="6"/>
  <c r="H76" i="6"/>
  <c r="G76" i="6"/>
  <c r="F76" i="6"/>
  <c r="E76" i="6"/>
  <c r="D76" i="6"/>
  <c r="C76" i="6"/>
  <c r="B76" i="6"/>
  <c r="A76" i="6"/>
  <c r="W75" i="6"/>
  <c r="V75" i="6"/>
  <c r="U75" i="6"/>
  <c r="T75" i="6"/>
  <c r="S75" i="6"/>
  <c r="R75" i="6"/>
  <c r="Q75" i="6"/>
  <c r="P75" i="6"/>
  <c r="O75" i="6"/>
  <c r="N75" i="6"/>
  <c r="M75" i="6"/>
  <c r="L75" i="6"/>
  <c r="K75" i="6"/>
  <c r="I75" i="6"/>
  <c r="H75" i="6"/>
  <c r="G75" i="6"/>
  <c r="F75" i="6"/>
  <c r="E75" i="6"/>
  <c r="D75" i="6"/>
  <c r="C75" i="6"/>
  <c r="B75" i="6"/>
  <c r="A75" i="6"/>
  <c r="W74" i="6"/>
  <c r="V74" i="6"/>
  <c r="U74" i="6"/>
  <c r="T74" i="6"/>
  <c r="S74" i="6"/>
  <c r="R74" i="6"/>
  <c r="Q74" i="6"/>
  <c r="P74" i="6"/>
  <c r="O74" i="6"/>
  <c r="N74" i="6"/>
  <c r="M74" i="6"/>
  <c r="L74" i="6"/>
  <c r="K74" i="6"/>
  <c r="I74" i="6"/>
  <c r="H74" i="6"/>
  <c r="G74" i="6"/>
  <c r="F74" i="6"/>
  <c r="E74" i="6"/>
  <c r="D74" i="6"/>
  <c r="C74" i="6"/>
  <c r="B74" i="6"/>
  <c r="A74" i="6"/>
  <c r="W73" i="6"/>
  <c r="V73" i="6"/>
  <c r="U73" i="6"/>
  <c r="T73" i="6"/>
  <c r="S73" i="6"/>
  <c r="R73" i="6"/>
  <c r="Q73" i="6"/>
  <c r="P73" i="6"/>
  <c r="O73" i="6"/>
  <c r="N73" i="6"/>
  <c r="M73" i="6"/>
  <c r="L73" i="6"/>
  <c r="K73" i="6"/>
  <c r="I73" i="6"/>
  <c r="H73" i="6"/>
  <c r="G73" i="6"/>
  <c r="F73" i="6"/>
  <c r="E73" i="6"/>
  <c r="D73" i="6"/>
  <c r="C73" i="6"/>
  <c r="B73" i="6"/>
  <c r="A73" i="6"/>
  <c r="W72" i="6"/>
  <c r="V72" i="6"/>
  <c r="U72" i="6"/>
  <c r="T72" i="6"/>
  <c r="S72" i="6"/>
  <c r="R72" i="6"/>
  <c r="Q72" i="6"/>
  <c r="P72" i="6"/>
  <c r="O72" i="6"/>
  <c r="N72" i="6"/>
  <c r="M72" i="6"/>
  <c r="L72" i="6"/>
  <c r="K72" i="6"/>
  <c r="I72" i="6"/>
  <c r="H72" i="6"/>
  <c r="G72" i="6"/>
  <c r="F72" i="6"/>
  <c r="E72" i="6"/>
  <c r="D72" i="6"/>
  <c r="C72" i="6"/>
  <c r="B72" i="6"/>
  <c r="A72" i="6"/>
  <c r="W71" i="6"/>
  <c r="V71" i="6"/>
  <c r="U71" i="6"/>
  <c r="T71" i="6"/>
  <c r="S71" i="6"/>
  <c r="R71" i="6"/>
  <c r="Q71" i="6"/>
  <c r="P71" i="6"/>
  <c r="O71" i="6"/>
  <c r="N71" i="6"/>
  <c r="M71" i="6"/>
  <c r="L71" i="6"/>
  <c r="K71" i="6"/>
  <c r="I71" i="6"/>
  <c r="H71" i="6"/>
  <c r="G71" i="6"/>
  <c r="F71" i="6"/>
  <c r="E71" i="6"/>
  <c r="D71" i="6"/>
  <c r="C71" i="6"/>
  <c r="B71" i="6"/>
  <c r="A71" i="6"/>
  <c r="W70" i="6"/>
  <c r="V70" i="6"/>
  <c r="U70" i="6"/>
  <c r="T70" i="6"/>
  <c r="S70" i="6"/>
  <c r="R70" i="6"/>
  <c r="Q70" i="6"/>
  <c r="P70" i="6"/>
  <c r="O70" i="6"/>
  <c r="N70" i="6"/>
  <c r="M70" i="6"/>
  <c r="L70" i="6"/>
  <c r="K70" i="6"/>
  <c r="I70" i="6"/>
  <c r="H70" i="6"/>
  <c r="G70" i="6"/>
  <c r="F70" i="6"/>
  <c r="E70" i="6"/>
  <c r="D70" i="6"/>
  <c r="C70" i="6"/>
  <c r="B70" i="6"/>
  <c r="A70" i="6"/>
  <c r="W69" i="6"/>
  <c r="V69" i="6"/>
  <c r="U69" i="6"/>
  <c r="T69" i="6"/>
  <c r="S69" i="6"/>
  <c r="R69" i="6"/>
  <c r="Q69" i="6"/>
  <c r="P69" i="6"/>
  <c r="O69" i="6"/>
  <c r="N69" i="6"/>
  <c r="M69" i="6"/>
  <c r="L69" i="6"/>
  <c r="K69" i="6"/>
  <c r="I69" i="6"/>
  <c r="H69" i="6"/>
  <c r="G69" i="6"/>
  <c r="F69" i="6"/>
  <c r="E69" i="6"/>
  <c r="D69" i="6"/>
  <c r="C69" i="6"/>
  <c r="B69" i="6"/>
  <c r="A69" i="6"/>
  <c r="W68" i="6"/>
  <c r="V68" i="6"/>
  <c r="U68" i="6"/>
  <c r="T68" i="6"/>
  <c r="S68" i="6"/>
  <c r="R68" i="6"/>
  <c r="Q68" i="6"/>
  <c r="P68" i="6"/>
  <c r="O68" i="6"/>
  <c r="N68" i="6"/>
  <c r="M68" i="6"/>
  <c r="L68" i="6"/>
  <c r="K68" i="6"/>
  <c r="I68" i="6"/>
  <c r="H68" i="6"/>
  <c r="G68" i="6"/>
  <c r="F68" i="6"/>
  <c r="E68" i="6"/>
  <c r="D68" i="6"/>
  <c r="C68" i="6"/>
  <c r="B68" i="6"/>
  <c r="A68" i="6"/>
  <c r="W67" i="6"/>
  <c r="V67" i="6"/>
  <c r="U67" i="6"/>
  <c r="T67" i="6"/>
  <c r="S67" i="6"/>
  <c r="R67" i="6"/>
  <c r="Q67" i="6"/>
  <c r="P67" i="6"/>
  <c r="O67" i="6"/>
  <c r="N67" i="6"/>
  <c r="M67" i="6"/>
  <c r="L67" i="6"/>
  <c r="K67" i="6"/>
  <c r="I67" i="6"/>
  <c r="H67" i="6"/>
  <c r="G67" i="6"/>
  <c r="F67" i="6"/>
  <c r="E67" i="6"/>
  <c r="D67" i="6"/>
  <c r="C67" i="6"/>
  <c r="B67" i="6"/>
  <c r="A67" i="6"/>
  <c r="W66" i="6"/>
  <c r="V66" i="6"/>
  <c r="U66" i="6"/>
  <c r="T66" i="6"/>
  <c r="S66" i="6"/>
  <c r="R66" i="6"/>
  <c r="Q66" i="6"/>
  <c r="P66" i="6"/>
  <c r="O66" i="6"/>
  <c r="N66" i="6"/>
  <c r="M66" i="6"/>
  <c r="L66" i="6"/>
  <c r="K66" i="6"/>
  <c r="I66" i="6"/>
  <c r="H66" i="6"/>
  <c r="G66" i="6"/>
  <c r="F66" i="6"/>
  <c r="E66" i="6"/>
  <c r="D66" i="6"/>
  <c r="C66" i="6"/>
  <c r="B66" i="6"/>
  <c r="A66" i="6"/>
  <c r="W65" i="6"/>
  <c r="V65" i="6"/>
  <c r="U65" i="6"/>
  <c r="T65" i="6"/>
  <c r="S65" i="6"/>
  <c r="R65" i="6"/>
  <c r="Q65" i="6"/>
  <c r="P65" i="6"/>
  <c r="O65" i="6"/>
  <c r="N65" i="6"/>
  <c r="M65" i="6"/>
  <c r="L65" i="6"/>
  <c r="K65" i="6"/>
  <c r="I65" i="6"/>
  <c r="H65" i="6"/>
  <c r="G65" i="6"/>
  <c r="F65" i="6"/>
  <c r="E65" i="6"/>
  <c r="D65" i="6"/>
  <c r="C65" i="6"/>
  <c r="B65" i="6"/>
  <c r="A65" i="6"/>
  <c r="W64" i="6"/>
  <c r="V64" i="6"/>
  <c r="U64" i="6"/>
  <c r="T64" i="6"/>
  <c r="S64" i="6"/>
  <c r="R64" i="6"/>
  <c r="Q64" i="6"/>
  <c r="P64" i="6"/>
  <c r="O64" i="6"/>
  <c r="N64" i="6"/>
  <c r="M64" i="6"/>
  <c r="L64" i="6"/>
  <c r="K64" i="6"/>
  <c r="I64" i="6"/>
  <c r="H64" i="6"/>
  <c r="G64" i="6"/>
  <c r="F64" i="6"/>
  <c r="E64" i="6"/>
  <c r="D64" i="6"/>
  <c r="C64" i="6"/>
  <c r="B64" i="6"/>
  <c r="A64" i="6"/>
  <c r="W63" i="6"/>
  <c r="V63" i="6"/>
  <c r="U63" i="6"/>
  <c r="T63" i="6"/>
  <c r="S63" i="6"/>
  <c r="R63" i="6"/>
  <c r="Q63" i="6"/>
  <c r="P63" i="6"/>
  <c r="O63" i="6"/>
  <c r="N63" i="6"/>
  <c r="M63" i="6"/>
  <c r="L63" i="6"/>
  <c r="K63" i="6"/>
  <c r="I63" i="6"/>
  <c r="H63" i="6"/>
  <c r="G63" i="6"/>
  <c r="F63" i="6"/>
  <c r="E63" i="6"/>
  <c r="D63" i="6"/>
  <c r="C63" i="6"/>
  <c r="B63" i="6"/>
  <c r="A63" i="6"/>
  <c r="W62" i="6"/>
  <c r="V62" i="6"/>
  <c r="U62" i="6"/>
  <c r="T62" i="6"/>
  <c r="S62" i="6"/>
  <c r="R62" i="6"/>
  <c r="Q62" i="6"/>
  <c r="P62" i="6"/>
  <c r="O62" i="6"/>
  <c r="N62" i="6"/>
  <c r="M62" i="6"/>
  <c r="L62" i="6"/>
  <c r="K62" i="6"/>
  <c r="I62" i="6"/>
  <c r="H62" i="6"/>
  <c r="G62" i="6"/>
  <c r="F62" i="6"/>
  <c r="E62" i="6"/>
  <c r="D62" i="6"/>
  <c r="C62" i="6"/>
  <c r="B62" i="6"/>
  <c r="A62" i="6"/>
  <c r="W61" i="6"/>
  <c r="V61" i="6"/>
  <c r="U61" i="6"/>
  <c r="T61" i="6"/>
  <c r="S61" i="6"/>
  <c r="R61" i="6"/>
  <c r="Q61" i="6"/>
  <c r="P61" i="6"/>
  <c r="O61" i="6"/>
  <c r="N61" i="6"/>
  <c r="M61" i="6"/>
  <c r="L61" i="6"/>
  <c r="K61" i="6"/>
  <c r="I61" i="6"/>
  <c r="H61" i="6"/>
  <c r="G61" i="6"/>
  <c r="F61" i="6"/>
  <c r="E61" i="6"/>
  <c r="D61" i="6"/>
  <c r="C61" i="6"/>
  <c r="B61" i="6"/>
  <c r="A61" i="6"/>
  <c r="W60" i="6"/>
  <c r="V60" i="6"/>
  <c r="U60" i="6"/>
  <c r="T60" i="6"/>
  <c r="S60" i="6"/>
  <c r="R60" i="6"/>
  <c r="Q60" i="6"/>
  <c r="P60" i="6"/>
  <c r="O60" i="6"/>
  <c r="N60" i="6"/>
  <c r="M60" i="6"/>
  <c r="L60" i="6"/>
  <c r="K60" i="6"/>
  <c r="I60" i="6"/>
  <c r="H60" i="6"/>
  <c r="G60" i="6"/>
  <c r="F60" i="6"/>
  <c r="E60" i="6"/>
  <c r="D60" i="6"/>
  <c r="C60" i="6"/>
  <c r="B60" i="6"/>
  <c r="A60" i="6"/>
  <c r="W59" i="6"/>
  <c r="V59" i="6"/>
  <c r="U59" i="6"/>
  <c r="T59" i="6"/>
  <c r="S59" i="6"/>
  <c r="R59" i="6"/>
  <c r="Q59" i="6"/>
  <c r="P59" i="6"/>
  <c r="O59" i="6"/>
  <c r="N59" i="6"/>
  <c r="M59" i="6"/>
  <c r="L59" i="6"/>
  <c r="K59" i="6"/>
  <c r="I59" i="6"/>
  <c r="H59" i="6"/>
  <c r="G59" i="6"/>
  <c r="F59" i="6"/>
  <c r="E59" i="6"/>
  <c r="D59" i="6"/>
  <c r="C59" i="6"/>
  <c r="B59" i="6"/>
  <c r="A59" i="6"/>
  <c r="W58" i="6"/>
  <c r="V58" i="6"/>
  <c r="U58" i="6"/>
  <c r="T58" i="6"/>
  <c r="S58" i="6"/>
  <c r="R58" i="6"/>
  <c r="Q58" i="6"/>
  <c r="P58" i="6"/>
  <c r="O58" i="6"/>
  <c r="N58" i="6"/>
  <c r="M58" i="6"/>
  <c r="L58" i="6"/>
  <c r="K58" i="6"/>
  <c r="I58" i="6"/>
  <c r="H58" i="6"/>
  <c r="G58" i="6"/>
  <c r="F58" i="6"/>
  <c r="E58" i="6"/>
  <c r="D58" i="6"/>
  <c r="C58" i="6"/>
  <c r="B58" i="6"/>
  <c r="A58" i="6"/>
  <c r="W57" i="6"/>
  <c r="V57" i="6"/>
  <c r="U57" i="6"/>
  <c r="T57" i="6"/>
  <c r="S57" i="6"/>
  <c r="R57" i="6"/>
  <c r="Q57" i="6"/>
  <c r="P57" i="6"/>
  <c r="O57" i="6"/>
  <c r="N57" i="6"/>
  <c r="M57" i="6"/>
  <c r="L57" i="6"/>
  <c r="K57" i="6"/>
  <c r="I57" i="6"/>
  <c r="H57" i="6"/>
  <c r="G57" i="6"/>
  <c r="F57" i="6"/>
  <c r="E57" i="6"/>
  <c r="D57" i="6"/>
  <c r="C57" i="6"/>
  <c r="B57" i="6"/>
  <c r="A57" i="6"/>
  <c r="W56" i="6"/>
  <c r="V56" i="6"/>
  <c r="U56" i="6"/>
  <c r="T56" i="6"/>
  <c r="S56" i="6"/>
  <c r="R56" i="6"/>
  <c r="Q56" i="6"/>
  <c r="P56" i="6"/>
  <c r="O56" i="6"/>
  <c r="N56" i="6"/>
  <c r="M56" i="6"/>
  <c r="L56" i="6"/>
  <c r="K56" i="6"/>
  <c r="I56" i="6"/>
  <c r="H56" i="6"/>
  <c r="G56" i="6"/>
  <c r="F56" i="6"/>
  <c r="E56" i="6"/>
  <c r="D56" i="6"/>
  <c r="C56" i="6"/>
  <c r="B56" i="6"/>
  <c r="A56" i="6"/>
  <c r="W55" i="6"/>
  <c r="V55" i="6"/>
  <c r="U55" i="6"/>
  <c r="T55" i="6"/>
  <c r="S55" i="6"/>
  <c r="R55" i="6"/>
  <c r="Q55" i="6"/>
  <c r="P55" i="6"/>
  <c r="O55" i="6"/>
  <c r="N55" i="6"/>
  <c r="M55" i="6"/>
  <c r="L55" i="6"/>
  <c r="K55" i="6"/>
  <c r="I55" i="6"/>
  <c r="H55" i="6"/>
  <c r="G55" i="6"/>
  <c r="F55" i="6"/>
  <c r="E55" i="6"/>
  <c r="D55" i="6"/>
  <c r="C55" i="6"/>
  <c r="B55" i="6"/>
  <c r="A55" i="6"/>
  <c r="W54" i="6"/>
  <c r="V54" i="6"/>
  <c r="U54" i="6"/>
  <c r="T54" i="6"/>
  <c r="S54" i="6"/>
  <c r="R54" i="6"/>
  <c r="Q54" i="6"/>
  <c r="P54" i="6"/>
  <c r="O54" i="6"/>
  <c r="N54" i="6"/>
  <c r="M54" i="6"/>
  <c r="L54" i="6"/>
  <c r="K54" i="6"/>
  <c r="I54" i="6"/>
  <c r="H54" i="6"/>
  <c r="G54" i="6"/>
  <c r="F54" i="6"/>
  <c r="E54" i="6"/>
  <c r="D54" i="6"/>
  <c r="C54" i="6"/>
  <c r="B54" i="6"/>
  <c r="A54" i="6"/>
  <c r="W53" i="6"/>
  <c r="V53" i="6"/>
  <c r="U53" i="6"/>
  <c r="T53" i="6"/>
  <c r="S53" i="6"/>
  <c r="R53" i="6"/>
  <c r="Q53" i="6"/>
  <c r="P53" i="6"/>
  <c r="O53" i="6"/>
  <c r="N53" i="6"/>
  <c r="M53" i="6"/>
  <c r="L53" i="6"/>
  <c r="K53" i="6"/>
  <c r="I53" i="6"/>
  <c r="H53" i="6"/>
  <c r="G53" i="6"/>
  <c r="F53" i="6"/>
  <c r="E53" i="6"/>
  <c r="D53" i="6"/>
  <c r="C53" i="6"/>
  <c r="B53" i="6"/>
  <c r="A53" i="6"/>
  <c r="W52" i="6"/>
  <c r="V52" i="6"/>
  <c r="U52" i="6"/>
  <c r="T52" i="6"/>
  <c r="S52" i="6"/>
  <c r="R52" i="6"/>
  <c r="Q52" i="6"/>
  <c r="P52" i="6"/>
  <c r="O52" i="6"/>
  <c r="N52" i="6"/>
  <c r="M52" i="6"/>
  <c r="L52" i="6"/>
  <c r="K52" i="6"/>
  <c r="I52" i="6"/>
  <c r="H52" i="6"/>
  <c r="G52" i="6"/>
  <c r="F52" i="6"/>
  <c r="E52" i="6"/>
  <c r="D52" i="6"/>
  <c r="C52" i="6"/>
  <c r="B52" i="6"/>
  <c r="A52" i="6"/>
  <c r="W51" i="6"/>
  <c r="V51" i="6"/>
  <c r="U51" i="6"/>
  <c r="T51" i="6"/>
  <c r="S51" i="6"/>
  <c r="R51" i="6"/>
  <c r="Q51" i="6"/>
  <c r="P51" i="6"/>
  <c r="O51" i="6"/>
  <c r="N51" i="6"/>
  <c r="M51" i="6"/>
  <c r="L51" i="6"/>
  <c r="K51" i="6"/>
  <c r="I51" i="6"/>
  <c r="H51" i="6"/>
  <c r="G51" i="6"/>
  <c r="F51" i="6"/>
  <c r="E51" i="6"/>
  <c r="D51" i="6"/>
  <c r="C51" i="6"/>
  <c r="B51" i="6"/>
  <c r="A51" i="6"/>
  <c r="W50" i="6"/>
  <c r="V50" i="6"/>
  <c r="U50" i="6"/>
  <c r="T50" i="6"/>
  <c r="S50" i="6"/>
  <c r="R50" i="6"/>
  <c r="Q50" i="6"/>
  <c r="P50" i="6"/>
  <c r="O50" i="6"/>
  <c r="N50" i="6"/>
  <c r="M50" i="6"/>
  <c r="L50" i="6"/>
  <c r="K50" i="6"/>
  <c r="I50" i="6"/>
  <c r="H50" i="6"/>
  <c r="G50" i="6"/>
  <c r="F50" i="6"/>
  <c r="E50" i="6"/>
  <c r="D50" i="6"/>
  <c r="C50" i="6"/>
  <c r="B50" i="6"/>
  <c r="A50" i="6"/>
  <c r="W49" i="6"/>
  <c r="V49" i="6"/>
  <c r="U49" i="6"/>
  <c r="T49" i="6"/>
  <c r="S49" i="6"/>
  <c r="R49" i="6"/>
  <c r="Q49" i="6"/>
  <c r="P49" i="6"/>
  <c r="O49" i="6"/>
  <c r="N49" i="6"/>
  <c r="M49" i="6"/>
  <c r="L49" i="6"/>
  <c r="K49" i="6"/>
  <c r="I49" i="6"/>
  <c r="H49" i="6"/>
  <c r="G49" i="6"/>
  <c r="F49" i="6"/>
  <c r="E49" i="6"/>
  <c r="D49" i="6"/>
  <c r="C49" i="6"/>
  <c r="B49" i="6"/>
  <c r="A49" i="6"/>
  <c r="W48" i="6"/>
  <c r="V48" i="6"/>
  <c r="U48" i="6"/>
  <c r="T48" i="6"/>
  <c r="S48" i="6"/>
  <c r="R48" i="6"/>
  <c r="Q48" i="6"/>
  <c r="P48" i="6"/>
  <c r="O48" i="6"/>
  <c r="N48" i="6"/>
  <c r="M48" i="6"/>
  <c r="L48" i="6"/>
  <c r="K48" i="6"/>
  <c r="I48" i="6"/>
  <c r="H48" i="6"/>
  <c r="G48" i="6"/>
  <c r="F48" i="6"/>
  <c r="E48" i="6"/>
  <c r="D48" i="6"/>
  <c r="C48" i="6"/>
  <c r="B48" i="6"/>
  <c r="A48" i="6"/>
  <c r="W47" i="6"/>
  <c r="V47" i="6"/>
  <c r="U47" i="6"/>
  <c r="T47" i="6"/>
  <c r="S47" i="6"/>
  <c r="R47" i="6"/>
  <c r="Q47" i="6"/>
  <c r="P47" i="6"/>
  <c r="O47" i="6"/>
  <c r="N47" i="6"/>
  <c r="M47" i="6"/>
  <c r="L47" i="6"/>
  <c r="K47" i="6"/>
  <c r="I47" i="6"/>
  <c r="H47" i="6"/>
  <c r="G47" i="6"/>
  <c r="F47" i="6"/>
  <c r="E47" i="6"/>
  <c r="D47" i="6"/>
  <c r="C47" i="6"/>
  <c r="B47" i="6"/>
  <c r="A47" i="6"/>
  <c r="W46" i="6"/>
  <c r="V46" i="6"/>
  <c r="U46" i="6"/>
  <c r="T46" i="6"/>
  <c r="S46" i="6"/>
  <c r="R46" i="6"/>
  <c r="Q46" i="6"/>
  <c r="P46" i="6"/>
  <c r="O46" i="6"/>
  <c r="N46" i="6"/>
  <c r="M46" i="6"/>
  <c r="L46" i="6"/>
  <c r="K46" i="6"/>
  <c r="I46" i="6"/>
  <c r="H46" i="6"/>
  <c r="G46" i="6"/>
  <c r="F46" i="6"/>
  <c r="E46" i="6"/>
  <c r="D46" i="6"/>
  <c r="C46" i="6"/>
  <c r="B46" i="6"/>
  <c r="A46" i="6"/>
  <c r="W45" i="6"/>
  <c r="V45" i="6"/>
  <c r="U45" i="6"/>
  <c r="T45" i="6"/>
  <c r="S45" i="6"/>
  <c r="R45" i="6"/>
  <c r="Q45" i="6"/>
  <c r="P45" i="6"/>
  <c r="O45" i="6"/>
  <c r="N45" i="6"/>
  <c r="M45" i="6"/>
  <c r="L45" i="6"/>
  <c r="K45" i="6"/>
  <c r="I45" i="6"/>
  <c r="H45" i="6"/>
  <c r="G45" i="6"/>
  <c r="F45" i="6"/>
  <c r="E45" i="6"/>
  <c r="D45" i="6"/>
  <c r="C45" i="6"/>
  <c r="B45" i="6"/>
  <c r="A45" i="6"/>
  <c r="W44" i="6"/>
  <c r="V44" i="6"/>
  <c r="U44" i="6"/>
  <c r="T44" i="6"/>
  <c r="S44" i="6"/>
  <c r="R44" i="6"/>
  <c r="Q44" i="6"/>
  <c r="P44" i="6"/>
  <c r="O44" i="6"/>
  <c r="N44" i="6"/>
  <c r="M44" i="6"/>
  <c r="L44" i="6"/>
  <c r="K44" i="6"/>
  <c r="I44" i="6"/>
  <c r="H44" i="6"/>
  <c r="G44" i="6"/>
  <c r="F44" i="6"/>
  <c r="E44" i="6"/>
  <c r="D44" i="6"/>
  <c r="C44" i="6"/>
  <c r="B44" i="6"/>
  <c r="A44" i="6"/>
  <c r="W43" i="6"/>
  <c r="V43" i="6"/>
  <c r="U43" i="6"/>
  <c r="T43" i="6"/>
  <c r="S43" i="6"/>
  <c r="R43" i="6"/>
  <c r="Q43" i="6"/>
  <c r="P43" i="6"/>
  <c r="O43" i="6"/>
  <c r="N43" i="6"/>
  <c r="M43" i="6"/>
  <c r="L43" i="6"/>
  <c r="K43" i="6"/>
  <c r="I43" i="6"/>
  <c r="H43" i="6"/>
  <c r="G43" i="6"/>
  <c r="F43" i="6"/>
  <c r="E43" i="6"/>
  <c r="D43" i="6"/>
  <c r="C43" i="6"/>
  <c r="B43" i="6"/>
  <c r="A43" i="6"/>
  <c r="W42" i="6"/>
  <c r="V42" i="6"/>
  <c r="U42" i="6"/>
  <c r="T42" i="6"/>
  <c r="S42" i="6"/>
  <c r="R42" i="6"/>
  <c r="Q42" i="6"/>
  <c r="P42" i="6"/>
  <c r="O42" i="6"/>
  <c r="N42" i="6"/>
  <c r="M42" i="6"/>
  <c r="L42" i="6"/>
  <c r="K42" i="6"/>
  <c r="I42" i="6"/>
  <c r="H42" i="6"/>
  <c r="G42" i="6"/>
  <c r="F42" i="6"/>
  <c r="E42" i="6"/>
  <c r="D42" i="6"/>
  <c r="C42" i="6"/>
  <c r="B42" i="6"/>
  <c r="A42" i="6"/>
  <c r="W41" i="6"/>
  <c r="V41" i="6"/>
  <c r="U41" i="6"/>
  <c r="T41" i="6"/>
  <c r="S41" i="6"/>
  <c r="R41" i="6"/>
  <c r="Q41" i="6"/>
  <c r="P41" i="6"/>
  <c r="O41" i="6"/>
  <c r="N41" i="6"/>
  <c r="M41" i="6"/>
  <c r="L41" i="6"/>
  <c r="K41" i="6"/>
  <c r="I41" i="6"/>
  <c r="H41" i="6"/>
  <c r="G41" i="6"/>
  <c r="F41" i="6"/>
  <c r="E41" i="6"/>
  <c r="D41" i="6"/>
  <c r="C41" i="6"/>
  <c r="B41" i="6"/>
  <c r="A41" i="6"/>
  <c r="W40" i="6"/>
  <c r="V40" i="6"/>
  <c r="U40" i="6"/>
  <c r="T40" i="6"/>
  <c r="S40" i="6"/>
  <c r="R40" i="6"/>
  <c r="Q40" i="6"/>
  <c r="P40" i="6"/>
  <c r="O40" i="6"/>
  <c r="N40" i="6"/>
  <c r="M40" i="6"/>
  <c r="L40" i="6"/>
  <c r="K40" i="6"/>
  <c r="I40" i="6"/>
  <c r="H40" i="6"/>
  <c r="G40" i="6"/>
  <c r="F40" i="6"/>
  <c r="E40" i="6"/>
  <c r="D40" i="6"/>
  <c r="C40" i="6"/>
  <c r="B40" i="6"/>
  <c r="A40" i="6"/>
  <c r="W39" i="6"/>
  <c r="V39" i="6"/>
  <c r="U39" i="6"/>
  <c r="T39" i="6"/>
  <c r="S39" i="6"/>
  <c r="R39" i="6"/>
  <c r="Q39" i="6"/>
  <c r="P39" i="6"/>
  <c r="O39" i="6"/>
  <c r="N39" i="6"/>
  <c r="M39" i="6"/>
  <c r="L39" i="6"/>
  <c r="K39" i="6"/>
  <c r="I39" i="6"/>
  <c r="H39" i="6"/>
  <c r="G39" i="6"/>
  <c r="F39" i="6"/>
  <c r="E39" i="6"/>
  <c r="D39" i="6"/>
  <c r="C39" i="6"/>
  <c r="B39" i="6"/>
  <c r="A39" i="6"/>
  <c r="W38" i="6"/>
  <c r="V38" i="6"/>
  <c r="U38" i="6"/>
  <c r="T38" i="6"/>
  <c r="S38" i="6"/>
  <c r="R38" i="6"/>
  <c r="Q38" i="6"/>
  <c r="P38" i="6"/>
  <c r="O38" i="6"/>
  <c r="N38" i="6"/>
  <c r="M38" i="6"/>
  <c r="L38" i="6"/>
  <c r="K38" i="6"/>
  <c r="I38" i="6"/>
  <c r="H38" i="6"/>
  <c r="G38" i="6"/>
  <c r="F38" i="6"/>
  <c r="E38" i="6"/>
  <c r="D38" i="6"/>
  <c r="C38" i="6"/>
  <c r="B38" i="6"/>
  <c r="A38" i="6"/>
  <c r="W37" i="6"/>
  <c r="V37" i="6"/>
  <c r="U37" i="6"/>
  <c r="T37" i="6"/>
  <c r="S37" i="6"/>
  <c r="R37" i="6"/>
  <c r="Q37" i="6"/>
  <c r="P37" i="6"/>
  <c r="O37" i="6"/>
  <c r="N37" i="6"/>
  <c r="M37" i="6"/>
  <c r="L37" i="6"/>
  <c r="K37" i="6"/>
  <c r="I37" i="6"/>
  <c r="H37" i="6"/>
  <c r="G37" i="6"/>
  <c r="F37" i="6"/>
  <c r="E37" i="6"/>
  <c r="D37" i="6"/>
  <c r="C37" i="6"/>
  <c r="B37" i="6"/>
  <c r="A37" i="6"/>
  <c r="W36" i="6"/>
  <c r="V36" i="6"/>
  <c r="U36" i="6"/>
  <c r="T36" i="6"/>
  <c r="S36" i="6"/>
  <c r="R36" i="6"/>
  <c r="Q36" i="6"/>
  <c r="P36" i="6"/>
  <c r="O36" i="6"/>
  <c r="N36" i="6"/>
  <c r="M36" i="6"/>
  <c r="L36" i="6"/>
  <c r="K36" i="6"/>
  <c r="I36" i="6"/>
  <c r="H36" i="6"/>
  <c r="G36" i="6"/>
  <c r="F36" i="6"/>
  <c r="E36" i="6"/>
  <c r="D36" i="6"/>
  <c r="C36" i="6"/>
  <c r="B36" i="6"/>
  <c r="A36" i="6"/>
  <c r="W35" i="6"/>
  <c r="V35" i="6"/>
  <c r="U35" i="6"/>
  <c r="T35" i="6"/>
  <c r="S35" i="6"/>
  <c r="R35" i="6"/>
  <c r="Q35" i="6"/>
  <c r="P35" i="6"/>
  <c r="O35" i="6"/>
  <c r="N35" i="6"/>
  <c r="M35" i="6"/>
  <c r="L35" i="6"/>
  <c r="K35" i="6"/>
  <c r="I35" i="6"/>
  <c r="H35" i="6"/>
  <c r="G35" i="6"/>
  <c r="F35" i="6"/>
  <c r="E35" i="6"/>
  <c r="D35" i="6"/>
  <c r="C35" i="6"/>
  <c r="B35" i="6"/>
  <c r="A35" i="6"/>
  <c r="W34" i="6"/>
  <c r="V34" i="6"/>
  <c r="U34" i="6"/>
  <c r="T34" i="6"/>
  <c r="S34" i="6"/>
  <c r="R34" i="6"/>
  <c r="Q34" i="6"/>
  <c r="P34" i="6"/>
  <c r="O34" i="6"/>
  <c r="N34" i="6"/>
  <c r="M34" i="6"/>
  <c r="L34" i="6"/>
  <c r="K34" i="6"/>
  <c r="I34" i="6"/>
  <c r="H34" i="6"/>
  <c r="G34" i="6"/>
  <c r="F34" i="6"/>
  <c r="E34" i="6"/>
  <c r="D34" i="6"/>
  <c r="C34" i="6"/>
  <c r="B34" i="6"/>
  <c r="A34" i="6"/>
  <c r="W33" i="6"/>
  <c r="V33" i="6"/>
  <c r="U33" i="6"/>
  <c r="T33" i="6"/>
  <c r="S33" i="6"/>
  <c r="R33" i="6"/>
  <c r="Q33" i="6"/>
  <c r="P33" i="6"/>
  <c r="O33" i="6"/>
  <c r="N33" i="6"/>
  <c r="M33" i="6"/>
  <c r="L33" i="6"/>
  <c r="K33" i="6"/>
  <c r="I33" i="6"/>
  <c r="H33" i="6"/>
  <c r="G33" i="6"/>
  <c r="F33" i="6"/>
  <c r="E33" i="6"/>
  <c r="D33" i="6"/>
  <c r="C33" i="6"/>
  <c r="B33" i="6"/>
  <c r="A33" i="6"/>
  <c r="W32" i="6"/>
  <c r="V32" i="6"/>
  <c r="U32" i="6"/>
  <c r="T32" i="6"/>
  <c r="S32" i="6"/>
  <c r="R32" i="6"/>
  <c r="Q32" i="6"/>
  <c r="P32" i="6"/>
  <c r="O32" i="6"/>
  <c r="N32" i="6"/>
  <c r="M32" i="6"/>
  <c r="L32" i="6"/>
  <c r="K32" i="6"/>
  <c r="I32" i="6"/>
  <c r="H32" i="6"/>
  <c r="G32" i="6"/>
  <c r="F32" i="6"/>
  <c r="E32" i="6"/>
  <c r="D32" i="6"/>
  <c r="C32" i="6"/>
  <c r="B32" i="6"/>
  <c r="A32" i="6"/>
  <c r="W31" i="6"/>
  <c r="V31" i="6"/>
  <c r="U31" i="6"/>
  <c r="T31" i="6"/>
  <c r="S31" i="6"/>
  <c r="R31" i="6"/>
  <c r="Q31" i="6"/>
  <c r="P31" i="6"/>
  <c r="O31" i="6"/>
  <c r="N31" i="6"/>
  <c r="M31" i="6"/>
  <c r="L31" i="6"/>
  <c r="K31" i="6"/>
  <c r="I31" i="6"/>
  <c r="H31" i="6"/>
  <c r="G31" i="6"/>
  <c r="F31" i="6"/>
  <c r="E31" i="6"/>
  <c r="D31" i="6"/>
  <c r="C31" i="6"/>
  <c r="B31" i="6"/>
  <c r="A31" i="6"/>
  <c r="W30" i="6"/>
  <c r="V30" i="6"/>
  <c r="U30" i="6"/>
  <c r="T30" i="6"/>
  <c r="S30" i="6"/>
  <c r="R30" i="6"/>
  <c r="Q30" i="6"/>
  <c r="P30" i="6"/>
  <c r="O30" i="6"/>
  <c r="N30" i="6"/>
  <c r="M30" i="6"/>
  <c r="L30" i="6"/>
  <c r="K30" i="6"/>
  <c r="I30" i="6"/>
  <c r="H30" i="6"/>
  <c r="G30" i="6"/>
  <c r="F30" i="6"/>
  <c r="E30" i="6"/>
  <c r="D30" i="6"/>
  <c r="C30" i="6"/>
  <c r="B30" i="6"/>
  <c r="A30" i="6"/>
  <c r="W29" i="6"/>
  <c r="V29" i="6"/>
  <c r="U29" i="6"/>
  <c r="T29" i="6"/>
  <c r="S29" i="6"/>
  <c r="R29" i="6"/>
  <c r="Q29" i="6"/>
  <c r="P29" i="6"/>
  <c r="O29" i="6"/>
  <c r="N29" i="6"/>
  <c r="M29" i="6"/>
  <c r="L29" i="6"/>
  <c r="K29" i="6"/>
  <c r="I29" i="6"/>
  <c r="H29" i="6"/>
  <c r="G29" i="6"/>
  <c r="F29" i="6"/>
  <c r="E29" i="6"/>
  <c r="D29" i="6"/>
  <c r="C29" i="6"/>
  <c r="B29" i="6"/>
  <c r="A29" i="6"/>
  <c r="W28" i="6"/>
  <c r="V28" i="6"/>
  <c r="U28" i="6"/>
  <c r="T28" i="6"/>
  <c r="S28" i="6"/>
  <c r="R28" i="6"/>
  <c r="Q28" i="6"/>
  <c r="P28" i="6"/>
  <c r="O28" i="6"/>
  <c r="N28" i="6"/>
  <c r="M28" i="6"/>
  <c r="L28" i="6"/>
  <c r="K28" i="6"/>
  <c r="I28" i="6"/>
  <c r="H28" i="6"/>
  <c r="G28" i="6"/>
  <c r="F28" i="6"/>
  <c r="E28" i="6"/>
  <c r="D28" i="6"/>
  <c r="C28" i="6"/>
  <c r="B28" i="6"/>
  <c r="A28" i="6"/>
  <c r="W27" i="6"/>
  <c r="V27" i="6"/>
  <c r="U27" i="6"/>
  <c r="T27" i="6"/>
  <c r="S27" i="6"/>
  <c r="R27" i="6"/>
  <c r="Q27" i="6"/>
  <c r="P27" i="6"/>
  <c r="O27" i="6"/>
  <c r="N27" i="6"/>
  <c r="M27" i="6"/>
  <c r="L27" i="6"/>
  <c r="K27" i="6"/>
  <c r="I27" i="6"/>
  <c r="H27" i="6"/>
  <c r="G27" i="6"/>
  <c r="F27" i="6"/>
  <c r="E27" i="6"/>
  <c r="D27" i="6"/>
  <c r="C27" i="6"/>
  <c r="B27" i="6"/>
  <c r="A27" i="6"/>
  <c r="W26" i="6"/>
  <c r="V26" i="6"/>
  <c r="U26" i="6"/>
  <c r="T26" i="6"/>
  <c r="S26" i="6"/>
  <c r="R26" i="6"/>
  <c r="Q26" i="6"/>
  <c r="P26" i="6"/>
  <c r="O26" i="6"/>
  <c r="N26" i="6"/>
  <c r="M26" i="6"/>
  <c r="L26" i="6"/>
  <c r="K26" i="6"/>
  <c r="I26" i="6"/>
  <c r="H26" i="6"/>
  <c r="G26" i="6"/>
  <c r="F26" i="6"/>
  <c r="E26" i="6"/>
  <c r="D26" i="6"/>
  <c r="C26" i="6"/>
  <c r="B26" i="6"/>
  <c r="A26" i="6"/>
  <c r="W25" i="6"/>
  <c r="V25" i="6"/>
  <c r="U25" i="6"/>
  <c r="T25" i="6"/>
  <c r="S25" i="6"/>
  <c r="R25" i="6"/>
  <c r="Q25" i="6"/>
  <c r="P25" i="6"/>
  <c r="O25" i="6"/>
  <c r="N25" i="6"/>
  <c r="M25" i="6"/>
  <c r="L25" i="6"/>
  <c r="K25" i="6"/>
  <c r="I25" i="6"/>
  <c r="H25" i="6"/>
  <c r="G25" i="6"/>
  <c r="F25" i="6"/>
  <c r="E25" i="6"/>
  <c r="D25" i="6"/>
  <c r="C25" i="6"/>
  <c r="B25" i="6"/>
  <c r="A25" i="6"/>
  <c r="W24" i="6"/>
  <c r="V24" i="6"/>
  <c r="U24" i="6"/>
  <c r="T24" i="6"/>
  <c r="S24" i="6"/>
  <c r="R24" i="6"/>
  <c r="Q24" i="6"/>
  <c r="P24" i="6"/>
  <c r="O24" i="6"/>
  <c r="N24" i="6"/>
  <c r="M24" i="6"/>
  <c r="L24" i="6"/>
  <c r="K24" i="6"/>
  <c r="I24" i="6"/>
  <c r="H24" i="6"/>
  <c r="G24" i="6"/>
  <c r="F24" i="6"/>
  <c r="E24" i="6"/>
  <c r="D24" i="6"/>
  <c r="C24" i="6"/>
  <c r="B24" i="6"/>
  <c r="A24" i="6"/>
  <c r="W23" i="6"/>
  <c r="V23" i="6"/>
  <c r="U23" i="6"/>
  <c r="T23" i="6"/>
  <c r="S23" i="6"/>
  <c r="R23" i="6"/>
  <c r="Q23" i="6"/>
  <c r="P23" i="6"/>
  <c r="O23" i="6"/>
  <c r="N23" i="6"/>
  <c r="M23" i="6"/>
  <c r="L23" i="6"/>
  <c r="K23" i="6"/>
  <c r="I23" i="6"/>
  <c r="H23" i="6"/>
  <c r="G23" i="6"/>
  <c r="F23" i="6"/>
  <c r="E23" i="6"/>
  <c r="D23" i="6"/>
  <c r="C23" i="6"/>
  <c r="B23" i="6"/>
  <c r="A23" i="6"/>
  <c r="W22" i="6"/>
  <c r="V22" i="6"/>
  <c r="U22" i="6"/>
  <c r="T22" i="6"/>
  <c r="S22" i="6"/>
  <c r="R22" i="6"/>
  <c r="Q22" i="6"/>
  <c r="P22" i="6"/>
  <c r="O22" i="6"/>
  <c r="N22" i="6"/>
  <c r="M22" i="6"/>
  <c r="L22" i="6"/>
  <c r="K22" i="6"/>
  <c r="I22" i="6"/>
  <c r="H22" i="6"/>
  <c r="G22" i="6"/>
  <c r="F22" i="6"/>
  <c r="E22" i="6"/>
  <c r="D22" i="6"/>
  <c r="C22" i="6"/>
  <c r="B22" i="6"/>
  <c r="A22" i="6"/>
  <c r="W21" i="6"/>
  <c r="V21" i="6"/>
  <c r="U21" i="6"/>
  <c r="T21" i="6"/>
  <c r="S21" i="6"/>
  <c r="R21" i="6"/>
  <c r="Q21" i="6"/>
  <c r="P21" i="6"/>
  <c r="O21" i="6"/>
  <c r="N21" i="6"/>
  <c r="M21" i="6"/>
  <c r="L21" i="6"/>
  <c r="K21" i="6"/>
  <c r="I21" i="6"/>
  <c r="H21" i="6"/>
  <c r="G21" i="6"/>
  <c r="F21" i="6"/>
  <c r="E21" i="6"/>
  <c r="D21" i="6"/>
  <c r="C21" i="6"/>
  <c r="B21" i="6"/>
  <c r="A21" i="6"/>
  <c r="W20" i="6"/>
  <c r="V20" i="6"/>
  <c r="U20" i="6"/>
  <c r="T20" i="6"/>
  <c r="S20" i="6"/>
  <c r="R20" i="6"/>
  <c r="Q20" i="6"/>
  <c r="P20" i="6"/>
  <c r="O20" i="6"/>
  <c r="N20" i="6"/>
  <c r="M20" i="6"/>
  <c r="L20" i="6"/>
  <c r="K20" i="6"/>
  <c r="I20" i="6"/>
  <c r="H20" i="6"/>
  <c r="G20" i="6"/>
  <c r="F20" i="6"/>
  <c r="E20" i="6"/>
  <c r="D20" i="6"/>
  <c r="C20" i="6"/>
  <c r="B20" i="6"/>
  <c r="A20" i="6"/>
  <c r="W19" i="6"/>
  <c r="V19" i="6"/>
  <c r="U19" i="6"/>
  <c r="T19" i="6"/>
  <c r="S19" i="6"/>
  <c r="R19" i="6"/>
  <c r="Q19" i="6"/>
  <c r="P19" i="6"/>
  <c r="O19" i="6"/>
  <c r="N19" i="6"/>
  <c r="M19" i="6"/>
  <c r="L19" i="6"/>
  <c r="K19" i="6"/>
  <c r="I19" i="6"/>
  <c r="H19" i="6"/>
  <c r="G19" i="6"/>
  <c r="F19" i="6"/>
  <c r="E19" i="6"/>
  <c r="D19" i="6"/>
  <c r="C19" i="6"/>
  <c r="B19" i="6"/>
  <c r="A19" i="6"/>
  <c r="W18" i="6"/>
  <c r="V18" i="6"/>
  <c r="U18" i="6"/>
  <c r="T18" i="6"/>
  <c r="S18" i="6"/>
  <c r="R18" i="6"/>
  <c r="Q18" i="6"/>
  <c r="P18" i="6"/>
  <c r="O18" i="6"/>
  <c r="N18" i="6"/>
  <c r="M18" i="6"/>
  <c r="L18" i="6"/>
  <c r="K18" i="6"/>
  <c r="I18" i="6"/>
  <c r="H18" i="6"/>
  <c r="G18" i="6"/>
  <c r="F18" i="6"/>
  <c r="E18" i="6"/>
  <c r="D18" i="6"/>
  <c r="C18" i="6"/>
  <c r="B18" i="6"/>
  <c r="A18" i="6"/>
  <c r="W17" i="6"/>
  <c r="V17" i="6"/>
  <c r="U17" i="6"/>
  <c r="T17" i="6"/>
  <c r="S17" i="6"/>
  <c r="R17" i="6"/>
  <c r="Q17" i="6"/>
  <c r="P17" i="6"/>
  <c r="O17" i="6"/>
  <c r="N17" i="6"/>
  <c r="M17" i="6"/>
  <c r="L17" i="6"/>
  <c r="K17" i="6"/>
  <c r="I17" i="6"/>
  <c r="H17" i="6"/>
  <c r="G17" i="6"/>
  <c r="F17" i="6"/>
  <c r="E17" i="6"/>
  <c r="D17" i="6"/>
  <c r="C17" i="6"/>
  <c r="B17" i="6"/>
  <c r="A17" i="6"/>
  <c r="W16" i="6"/>
  <c r="V16" i="6"/>
  <c r="U16" i="6"/>
  <c r="T16" i="6"/>
  <c r="S16" i="6"/>
  <c r="R16" i="6"/>
  <c r="Q16" i="6"/>
  <c r="P16" i="6"/>
  <c r="O16" i="6"/>
  <c r="N16" i="6"/>
  <c r="M16" i="6"/>
  <c r="L16" i="6"/>
  <c r="K16" i="6"/>
  <c r="I16" i="6"/>
  <c r="H16" i="6"/>
  <c r="G16" i="6"/>
  <c r="F16" i="6"/>
  <c r="E16" i="6"/>
  <c r="D16" i="6"/>
  <c r="C16" i="6"/>
  <c r="B16" i="6"/>
  <c r="A16" i="6"/>
  <c r="W15" i="6"/>
  <c r="V15" i="6"/>
  <c r="U15" i="6"/>
  <c r="T15" i="6"/>
  <c r="S15" i="6"/>
  <c r="R15" i="6"/>
  <c r="Q15" i="6"/>
  <c r="P15" i="6"/>
  <c r="O15" i="6"/>
  <c r="N15" i="6"/>
  <c r="M15" i="6"/>
  <c r="L15" i="6"/>
  <c r="K15" i="6"/>
  <c r="I15" i="6"/>
  <c r="H15" i="6"/>
  <c r="G15" i="6"/>
  <c r="F15" i="6"/>
  <c r="E15" i="6"/>
  <c r="D15" i="6"/>
  <c r="C15" i="6"/>
  <c r="B15" i="6"/>
  <c r="A15" i="6"/>
  <c r="W14" i="6"/>
  <c r="V14" i="6"/>
  <c r="U14" i="6"/>
  <c r="T14" i="6"/>
  <c r="S14" i="6"/>
  <c r="R14" i="6"/>
  <c r="Q14" i="6"/>
  <c r="P14" i="6"/>
  <c r="O14" i="6"/>
  <c r="N14" i="6"/>
  <c r="M14" i="6"/>
  <c r="L14" i="6"/>
  <c r="K14" i="6"/>
  <c r="I14" i="6"/>
  <c r="H14" i="6"/>
  <c r="G14" i="6"/>
  <c r="F14" i="6"/>
  <c r="E14" i="6"/>
  <c r="D14" i="6"/>
  <c r="C14" i="6"/>
  <c r="B14" i="6"/>
  <c r="A14" i="6"/>
  <c r="W13" i="6"/>
  <c r="V13" i="6"/>
  <c r="U13" i="6"/>
  <c r="T13" i="6"/>
  <c r="S13" i="6"/>
  <c r="R13" i="6"/>
  <c r="Q13" i="6"/>
  <c r="P13" i="6"/>
  <c r="O13" i="6"/>
  <c r="N13" i="6"/>
  <c r="M13" i="6"/>
  <c r="L13" i="6"/>
  <c r="K13" i="6"/>
  <c r="I13" i="6"/>
  <c r="H13" i="6"/>
  <c r="G13" i="6"/>
  <c r="F13" i="6"/>
  <c r="E13" i="6"/>
  <c r="D13" i="6"/>
  <c r="C13" i="6"/>
  <c r="B13" i="6"/>
  <c r="A13" i="6"/>
  <c r="W12" i="6"/>
  <c r="V12" i="6"/>
  <c r="U12" i="6"/>
  <c r="T12" i="6"/>
  <c r="S12" i="6"/>
  <c r="R12" i="6"/>
  <c r="Q12" i="6"/>
  <c r="P12" i="6"/>
  <c r="O12" i="6"/>
  <c r="N12" i="6"/>
  <c r="M12" i="6"/>
  <c r="L12" i="6"/>
  <c r="K12" i="6"/>
  <c r="I12" i="6"/>
  <c r="H12" i="6"/>
  <c r="G12" i="6"/>
  <c r="F12" i="6"/>
  <c r="E12" i="6"/>
  <c r="D12" i="6"/>
  <c r="C12" i="6"/>
  <c r="B12" i="6"/>
  <c r="A12" i="6"/>
  <c r="W11" i="6"/>
  <c r="V11" i="6"/>
  <c r="U11" i="6"/>
  <c r="T11" i="6"/>
  <c r="S11" i="6"/>
  <c r="R11" i="6"/>
  <c r="Q11" i="6"/>
  <c r="P11" i="6"/>
  <c r="O11" i="6"/>
  <c r="N11" i="6"/>
  <c r="M11" i="6"/>
  <c r="L11" i="6"/>
  <c r="K11" i="6"/>
  <c r="I11" i="6"/>
  <c r="H11" i="6"/>
  <c r="G11" i="6"/>
  <c r="F11" i="6"/>
  <c r="E11" i="6"/>
  <c r="D11" i="6"/>
  <c r="C11" i="6"/>
  <c r="B11" i="6"/>
  <c r="A11" i="6"/>
  <c r="W10" i="6"/>
  <c r="V10" i="6"/>
  <c r="U10" i="6"/>
  <c r="T10" i="6"/>
  <c r="S10" i="6"/>
  <c r="R10" i="6"/>
  <c r="Q10" i="6"/>
  <c r="P10" i="6"/>
  <c r="O10" i="6"/>
  <c r="N10" i="6"/>
  <c r="M10" i="6"/>
  <c r="L10" i="6"/>
  <c r="K10" i="6"/>
  <c r="I10" i="6"/>
  <c r="H10" i="6"/>
  <c r="G10" i="6"/>
  <c r="F10" i="6"/>
  <c r="E10" i="6"/>
  <c r="D10" i="6"/>
  <c r="C10" i="6"/>
  <c r="B10" i="6"/>
  <c r="A10" i="6"/>
  <c r="W9" i="6"/>
  <c r="V9" i="6"/>
  <c r="U9" i="6"/>
  <c r="T9" i="6"/>
  <c r="S9" i="6"/>
  <c r="R9" i="6"/>
  <c r="Q9" i="6"/>
  <c r="P9" i="6"/>
  <c r="O9" i="6"/>
  <c r="N9" i="6"/>
  <c r="M9" i="6"/>
  <c r="L9" i="6"/>
  <c r="K9" i="6"/>
  <c r="I9" i="6"/>
  <c r="H9" i="6"/>
  <c r="G9" i="6"/>
  <c r="F9" i="6"/>
  <c r="E9" i="6"/>
  <c r="D9" i="6"/>
  <c r="C9" i="6"/>
  <c r="B9" i="6"/>
  <c r="A9" i="6"/>
  <c r="W8" i="6"/>
  <c r="V8" i="6"/>
  <c r="U8" i="6"/>
  <c r="T8" i="6"/>
  <c r="S8" i="6"/>
  <c r="R8" i="6"/>
  <c r="Q8" i="6"/>
  <c r="P8" i="6"/>
  <c r="O8" i="6"/>
  <c r="N8" i="6"/>
  <c r="M8" i="6"/>
  <c r="L8" i="6"/>
  <c r="K8" i="6"/>
  <c r="I8" i="6"/>
  <c r="H8" i="6"/>
  <c r="G8" i="6"/>
  <c r="F8" i="6"/>
  <c r="E8" i="6"/>
  <c r="D8" i="6"/>
  <c r="C8" i="6"/>
  <c r="B8" i="6"/>
  <c r="A8" i="6"/>
  <c r="W7" i="6"/>
  <c r="V7" i="6"/>
  <c r="U7" i="6"/>
  <c r="T7" i="6"/>
  <c r="S7" i="6"/>
  <c r="R7" i="6"/>
  <c r="Q7" i="6"/>
  <c r="P7" i="6"/>
  <c r="O7" i="6"/>
  <c r="N7" i="6"/>
  <c r="M7" i="6"/>
  <c r="L7" i="6"/>
  <c r="K7" i="6"/>
  <c r="I7" i="6"/>
  <c r="H7" i="6"/>
  <c r="G7" i="6"/>
  <c r="F7" i="6"/>
  <c r="E7" i="6"/>
  <c r="D7" i="6"/>
  <c r="C7" i="6"/>
  <c r="B7" i="6"/>
  <c r="A7" i="6"/>
  <c r="W6" i="6"/>
  <c r="V6" i="6"/>
  <c r="U6" i="6"/>
  <c r="T6" i="6"/>
  <c r="S6" i="6"/>
  <c r="R6" i="6"/>
  <c r="Q6" i="6"/>
  <c r="P6" i="6"/>
  <c r="O6" i="6"/>
  <c r="N6" i="6"/>
  <c r="M6" i="6"/>
  <c r="L6" i="6"/>
  <c r="K6" i="6"/>
  <c r="J6" i="6"/>
  <c r="I6" i="6"/>
  <c r="H6" i="6"/>
  <c r="G6" i="6"/>
  <c r="F6" i="6"/>
  <c r="E6" i="6"/>
  <c r="D6" i="6"/>
  <c r="C6" i="6"/>
  <c r="B6" i="6"/>
  <c r="A6" i="6"/>
  <c r="W5" i="6"/>
  <c r="V5" i="6"/>
  <c r="U5" i="6"/>
  <c r="T5" i="6"/>
  <c r="S5" i="6"/>
  <c r="R5" i="6"/>
  <c r="Q5" i="6"/>
  <c r="P5" i="6"/>
  <c r="O5" i="6"/>
  <c r="N5" i="6"/>
  <c r="M5" i="6"/>
  <c r="L5" i="6"/>
  <c r="K5" i="6"/>
  <c r="I5" i="6"/>
  <c r="H5" i="6"/>
  <c r="G5" i="6"/>
  <c r="F5" i="6"/>
  <c r="E5" i="6"/>
  <c r="D5" i="6"/>
  <c r="C5" i="6"/>
  <c r="B5" i="6"/>
  <c r="A5" i="6"/>
  <c r="W4" i="6"/>
  <c r="V4" i="6"/>
  <c r="U4" i="6"/>
  <c r="T4" i="6"/>
  <c r="S4" i="6"/>
  <c r="R4" i="6"/>
  <c r="Q4" i="6"/>
  <c r="P4" i="6"/>
  <c r="O4" i="6"/>
  <c r="N4" i="6"/>
  <c r="M4" i="6"/>
  <c r="L4" i="6"/>
  <c r="K4" i="6"/>
  <c r="I4" i="6"/>
  <c r="H4" i="6"/>
  <c r="G4" i="6"/>
  <c r="F4" i="6"/>
  <c r="E4" i="6"/>
  <c r="D4" i="6"/>
  <c r="C4" i="6"/>
  <c r="B4" i="6"/>
  <c r="A4" i="6"/>
  <c r="W3" i="6"/>
  <c r="V3" i="6"/>
  <c r="U3" i="6"/>
  <c r="T3" i="6"/>
  <c r="S3" i="6"/>
  <c r="R3" i="6"/>
  <c r="Q3" i="6"/>
  <c r="P3" i="6"/>
  <c r="O3" i="6"/>
  <c r="N3" i="6"/>
  <c r="M3" i="6"/>
  <c r="L3" i="6"/>
  <c r="K3" i="6"/>
  <c r="J3" i="6"/>
  <c r="I3" i="6"/>
  <c r="H3" i="6"/>
  <c r="G3" i="6"/>
  <c r="F3" i="6"/>
  <c r="E3" i="6"/>
  <c r="D3" i="6"/>
  <c r="C3" i="6"/>
  <c r="B3" i="6"/>
  <c r="A3" i="6"/>
  <c r="B7" i="5"/>
  <c r="A7" i="5"/>
  <c r="B6" i="5"/>
  <c r="A6" i="5"/>
  <c r="B5" i="5"/>
  <c r="A5" i="5"/>
  <c r="B4" i="5"/>
  <c r="A4" i="5"/>
  <c r="C9" i="4"/>
  <c r="B9" i="4"/>
  <c r="A9" i="4"/>
  <c r="C8" i="4"/>
  <c r="B8" i="4"/>
  <c r="A8" i="4"/>
  <c r="C7" i="4"/>
  <c r="B7" i="4"/>
  <c r="A7" i="4"/>
  <c r="C6" i="4"/>
  <c r="B6" i="4"/>
  <c r="A6" i="4"/>
  <c r="C5" i="4"/>
  <c r="B5" i="4"/>
  <c r="A5" i="4"/>
  <c r="C4" i="4"/>
  <c r="B4" i="4"/>
  <c r="A4" i="4"/>
  <c r="B7" i="3"/>
  <c r="A7" i="3"/>
  <c r="B6" i="3"/>
  <c r="A6" i="3"/>
  <c r="B5" i="3"/>
  <c r="A5" i="3"/>
  <c r="B4" i="3"/>
  <c r="A4" i="3"/>
  <c r="W1502" i="2"/>
  <c r="V1502" i="2"/>
  <c r="AA1501" i="1"/>
  <c r="Z1501" i="1"/>
  <c r="AB1501" i="1" s="1"/>
  <c r="R1501" i="1"/>
  <c r="P1501" i="1"/>
  <c r="K1501" i="1"/>
  <c r="J1501" i="1"/>
  <c r="E1501" i="1"/>
  <c r="D1501" i="1"/>
  <c r="AA1500" i="1"/>
  <c r="Z1500" i="1"/>
  <c r="AB1500" i="1" s="1"/>
  <c r="R1500" i="1"/>
  <c r="P1500" i="1"/>
  <c r="K1500" i="1"/>
  <c r="J1500" i="1"/>
  <c r="E1500" i="1"/>
  <c r="D1500" i="1"/>
  <c r="AA1499" i="1"/>
  <c r="Z1499" i="1"/>
  <c r="AB1499" i="1" s="1"/>
  <c r="R1499" i="1"/>
  <c r="P1499" i="1"/>
  <c r="K1499" i="1"/>
  <c r="J1499" i="1"/>
  <c r="E1499" i="1"/>
  <c r="D1499" i="1"/>
  <c r="AA1498" i="1"/>
  <c r="AB1498" i="1" s="1"/>
  <c r="Z1498" i="1"/>
  <c r="R1498" i="1"/>
  <c r="P1498" i="1"/>
  <c r="K1498" i="1"/>
  <c r="J1498" i="1"/>
  <c r="E1498" i="1"/>
  <c r="D1498" i="1"/>
  <c r="AA1497" i="1"/>
  <c r="Z1497" i="1"/>
  <c r="AB1497" i="1" s="1"/>
  <c r="R1497" i="1"/>
  <c r="P1497" i="1"/>
  <c r="K1497" i="1"/>
  <c r="J1497" i="1"/>
  <c r="E1497" i="1"/>
  <c r="D1497" i="1"/>
  <c r="AA1496" i="1"/>
  <c r="Z1496" i="1"/>
  <c r="AB1496" i="1" s="1"/>
  <c r="R1496" i="1"/>
  <c r="P1496" i="1"/>
  <c r="K1496" i="1"/>
  <c r="J1496" i="1"/>
  <c r="E1496" i="1"/>
  <c r="D1496" i="1"/>
  <c r="AA1495" i="1"/>
  <c r="Z1495" i="1"/>
  <c r="AB1495" i="1" s="1"/>
  <c r="R1495" i="1"/>
  <c r="P1495" i="1"/>
  <c r="K1495" i="1"/>
  <c r="J1495" i="1"/>
  <c r="E1495" i="1"/>
  <c r="D1495" i="1"/>
  <c r="AA1494" i="1"/>
  <c r="AB1494" i="1" s="1"/>
  <c r="Z1494" i="1"/>
  <c r="R1494" i="1"/>
  <c r="P1494" i="1"/>
  <c r="K1494" i="1"/>
  <c r="J1494" i="1"/>
  <c r="E1494" i="1"/>
  <c r="D1494" i="1"/>
  <c r="AA1493" i="1"/>
  <c r="Z1493" i="1"/>
  <c r="AB1493" i="1" s="1"/>
  <c r="R1493" i="1"/>
  <c r="P1493" i="1"/>
  <c r="K1493" i="1"/>
  <c r="J1493" i="1"/>
  <c r="E1493" i="1"/>
  <c r="D1493" i="1"/>
  <c r="AA1492" i="1"/>
  <c r="Z1492" i="1"/>
  <c r="AB1492" i="1" s="1"/>
  <c r="R1492" i="1"/>
  <c r="P1492" i="1"/>
  <c r="K1492" i="1"/>
  <c r="J1492" i="1"/>
  <c r="E1492" i="1"/>
  <c r="D1492" i="1"/>
  <c r="AA1491" i="1"/>
  <c r="Z1491" i="1"/>
  <c r="AB1491" i="1" s="1"/>
  <c r="R1491" i="1"/>
  <c r="P1491" i="1"/>
  <c r="E1491" i="1"/>
  <c r="D1491" i="1"/>
  <c r="AB1490" i="1"/>
  <c r="AA1490" i="1"/>
  <c r="Z1490" i="1"/>
  <c r="R1490" i="1"/>
  <c r="P1490" i="1"/>
  <c r="K1490" i="1"/>
  <c r="J1490" i="1"/>
  <c r="E1490" i="1"/>
  <c r="D1490" i="1"/>
  <c r="AB1489" i="1"/>
  <c r="AA1489" i="1"/>
  <c r="Z1489" i="1"/>
  <c r="R1489" i="1"/>
  <c r="P1489" i="1"/>
  <c r="K1489" i="1"/>
  <c r="J1489" i="1"/>
  <c r="E1489" i="1"/>
  <c r="D1489" i="1"/>
  <c r="AA1488" i="1"/>
  <c r="AB1488" i="1" s="1"/>
  <c r="Z1488" i="1"/>
  <c r="R1488" i="1"/>
  <c r="P1488" i="1"/>
  <c r="K1488" i="1"/>
  <c r="J1488" i="1"/>
  <c r="E1488" i="1"/>
  <c r="D1488" i="1"/>
  <c r="AB1487" i="1"/>
  <c r="AA1487" i="1"/>
  <c r="Z1487" i="1"/>
  <c r="R1487" i="1"/>
  <c r="P1487" i="1"/>
  <c r="K1487" i="1"/>
  <c r="J1487" i="1"/>
  <c r="E1487" i="1"/>
  <c r="D1487" i="1"/>
  <c r="AB1486" i="1"/>
  <c r="AA1486" i="1"/>
  <c r="Z1486" i="1"/>
  <c r="R1486" i="1"/>
  <c r="P1486" i="1"/>
  <c r="K1486" i="1"/>
  <c r="J1486" i="1"/>
  <c r="E1486" i="1"/>
  <c r="D1486" i="1"/>
  <c r="AB1485" i="1"/>
  <c r="AA1485" i="1"/>
  <c r="Z1485" i="1"/>
  <c r="R1485" i="1"/>
  <c r="P1485" i="1"/>
  <c r="K1485" i="1"/>
  <c r="J1485" i="1"/>
  <c r="E1485" i="1"/>
  <c r="D1485" i="1"/>
  <c r="AA1484" i="1"/>
  <c r="AB1484" i="1" s="1"/>
  <c r="Z1484" i="1"/>
  <c r="R1484" i="1"/>
  <c r="P1484" i="1"/>
  <c r="K1484" i="1"/>
  <c r="J1484" i="1"/>
  <c r="E1484" i="1"/>
  <c r="D1484" i="1"/>
  <c r="AB1483" i="1"/>
  <c r="AA1483" i="1"/>
  <c r="Z1483" i="1"/>
  <c r="R1483" i="1"/>
  <c r="P1483" i="1"/>
  <c r="K1483" i="1"/>
  <c r="J1483" i="1"/>
  <c r="E1483" i="1"/>
  <c r="D1483" i="1"/>
  <c r="AA1482" i="1"/>
  <c r="AB1482" i="1" s="1"/>
  <c r="Z1482" i="1"/>
  <c r="R1482" i="1"/>
  <c r="P1482" i="1"/>
  <c r="K1482" i="1"/>
  <c r="J1482" i="1"/>
  <c r="E1482" i="1"/>
  <c r="D1482" i="1"/>
  <c r="AB1481" i="1"/>
  <c r="AA1481" i="1"/>
  <c r="Z1481" i="1"/>
  <c r="R1481" i="1"/>
  <c r="P1481" i="1"/>
  <c r="K1481" i="1"/>
  <c r="J1481" i="1"/>
  <c r="E1481" i="1"/>
  <c r="D1481" i="1"/>
  <c r="AA1480" i="1"/>
  <c r="AB1480" i="1" s="1"/>
  <c r="Z1480" i="1"/>
  <c r="R1480" i="1"/>
  <c r="P1480" i="1"/>
  <c r="K1480" i="1"/>
  <c r="J1480" i="1"/>
  <c r="E1480" i="1"/>
  <c r="D1480" i="1"/>
  <c r="AB1479" i="1"/>
  <c r="AA1479" i="1"/>
  <c r="Z1479" i="1"/>
  <c r="R1479" i="1"/>
  <c r="P1479" i="1"/>
  <c r="K1479" i="1"/>
  <c r="J1479" i="1"/>
  <c r="E1479" i="1"/>
  <c r="D1479" i="1"/>
  <c r="AB1478" i="1"/>
  <c r="AA1478" i="1"/>
  <c r="Z1478" i="1"/>
  <c r="R1478" i="1"/>
  <c r="P1478" i="1"/>
  <c r="K1478" i="1"/>
  <c r="J1478" i="1"/>
  <c r="E1478" i="1"/>
  <c r="D1478" i="1"/>
  <c r="AB1477" i="1"/>
  <c r="AA1477" i="1"/>
  <c r="Z1477" i="1"/>
  <c r="R1477" i="1"/>
  <c r="P1477" i="1"/>
  <c r="K1477" i="1"/>
  <c r="J1477" i="1"/>
  <c r="E1477" i="1"/>
  <c r="D1477" i="1"/>
  <c r="AA1476" i="1"/>
  <c r="AB1476" i="1" s="1"/>
  <c r="Z1476" i="1"/>
  <c r="R1476" i="1"/>
  <c r="P1476" i="1"/>
  <c r="K1476" i="1"/>
  <c r="J1476" i="1"/>
  <c r="E1476" i="1"/>
  <c r="D1476" i="1"/>
  <c r="AB1475" i="1"/>
  <c r="AA1475" i="1"/>
  <c r="Z1475" i="1"/>
  <c r="R1475" i="1"/>
  <c r="P1475" i="1"/>
  <c r="K1475" i="1"/>
  <c r="J1475" i="1"/>
  <c r="E1475" i="1"/>
  <c r="D1475" i="1"/>
  <c r="AB1474" i="1"/>
  <c r="AA1474" i="1"/>
  <c r="Z1474" i="1"/>
  <c r="R1474" i="1"/>
  <c r="P1474" i="1"/>
  <c r="K1474" i="1"/>
  <c r="J1474" i="1"/>
  <c r="E1474" i="1"/>
  <c r="D1474" i="1"/>
  <c r="AB1473" i="1"/>
  <c r="AA1473" i="1"/>
  <c r="Z1473" i="1"/>
  <c r="R1473" i="1"/>
  <c r="P1473" i="1"/>
  <c r="K1473" i="1"/>
  <c r="J1473" i="1"/>
  <c r="E1473" i="1"/>
  <c r="D1473" i="1"/>
  <c r="AA1472" i="1"/>
  <c r="AB1472" i="1" s="1"/>
  <c r="Z1472" i="1"/>
  <c r="R1472" i="1"/>
  <c r="P1472" i="1"/>
  <c r="K1472" i="1"/>
  <c r="J1472" i="1"/>
  <c r="E1472" i="1"/>
  <c r="D1472" i="1"/>
  <c r="AB1471" i="1"/>
  <c r="AA1471" i="1"/>
  <c r="Z1471" i="1"/>
  <c r="R1471" i="1"/>
  <c r="P1471" i="1"/>
  <c r="K1471" i="1"/>
  <c r="J1471" i="1"/>
  <c r="E1471" i="1"/>
  <c r="D1471" i="1"/>
  <c r="AB1470" i="1"/>
  <c r="AA1470" i="1"/>
  <c r="Z1470" i="1"/>
  <c r="R1470" i="1"/>
  <c r="P1470" i="1"/>
  <c r="K1470" i="1"/>
  <c r="J1470" i="1"/>
  <c r="E1470" i="1"/>
  <c r="D1470" i="1"/>
  <c r="AB1469" i="1"/>
  <c r="AA1469" i="1"/>
  <c r="Z1469" i="1"/>
  <c r="R1469" i="1"/>
  <c r="P1469" i="1"/>
  <c r="K1469" i="1"/>
  <c r="J1469" i="1"/>
  <c r="E1469" i="1"/>
  <c r="D1469" i="1"/>
  <c r="AA1468" i="1"/>
  <c r="AB1468" i="1" s="1"/>
  <c r="Z1468" i="1"/>
  <c r="R1468" i="1"/>
  <c r="P1468" i="1"/>
  <c r="K1468" i="1"/>
  <c r="J1468" i="1"/>
  <c r="E1468" i="1"/>
  <c r="D1468" i="1"/>
  <c r="AB1467" i="1"/>
  <c r="AA1467" i="1"/>
  <c r="Z1467" i="1"/>
  <c r="R1467" i="1"/>
  <c r="P1467" i="1"/>
  <c r="K1467" i="1"/>
  <c r="J1467" i="1"/>
  <c r="E1467" i="1"/>
  <c r="D1467" i="1"/>
  <c r="AA1466" i="1"/>
  <c r="AB1466" i="1" s="1"/>
  <c r="Z1466" i="1"/>
  <c r="R1466" i="1"/>
  <c r="P1466" i="1"/>
  <c r="K1466" i="1"/>
  <c r="J1466" i="1"/>
  <c r="E1466" i="1"/>
  <c r="D1466" i="1"/>
  <c r="AB1465" i="1"/>
  <c r="AA1465" i="1"/>
  <c r="Z1465" i="1"/>
  <c r="R1465" i="1"/>
  <c r="P1465" i="1"/>
  <c r="K1465" i="1"/>
  <c r="J1465" i="1"/>
  <c r="E1465" i="1"/>
  <c r="D1465" i="1"/>
  <c r="AA1464" i="1"/>
  <c r="AB1464" i="1" s="1"/>
  <c r="Z1464" i="1"/>
  <c r="R1464" i="1"/>
  <c r="P1464" i="1"/>
  <c r="K1464" i="1"/>
  <c r="J1464" i="1"/>
  <c r="E1464" i="1"/>
  <c r="D1464" i="1"/>
  <c r="AB1463" i="1"/>
  <c r="AA1463" i="1"/>
  <c r="Z1463" i="1"/>
  <c r="R1463" i="1"/>
  <c r="P1463" i="1"/>
  <c r="K1463" i="1"/>
  <c r="J1463" i="1"/>
  <c r="E1463" i="1"/>
  <c r="D1463" i="1"/>
  <c r="AA1462" i="1"/>
  <c r="AB1462" i="1" s="1"/>
  <c r="Z1462" i="1"/>
  <c r="R1462" i="1"/>
  <c r="P1462" i="1"/>
  <c r="K1462" i="1"/>
  <c r="J1462" i="1"/>
  <c r="E1462" i="1"/>
  <c r="D1462" i="1"/>
  <c r="AB1461" i="1"/>
  <c r="AA1461" i="1"/>
  <c r="Z1461" i="1"/>
  <c r="R1461" i="1"/>
  <c r="P1461" i="1"/>
  <c r="K1461" i="1"/>
  <c r="J1461" i="1"/>
  <c r="E1461" i="1"/>
  <c r="D1461" i="1"/>
  <c r="AA1460" i="1"/>
  <c r="AB1460" i="1" s="1"/>
  <c r="Z1460" i="1"/>
  <c r="R1460" i="1"/>
  <c r="P1460" i="1"/>
  <c r="K1460" i="1"/>
  <c r="J1460" i="1"/>
  <c r="E1460" i="1"/>
  <c r="D1460" i="1"/>
  <c r="AB1459" i="1"/>
  <c r="AA1459" i="1"/>
  <c r="Z1459" i="1"/>
  <c r="R1459" i="1"/>
  <c r="P1459" i="1"/>
  <c r="K1459" i="1"/>
  <c r="J1459" i="1"/>
  <c r="E1459" i="1"/>
  <c r="D1459" i="1"/>
  <c r="AA1458" i="1"/>
  <c r="AB1458" i="1" s="1"/>
  <c r="Z1458" i="1"/>
  <c r="R1458" i="1"/>
  <c r="P1458" i="1"/>
  <c r="K1458" i="1"/>
  <c r="J1458" i="1"/>
  <c r="E1458" i="1"/>
  <c r="D1458" i="1"/>
  <c r="AB1457" i="1"/>
  <c r="AA1457" i="1"/>
  <c r="Z1457" i="1"/>
  <c r="R1457" i="1"/>
  <c r="P1457" i="1"/>
  <c r="K1457" i="1"/>
  <c r="J1457" i="1"/>
  <c r="E1457" i="1"/>
  <c r="D1457" i="1"/>
  <c r="AA1456" i="1"/>
  <c r="AB1456" i="1" s="1"/>
  <c r="Z1456" i="1"/>
  <c r="R1456" i="1"/>
  <c r="P1456" i="1"/>
  <c r="K1456" i="1"/>
  <c r="J1456" i="1"/>
  <c r="E1456" i="1"/>
  <c r="D1456" i="1"/>
  <c r="AB1455" i="1"/>
  <c r="AA1455" i="1"/>
  <c r="Z1455" i="1"/>
  <c r="R1455" i="1"/>
  <c r="P1455" i="1"/>
  <c r="K1455" i="1"/>
  <c r="J1455" i="1"/>
  <c r="E1455" i="1"/>
  <c r="D1455" i="1"/>
  <c r="AA1454" i="1"/>
  <c r="AB1454" i="1" s="1"/>
  <c r="Z1454" i="1"/>
  <c r="R1454" i="1"/>
  <c r="P1454" i="1"/>
  <c r="K1454" i="1"/>
  <c r="J1454" i="1"/>
  <c r="E1454" i="1"/>
  <c r="D1454" i="1"/>
  <c r="AB1453" i="1"/>
  <c r="AA1453" i="1"/>
  <c r="Z1453" i="1"/>
  <c r="R1453" i="1"/>
  <c r="P1453" i="1"/>
  <c r="K1453" i="1"/>
  <c r="J1453" i="1"/>
  <c r="E1453" i="1"/>
  <c r="D1453" i="1"/>
  <c r="AA1452" i="1"/>
  <c r="AB1452" i="1" s="1"/>
  <c r="Z1452" i="1"/>
  <c r="R1452" i="1"/>
  <c r="P1452" i="1"/>
  <c r="K1452" i="1"/>
  <c r="J1452" i="1"/>
  <c r="E1452" i="1"/>
  <c r="D1452" i="1"/>
  <c r="AB1451" i="1"/>
  <c r="AA1451" i="1"/>
  <c r="Z1451" i="1"/>
  <c r="R1451" i="1"/>
  <c r="P1451" i="1"/>
  <c r="K1451" i="1"/>
  <c r="J1451" i="1"/>
  <c r="E1451" i="1"/>
  <c r="D1451" i="1"/>
  <c r="AA1450" i="1"/>
  <c r="AB1450" i="1" s="1"/>
  <c r="Z1450" i="1"/>
  <c r="R1450" i="1"/>
  <c r="P1450" i="1"/>
  <c r="K1450" i="1"/>
  <c r="J1450" i="1"/>
  <c r="E1450" i="1"/>
  <c r="D1450" i="1"/>
  <c r="AB1449" i="1"/>
  <c r="AA1449" i="1"/>
  <c r="Z1449" i="1"/>
  <c r="R1449" i="1"/>
  <c r="P1449" i="1"/>
  <c r="K1449" i="1"/>
  <c r="J1449" i="1"/>
  <c r="E1449" i="1"/>
  <c r="D1449" i="1"/>
  <c r="AA1448" i="1"/>
  <c r="AB1448" i="1" s="1"/>
  <c r="Z1448" i="1"/>
  <c r="R1448" i="1"/>
  <c r="P1448" i="1"/>
  <c r="K1448" i="1"/>
  <c r="J1448" i="1"/>
  <c r="E1448" i="1"/>
  <c r="D1448" i="1"/>
  <c r="AB1447" i="1"/>
  <c r="AA1447" i="1"/>
  <c r="Z1447" i="1"/>
  <c r="R1447" i="1"/>
  <c r="P1447" i="1"/>
  <c r="K1447" i="1"/>
  <c r="J1447" i="1"/>
  <c r="E1447" i="1"/>
  <c r="D1447" i="1"/>
  <c r="AA1446" i="1"/>
  <c r="AB1446" i="1" s="1"/>
  <c r="Z1446" i="1"/>
  <c r="R1446" i="1"/>
  <c r="P1446" i="1"/>
  <c r="K1446" i="1"/>
  <c r="J1446" i="1"/>
  <c r="E1446" i="1"/>
  <c r="D1446" i="1"/>
  <c r="AB1445" i="1"/>
  <c r="AA1445" i="1"/>
  <c r="Z1445" i="1"/>
  <c r="R1445" i="1"/>
  <c r="P1445" i="1"/>
  <c r="K1445" i="1"/>
  <c r="J1445" i="1"/>
  <c r="E1445" i="1"/>
  <c r="D1445" i="1"/>
  <c r="AA1444" i="1"/>
  <c r="AB1444" i="1" s="1"/>
  <c r="Z1444" i="1"/>
  <c r="R1444" i="1"/>
  <c r="P1444" i="1"/>
  <c r="K1444" i="1"/>
  <c r="J1444" i="1"/>
  <c r="E1444" i="1"/>
  <c r="D1444" i="1"/>
  <c r="AB1443" i="1"/>
  <c r="AA1443" i="1"/>
  <c r="Z1443" i="1"/>
  <c r="R1443" i="1"/>
  <c r="P1443" i="1"/>
  <c r="K1443" i="1"/>
  <c r="J1443" i="1"/>
  <c r="E1443" i="1"/>
  <c r="D1443" i="1"/>
  <c r="AB1442" i="1"/>
  <c r="AA1442" i="1"/>
  <c r="Z1442" i="1"/>
  <c r="R1442" i="1"/>
  <c r="P1442" i="1"/>
  <c r="K1442" i="1"/>
  <c r="J1442" i="1"/>
  <c r="E1442" i="1"/>
  <c r="D1442" i="1"/>
  <c r="AB1441" i="1"/>
  <c r="AA1441" i="1"/>
  <c r="Z1441" i="1"/>
  <c r="R1441" i="1"/>
  <c r="P1441" i="1"/>
  <c r="K1441" i="1"/>
  <c r="J1441" i="1"/>
  <c r="E1441" i="1"/>
  <c r="D1441" i="1"/>
  <c r="AA1440" i="1"/>
  <c r="AB1440" i="1" s="1"/>
  <c r="Z1440" i="1"/>
  <c r="R1440" i="1"/>
  <c r="P1440" i="1"/>
  <c r="K1440" i="1"/>
  <c r="J1440" i="1"/>
  <c r="E1440" i="1"/>
  <c r="D1440" i="1"/>
  <c r="AB1439" i="1"/>
  <c r="AA1439" i="1"/>
  <c r="Z1439" i="1"/>
  <c r="R1439" i="1"/>
  <c r="P1439" i="1"/>
  <c r="K1439" i="1"/>
  <c r="J1439" i="1"/>
  <c r="E1439" i="1"/>
  <c r="D1439" i="1"/>
  <c r="AB1438" i="1"/>
  <c r="AA1438" i="1"/>
  <c r="Z1438" i="1"/>
  <c r="R1438" i="1"/>
  <c r="P1438" i="1"/>
  <c r="K1438" i="1"/>
  <c r="J1438" i="1"/>
  <c r="E1438" i="1"/>
  <c r="D1438" i="1"/>
  <c r="AB1437" i="1"/>
  <c r="AA1437" i="1"/>
  <c r="Z1437" i="1"/>
  <c r="R1437" i="1"/>
  <c r="P1437" i="1"/>
  <c r="K1437" i="1"/>
  <c r="J1437" i="1"/>
  <c r="E1437" i="1"/>
  <c r="D1437" i="1"/>
  <c r="AA1436" i="1"/>
  <c r="AB1436" i="1" s="1"/>
  <c r="Z1436" i="1"/>
  <c r="R1436" i="1"/>
  <c r="P1436" i="1"/>
  <c r="K1436" i="1"/>
  <c r="J1436" i="1"/>
  <c r="E1436" i="1"/>
  <c r="D1436" i="1"/>
  <c r="AB1435" i="1"/>
  <c r="AA1435" i="1"/>
  <c r="Z1435" i="1"/>
  <c r="R1435" i="1"/>
  <c r="P1435" i="1"/>
  <c r="K1435" i="1"/>
  <c r="J1435" i="1"/>
  <c r="E1435" i="1"/>
  <c r="D1435" i="1"/>
  <c r="AA1434" i="1"/>
  <c r="AB1434" i="1" s="1"/>
  <c r="Z1434" i="1"/>
  <c r="R1434" i="1"/>
  <c r="P1434" i="1"/>
  <c r="K1434" i="1"/>
  <c r="J1434" i="1"/>
  <c r="E1434" i="1"/>
  <c r="D1434" i="1"/>
  <c r="AB1433" i="1"/>
  <c r="AA1433" i="1"/>
  <c r="Z1433" i="1"/>
  <c r="R1433" i="1"/>
  <c r="P1433" i="1"/>
  <c r="K1433" i="1"/>
  <c r="J1433" i="1"/>
  <c r="E1433" i="1"/>
  <c r="D1433" i="1"/>
  <c r="AA1432" i="1"/>
  <c r="AB1432" i="1" s="1"/>
  <c r="Z1432" i="1"/>
  <c r="R1432" i="1"/>
  <c r="P1432" i="1"/>
  <c r="K1432" i="1"/>
  <c r="J1432" i="1"/>
  <c r="E1432" i="1"/>
  <c r="D1432" i="1"/>
  <c r="AB1431" i="1"/>
  <c r="AA1431" i="1"/>
  <c r="Z1431" i="1"/>
  <c r="R1431" i="1"/>
  <c r="P1431" i="1"/>
  <c r="K1431" i="1"/>
  <c r="J1431" i="1"/>
  <c r="E1431" i="1"/>
  <c r="D1431" i="1"/>
  <c r="AB1430" i="1"/>
  <c r="AA1430" i="1"/>
  <c r="Z1430" i="1"/>
  <c r="R1430" i="1"/>
  <c r="P1430" i="1"/>
  <c r="K1430" i="1"/>
  <c r="J1430" i="1"/>
  <c r="E1430" i="1"/>
  <c r="D1430" i="1"/>
  <c r="AB1429" i="1"/>
  <c r="AA1429" i="1"/>
  <c r="Z1429" i="1"/>
  <c r="R1429" i="1"/>
  <c r="P1429" i="1"/>
  <c r="K1429" i="1"/>
  <c r="J1429" i="1"/>
  <c r="E1429" i="1"/>
  <c r="D1429" i="1"/>
  <c r="AA1428" i="1"/>
  <c r="AB1428" i="1" s="1"/>
  <c r="Z1428" i="1"/>
  <c r="R1428" i="1"/>
  <c r="P1428" i="1"/>
  <c r="K1428" i="1"/>
  <c r="J1428" i="1"/>
  <c r="E1428" i="1"/>
  <c r="D1428" i="1"/>
  <c r="AB1427" i="1"/>
  <c r="AA1427" i="1"/>
  <c r="Z1427" i="1"/>
  <c r="R1427" i="1"/>
  <c r="P1427" i="1"/>
  <c r="K1427" i="1"/>
  <c r="J1427" i="1"/>
  <c r="E1427" i="1"/>
  <c r="D1427" i="1"/>
  <c r="AB1426" i="1"/>
  <c r="AA1426" i="1"/>
  <c r="Z1426" i="1"/>
  <c r="R1426" i="1"/>
  <c r="P1426" i="1"/>
  <c r="K1426" i="1"/>
  <c r="J1426" i="1"/>
  <c r="E1426" i="1"/>
  <c r="D1426" i="1"/>
  <c r="AB1425" i="1"/>
  <c r="AA1425" i="1"/>
  <c r="Z1425" i="1"/>
  <c r="R1425" i="1"/>
  <c r="P1425" i="1"/>
  <c r="K1425" i="1"/>
  <c r="J1425" i="1"/>
  <c r="E1425" i="1"/>
  <c r="D1425" i="1"/>
  <c r="AA1424" i="1"/>
  <c r="AB1424" i="1" s="1"/>
  <c r="Z1424" i="1"/>
  <c r="R1424" i="1"/>
  <c r="P1424" i="1"/>
  <c r="K1424" i="1"/>
  <c r="J1424" i="1"/>
  <c r="E1424" i="1"/>
  <c r="D1424" i="1"/>
  <c r="AB1423" i="1"/>
  <c r="AA1423" i="1"/>
  <c r="Z1423" i="1"/>
  <c r="R1423" i="1"/>
  <c r="P1423" i="1"/>
  <c r="K1423" i="1"/>
  <c r="J1423" i="1"/>
  <c r="E1423" i="1"/>
  <c r="D1423" i="1"/>
  <c r="AB1422" i="1"/>
  <c r="AA1422" i="1"/>
  <c r="Z1422" i="1"/>
  <c r="R1422" i="1"/>
  <c r="P1422" i="1"/>
  <c r="K1422" i="1"/>
  <c r="J1422" i="1"/>
  <c r="E1422" i="1"/>
  <c r="D1422" i="1"/>
  <c r="AB1421" i="1"/>
  <c r="AA1421" i="1"/>
  <c r="Z1421" i="1"/>
  <c r="R1421" i="1"/>
  <c r="P1421" i="1"/>
  <c r="K1421" i="1"/>
  <c r="J1421" i="1"/>
  <c r="E1421" i="1"/>
  <c r="D1421" i="1"/>
  <c r="AA1420" i="1"/>
  <c r="AB1420" i="1" s="1"/>
  <c r="Z1420" i="1"/>
  <c r="R1420" i="1"/>
  <c r="P1420" i="1"/>
  <c r="K1420" i="1"/>
  <c r="J1420" i="1"/>
  <c r="E1420" i="1"/>
  <c r="D1420" i="1"/>
  <c r="AB1419" i="1"/>
  <c r="AA1419" i="1"/>
  <c r="Z1419" i="1"/>
  <c r="R1419" i="1"/>
  <c r="P1419" i="1"/>
  <c r="K1419" i="1"/>
  <c r="J1419" i="1"/>
  <c r="E1419" i="1"/>
  <c r="D1419" i="1"/>
  <c r="AA1418" i="1"/>
  <c r="AB1418" i="1" s="1"/>
  <c r="Z1418" i="1"/>
  <c r="R1418" i="1"/>
  <c r="P1418" i="1"/>
  <c r="K1418" i="1"/>
  <c r="J1418" i="1"/>
  <c r="E1418" i="1"/>
  <c r="D1418" i="1"/>
  <c r="AB1417" i="1"/>
  <c r="AA1417" i="1"/>
  <c r="Z1417" i="1"/>
  <c r="R1417" i="1"/>
  <c r="P1417" i="1"/>
  <c r="K1417" i="1"/>
  <c r="J1417" i="1"/>
  <c r="E1417" i="1"/>
  <c r="D1417" i="1"/>
  <c r="AA1416" i="1"/>
  <c r="AB1416" i="1" s="1"/>
  <c r="Z1416" i="1"/>
  <c r="R1416" i="1"/>
  <c r="P1416" i="1"/>
  <c r="K1416" i="1"/>
  <c r="J1416" i="1"/>
  <c r="E1416" i="1"/>
  <c r="D1416" i="1"/>
  <c r="AB1415" i="1"/>
  <c r="AA1415" i="1"/>
  <c r="Z1415" i="1"/>
  <c r="R1415" i="1"/>
  <c r="P1415" i="1"/>
  <c r="K1415" i="1"/>
  <c r="J1415" i="1"/>
  <c r="E1415" i="1"/>
  <c r="D1415" i="1"/>
  <c r="AA1414" i="1"/>
  <c r="AB1414" i="1" s="1"/>
  <c r="Z1414" i="1"/>
  <c r="R1414" i="1"/>
  <c r="P1414" i="1"/>
  <c r="K1414" i="1"/>
  <c r="J1414" i="1"/>
  <c r="E1414" i="1"/>
  <c r="D1414" i="1"/>
  <c r="AB1413" i="1"/>
  <c r="AA1413" i="1"/>
  <c r="Z1413" i="1"/>
  <c r="R1413" i="1"/>
  <c r="P1413" i="1"/>
  <c r="K1413" i="1"/>
  <c r="J1413" i="1"/>
  <c r="E1413" i="1"/>
  <c r="D1413" i="1"/>
  <c r="AA1412" i="1"/>
  <c r="AB1412" i="1" s="1"/>
  <c r="Z1412" i="1"/>
  <c r="R1412" i="1"/>
  <c r="P1412" i="1"/>
  <c r="K1412" i="1"/>
  <c r="J1412" i="1"/>
  <c r="E1412" i="1"/>
  <c r="D1412" i="1"/>
  <c r="AB1411" i="1"/>
  <c r="AA1411" i="1"/>
  <c r="Z1411" i="1"/>
  <c r="R1411" i="1"/>
  <c r="P1411" i="1"/>
  <c r="K1411" i="1"/>
  <c r="J1411" i="1"/>
  <c r="E1411" i="1"/>
  <c r="D1411" i="1"/>
  <c r="AA1410" i="1"/>
  <c r="AB1410" i="1" s="1"/>
  <c r="Z1410" i="1"/>
  <c r="R1410" i="1"/>
  <c r="P1410" i="1"/>
  <c r="K1410" i="1"/>
  <c r="J1410" i="1"/>
  <c r="E1410" i="1"/>
  <c r="D1410" i="1"/>
  <c r="AB1409" i="1"/>
  <c r="AA1409" i="1"/>
  <c r="Z1409" i="1"/>
  <c r="R1409" i="1"/>
  <c r="P1409" i="1"/>
  <c r="K1409" i="1"/>
  <c r="J1409" i="1"/>
  <c r="E1409" i="1"/>
  <c r="D1409" i="1"/>
  <c r="AA1408" i="1"/>
  <c r="AB1408" i="1" s="1"/>
  <c r="Z1408" i="1"/>
  <c r="R1408" i="1"/>
  <c r="P1408" i="1"/>
  <c r="K1408" i="1"/>
  <c r="J1408" i="1"/>
  <c r="E1408" i="1"/>
  <c r="D1408" i="1"/>
  <c r="AB1407" i="1"/>
  <c r="AA1407" i="1"/>
  <c r="Z1407" i="1"/>
  <c r="R1407" i="1"/>
  <c r="P1407" i="1"/>
  <c r="K1407" i="1"/>
  <c r="J1407" i="1"/>
  <c r="E1407" i="1"/>
  <c r="D1407" i="1"/>
  <c r="AA1406" i="1"/>
  <c r="AB1406" i="1" s="1"/>
  <c r="Z1406" i="1"/>
  <c r="R1406" i="1"/>
  <c r="P1406" i="1"/>
  <c r="K1406" i="1"/>
  <c r="J1406" i="1"/>
  <c r="E1406" i="1"/>
  <c r="D1406" i="1"/>
  <c r="AB1405" i="1"/>
  <c r="AA1405" i="1"/>
  <c r="Z1405" i="1"/>
  <c r="R1405" i="1"/>
  <c r="P1405" i="1"/>
  <c r="K1405" i="1"/>
  <c r="J1405" i="1"/>
  <c r="E1405" i="1"/>
  <c r="D1405" i="1"/>
  <c r="AA1404" i="1"/>
  <c r="AB1404" i="1" s="1"/>
  <c r="Z1404" i="1"/>
  <c r="R1404" i="1"/>
  <c r="P1404" i="1"/>
  <c r="K1404" i="1"/>
  <c r="J1404" i="1"/>
  <c r="E1404" i="1"/>
  <c r="D1404" i="1"/>
  <c r="AB1403" i="1"/>
  <c r="AA1403" i="1"/>
  <c r="Z1403" i="1"/>
  <c r="R1403" i="1"/>
  <c r="P1403" i="1"/>
  <c r="K1403" i="1"/>
  <c r="J1403" i="1"/>
  <c r="E1403" i="1"/>
  <c r="D1403" i="1"/>
  <c r="AA1402" i="1"/>
  <c r="AB1402" i="1" s="1"/>
  <c r="Z1402" i="1"/>
  <c r="R1402" i="1"/>
  <c r="P1402" i="1"/>
  <c r="K1402" i="1"/>
  <c r="J1402" i="1"/>
  <c r="E1402" i="1"/>
  <c r="D1402" i="1"/>
  <c r="AB1401" i="1"/>
  <c r="AA1401" i="1"/>
  <c r="Z1401" i="1"/>
  <c r="R1401" i="1"/>
  <c r="P1401" i="1"/>
  <c r="K1401" i="1"/>
  <c r="J1401" i="1"/>
  <c r="E1401" i="1"/>
  <c r="D1401" i="1"/>
  <c r="AA1400" i="1"/>
  <c r="AB1400" i="1" s="1"/>
  <c r="Z1400" i="1"/>
  <c r="R1400" i="1"/>
  <c r="P1400" i="1"/>
  <c r="K1400" i="1"/>
  <c r="J1400" i="1"/>
  <c r="E1400" i="1"/>
  <c r="D1400" i="1"/>
  <c r="AB1399" i="1"/>
  <c r="AA1399" i="1"/>
  <c r="Z1399" i="1"/>
  <c r="R1399" i="1"/>
  <c r="P1399" i="1"/>
  <c r="K1399" i="1"/>
  <c r="J1399" i="1"/>
  <c r="E1399" i="1"/>
  <c r="D1399" i="1"/>
  <c r="AA1398" i="1"/>
  <c r="AB1398" i="1" s="1"/>
  <c r="Z1398" i="1"/>
  <c r="R1398" i="1"/>
  <c r="P1398" i="1"/>
  <c r="K1398" i="1"/>
  <c r="J1398" i="1"/>
  <c r="E1398" i="1"/>
  <c r="D1398" i="1"/>
  <c r="AB1397" i="1"/>
  <c r="AA1397" i="1"/>
  <c r="Z1397" i="1"/>
  <c r="R1397" i="1"/>
  <c r="P1397" i="1"/>
  <c r="K1397" i="1"/>
  <c r="J1397" i="1"/>
  <c r="E1397" i="1"/>
  <c r="D1397" i="1"/>
  <c r="AA1396" i="1"/>
  <c r="AB1396" i="1" s="1"/>
  <c r="Z1396" i="1"/>
  <c r="R1396" i="1"/>
  <c r="P1396" i="1"/>
  <c r="K1396" i="1"/>
  <c r="J1396" i="1"/>
  <c r="E1396" i="1"/>
  <c r="D1396" i="1"/>
  <c r="AB1395" i="1"/>
  <c r="AA1395" i="1"/>
  <c r="Z1395" i="1"/>
  <c r="R1395" i="1"/>
  <c r="P1395" i="1"/>
  <c r="K1395" i="1"/>
  <c r="J1395" i="1"/>
  <c r="E1395" i="1"/>
  <c r="D1395" i="1"/>
  <c r="AB1394" i="1"/>
  <c r="AA1394" i="1"/>
  <c r="Z1394" i="1"/>
  <c r="R1394" i="1"/>
  <c r="P1394" i="1"/>
  <c r="K1394" i="1"/>
  <c r="J1394" i="1"/>
  <c r="E1394" i="1"/>
  <c r="D1394" i="1"/>
  <c r="AB1393" i="1"/>
  <c r="AA1393" i="1"/>
  <c r="Z1393" i="1"/>
  <c r="R1393" i="1"/>
  <c r="P1393" i="1"/>
  <c r="K1393" i="1"/>
  <c r="J1393" i="1"/>
  <c r="E1393" i="1"/>
  <c r="D1393" i="1"/>
  <c r="AA1392" i="1"/>
  <c r="AB1392" i="1" s="1"/>
  <c r="Z1392" i="1"/>
  <c r="R1392" i="1"/>
  <c r="P1392" i="1"/>
  <c r="K1392" i="1"/>
  <c r="J1392" i="1"/>
  <c r="E1392" i="1"/>
  <c r="D1392" i="1"/>
  <c r="AB1391" i="1"/>
  <c r="AA1391" i="1"/>
  <c r="Z1391" i="1"/>
  <c r="R1391" i="1"/>
  <c r="P1391" i="1"/>
  <c r="K1391" i="1"/>
  <c r="J1391" i="1"/>
  <c r="E1391" i="1"/>
  <c r="D1391" i="1"/>
  <c r="AB1390" i="1"/>
  <c r="AA1390" i="1"/>
  <c r="Z1390" i="1"/>
  <c r="R1390" i="1"/>
  <c r="P1390" i="1"/>
  <c r="K1390" i="1"/>
  <c r="J1390" i="1"/>
  <c r="E1390" i="1"/>
  <c r="D1390" i="1"/>
  <c r="AB1389" i="1"/>
  <c r="AA1389" i="1"/>
  <c r="Z1389" i="1"/>
  <c r="R1389" i="1"/>
  <c r="P1389" i="1"/>
  <c r="K1389" i="1"/>
  <c r="J1389" i="1"/>
  <c r="E1389" i="1"/>
  <c r="D1389" i="1"/>
  <c r="AA1388" i="1"/>
  <c r="AB1388" i="1" s="1"/>
  <c r="Z1388" i="1"/>
  <c r="R1388" i="1"/>
  <c r="P1388" i="1"/>
  <c r="K1388" i="1"/>
  <c r="J1388" i="1"/>
  <c r="E1388" i="1"/>
  <c r="D1388" i="1"/>
  <c r="AB1387" i="1"/>
  <c r="AA1387" i="1"/>
  <c r="Z1387" i="1"/>
  <c r="R1387" i="1"/>
  <c r="P1387" i="1"/>
  <c r="K1387" i="1"/>
  <c r="J1387" i="1"/>
  <c r="E1387" i="1"/>
  <c r="D1387" i="1"/>
  <c r="AA1386" i="1"/>
  <c r="AB1386" i="1" s="1"/>
  <c r="Z1386" i="1"/>
  <c r="R1386" i="1"/>
  <c r="P1386" i="1"/>
  <c r="K1386" i="1"/>
  <c r="J1386" i="1"/>
  <c r="E1386" i="1"/>
  <c r="D1386" i="1"/>
  <c r="AB1385" i="1"/>
  <c r="AA1385" i="1"/>
  <c r="Z1385" i="1"/>
  <c r="R1385" i="1"/>
  <c r="P1385" i="1"/>
  <c r="K1385" i="1"/>
  <c r="J1385" i="1"/>
  <c r="E1385" i="1"/>
  <c r="D1385" i="1"/>
  <c r="AA1384" i="1"/>
  <c r="AB1384" i="1" s="1"/>
  <c r="Z1384" i="1"/>
  <c r="R1384" i="1"/>
  <c r="P1384" i="1"/>
  <c r="K1384" i="1"/>
  <c r="J1384" i="1"/>
  <c r="E1384" i="1"/>
  <c r="D1384" i="1"/>
  <c r="AB1383" i="1"/>
  <c r="AA1383" i="1"/>
  <c r="Z1383" i="1"/>
  <c r="R1383" i="1"/>
  <c r="P1383" i="1"/>
  <c r="K1383" i="1"/>
  <c r="J1383" i="1"/>
  <c r="E1383" i="1"/>
  <c r="D1383" i="1"/>
  <c r="AB1382" i="1"/>
  <c r="AA1382" i="1"/>
  <c r="Z1382" i="1"/>
  <c r="R1382" i="1"/>
  <c r="P1382" i="1"/>
  <c r="K1382" i="1"/>
  <c r="J1382" i="1"/>
  <c r="E1382" i="1"/>
  <c r="D1382" i="1"/>
  <c r="AB1381" i="1"/>
  <c r="AA1381" i="1"/>
  <c r="Z1381" i="1"/>
  <c r="R1381" i="1"/>
  <c r="P1381" i="1"/>
  <c r="K1381" i="1"/>
  <c r="J1381" i="1"/>
  <c r="E1381" i="1"/>
  <c r="D1381" i="1"/>
  <c r="AA1380" i="1"/>
  <c r="AB1380" i="1" s="1"/>
  <c r="Z1380" i="1"/>
  <c r="R1380" i="1"/>
  <c r="P1380" i="1"/>
  <c r="K1380" i="1"/>
  <c r="J1380" i="1"/>
  <c r="E1380" i="1"/>
  <c r="D1380" i="1"/>
  <c r="AB1379" i="1"/>
  <c r="AA1379" i="1"/>
  <c r="Z1379" i="1"/>
  <c r="R1379" i="1"/>
  <c r="P1379" i="1"/>
  <c r="K1379" i="1"/>
  <c r="J1379" i="1"/>
  <c r="E1379" i="1"/>
  <c r="D1379" i="1"/>
  <c r="AB1378" i="1"/>
  <c r="AA1378" i="1"/>
  <c r="Z1378" i="1"/>
  <c r="R1378" i="1"/>
  <c r="P1378" i="1"/>
  <c r="K1378" i="1"/>
  <c r="J1378" i="1"/>
  <c r="E1378" i="1"/>
  <c r="D1378" i="1"/>
  <c r="AB1377" i="1"/>
  <c r="AA1377" i="1"/>
  <c r="Z1377" i="1"/>
  <c r="R1377" i="1"/>
  <c r="P1377" i="1"/>
  <c r="K1377" i="1"/>
  <c r="J1377" i="1"/>
  <c r="E1377" i="1"/>
  <c r="D1377" i="1"/>
  <c r="AA1376" i="1"/>
  <c r="AB1376" i="1" s="1"/>
  <c r="Z1376" i="1"/>
  <c r="R1376" i="1"/>
  <c r="P1376" i="1"/>
  <c r="K1376" i="1"/>
  <c r="J1376" i="1"/>
  <c r="E1376" i="1"/>
  <c r="D1376" i="1"/>
  <c r="AB1375" i="1"/>
  <c r="AA1375" i="1"/>
  <c r="Z1375" i="1"/>
  <c r="R1375" i="1"/>
  <c r="P1375" i="1"/>
  <c r="K1375" i="1"/>
  <c r="J1375" i="1"/>
  <c r="E1375" i="1"/>
  <c r="D1375" i="1"/>
  <c r="AB1374" i="1"/>
  <c r="AA1374" i="1"/>
  <c r="Z1374" i="1"/>
  <c r="R1374" i="1"/>
  <c r="P1374" i="1"/>
  <c r="K1374" i="1"/>
  <c r="J1374" i="1"/>
  <c r="E1374" i="1"/>
  <c r="D1374" i="1"/>
  <c r="AB1373" i="1"/>
  <c r="AA1373" i="1"/>
  <c r="Z1373" i="1"/>
  <c r="R1373" i="1"/>
  <c r="P1373" i="1"/>
  <c r="K1373" i="1"/>
  <c r="J1373" i="1"/>
  <c r="E1373" i="1"/>
  <c r="D1373" i="1"/>
  <c r="AA1372" i="1"/>
  <c r="AB1372" i="1" s="1"/>
  <c r="Z1372" i="1"/>
  <c r="R1372" i="1"/>
  <c r="P1372" i="1"/>
  <c r="K1372" i="1"/>
  <c r="J1372" i="1"/>
  <c r="E1372" i="1"/>
  <c r="D1372" i="1"/>
  <c r="AB1371" i="1"/>
  <c r="AA1371" i="1"/>
  <c r="Z1371" i="1"/>
  <c r="R1371" i="1"/>
  <c r="P1371" i="1"/>
  <c r="K1371" i="1"/>
  <c r="J1371" i="1"/>
  <c r="E1371" i="1"/>
  <c r="D1371" i="1"/>
  <c r="AA1370" i="1"/>
  <c r="AB1370" i="1" s="1"/>
  <c r="Z1370" i="1"/>
  <c r="R1370" i="1"/>
  <c r="P1370" i="1"/>
  <c r="K1370" i="1"/>
  <c r="J1370" i="1"/>
  <c r="E1370" i="1"/>
  <c r="D1370" i="1"/>
  <c r="AB1369" i="1"/>
  <c r="AA1369" i="1"/>
  <c r="Z1369" i="1"/>
  <c r="R1369" i="1"/>
  <c r="P1369" i="1"/>
  <c r="K1369" i="1"/>
  <c r="J1369" i="1"/>
  <c r="E1369" i="1"/>
  <c r="D1369" i="1"/>
  <c r="AA1368" i="1"/>
  <c r="AB1368" i="1" s="1"/>
  <c r="Z1368" i="1"/>
  <c r="R1368" i="1"/>
  <c r="P1368" i="1"/>
  <c r="K1368" i="1"/>
  <c r="J1368" i="1"/>
  <c r="E1368" i="1"/>
  <c r="D1368" i="1"/>
  <c r="AB1367" i="1"/>
  <c r="AA1367" i="1"/>
  <c r="Z1367" i="1"/>
  <c r="R1367" i="1"/>
  <c r="P1367" i="1"/>
  <c r="K1367" i="1"/>
  <c r="J1367" i="1"/>
  <c r="E1367" i="1"/>
  <c r="D1367" i="1"/>
  <c r="AA1366" i="1"/>
  <c r="AB1366" i="1" s="1"/>
  <c r="Z1366" i="1"/>
  <c r="R1366" i="1"/>
  <c r="P1366" i="1"/>
  <c r="K1366" i="1"/>
  <c r="J1366" i="1"/>
  <c r="E1366" i="1"/>
  <c r="D1366" i="1"/>
  <c r="AB1365" i="1"/>
  <c r="AA1365" i="1"/>
  <c r="Z1365" i="1"/>
  <c r="R1365" i="1"/>
  <c r="P1365" i="1"/>
  <c r="K1365" i="1"/>
  <c r="J1365" i="1"/>
  <c r="E1365" i="1"/>
  <c r="D1365" i="1"/>
  <c r="AA1364" i="1"/>
  <c r="AB1364" i="1" s="1"/>
  <c r="Z1364" i="1"/>
  <c r="R1364" i="1"/>
  <c r="P1364" i="1"/>
  <c r="K1364" i="1"/>
  <c r="J1364" i="1"/>
  <c r="E1364" i="1"/>
  <c r="D1364" i="1"/>
  <c r="AB1363" i="1"/>
  <c r="AA1363" i="1"/>
  <c r="Z1363" i="1"/>
  <c r="R1363" i="1"/>
  <c r="P1363" i="1"/>
  <c r="K1363" i="1"/>
  <c r="J1363" i="1"/>
  <c r="E1363" i="1"/>
  <c r="D1363" i="1"/>
  <c r="AA1362" i="1"/>
  <c r="AB1362" i="1" s="1"/>
  <c r="Z1362" i="1"/>
  <c r="R1362" i="1"/>
  <c r="P1362" i="1"/>
  <c r="K1362" i="1"/>
  <c r="J1362" i="1"/>
  <c r="E1362" i="1"/>
  <c r="D1362" i="1"/>
  <c r="AB1361" i="1"/>
  <c r="AA1361" i="1"/>
  <c r="Z1361" i="1"/>
  <c r="R1361" i="1"/>
  <c r="P1361" i="1"/>
  <c r="K1361" i="1"/>
  <c r="J1361" i="1"/>
  <c r="E1361" i="1"/>
  <c r="D1361" i="1"/>
  <c r="AA1360" i="1"/>
  <c r="AB1360" i="1" s="1"/>
  <c r="Z1360" i="1"/>
  <c r="R1360" i="1"/>
  <c r="P1360" i="1"/>
  <c r="K1360" i="1"/>
  <c r="J1360" i="1"/>
  <c r="E1360" i="1"/>
  <c r="D1360" i="1"/>
  <c r="AB1359" i="1"/>
  <c r="AA1359" i="1"/>
  <c r="Z1359" i="1"/>
  <c r="R1359" i="1"/>
  <c r="P1359" i="1"/>
  <c r="K1359" i="1"/>
  <c r="J1359" i="1"/>
  <c r="E1359" i="1"/>
  <c r="D1359" i="1"/>
  <c r="AA1358" i="1"/>
  <c r="AB1358" i="1" s="1"/>
  <c r="Z1358" i="1"/>
  <c r="R1358" i="1"/>
  <c r="P1358" i="1"/>
  <c r="K1358" i="1"/>
  <c r="J1358" i="1"/>
  <c r="E1358" i="1"/>
  <c r="D1358" i="1"/>
  <c r="AB1357" i="1"/>
  <c r="AA1357" i="1"/>
  <c r="Z1357" i="1"/>
  <c r="R1357" i="1"/>
  <c r="P1357" i="1"/>
  <c r="K1357" i="1"/>
  <c r="J1357" i="1"/>
  <c r="E1357" i="1"/>
  <c r="D1357" i="1"/>
  <c r="AA1356" i="1"/>
  <c r="Z1356" i="1"/>
  <c r="R1356" i="1"/>
  <c r="P1356" i="1"/>
  <c r="K1356" i="1"/>
  <c r="J1356" i="1"/>
  <c r="E1356" i="1"/>
  <c r="D1356" i="1"/>
  <c r="AB1355" i="1"/>
  <c r="AA1355" i="1"/>
  <c r="Z1355" i="1"/>
  <c r="R1355" i="1"/>
  <c r="P1355" i="1"/>
  <c r="K1355" i="1"/>
  <c r="J1355" i="1"/>
  <c r="E1355" i="1"/>
  <c r="D1355" i="1"/>
  <c r="AA1354" i="1"/>
  <c r="AB1354" i="1" s="1"/>
  <c r="Z1354" i="1"/>
  <c r="R1354" i="1"/>
  <c r="P1354" i="1"/>
  <c r="K1354" i="1"/>
  <c r="J1354" i="1"/>
  <c r="E1354" i="1"/>
  <c r="D1354" i="1"/>
  <c r="AB1353" i="1"/>
  <c r="AA1353" i="1"/>
  <c r="Z1353" i="1"/>
  <c r="R1353" i="1"/>
  <c r="P1353" i="1"/>
  <c r="K1353" i="1"/>
  <c r="J1353" i="1"/>
  <c r="E1353" i="1"/>
  <c r="D1353" i="1"/>
  <c r="AA1352" i="1"/>
  <c r="Z1352" i="1"/>
  <c r="R1352" i="1"/>
  <c r="P1352" i="1"/>
  <c r="K1352" i="1"/>
  <c r="J1352" i="1"/>
  <c r="E1352" i="1"/>
  <c r="D1352" i="1"/>
  <c r="AB1351" i="1"/>
  <c r="AA1351" i="1"/>
  <c r="Z1351" i="1"/>
  <c r="R1351" i="1"/>
  <c r="P1351" i="1"/>
  <c r="K1351" i="1"/>
  <c r="J1351" i="1"/>
  <c r="E1351" i="1"/>
  <c r="D1351" i="1"/>
  <c r="AA1350" i="1"/>
  <c r="AB1350" i="1" s="1"/>
  <c r="Z1350" i="1"/>
  <c r="R1350" i="1"/>
  <c r="P1350" i="1"/>
  <c r="K1350" i="1"/>
  <c r="J1350" i="1"/>
  <c r="E1350" i="1"/>
  <c r="D1350" i="1"/>
  <c r="AB1349" i="1"/>
  <c r="AA1349" i="1"/>
  <c r="Z1349" i="1"/>
  <c r="R1349" i="1"/>
  <c r="P1349" i="1"/>
  <c r="K1349" i="1"/>
  <c r="J1349" i="1"/>
  <c r="E1349" i="1"/>
  <c r="D1349" i="1"/>
  <c r="AA1348" i="1"/>
  <c r="Z1348" i="1"/>
  <c r="R1348" i="1"/>
  <c r="P1348" i="1"/>
  <c r="K1348" i="1"/>
  <c r="J1348" i="1"/>
  <c r="E1348" i="1"/>
  <c r="D1348" i="1"/>
  <c r="AB1347" i="1"/>
  <c r="AA1347" i="1"/>
  <c r="Z1347" i="1"/>
  <c r="R1347" i="1"/>
  <c r="P1347" i="1"/>
  <c r="K1347" i="1"/>
  <c r="J1347" i="1"/>
  <c r="E1347" i="1"/>
  <c r="D1347" i="1"/>
  <c r="AB1346" i="1"/>
  <c r="AA1346" i="1"/>
  <c r="Z1346" i="1"/>
  <c r="R1346" i="1"/>
  <c r="P1346" i="1"/>
  <c r="K1346" i="1"/>
  <c r="J1346" i="1"/>
  <c r="E1346" i="1"/>
  <c r="D1346" i="1"/>
  <c r="AB1345" i="1"/>
  <c r="AA1345" i="1"/>
  <c r="Z1345" i="1"/>
  <c r="R1345" i="1"/>
  <c r="P1345" i="1"/>
  <c r="K1345" i="1"/>
  <c r="J1345" i="1"/>
  <c r="E1345" i="1"/>
  <c r="D1345" i="1"/>
  <c r="AA1344" i="1"/>
  <c r="Z1344" i="1"/>
  <c r="AB1344" i="1" s="1"/>
  <c r="R1344" i="1"/>
  <c r="P1344" i="1"/>
  <c r="K1344" i="1"/>
  <c r="J1344" i="1"/>
  <c r="E1344" i="1"/>
  <c r="D1344" i="1"/>
  <c r="AB1343" i="1"/>
  <c r="AA1343" i="1"/>
  <c r="Z1343" i="1"/>
  <c r="R1343" i="1"/>
  <c r="P1343" i="1"/>
  <c r="K1343" i="1"/>
  <c r="J1343" i="1"/>
  <c r="E1343" i="1"/>
  <c r="D1343" i="1"/>
  <c r="AB1342" i="1"/>
  <c r="AA1342" i="1"/>
  <c r="Z1342" i="1"/>
  <c r="R1342" i="1"/>
  <c r="P1342" i="1"/>
  <c r="K1342" i="1"/>
  <c r="J1342" i="1"/>
  <c r="E1342" i="1"/>
  <c r="D1342" i="1"/>
  <c r="AB1341" i="1"/>
  <c r="AA1341" i="1"/>
  <c r="Z1341" i="1"/>
  <c r="R1341" i="1"/>
  <c r="P1341" i="1"/>
  <c r="K1341" i="1"/>
  <c r="J1341" i="1"/>
  <c r="E1341" i="1"/>
  <c r="D1341" i="1"/>
  <c r="AA1340" i="1"/>
  <c r="Z1340" i="1"/>
  <c r="AB1340" i="1" s="1"/>
  <c r="R1340" i="1"/>
  <c r="P1340" i="1"/>
  <c r="K1340" i="1"/>
  <c r="J1340" i="1"/>
  <c r="E1340" i="1"/>
  <c r="D1340" i="1"/>
  <c r="AB1339" i="1"/>
  <c r="AA1339" i="1"/>
  <c r="Z1339" i="1"/>
  <c r="R1339" i="1"/>
  <c r="P1339" i="1"/>
  <c r="K1339" i="1"/>
  <c r="J1339" i="1"/>
  <c r="E1339" i="1"/>
  <c r="D1339" i="1"/>
  <c r="AA1338" i="1"/>
  <c r="AB1338" i="1" s="1"/>
  <c r="Z1338" i="1"/>
  <c r="R1338" i="1"/>
  <c r="P1338" i="1"/>
  <c r="K1338" i="1"/>
  <c r="J1338" i="1"/>
  <c r="E1338" i="1"/>
  <c r="D1338" i="1"/>
  <c r="AB1337" i="1"/>
  <c r="AA1337" i="1"/>
  <c r="Z1337" i="1"/>
  <c r="R1337" i="1"/>
  <c r="P1337" i="1"/>
  <c r="K1337" i="1"/>
  <c r="J1337" i="1"/>
  <c r="E1337" i="1"/>
  <c r="D1337" i="1"/>
  <c r="AA1336" i="1"/>
  <c r="Z1336" i="1"/>
  <c r="AB1336" i="1" s="1"/>
  <c r="R1336" i="1"/>
  <c r="P1336" i="1"/>
  <c r="K1336" i="1"/>
  <c r="J1336" i="1"/>
  <c r="E1336" i="1"/>
  <c r="D1336" i="1"/>
  <c r="AB1335" i="1"/>
  <c r="AA1335" i="1"/>
  <c r="Z1335" i="1"/>
  <c r="R1335" i="1"/>
  <c r="P1335" i="1"/>
  <c r="K1335" i="1"/>
  <c r="J1335" i="1"/>
  <c r="E1335" i="1"/>
  <c r="D1335" i="1"/>
  <c r="AB1334" i="1"/>
  <c r="AA1334" i="1"/>
  <c r="Z1334" i="1"/>
  <c r="R1334" i="1"/>
  <c r="P1334" i="1"/>
  <c r="K1334" i="1"/>
  <c r="J1334" i="1"/>
  <c r="E1334" i="1"/>
  <c r="D1334" i="1"/>
  <c r="AB1333" i="1"/>
  <c r="AA1333" i="1"/>
  <c r="Z1333" i="1"/>
  <c r="R1333" i="1"/>
  <c r="P1333" i="1"/>
  <c r="K1333" i="1"/>
  <c r="J1333" i="1"/>
  <c r="E1333" i="1"/>
  <c r="D1333" i="1"/>
  <c r="AA1332" i="1"/>
  <c r="Z1332" i="1"/>
  <c r="AB1332" i="1" s="1"/>
  <c r="R1332" i="1"/>
  <c r="P1332" i="1"/>
  <c r="K1332" i="1"/>
  <c r="J1332" i="1"/>
  <c r="E1332" i="1"/>
  <c r="D1332" i="1"/>
  <c r="AB1331" i="1"/>
  <c r="AA1331" i="1"/>
  <c r="Z1331" i="1"/>
  <c r="R1331" i="1"/>
  <c r="P1331" i="1"/>
  <c r="K1331" i="1"/>
  <c r="J1331" i="1"/>
  <c r="E1331" i="1"/>
  <c r="D1331" i="1"/>
  <c r="AB1330" i="1"/>
  <c r="AA1330" i="1"/>
  <c r="Z1330" i="1"/>
  <c r="R1330" i="1"/>
  <c r="P1330" i="1"/>
  <c r="K1330" i="1"/>
  <c r="J1330" i="1"/>
  <c r="E1330" i="1"/>
  <c r="D1330" i="1"/>
  <c r="AB1329" i="1"/>
  <c r="AA1329" i="1"/>
  <c r="Z1329" i="1"/>
  <c r="R1329" i="1"/>
  <c r="P1329" i="1"/>
  <c r="K1329" i="1"/>
  <c r="J1329" i="1"/>
  <c r="E1329" i="1"/>
  <c r="D1329" i="1"/>
  <c r="AA1328" i="1"/>
  <c r="Z1328" i="1"/>
  <c r="R1328" i="1"/>
  <c r="P1328" i="1"/>
  <c r="K1328" i="1"/>
  <c r="J1328" i="1"/>
  <c r="E1328" i="1"/>
  <c r="D1328" i="1"/>
  <c r="AB1327" i="1"/>
  <c r="AA1327" i="1"/>
  <c r="Z1327" i="1"/>
  <c r="R1327" i="1"/>
  <c r="P1327" i="1"/>
  <c r="K1327" i="1"/>
  <c r="J1327" i="1"/>
  <c r="E1327" i="1"/>
  <c r="D1327" i="1"/>
  <c r="AB1326" i="1"/>
  <c r="AA1326" i="1"/>
  <c r="Z1326" i="1"/>
  <c r="R1326" i="1"/>
  <c r="P1326" i="1"/>
  <c r="K1326" i="1"/>
  <c r="J1326" i="1"/>
  <c r="E1326" i="1"/>
  <c r="D1326" i="1"/>
  <c r="AB1325" i="1"/>
  <c r="AA1325" i="1"/>
  <c r="Z1325" i="1"/>
  <c r="R1325" i="1"/>
  <c r="P1325" i="1"/>
  <c r="K1325" i="1"/>
  <c r="J1325" i="1"/>
  <c r="E1325" i="1"/>
  <c r="D1325" i="1"/>
  <c r="AA1324" i="1"/>
  <c r="Z1324" i="1"/>
  <c r="AB1324" i="1" s="1"/>
  <c r="R1324" i="1"/>
  <c r="P1324" i="1"/>
  <c r="K1324" i="1"/>
  <c r="J1324" i="1"/>
  <c r="E1324" i="1"/>
  <c r="D1324" i="1"/>
  <c r="AB1323" i="1"/>
  <c r="AA1323" i="1"/>
  <c r="Z1323" i="1"/>
  <c r="R1323" i="1"/>
  <c r="P1323" i="1"/>
  <c r="K1323" i="1"/>
  <c r="J1323" i="1"/>
  <c r="E1323" i="1"/>
  <c r="D1323" i="1"/>
  <c r="AA1322" i="1"/>
  <c r="AB1322" i="1" s="1"/>
  <c r="Z1322" i="1"/>
  <c r="R1322" i="1"/>
  <c r="P1322" i="1"/>
  <c r="K1322" i="1"/>
  <c r="J1322" i="1"/>
  <c r="E1322" i="1"/>
  <c r="D1322" i="1"/>
  <c r="AB1321" i="1"/>
  <c r="AA1321" i="1"/>
  <c r="Z1321" i="1"/>
  <c r="R1321" i="1"/>
  <c r="P1321" i="1"/>
  <c r="K1321" i="1"/>
  <c r="J1321" i="1"/>
  <c r="E1321" i="1"/>
  <c r="D1321" i="1"/>
  <c r="AA1320" i="1"/>
  <c r="Z1320" i="1"/>
  <c r="R1320" i="1"/>
  <c r="P1320" i="1"/>
  <c r="K1320" i="1"/>
  <c r="J1320" i="1"/>
  <c r="E1320" i="1"/>
  <c r="D1320" i="1"/>
  <c r="AB1319" i="1"/>
  <c r="AA1319" i="1"/>
  <c r="Z1319" i="1"/>
  <c r="R1319" i="1"/>
  <c r="P1319" i="1"/>
  <c r="K1319" i="1"/>
  <c r="J1319" i="1"/>
  <c r="E1319" i="1"/>
  <c r="D1319" i="1"/>
  <c r="AA1318" i="1"/>
  <c r="AB1318" i="1" s="1"/>
  <c r="Z1318" i="1"/>
  <c r="R1318" i="1"/>
  <c r="P1318" i="1"/>
  <c r="K1318" i="1"/>
  <c r="J1318" i="1"/>
  <c r="E1318" i="1"/>
  <c r="D1318" i="1"/>
  <c r="AB1317" i="1"/>
  <c r="AA1317" i="1"/>
  <c r="Z1317" i="1"/>
  <c r="R1317" i="1"/>
  <c r="P1317" i="1"/>
  <c r="K1317" i="1"/>
  <c r="J1317" i="1"/>
  <c r="E1317" i="1"/>
  <c r="D1317" i="1"/>
  <c r="AA1316" i="1"/>
  <c r="Z1316" i="1"/>
  <c r="R1316" i="1"/>
  <c r="P1316" i="1"/>
  <c r="K1316" i="1"/>
  <c r="J1316" i="1"/>
  <c r="E1316" i="1"/>
  <c r="D1316" i="1"/>
  <c r="AB1315" i="1"/>
  <c r="AA1315" i="1"/>
  <c r="Z1315" i="1"/>
  <c r="R1315" i="1"/>
  <c r="P1315" i="1"/>
  <c r="K1315" i="1"/>
  <c r="J1315" i="1"/>
  <c r="E1315" i="1"/>
  <c r="D1315" i="1"/>
  <c r="AA1314" i="1"/>
  <c r="AB1314" i="1" s="1"/>
  <c r="Z1314" i="1"/>
  <c r="R1314" i="1"/>
  <c r="P1314" i="1"/>
  <c r="K1314" i="1"/>
  <c r="J1314" i="1"/>
  <c r="E1314" i="1"/>
  <c r="D1314" i="1"/>
  <c r="AB1313" i="1"/>
  <c r="AA1313" i="1"/>
  <c r="Z1313" i="1"/>
  <c r="R1313" i="1"/>
  <c r="P1313" i="1"/>
  <c r="K1313" i="1"/>
  <c r="J1313" i="1"/>
  <c r="E1313" i="1"/>
  <c r="D1313" i="1"/>
  <c r="AA1312" i="1"/>
  <c r="Z1312" i="1"/>
  <c r="AB1312" i="1" s="1"/>
  <c r="R1312" i="1"/>
  <c r="P1312" i="1"/>
  <c r="K1312" i="1"/>
  <c r="J1312" i="1"/>
  <c r="E1312" i="1"/>
  <c r="D1312" i="1"/>
  <c r="AB1311" i="1"/>
  <c r="AA1311" i="1"/>
  <c r="Z1311" i="1"/>
  <c r="R1311" i="1"/>
  <c r="P1311" i="1"/>
  <c r="K1311" i="1"/>
  <c r="J1311" i="1"/>
  <c r="E1311" i="1"/>
  <c r="D1311" i="1"/>
  <c r="AA1310" i="1"/>
  <c r="AB1310" i="1" s="1"/>
  <c r="Z1310" i="1"/>
  <c r="R1310" i="1"/>
  <c r="P1310" i="1"/>
  <c r="K1310" i="1"/>
  <c r="J1310" i="1"/>
  <c r="E1310" i="1"/>
  <c r="D1310" i="1"/>
  <c r="AB1309" i="1"/>
  <c r="AA1309" i="1"/>
  <c r="Z1309" i="1"/>
  <c r="R1309" i="1"/>
  <c r="P1309" i="1"/>
  <c r="K1309" i="1"/>
  <c r="J1309" i="1"/>
  <c r="E1309" i="1"/>
  <c r="D1309" i="1"/>
  <c r="AA1308" i="1"/>
  <c r="Z1308" i="1"/>
  <c r="R1308" i="1"/>
  <c r="P1308" i="1"/>
  <c r="K1308" i="1"/>
  <c r="J1308" i="1"/>
  <c r="E1308" i="1"/>
  <c r="D1308" i="1"/>
  <c r="AB1307" i="1"/>
  <c r="AA1307" i="1"/>
  <c r="Z1307" i="1"/>
  <c r="R1307" i="1"/>
  <c r="P1307" i="1"/>
  <c r="K1307" i="1"/>
  <c r="J1307" i="1"/>
  <c r="E1307" i="1"/>
  <c r="D1307" i="1"/>
  <c r="AA1306" i="1"/>
  <c r="AB1306" i="1" s="1"/>
  <c r="Z1306" i="1"/>
  <c r="R1306" i="1"/>
  <c r="P1306" i="1"/>
  <c r="K1306" i="1"/>
  <c r="J1306" i="1"/>
  <c r="E1306" i="1"/>
  <c r="D1306" i="1"/>
  <c r="AB1305" i="1"/>
  <c r="AA1305" i="1"/>
  <c r="Z1305" i="1"/>
  <c r="R1305" i="1"/>
  <c r="P1305" i="1"/>
  <c r="K1305" i="1"/>
  <c r="J1305" i="1"/>
  <c r="E1305" i="1"/>
  <c r="D1305" i="1"/>
  <c r="AA1304" i="1"/>
  <c r="Z1304" i="1"/>
  <c r="R1304" i="1"/>
  <c r="P1304" i="1"/>
  <c r="K1304" i="1"/>
  <c r="J1304" i="1"/>
  <c r="E1304" i="1"/>
  <c r="D1304" i="1"/>
  <c r="AB1303" i="1"/>
  <c r="AA1303" i="1"/>
  <c r="Z1303" i="1"/>
  <c r="R1303" i="1"/>
  <c r="P1303" i="1"/>
  <c r="K1303" i="1"/>
  <c r="J1303" i="1"/>
  <c r="E1303" i="1"/>
  <c r="D1303" i="1"/>
  <c r="AA1302" i="1"/>
  <c r="AB1302" i="1" s="1"/>
  <c r="Z1302" i="1"/>
  <c r="R1302" i="1"/>
  <c r="P1302" i="1"/>
  <c r="K1302" i="1"/>
  <c r="J1302" i="1"/>
  <c r="E1302" i="1"/>
  <c r="D1302" i="1"/>
  <c r="AB1301" i="1"/>
  <c r="AA1301" i="1"/>
  <c r="Z1301" i="1"/>
  <c r="R1301" i="1"/>
  <c r="P1301" i="1"/>
  <c r="K1301" i="1"/>
  <c r="J1301" i="1"/>
  <c r="E1301" i="1"/>
  <c r="D1301" i="1"/>
  <c r="AA1300" i="1"/>
  <c r="Z1300" i="1"/>
  <c r="R1300" i="1"/>
  <c r="P1300" i="1"/>
  <c r="K1300" i="1"/>
  <c r="J1300" i="1"/>
  <c r="E1300" i="1"/>
  <c r="D1300" i="1"/>
  <c r="AB1299" i="1"/>
  <c r="AA1299" i="1"/>
  <c r="Z1299" i="1"/>
  <c r="R1299" i="1"/>
  <c r="P1299" i="1"/>
  <c r="K1299" i="1"/>
  <c r="J1299" i="1"/>
  <c r="E1299" i="1"/>
  <c r="D1299" i="1"/>
  <c r="AB1298" i="1"/>
  <c r="AA1298" i="1"/>
  <c r="Z1298" i="1"/>
  <c r="R1298" i="1"/>
  <c r="P1298" i="1"/>
  <c r="K1298" i="1"/>
  <c r="J1298" i="1"/>
  <c r="E1298" i="1"/>
  <c r="D1298" i="1"/>
  <c r="AB1297" i="1"/>
  <c r="AA1297" i="1"/>
  <c r="Z1297" i="1"/>
  <c r="R1297" i="1"/>
  <c r="P1297" i="1"/>
  <c r="K1297" i="1"/>
  <c r="J1297" i="1"/>
  <c r="E1297" i="1"/>
  <c r="D1297" i="1"/>
  <c r="AA1296" i="1"/>
  <c r="Z1296" i="1"/>
  <c r="AB1296" i="1" s="1"/>
  <c r="R1296" i="1"/>
  <c r="P1296" i="1"/>
  <c r="K1296" i="1"/>
  <c r="J1296" i="1"/>
  <c r="E1296" i="1"/>
  <c r="D1296" i="1"/>
  <c r="AB1295" i="1"/>
  <c r="AA1295" i="1"/>
  <c r="Z1295" i="1"/>
  <c r="R1295" i="1"/>
  <c r="P1295" i="1"/>
  <c r="K1295" i="1"/>
  <c r="J1295" i="1"/>
  <c r="E1295" i="1"/>
  <c r="D1295" i="1"/>
  <c r="AB1294" i="1"/>
  <c r="AA1294" i="1"/>
  <c r="Z1294" i="1"/>
  <c r="R1294" i="1"/>
  <c r="P1294" i="1"/>
  <c r="K1294" i="1"/>
  <c r="J1294" i="1"/>
  <c r="E1294" i="1"/>
  <c r="D1294" i="1"/>
  <c r="AB1293" i="1"/>
  <c r="AA1293" i="1"/>
  <c r="Z1293" i="1"/>
  <c r="R1293" i="1"/>
  <c r="P1293" i="1"/>
  <c r="K1293" i="1"/>
  <c r="J1293" i="1"/>
  <c r="E1293" i="1"/>
  <c r="D1293" i="1"/>
  <c r="AA1292" i="1"/>
  <c r="Z1292" i="1"/>
  <c r="AB1292" i="1" s="1"/>
  <c r="R1292" i="1"/>
  <c r="P1292" i="1"/>
  <c r="K1292" i="1"/>
  <c r="J1292" i="1"/>
  <c r="E1292" i="1"/>
  <c r="D1292" i="1"/>
  <c r="AB1291" i="1"/>
  <c r="AA1291" i="1"/>
  <c r="Z1291" i="1"/>
  <c r="R1291" i="1"/>
  <c r="P1291" i="1"/>
  <c r="K1291" i="1"/>
  <c r="J1291" i="1"/>
  <c r="E1291" i="1"/>
  <c r="D1291" i="1"/>
  <c r="AA1290" i="1"/>
  <c r="AB1290" i="1" s="1"/>
  <c r="Z1290" i="1"/>
  <c r="R1290" i="1"/>
  <c r="P1290" i="1"/>
  <c r="K1290" i="1"/>
  <c r="J1290" i="1"/>
  <c r="E1290" i="1"/>
  <c r="D1290" i="1"/>
  <c r="AB1289" i="1"/>
  <c r="AA1289" i="1"/>
  <c r="Z1289" i="1"/>
  <c r="R1289" i="1"/>
  <c r="P1289" i="1"/>
  <c r="K1289" i="1"/>
  <c r="J1289" i="1"/>
  <c r="E1289" i="1"/>
  <c r="D1289" i="1"/>
  <c r="AA1288" i="1"/>
  <c r="Z1288" i="1"/>
  <c r="AB1288" i="1" s="1"/>
  <c r="R1288" i="1"/>
  <c r="P1288" i="1"/>
  <c r="K1288" i="1"/>
  <c r="J1288" i="1"/>
  <c r="E1288" i="1"/>
  <c r="D1288" i="1"/>
  <c r="AB1287" i="1"/>
  <c r="AA1287" i="1"/>
  <c r="Z1287" i="1"/>
  <c r="R1287" i="1"/>
  <c r="P1287" i="1"/>
  <c r="K1287" i="1"/>
  <c r="J1287" i="1"/>
  <c r="E1287" i="1"/>
  <c r="D1287" i="1"/>
  <c r="AA1286" i="1"/>
  <c r="AB1286" i="1" s="1"/>
  <c r="Z1286" i="1"/>
  <c r="R1286" i="1"/>
  <c r="P1286" i="1"/>
  <c r="K1286" i="1"/>
  <c r="J1286" i="1"/>
  <c r="E1286" i="1"/>
  <c r="D1286" i="1"/>
  <c r="AB1285" i="1"/>
  <c r="AA1285" i="1"/>
  <c r="Z1285" i="1"/>
  <c r="R1285" i="1"/>
  <c r="P1285" i="1"/>
  <c r="L1285" i="1"/>
  <c r="K1285" i="1"/>
  <c r="J1285" i="1"/>
  <c r="E1285" i="1"/>
  <c r="D1285" i="1"/>
  <c r="AA1284" i="1"/>
  <c r="Z1284" i="1"/>
  <c r="AB1284" i="1" s="1"/>
  <c r="R1284" i="1"/>
  <c r="P1284" i="1"/>
  <c r="L1284" i="1"/>
  <c r="K1284" i="1"/>
  <c r="J1284" i="1"/>
  <c r="E1284" i="1"/>
  <c r="D1284" i="1"/>
  <c r="AA1283" i="1"/>
  <c r="Z1283" i="1"/>
  <c r="AB1283" i="1" s="1"/>
  <c r="R1283" i="1"/>
  <c r="P1283" i="1"/>
  <c r="L1283" i="1"/>
  <c r="K1283" i="1"/>
  <c r="J1283" i="1"/>
  <c r="E1283" i="1"/>
  <c r="D1283" i="1"/>
  <c r="AB1282" i="1"/>
  <c r="AA1282" i="1"/>
  <c r="Z1282" i="1"/>
  <c r="R1282" i="1"/>
  <c r="P1282" i="1"/>
  <c r="K1282" i="1"/>
  <c r="J1282" i="1"/>
  <c r="E1282" i="1"/>
  <c r="D1282" i="1"/>
  <c r="AB1281" i="1"/>
  <c r="AA1281" i="1"/>
  <c r="Z1281" i="1"/>
  <c r="R1281" i="1"/>
  <c r="P1281" i="1"/>
  <c r="K1281" i="1"/>
  <c r="J1281" i="1"/>
  <c r="E1281" i="1"/>
  <c r="D1281" i="1"/>
  <c r="AB1280" i="1"/>
  <c r="AA1280" i="1"/>
  <c r="Z1280" i="1"/>
  <c r="R1280" i="1"/>
  <c r="P1280" i="1"/>
  <c r="K1280" i="1"/>
  <c r="J1280" i="1"/>
  <c r="E1280" i="1"/>
  <c r="D1280" i="1"/>
  <c r="AA1279" i="1"/>
  <c r="Z1279" i="1"/>
  <c r="AB1279" i="1" s="1"/>
  <c r="R1279" i="1"/>
  <c r="P1279" i="1"/>
  <c r="K1279" i="1"/>
  <c r="J1279" i="1"/>
  <c r="E1279" i="1"/>
  <c r="D1279" i="1"/>
  <c r="AB1278" i="1"/>
  <c r="AA1278" i="1"/>
  <c r="Z1278" i="1"/>
  <c r="R1278" i="1"/>
  <c r="P1278" i="1"/>
  <c r="K1278" i="1"/>
  <c r="J1278" i="1"/>
  <c r="E1278" i="1"/>
  <c r="D1278" i="1"/>
  <c r="AB1277" i="1"/>
  <c r="AA1277" i="1"/>
  <c r="Z1277" i="1"/>
  <c r="R1277" i="1"/>
  <c r="P1277" i="1"/>
  <c r="K1277" i="1"/>
  <c r="J1277" i="1"/>
  <c r="E1277" i="1"/>
  <c r="D1277" i="1"/>
  <c r="AB1276" i="1"/>
  <c r="AA1276" i="1"/>
  <c r="Z1276" i="1"/>
  <c r="R1276" i="1"/>
  <c r="P1276" i="1"/>
  <c r="K1276" i="1"/>
  <c r="J1276" i="1"/>
  <c r="E1276" i="1"/>
  <c r="D1276" i="1"/>
  <c r="AA1275" i="1"/>
  <c r="Z1275" i="1"/>
  <c r="AB1275" i="1" s="1"/>
  <c r="R1275" i="1"/>
  <c r="P1275" i="1"/>
  <c r="K1275" i="1"/>
  <c r="J1275" i="1"/>
  <c r="E1275" i="1"/>
  <c r="D1275" i="1"/>
  <c r="AB1274" i="1"/>
  <c r="AA1274" i="1"/>
  <c r="Z1274" i="1"/>
  <c r="R1274" i="1"/>
  <c r="P1274" i="1"/>
  <c r="K1274" i="1"/>
  <c r="J1274" i="1"/>
  <c r="E1274" i="1"/>
  <c r="D1274" i="1"/>
  <c r="AA1273" i="1"/>
  <c r="AB1273" i="1" s="1"/>
  <c r="Z1273" i="1"/>
  <c r="R1273" i="1"/>
  <c r="P1273" i="1"/>
  <c r="K1273" i="1"/>
  <c r="J1273" i="1"/>
  <c r="E1273" i="1"/>
  <c r="D1273" i="1"/>
  <c r="AB1272" i="1"/>
  <c r="AA1272" i="1"/>
  <c r="Z1272" i="1"/>
  <c r="R1272" i="1"/>
  <c r="P1272" i="1"/>
  <c r="K1272" i="1"/>
  <c r="J1272" i="1"/>
  <c r="E1272" i="1"/>
  <c r="D1272" i="1"/>
  <c r="AA1271" i="1"/>
  <c r="Z1271" i="1"/>
  <c r="R1271" i="1"/>
  <c r="P1271" i="1"/>
  <c r="K1271" i="1"/>
  <c r="J1271" i="1"/>
  <c r="E1271" i="1"/>
  <c r="D1271" i="1"/>
  <c r="AB1270" i="1"/>
  <c r="AA1270" i="1"/>
  <c r="Z1270" i="1"/>
  <c r="R1270" i="1"/>
  <c r="P1270" i="1"/>
  <c r="K1270" i="1"/>
  <c r="J1270" i="1"/>
  <c r="E1270" i="1"/>
  <c r="D1270" i="1"/>
  <c r="AA1269" i="1"/>
  <c r="AB1269" i="1" s="1"/>
  <c r="Z1269" i="1"/>
  <c r="R1269" i="1"/>
  <c r="P1269" i="1"/>
  <c r="K1269" i="1"/>
  <c r="J1269" i="1"/>
  <c r="E1269" i="1"/>
  <c r="D1269" i="1"/>
  <c r="AB1268" i="1"/>
  <c r="AA1268" i="1"/>
  <c r="Z1268" i="1"/>
  <c r="R1268" i="1"/>
  <c r="P1268" i="1"/>
  <c r="K1268" i="1"/>
  <c r="J1268" i="1"/>
  <c r="E1268" i="1"/>
  <c r="D1268" i="1"/>
  <c r="AA1267" i="1"/>
  <c r="Z1267" i="1"/>
  <c r="R1267" i="1"/>
  <c r="P1267" i="1"/>
  <c r="K1267" i="1"/>
  <c r="J1267" i="1"/>
  <c r="E1267" i="1"/>
  <c r="D1267" i="1"/>
  <c r="AB1266" i="1"/>
  <c r="AA1266" i="1"/>
  <c r="Z1266" i="1"/>
  <c r="R1266" i="1"/>
  <c r="P1266" i="1"/>
  <c r="K1266" i="1"/>
  <c r="J1266" i="1"/>
  <c r="E1266" i="1"/>
  <c r="D1266" i="1"/>
  <c r="AA1265" i="1"/>
  <c r="AB1265" i="1" s="1"/>
  <c r="Z1265" i="1"/>
  <c r="R1265" i="1"/>
  <c r="P1265" i="1"/>
  <c r="K1265" i="1"/>
  <c r="J1265" i="1"/>
  <c r="E1265" i="1"/>
  <c r="D1265" i="1"/>
  <c r="AB1264" i="1"/>
  <c r="AA1264" i="1"/>
  <c r="Z1264" i="1"/>
  <c r="R1264" i="1"/>
  <c r="P1264" i="1"/>
  <c r="K1264" i="1"/>
  <c r="J1264" i="1"/>
  <c r="E1264" i="1"/>
  <c r="D1264" i="1"/>
  <c r="AA1263" i="1"/>
  <c r="Z1263" i="1"/>
  <c r="AB1263" i="1" s="1"/>
  <c r="R1263" i="1"/>
  <c r="P1263" i="1"/>
  <c r="K1263" i="1"/>
  <c r="J1263" i="1"/>
  <c r="E1263" i="1"/>
  <c r="D1263" i="1"/>
  <c r="AB1262" i="1"/>
  <c r="AA1262" i="1"/>
  <c r="Z1262" i="1"/>
  <c r="R1262" i="1"/>
  <c r="P1262" i="1"/>
  <c r="K1262" i="1"/>
  <c r="J1262" i="1"/>
  <c r="E1262" i="1"/>
  <c r="D1262" i="1"/>
  <c r="AA1261" i="1"/>
  <c r="AB1261" i="1" s="1"/>
  <c r="Z1261" i="1"/>
  <c r="R1261" i="1"/>
  <c r="P1261" i="1"/>
  <c r="K1261" i="1"/>
  <c r="J1261" i="1"/>
  <c r="E1261" i="1"/>
  <c r="D1261" i="1"/>
  <c r="AB1260" i="1"/>
  <c r="AA1260" i="1"/>
  <c r="Z1260" i="1"/>
  <c r="R1260" i="1"/>
  <c r="P1260" i="1"/>
  <c r="K1260" i="1"/>
  <c r="J1260" i="1"/>
  <c r="E1260" i="1"/>
  <c r="D1260" i="1"/>
  <c r="AA1259" i="1"/>
  <c r="Z1259" i="1"/>
  <c r="AB1259" i="1" s="1"/>
  <c r="R1259" i="1"/>
  <c r="P1259" i="1"/>
  <c r="K1259" i="1"/>
  <c r="J1259" i="1"/>
  <c r="E1259" i="1"/>
  <c r="D1259" i="1"/>
  <c r="AB1258" i="1"/>
  <c r="AA1258" i="1"/>
  <c r="Z1258" i="1"/>
  <c r="R1258" i="1"/>
  <c r="P1258" i="1"/>
  <c r="K1258" i="1"/>
  <c r="J1258" i="1"/>
  <c r="E1258" i="1"/>
  <c r="D1258" i="1"/>
  <c r="AB1257" i="1"/>
  <c r="AA1257" i="1"/>
  <c r="Z1257" i="1"/>
  <c r="R1257" i="1"/>
  <c r="P1257" i="1"/>
  <c r="K1257" i="1"/>
  <c r="J1257" i="1"/>
  <c r="E1257" i="1"/>
  <c r="D1257" i="1"/>
  <c r="AB1256" i="1"/>
  <c r="AA1256" i="1"/>
  <c r="Z1256" i="1"/>
  <c r="R1256" i="1"/>
  <c r="P1256" i="1"/>
  <c r="K1256" i="1"/>
  <c r="J1256" i="1"/>
  <c r="E1256" i="1"/>
  <c r="D1256" i="1"/>
  <c r="AA1255" i="1"/>
  <c r="Z1255" i="1"/>
  <c r="R1255" i="1"/>
  <c r="P1255" i="1"/>
  <c r="K1255" i="1"/>
  <c r="J1255" i="1"/>
  <c r="E1255" i="1"/>
  <c r="D1255" i="1"/>
  <c r="AB1254" i="1"/>
  <c r="AA1254" i="1"/>
  <c r="Z1254" i="1"/>
  <c r="R1254" i="1"/>
  <c r="P1254" i="1"/>
  <c r="K1254" i="1"/>
  <c r="J1254" i="1"/>
  <c r="E1254" i="1"/>
  <c r="D1254" i="1"/>
  <c r="AA1253" i="1"/>
  <c r="AB1253" i="1" s="1"/>
  <c r="Z1253" i="1"/>
  <c r="R1253" i="1"/>
  <c r="P1253" i="1"/>
  <c r="K1253" i="1"/>
  <c r="J1253" i="1"/>
  <c r="E1253" i="1"/>
  <c r="D1253" i="1"/>
  <c r="AB1252" i="1"/>
  <c r="AA1252" i="1"/>
  <c r="Z1252" i="1"/>
  <c r="R1252" i="1"/>
  <c r="P1252" i="1"/>
  <c r="K1252" i="1"/>
  <c r="J1252" i="1"/>
  <c r="E1252" i="1"/>
  <c r="D1252" i="1"/>
  <c r="AA1251" i="1"/>
  <c r="Z1251" i="1"/>
  <c r="R1251" i="1"/>
  <c r="P1251" i="1"/>
  <c r="K1251" i="1"/>
  <c r="J1251" i="1"/>
  <c r="E1251" i="1"/>
  <c r="D1251" i="1"/>
  <c r="AB1250" i="1"/>
  <c r="AA1250" i="1"/>
  <c r="Z1250" i="1"/>
  <c r="R1250" i="1"/>
  <c r="P1250" i="1"/>
  <c r="K1250" i="1"/>
  <c r="J1250" i="1"/>
  <c r="E1250" i="1"/>
  <c r="D1250" i="1"/>
  <c r="AB1249" i="1"/>
  <c r="AA1249" i="1"/>
  <c r="Z1249" i="1"/>
  <c r="R1249" i="1"/>
  <c r="P1249" i="1"/>
  <c r="K1249" i="1"/>
  <c r="J1249" i="1"/>
  <c r="E1249" i="1"/>
  <c r="D1249" i="1"/>
  <c r="AB1248" i="1"/>
  <c r="AA1248" i="1"/>
  <c r="Z1248" i="1"/>
  <c r="R1248" i="1"/>
  <c r="P1248" i="1"/>
  <c r="K1248" i="1"/>
  <c r="J1248" i="1"/>
  <c r="E1248" i="1"/>
  <c r="D1248" i="1"/>
  <c r="AA1247" i="1"/>
  <c r="Z1247" i="1"/>
  <c r="AB1247" i="1" s="1"/>
  <c r="R1247" i="1"/>
  <c r="P1247" i="1"/>
  <c r="K1247" i="1"/>
  <c r="J1247" i="1"/>
  <c r="E1247" i="1"/>
  <c r="D1247" i="1"/>
  <c r="AB1246" i="1"/>
  <c r="AA1246" i="1"/>
  <c r="Z1246" i="1"/>
  <c r="R1246" i="1"/>
  <c r="P1246" i="1"/>
  <c r="K1246" i="1"/>
  <c r="J1246" i="1"/>
  <c r="E1246" i="1"/>
  <c r="D1246" i="1"/>
  <c r="AB1245" i="1"/>
  <c r="AA1245" i="1"/>
  <c r="Z1245" i="1"/>
  <c r="R1245" i="1"/>
  <c r="P1245" i="1"/>
  <c r="K1245" i="1"/>
  <c r="J1245" i="1"/>
  <c r="E1245" i="1"/>
  <c r="D1245" i="1"/>
  <c r="AB1244" i="1"/>
  <c r="AA1244" i="1"/>
  <c r="Z1244" i="1"/>
  <c r="R1244" i="1"/>
  <c r="P1244" i="1"/>
  <c r="K1244" i="1"/>
  <c r="J1244" i="1"/>
  <c r="E1244" i="1"/>
  <c r="D1244" i="1"/>
  <c r="AA1243" i="1"/>
  <c r="Z1243" i="1"/>
  <c r="AB1243" i="1" s="1"/>
  <c r="R1243" i="1"/>
  <c r="P1243" i="1"/>
  <c r="K1243" i="1"/>
  <c r="J1243" i="1"/>
  <c r="E1243" i="1"/>
  <c r="D1243" i="1"/>
  <c r="AB1242" i="1"/>
  <c r="AA1242" i="1"/>
  <c r="Z1242" i="1"/>
  <c r="R1242" i="1"/>
  <c r="P1242" i="1"/>
  <c r="K1242" i="1"/>
  <c r="J1242" i="1"/>
  <c r="E1242" i="1"/>
  <c r="D1242" i="1"/>
  <c r="AA1241" i="1"/>
  <c r="AB1241" i="1" s="1"/>
  <c r="Z1241" i="1"/>
  <c r="R1241" i="1"/>
  <c r="P1241" i="1"/>
  <c r="K1241" i="1"/>
  <c r="J1241" i="1"/>
  <c r="E1241" i="1"/>
  <c r="D1241" i="1"/>
  <c r="AB1240" i="1"/>
  <c r="AA1240" i="1"/>
  <c r="Z1240" i="1"/>
  <c r="R1240" i="1"/>
  <c r="P1240" i="1"/>
  <c r="K1240" i="1"/>
  <c r="J1240" i="1"/>
  <c r="E1240" i="1"/>
  <c r="D1240" i="1"/>
  <c r="AA1239" i="1"/>
  <c r="Z1239" i="1"/>
  <c r="AB1239" i="1" s="1"/>
  <c r="R1239" i="1"/>
  <c r="P1239" i="1"/>
  <c r="K1239" i="1"/>
  <c r="J1239" i="1"/>
  <c r="E1239" i="1"/>
  <c r="D1239" i="1"/>
  <c r="AB1238" i="1"/>
  <c r="AA1238" i="1"/>
  <c r="Z1238" i="1"/>
  <c r="R1238" i="1"/>
  <c r="P1238" i="1"/>
  <c r="K1238" i="1"/>
  <c r="J1238" i="1"/>
  <c r="E1238" i="1"/>
  <c r="D1238" i="1"/>
  <c r="AA1237" i="1"/>
  <c r="AB1237" i="1" s="1"/>
  <c r="Z1237" i="1"/>
  <c r="R1237" i="1"/>
  <c r="P1237" i="1"/>
  <c r="K1237" i="1"/>
  <c r="J1237" i="1"/>
  <c r="E1237" i="1"/>
  <c r="D1237" i="1"/>
  <c r="AB1236" i="1"/>
  <c r="AA1236" i="1"/>
  <c r="Z1236" i="1"/>
  <c r="R1236" i="1"/>
  <c r="P1236" i="1"/>
  <c r="K1236" i="1"/>
  <c r="J1236" i="1"/>
  <c r="E1236" i="1"/>
  <c r="D1236" i="1"/>
  <c r="AA1235" i="1"/>
  <c r="Z1235" i="1"/>
  <c r="AB1235" i="1" s="1"/>
  <c r="R1235" i="1"/>
  <c r="P1235" i="1"/>
  <c r="K1235" i="1"/>
  <c r="J1235" i="1"/>
  <c r="E1235" i="1"/>
  <c r="D1235" i="1"/>
  <c r="AB1234" i="1"/>
  <c r="AA1234" i="1"/>
  <c r="Z1234" i="1"/>
  <c r="R1234" i="1"/>
  <c r="P1234" i="1"/>
  <c r="K1234" i="1"/>
  <c r="J1234" i="1"/>
  <c r="E1234" i="1"/>
  <c r="D1234" i="1"/>
  <c r="AB1233" i="1"/>
  <c r="AA1233" i="1"/>
  <c r="Z1233" i="1"/>
  <c r="R1233" i="1"/>
  <c r="P1233" i="1"/>
  <c r="K1233" i="1"/>
  <c r="J1233" i="1"/>
  <c r="E1233" i="1"/>
  <c r="D1233" i="1"/>
  <c r="AB1232" i="1"/>
  <c r="AA1232" i="1"/>
  <c r="Z1232" i="1"/>
  <c r="R1232" i="1"/>
  <c r="P1232" i="1"/>
  <c r="K1232" i="1"/>
  <c r="J1232" i="1"/>
  <c r="E1232" i="1"/>
  <c r="D1232" i="1"/>
  <c r="AA1231" i="1"/>
  <c r="Z1231" i="1"/>
  <c r="R1231" i="1"/>
  <c r="P1231" i="1"/>
  <c r="K1231" i="1"/>
  <c r="J1231" i="1"/>
  <c r="E1231" i="1"/>
  <c r="D1231" i="1"/>
  <c r="AB1230" i="1"/>
  <c r="AA1230" i="1"/>
  <c r="Z1230" i="1"/>
  <c r="R1230" i="1"/>
  <c r="P1230" i="1"/>
  <c r="K1230" i="1"/>
  <c r="J1230" i="1"/>
  <c r="E1230" i="1"/>
  <c r="D1230" i="1"/>
  <c r="AB1229" i="1"/>
  <c r="AA1229" i="1"/>
  <c r="Z1229" i="1"/>
  <c r="R1229" i="1"/>
  <c r="P1229" i="1"/>
  <c r="K1229" i="1"/>
  <c r="J1229" i="1"/>
  <c r="E1229" i="1"/>
  <c r="D1229" i="1"/>
  <c r="AB1228" i="1"/>
  <c r="AA1228" i="1"/>
  <c r="Z1228" i="1"/>
  <c r="R1228" i="1"/>
  <c r="P1228" i="1"/>
  <c r="K1228" i="1"/>
  <c r="J1228" i="1"/>
  <c r="E1228" i="1"/>
  <c r="D1228" i="1"/>
  <c r="AA1227" i="1"/>
  <c r="Z1227" i="1"/>
  <c r="AB1227" i="1" s="1"/>
  <c r="R1227" i="1"/>
  <c r="P1227" i="1"/>
  <c r="K1227" i="1"/>
  <c r="J1227" i="1"/>
  <c r="E1227" i="1"/>
  <c r="D1227" i="1"/>
  <c r="AB1226" i="1"/>
  <c r="AA1226" i="1"/>
  <c r="Z1226" i="1"/>
  <c r="R1226" i="1"/>
  <c r="P1226" i="1"/>
  <c r="K1226" i="1"/>
  <c r="J1226" i="1"/>
  <c r="E1226" i="1"/>
  <c r="D1226" i="1"/>
  <c r="AA1225" i="1"/>
  <c r="AB1225" i="1" s="1"/>
  <c r="Z1225" i="1"/>
  <c r="R1225" i="1"/>
  <c r="P1225" i="1"/>
  <c r="K1225" i="1"/>
  <c r="J1225" i="1"/>
  <c r="E1225" i="1"/>
  <c r="D1225" i="1"/>
  <c r="AB1224" i="1"/>
  <c r="AA1224" i="1"/>
  <c r="Z1224" i="1"/>
  <c r="R1224" i="1"/>
  <c r="P1224" i="1"/>
  <c r="K1224" i="1"/>
  <c r="J1224" i="1"/>
  <c r="E1224" i="1"/>
  <c r="D1224" i="1"/>
  <c r="AA1223" i="1"/>
  <c r="Z1223" i="1"/>
  <c r="R1223" i="1"/>
  <c r="P1223" i="1"/>
  <c r="K1223" i="1"/>
  <c r="J1223" i="1"/>
  <c r="E1223" i="1"/>
  <c r="D1223" i="1"/>
  <c r="AB1222" i="1"/>
  <c r="AA1222" i="1"/>
  <c r="Z1222" i="1"/>
  <c r="R1222" i="1"/>
  <c r="P1222" i="1"/>
  <c r="K1222" i="1"/>
  <c r="J1222" i="1"/>
  <c r="E1222" i="1"/>
  <c r="D1222" i="1"/>
  <c r="AA1221" i="1"/>
  <c r="Z1221" i="1"/>
  <c r="AB1221" i="1" s="1"/>
  <c r="R1221" i="1"/>
  <c r="P1221" i="1"/>
  <c r="K1221" i="1"/>
  <c r="J1221" i="1"/>
  <c r="E1221" i="1"/>
  <c r="D1221" i="1"/>
  <c r="AB1220" i="1"/>
  <c r="AA1220" i="1"/>
  <c r="Z1220" i="1"/>
  <c r="R1220" i="1"/>
  <c r="P1220" i="1"/>
  <c r="K1220" i="1"/>
  <c r="J1220" i="1"/>
  <c r="E1220" i="1"/>
  <c r="D1220" i="1"/>
  <c r="AA1219" i="1"/>
  <c r="Z1219" i="1"/>
  <c r="R1219" i="1"/>
  <c r="P1219" i="1"/>
  <c r="K1219" i="1"/>
  <c r="J1219" i="1"/>
  <c r="E1219" i="1"/>
  <c r="D1219" i="1"/>
  <c r="AB1218" i="1"/>
  <c r="AA1218" i="1"/>
  <c r="Z1218" i="1"/>
  <c r="R1218" i="1"/>
  <c r="P1218" i="1"/>
  <c r="K1218" i="1"/>
  <c r="J1218" i="1"/>
  <c r="E1218" i="1"/>
  <c r="D1218" i="1"/>
  <c r="AA1217" i="1"/>
  <c r="Z1217" i="1"/>
  <c r="AB1217" i="1" s="1"/>
  <c r="R1217" i="1"/>
  <c r="P1217" i="1"/>
  <c r="K1217" i="1"/>
  <c r="J1217" i="1"/>
  <c r="E1217" i="1"/>
  <c r="D1217" i="1"/>
  <c r="AB1216" i="1"/>
  <c r="AA1216" i="1"/>
  <c r="Z1216" i="1"/>
  <c r="R1216" i="1"/>
  <c r="P1216" i="1"/>
  <c r="K1216" i="1"/>
  <c r="J1216" i="1"/>
  <c r="E1216" i="1"/>
  <c r="D1216" i="1"/>
  <c r="AA1215" i="1"/>
  <c r="Z1215" i="1"/>
  <c r="AB1215" i="1" s="1"/>
  <c r="R1215" i="1"/>
  <c r="P1215" i="1"/>
  <c r="K1215" i="1"/>
  <c r="J1215" i="1"/>
  <c r="E1215" i="1"/>
  <c r="D1215" i="1"/>
  <c r="AB1214" i="1"/>
  <c r="AA1214" i="1"/>
  <c r="Z1214" i="1"/>
  <c r="R1214" i="1"/>
  <c r="P1214" i="1"/>
  <c r="K1214" i="1"/>
  <c r="J1214" i="1"/>
  <c r="E1214" i="1"/>
  <c r="D1214" i="1"/>
  <c r="AA1213" i="1"/>
  <c r="Z1213" i="1"/>
  <c r="AB1213" i="1" s="1"/>
  <c r="R1213" i="1"/>
  <c r="P1213" i="1"/>
  <c r="K1213" i="1"/>
  <c r="J1213" i="1"/>
  <c r="E1213" i="1"/>
  <c r="D1213" i="1"/>
  <c r="AB1212" i="1"/>
  <c r="AA1212" i="1"/>
  <c r="Z1212" i="1"/>
  <c r="R1212" i="1"/>
  <c r="P1212" i="1"/>
  <c r="K1212" i="1"/>
  <c r="J1212" i="1"/>
  <c r="E1212" i="1"/>
  <c r="D1212" i="1"/>
  <c r="AA1211" i="1"/>
  <c r="Z1211" i="1"/>
  <c r="AB1211" i="1" s="1"/>
  <c r="R1211" i="1"/>
  <c r="P1211" i="1"/>
  <c r="K1211" i="1"/>
  <c r="J1211" i="1"/>
  <c r="E1211" i="1"/>
  <c r="D1211" i="1"/>
  <c r="AB1210" i="1"/>
  <c r="AA1210" i="1"/>
  <c r="Z1210" i="1"/>
  <c r="R1210" i="1"/>
  <c r="P1210" i="1"/>
  <c r="K1210" i="1"/>
  <c r="J1210" i="1"/>
  <c r="E1210" i="1"/>
  <c r="D1210" i="1"/>
  <c r="AB1209" i="1"/>
  <c r="AA1209" i="1"/>
  <c r="Z1209" i="1"/>
  <c r="R1209" i="1"/>
  <c r="P1209" i="1"/>
  <c r="K1209" i="1"/>
  <c r="J1209" i="1"/>
  <c r="E1209" i="1"/>
  <c r="D1209" i="1"/>
  <c r="AB1208" i="1"/>
  <c r="AA1208" i="1"/>
  <c r="Z1208" i="1"/>
  <c r="R1208" i="1"/>
  <c r="P1208" i="1"/>
  <c r="K1208" i="1"/>
  <c r="J1208" i="1"/>
  <c r="E1208" i="1"/>
  <c r="D1208" i="1"/>
  <c r="AA1207" i="1"/>
  <c r="Z1207" i="1"/>
  <c r="R1207" i="1"/>
  <c r="P1207" i="1"/>
  <c r="K1207" i="1"/>
  <c r="J1207" i="1"/>
  <c r="E1207" i="1"/>
  <c r="D1207" i="1"/>
  <c r="AB1206" i="1"/>
  <c r="AA1206" i="1"/>
  <c r="Z1206" i="1"/>
  <c r="R1206" i="1"/>
  <c r="P1206" i="1"/>
  <c r="K1206" i="1"/>
  <c r="J1206" i="1"/>
  <c r="E1206" i="1"/>
  <c r="D1206" i="1"/>
  <c r="AB1205" i="1"/>
  <c r="AA1205" i="1"/>
  <c r="Z1205" i="1"/>
  <c r="R1205" i="1"/>
  <c r="P1205" i="1"/>
  <c r="K1205" i="1"/>
  <c r="J1205" i="1"/>
  <c r="E1205" i="1"/>
  <c r="D1205" i="1"/>
  <c r="AA1204" i="1"/>
  <c r="Z1204" i="1"/>
  <c r="AB1204" i="1" s="1"/>
  <c r="R1204" i="1"/>
  <c r="P1204" i="1"/>
  <c r="K1204" i="1"/>
  <c r="J1204" i="1"/>
  <c r="E1204" i="1"/>
  <c r="D1204" i="1"/>
  <c r="AA1203" i="1"/>
  <c r="Z1203" i="1"/>
  <c r="R1203" i="1"/>
  <c r="P1203" i="1"/>
  <c r="K1203" i="1"/>
  <c r="J1203" i="1"/>
  <c r="E1203" i="1"/>
  <c r="D1203" i="1"/>
  <c r="AB1202" i="1"/>
  <c r="AA1202" i="1"/>
  <c r="Z1202" i="1"/>
  <c r="R1202" i="1"/>
  <c r="P1202" i="1"/>
  <c r="K1202" i="1"/>
  <c r="J1202" i="1"/>
  <c r="E1202" i="1"/>
  <c r="D1202" i="1"/>
  <c r="AB1201" i="1"/>
  <c r="AA1201" i="1"/>
  <c r="Z1201" i="1"/>
  <c r="R1201" i="1"/>
  <c r="P1201" i="1"/>
  <c r="K1201" i="1"/>
  <c r="J1201" i="1"/>
  <c r="E1201" i="1"/>
  <c r="D1201" i="1"/>
  <c r="AA1200" i="1"/>
  <c r="Z1200" i="1"/>
  <c r="AB1200" i="1" s="1"/>
  <c r="R1200" i="1"/>
  <c r="P1200" i="1"/>
  <c r="K1200" i="1"/>
  <c r="J1200" i="1"/>
  <c r="E1200" i="1"/>
  <c r="D1200" i="1"/>
  <c r="AA1199" i="1"/>
  <c r="Z1199" i="1"/>
  <c r="AB1199" i="1" s="1"/>
  <c r="R1199" i="1"/>
  <c r="P1199" i="1"/>
  <c r="K1199" i="1"/>
  <c r="J1199" i="1"/>
  <c r="E1199" i="1"/>
  <c r="D1199" i="1"/>
  <c r="AB1198" i="1"/>
  <c r="AA1198" i="1"/>
  <c r="Z1198" i="1"/>
  <c r="R1198" i="1"/>
  <c r="P1198" i="1"/>
  <c r="K1198" i="1"/>
  <c r="J1198" i="1"/>
  <c r="E1198" i="1"/>
  <c r="D1198" i="1"/>
  <c r="AB1197" i="1"/>
  <c r="AA1197" i="1"/>
  <c r="Z1197" i="1"/>
  <c r="R1197" i="1"/>
  <c r="P1197" i="1"/>
  <c r="K1197" i="1"/>
  <c r="J1197" i="1"/>
  <c r="E1197" i="1"/>
  <c r="D1197" i="1"/>
  <c r="AB1196" i="1"/>
  <c r="AA1196" i="1"/>
  <c r="Z1196" i="1"/>
  <c r="R1196" i="1"/>
  <c r="P1196" i="1"/>
  <c r="K1196" i="1"/>
  <c r="J1196" i="1"/>
  <c r="E1196" i="1"/>
  <c r="D1196" i="1"/>
  <c r="AA1195" i="1"/>
  <c r="Z1195" i="1"/>
  <c r="AB1195" i="1" s="1"/>
  <c r="R1195" i="1"/>
  <c r="P1195" i="1"/>
  <c r="K1195" i="1"/>
  <c r="J1195" i="1"/>
  <c r="E1195" i="1"/>
  <c r="D1195" i="1"/>
  <c r="AB1194" i="1"/>
  <c r="AA1194" i="1"/>
  <c r="Z1194" i="1"/>
  <c r="R1194" i="1"/>
  <c r="P1194" i="1"/>
  <c r="K1194" i="1"/>
  <c r="J1194" i="1"/>
  <c r="E1194" i="1"/>
  <c r="D1194" i="1"/>
  <c r="AA1193" i="1"/>
  <c r="Z1193" i="1"/>
  <c r="AB1193" i="1" s="1"/>
  <c r="R1193" i="1"/>
  <c r="P1193" i="1"/>
  <c r="K1193" i="1"/>
  <c r="J1193" i="1"/>
  <c r="E1193" i="1"/>
  <c r="D1193" i="1"/>
  <c r="AB1192" i="1"/>
  <c r="AA1192" i="1"/>
  <c r="Z1192" i="1"/>
  <c r="R1192" i="1"/>
  <c r="P1192" i="1"/>
  <c r="K1192" i="1"/>
  <c r="J1192" i="1"/>
  <c r="E1192" i="1"/>
  <c r="D1192" i="1"/>
  <c r="AA1191" i="1"/>
  <c r="Z1191" i="1"/>
  <c r="AB1191" i="1" s="1"/>
  <c r="R1191" i="1"/>
  <c r="P1191" i="1"/>
  <c r="K1191" i="1"/>
  <c r="J1191" i="1"/>
  <c r="E1191" i="1"/>
  <c r="D1191" i="1"/>
  <c r="AB1190" i="1"/>
  <c r="AA1190" i="1"/>
  <c r="Z1190" i="1"/>
  <c r="R1190" i="1"/>
  <c r="P1190" i="1"/>
  <c r="K1190" i="1"/>
  <c r="J1190" i="1"/>
  <c r="E1190" i="1"/>
  <c r="D1190" i="1"/>
  <c r="AA1189" i="1"/>
  <c r="Z1189" i="1"/>
  <c r="AB1189" i="1" s="1"/>
  <c r="R1189" i="1"/>
  <c r="P1189" i="1"/>
  <c r="K1189" i="1"/>
  <c r="J1189" i="1"/>
  <c r="E1189" i="1"/>
  <c r="D1189" i="1"/>
  <c r="AB1188" i="1"/>
  <c r="AA1188" i="1"/>
  <c r="Z1188" i="1"/>
  <c r="R1188" i="1"/>
  <c r="P1188" i="1"/>
  <c r="K1188" i="1"/>
  <c r="J1188" i="1"/>
  <c r="E1188" i="1"/>
  <c r="D1188" i="1"/>
  <c r="AA1187" i="1"/>
  <c r="Z1187" i="1"/>
  <c r="R1187" i="1"/>
  <c r="P1187" i="1"/>
  <c r="K1187" i="1"/>
  <c r="J1187" i="1"/>
  <c r="E1187" i="1"/>
  <c r="D1187" i="1"/>
  <c r="AB1186" i="1"/>
  <c r="AA1186" i="1"/>
  <c r="Z1186" i="1"/>
  <c r="R1186" i="1"/>
  <c r="P1186" i="1"/>
  <c r="K1186" i="1"/>
  <c r="J1186" i="1"/>
  <c r="E1186" i="1"/>
  <c r="D1186" i="1"/>
  <c r="AB1185" i="1"/>
  <c r="AA1185" i="1"/>
  <c r="Z1185" i="1"/>
  <c r="R1185" i="1"/>
  <c r="P1185" i="1"/>
  <c r="K1185" i="1"/>
  <c r="J1185" i="1"/>
  <c r="E1185" i="1"/>
  <c r="D1185" i="1"/>
  <c r="AA1184" i="1"/>
  <c r="Z1184" i="1"/>
  <c r="AB1184" i="1" s="1"/>
  <c r="R1184" i="1"/>
  <c r="P1184" i="1"/>
  <c r="K1184" i="1"/>
  <c r="J1184" i="1"/>
  <c r="E1184" i="1"/>
  <c r="D1184" i="1"/>
  <c r="AA1183" i="1"/>
  <c r="Z1183" i="1"/>
  <c r="R1183" i="1"/>
  <c r="P1183" i="1"/>
  <c r="K1183" i="1"/>
  <c r="J1183" i="1"/>
  <c r="E1183" i="1"/>
  <c r="D1183" i="1"/>
  <c r="AB1182" i="1"/>
  <c r="AA1182" i="1"/>
  <c r="Z1182" i="1"/>
  <c r="R1182" i="1"/>
  <c r="P1182" i="1"/>
  <c r="K1182" i="1"/>
  <c r="J1182" i="1"/>
  <c r="E1182" i="1"/>
  <c r="D1182" i="1"/>
  <c r="AB1181" i="1"/>
  <c r="AA1181" i="1"/>
  <c r="Z1181" i="1"/>
  <c r="R1181" i="1"/>
  <c r="P1181" i="1"/>
  <c r="K1181" i="1"/>
  <c r="J1181" i="1"/>
  <c r="E1181" i="1"/>
  <c r="D1181" i="1"/>
  <c r="AA1180" i="1"/>
  <c r="Z1180" i="1"/>
  <c r="AB1180" i="1" s="1"/>
  <c r="R1180" i="1"/>
  <c r="P1180" i="1"/>
  <c r="K1180" i="1"/>
  <c r="J1180" i="1"/>
  <c r="E1180" i="1"/>
  <c r="D1180" i="1"/>
  <c r="AA1179" i="1"/>
  <c r="Z1179" i="1"/>
  <c r="AB1179" i="1" s="1"/>
  <c r="R1179" i="1"/>
  <c r="P1179" i="1"/>
  <c r="K1179" i="1"/>
  <c r="J1179" i="1"/>
  <c r="E1179" i="1"/>
  <c r="D1179" i="1"/>
  <c r="AB1178" i="1"/>
  <c r="AA1178" i="1"/>
  <c r="Z1178" i="1"/>
  <c r="R1178" i="1"/>
  <c r="P1178" i="1"/>
  <c r="K1178" i="1"/>
  <c r="J1178" i="1"/>
  <c r="E1178" i="1"/>
  <c r="D1178" i="1"/>
  <c r="AA1177" i="1"/>
  <c r="AB1177" i="1" s="1"/>
  <c r="Z1177" i="1"/>
  <c r="R1177" i="1"/>
  <c r="P1177" i="1"/>
  <c r="K1177" i="1"/>
  <c r="J1177" i="1"/>
  <c r="E1177" i="1"/>
  <c r="D1177" i="1"/>
  <c r="AB1176" i="1"/>
  <c r="AA1176" i="1"/>
  <c r="Z1176" i="1"/>
  <c r="R1176" i="1"/>
  <c r="P1176" i="1"/>
  <c r="K1176" i="1"/>
  <c r="J1176" i="1"/>
  <c r="E1176" i="1"/>
  <c r="D1176" i="1"/>
  <c r="AA1175" i="1"/>
  <c r="Z1175" i="1"/>
  <c r="R1175" i="1"/>
  <c r="P1175" i="1"/>
  <c r="K1175" i="1"/>
  <c r="J1175" i="1"/>
  <c r="E1175" i="1"/>
  <c r="D1175" i="1"/>
  <c r="AB1174" i="1"/>
  <c r="AA1174" i="1"/>
  <c r="Z1174" i="1"/>
  <c r="R1174" i="1"/>
  <c r="P1174" i="1"/>
  <c r="K1174" i="1"/>
  <c r="J1174" i="1"/>
  <c r="E1174" i="1"/>
  <c r="D1174" i="1"/>
  <c r="AA1173" i="1"/>
  <c r="Z1173" i="1"/>
  <c r="AB1173" i="1" s="1"/>
  <c r="R1173" i="1"/>
  <c r="P1173" i="1"/>
  <c r="K1173" i="1"/>
  <c r="J1173" i="1"/>
  <c r="E1173" i="1"/>
  <c r="D1173" i="1"/>
  <c r="AB1172" i="1"/>
  <c r="AA1172" i="1"/>
  <c r="Z1172" i="1"/>
  <c r="R1172" i="1"/>
  <c r="P1172" i="1"/>
  <c r="K1172" i="1"/>
  <c r="J1172" i="1"/>
  <c r="E1172" i="1"/>
  <c r="D1172" i="1"/>
  <c r="AA1171" i="1"/>
  <c r="Z1171" i="1"/>
  <c r="R1171" i="1"/>
  <c r="P1171" i="1"/>
  <c r="K1171" i="1"/>
  <c r="J1171" i="1"/>
  <c r="E1171" i="1"/>
  <c r="D1171" i="1"/>
  <c r="AB1170" i="1"/>
  <c r="AA1170" i="1"/>
  <c r="Z1170" i="1"/>
  <c r="R1170" i="1"/>
  <c r="P1170" i="1"/>
  <c r="K1170" i="1"/>
  <c r="J1170" i="1"/>
  <c r="E1170" i="1"/>
  <c r="D1170" i="1"/>
  <c r="AA1169" i="1"/>
  <c r="Z1169" i="1"/>
  <c r="AB1169" i="1" s="1"/>
  <c r="R1169" i="1"/>
  <c r="P1169" i="1"/>
  <c r="K1169" i="1"/>
  <c r="J1169" i="1"/>
  <c r="E1169" i="1"/>
  <c r="D1169" i="1"/>
  <c r="AB1168" i="1"/>
  <c r="AA1168" i="1"/>
  <c r="Z1168" i="1"/>
  <c r="R1168" i="1"/>
  <c r="P1168" i="1"/>
  <c r="K1168" i="1"/>
  <c r="J1168" i="1"/>
  <c r="E1168" i="1"/>
  <c r="D1168" i="1"/>
  <c r="AA1167" i="1"/>
  <c r="Z1167" i="1"/>
  <c r="AB1167" i="1" s="1"/>
  <c r="R1167" i="1"/>
  <c r="P1167" i="1"/>
  <c r="K1167" i="1"/>
  <c r="J1167" i="1"/>
  <c r="E1167" i="1"/>
  <c r="D1167" i="1"/>
  <c r="AB1166" i="1"/>
  <c r="AA1166" i="1"/>
  <c r="Z1166" i="1"/>
  <c r="R1166" i="1"/>
  <c r="P1166" i="1"/>
  <c r="K1166" i="1"/>
  <c r="J1166" i="1"/>
  <c r="E1166" i="1"/>
  <c r="D1166" i="1"/>
  <c r="AA1165" i="1"/>
  <c r="Z1165" i="1"/>
  <c r="AB1165" i="1" s="1"/>
  <c r="R1165" i="1"/>
  <c r="P1165" i="1"/>
  <c r="K1165" i="1"/>
  <c r="J1165" i="1"/>
  <c r="E1165" i="1"/>
  <c r="D1165" i="1"/>
  <c r="AB1164" i="1"/>
  <c r="AA1164" i="1"/>
  <c r="Z1164" i="1"/>
  <c r="R1164" i="1"/>
  <c r="P1164" i="1"/>
  <c r="K1164" i="1"/>
  <c r="J1164" i="1"/>
  <c r="E1164" i="1"/>
  <c r="D1164" i="1"/>
  <c r="AA1163" i="1"/>
  <c r="Z1163" i="1"/>
  <c r="AB1163" i="1" s="1"/>
  <c r="R1163" i="1"/>
  <c r="P1163" i="1"/>
  <c r="K1163" i="1"/>
  <c r="J1163" i="1"/>
  <c r="E1163" i="1"/>
  <c r="D1163" i="1"/>
  <c r="AB1162" i="1"/>
  <c r="AA1162" i="1"/>
  <c r="Z1162" i="1"/>
  <c r="R1162" i="1"/>
  <c r="P1162" i="1"/>
  <c r="K1162" i="1"/>
  <c r="J1162" i="1"/>
  <c r="E1162" i="1"/>
  <c r="D1162" i="1"/>
  <c r="AB1161" i="1"/>
  <c r="AA1161" i="1"/>
  <c r="Z1161" i="1"/>
  <c r="R1161" i="1"/>
  <c r="P1161" i="1"/>
  <c r="K1161" i="1"/>
  <c r="J1161" i="1"/>
  <c r="E1161" i="1"/>
  <c r="D1161" i="1"/>
  <c r="AB1160" i="1"/>
  <c r="AA1160" i="1"/>
  <c r="Z1160" i="1"/>
  <c r="R1160" i="1"/>
  <c r="P1160" i="1"/>
  <c r="K1160" i="1"/>
  <c r="J1160" i="1"/>
  <c r="E1160" i="1"/>
  <c r="D1160" i="1"/>
  <c r="AA1159" i="1"/>
  <c r="Z1159" i="1"/>
  <c r="R1159" i="1"/>
  <c r="P1159" i="1"/>
  <c r="K1159" i="1"/>
  <c r="J1159" i="1"/>
  <c r="E1159" i="1"/>
  <c r="D1159" i="1"/>
  <c r="AB1158" i="1"/>
  <c r="AA1158" i="1"/>
  <c r="Z1158" i="1"/>
  <c r="R1158" i="1"/>
  <c r="P1158" i="1"/>
  <c r="K1158" i="1"/>
  <c r="J1158" i="1"/>
  <c r="E1158" i="1"/>
  <c r="D1158" i="1"/>
  <c r="AA1157" i="1"/>
  <c r="AB1157" i="1" s="1"/>
  <c r="Z1157" i="1"/>
  <c r="R1157" i="1"/>
  <c r="P1157" i="1"/>
  <c r="K1157" i="1"/>
  <c r="J1157" i="1"/>
  <c r="E1157" i="1"/>
  <c r="D1157" i="1"/>
  <c r="AA1156" i="1"/>
  <c r="Z1156" i="1"/>
  <c r="AB1156" i="1" s="1"/>
  <c r="R1156" i="1"/>
  <c r="P1156" i="1"/>
  <c r="K1156" i="1"/>
  <c r="J1156" i="1"/>
  <c r="E1156" i="1"/>
  <c r="D1156" i="1"/>
  <c r="AA1155" i="1"/>
  <c r="Z1155" i="1"/>
  <c r="R1155" i="1"/>
  <c r="P1155" i="1"/>
  <c r="K1155" i="1"/>
  <c r="J1155" i="1"/>
  <c r="E1155" i="1"/>
  <c r="D1155" i="1"/>
  <c r="AB1154" i="1"/>
  <c r="AA1154" i="1"/>
  <c r="Z1154" i="1"/>
  <c r="R1154" i="1"/>
  <c r="P1154" i="1"/>
  <c r="K1154" i="1"/>
  <c r="J1154" i="1"/>
  <c r="E1154" i="1"/>
  <c r="D1154" i="1"/>
  <c r="AB1153" i="1"/>
  <c r="AA1153" i="1"/>
  <c r="Z1153" i="1"/>
  <c r="R1153" i="1"/>
  <c r="P1153" i="1"/>
  <c r="K1153" i="1"/>
  <c r="J1153" i="1"/>
  <c r="E1153" i="1"/>
  <c r="D1153" i="1"/>
  <c r="AA1152" i="1"/>
  <c r="Z1152" i="1"/>
  <c r="AB1152" i="1" s="1"/>
  <c r="R1152" i="1"/>
  <c r="P1152" i="1"/>
  <c r="K1152" i="1"/>
  <c r="J1152" i="1"/>
  <c r="E1152" i="1"/>
  <c r="D1152" i="1"/>
  <c r="AA1151" i="1"/>
  <c r="Z1151" i="1"/>
  <c r="AB1151" i="1" s="1"/>
  <c r="R1151" i="1"/>
  <c r="P1151" i="1"/>
  <c r="K1151" i="1"/>
  <c r="J1151" i="1"/>
  <c r="E1151" i="1"/>
  <c r="D1151" i="1"/>
  <c r="AB1150" i="1"/>
  <c r="AA1150" i="1"/>
  <c r="Z1150" i="1"/>
  <c r="R1150" i="1"/>
  <c r="P1150" i="1"/>
  <c r="K1150" i="1"/>
  <c r="J1150" i="1"/>
  <c r="E1150" i="1"/>
  <c r="D1150" i="1"/>
  <c r="AB1149" i="1"/>
  <c r="AA1149" i="1"/>
  <c r="Z1149" i="1"/>
  <c r="R1149" i="1"/>
  <c r="P1149" i="1"/>
  <c r="K1149" i="1"/>
  <c r="J1149" i="1"/>
  <c r="E1149" i="1"/>
  <c r="D1149" i="1"/>
  <c r="AB1148" i="1"/>
  <c r="AA1148" i="1"/>
  <c r="Z1148" i="1"/>
  <c r="R1148" i="1"/>
  <c r="P1148" i="1"/>
  <c r="K1148" i="1"/>
  <c r="J1148" i="1"/>
  <c r="E1148" i="1"/>
  <c r="D1148" i="1"/>
  <c r="AA1147" i="1"/>
  <c r="Z1147" i="1"/>
  <c r="AB1147" i="1" s="1"/>
  <c r="R1147" i="1"/>
  <c r="P1147" i="1"/>
  <c r="K1147" i="1"/>
  <c r="J1147" i="1"/>
  <c r="E1147" i="1"/>
  <c r="D1147" i="1"/>
  <c r="AB1146" i="1"/>
  <c r="AA1146" i="1"/>
  <c r="Z1146" i="1"/>
  <c r="R1146" i="1"/>
  <c r="P1146" i="1"/>
  <c r="K1146" i="1"/>
  <c r="J1146" i="1"/>
  <c r="E1146" i="1"/>
  <c r="D1146" i="1"/>
  <c r="AA1145" i="1"/>
  <c r="Z1145" i="1"/>
  <c r="AB1145" i="1" s="1"/>
  <c r="R1145" i="1"/>
  <c r="P1145" i="1"/>
  <c r="K1145" i="1"/>
  <c r="J1145" i="1"/>
  <c r="E1145" i="1"/>
  <c r="D1145" i="1"/>
  <c r="AB1144" i="1"/>
  <c r="AA1144" i="1"/>
  <c r="Z1144" i="1"/>
  <c r="R1144" i="1"/>
  <c r="P1144" i="1"/>
  <c r="K1144" i="1"/>
  <c r="J1144" i="1"/>
  <c r="E1144" i="1"/>
  <c r="D1144" i="1"/>
  <c r="AA1143" i="1"/>
  <c r="Z1143" i="1"/>
  <c r="AB1143" i="1" s="1"/>
  <c r="R1143" i="1"/>
  <c r="P1143" i="1"/>
  <c r="K1143" i="1"/>
  <c r="J1143" i="1"/>
  <c r="E1143" i="1"/>
  <c r="D1143" i="1"/>
  <c r="AB1142" i="1"/>
  <c r="AA1142" i="1"/>
  <c r="Z1142" i="1"/>
  <c r="R1142" i="1"/>
  <c r="P1142" i="1"/>
  <c r="K1142" i="1"/>
  <c r="J1142" i="1"/>
  <c r="E1142" i="1"/>
  <c r="D1142" i="1"/>
  <c r="AA1141" i="1"/>
  <c r="Z1141" i="1"/>
  <c r="AB1141" i="1" s="1"/>
  <c r="R1141" i="1"/>
  <c r="P1141" i="1"/>
  <c r="K1141" i="1"/>
  <c r="J1141" i="1"/>
  <c r="E1141" i="1"/>
  <c r="D1141" i="1"/>
  <c r="AB1140" i="1"/>
  <c r="AA1140" i="1"/>
  <c r="Z1140" i="1"/>
  <c r="R1140" i="1"/>
  <c r="P1140" i="1"/>
  <c r="K1140" i="1"/>
  <c r="J1140" i="1"/>
  <c r="E1140" i="1"/>
  <c r="D1140" i="1"/>
  <c r="AA1139" i="1"/>
  <c r="Z1139" i="1"/>
  <c r="AB1139" i="1" s="1"/>
  <c r="R1139" i="1"/>
  <c r="P1139" i="1"/>
  <c r="K1139" i="1"/>
  <c r="J1139" i="1"/>
  <c r="E1139" i="1"/>
  <c r="D1139" i="1"/>
  <c r="AB1138" i="1"/>
  <c r="AA1138" i="1"/>
  <c r="Z1138" i="1"/>
  <c r="R1138" i="1"/>
  <c r="P1138" i="1"/>
  <c r="K1138" i="1"/>
  <c r="J1138" i="1"/>
  <c r="E1138" i="1"/>
  <c r="D1138" i="1"/>
  <c r="AA1137" i="1"/>
  <c r="Z1137" i="1"/>
  <c r="R1137" i="1"/>
  <c r="P1137" i="1"/>
  <c r="K1137" i="1"/>
  <c r="J1137" i="1"/>
  <c r="E1137" i="1"/>
  <c r="D1137" i="1"/>
  <c r="AB1136" i="1"/>
  <c r="AA1136" i="1"/>
  <c r="Z1136" i="1"/>
  <c r="R1136" i="1"/>
  <c r="P1136" i="1"/>
  <c r="K1136" i="1"/>
  <c r="J1136" i="1"/>
  <c r="E1136" i="1"/>
  <c r="D1136" i="1"/>
  <c r="AA1135" i="1"/>
  <c r="Z1135" i="1"/>
  <c r="AB1135" i="1" s="1"/>
  <c r="R1135" i="1"/>
  <c r="P1135" i="1"/>
  <c r="K1135" i="1"/>
  <c r="J1135" i="1"/>
  <c r="E1135" i="1"/>
  <c r="D1135" i="1"/>
  <c r="AB1134" i="1"/>
  <c r="AA1134" i="1"/>
  <c r="Z1134" i="1"/>
  <c r="R1134" i="1"/>
  <c r="P1134" i="1"/>
  <c r="K1134" i="1"/>
  <c r="J1134" i="1"/>
  <c r="E1134" i="1"/>
  <c r="D1134" i="1"/>
  <c r="AA1133" i="1"/>
  <c r="Z1133" i="1"/>
  <c r="R1133" i="1"/>
  <c r="P1133" i="1"/>
  <c r="K1133" i="1"/>
  <c r="J1133" i="1"/>
  <c r="E1133" i="1"/>
  <c r="D1133" i="1"/>
  <c r="AB1132" i="1"/>
  <c r="AA1132" i="1"/>
  <c r="Z1132" i="1"/>
  <c r="R1132" i="1"/>
  <c r="P1132" i="1"/>
  <c r="K1132" i="1"/>
  <c r="J1132" i="1"/>
  <c r="E1132" i="1"/>
  <c r="D1132" i="1"/>
  <c r="AA1131" i="1"/>
  <c r="Z1131" i="1"/>
  <c r="AB1131" i="1" s="1"/>
  <c r="R1131" i="1"/>
  <c r="P1131" i="1"/>
  <c r="K1131" i="1"/>
  <c r="J1131" i="1"/>
  <c r="E1131" i="1"/>
  <c r="D1131" i="1"/>
  <c r="AB1130" i="1"/>
  <c r="AA1130" i="1"/>
  <c r="Z1130" i="1"/>
  <c r="R1130" i="1"/>
  <c r="P1130" i="1"/>
  <c r="K1130" i="1"/>
  <c r="J1130" i="1"/>
  <c r="E1130" i="1"/>
  <c r="D1130" i="1"/>
  <c r="AA1129" i="1"/>
  <c r="Z1129" i="1"/>
  <c r="R1129" i="1"/>
  <c r="P1129" i="1"/>
  <c r="K1129" i="1"/>
  <c r="J1129" i="1"/>
  <c r="E1129" i="1"/>
  <c r="D1129" i="1"/>
  <c r="AB1128" i="1"/>
  <c r="AA1128" i="1"/>
  <c r="Z1128" i="1"/>
  <c r="R1128" i="1"/>
  <c r="P1128" i="1"/>
  <c r="K1128" i="1"/>
  <c r="J1128" i="1"/>
  <c r="E1128" i="1"/>
  <c r="D1128" i="1"/>
  <c r="AA1127" i="1"/>
  <c r="Z1127" i="1"/>
  <c r="AB1127" i="1" s="1"/>
  <c r="R1127" i="1"/>
  <c r="P1127" i="1"/>
  <c r="K1127" i="1"/>
  <c r="J1127" i="1"/>
  <c r="E1127" i="1"/>
  <c r="D1127" i="1"/>
  <c r="AB1126" i="1"/>
  <c r="AA1126" i="1"/>
  <c r="Z1126" i="1"/>
  <c r="R1126" i="1"/>
  <c r="P1126" i="1"/>
  <c r="K1126" i="1"/>
  <c r="J1126" i="1"/>
  <c r="E1126" i="1"/>
  <c r="D1126" i="1"/>
  <c r="AA1125" i="1"/>
  <c r="Z1125" i="1"/>
  <c r="R1125" i="1"/>
  <c r="P1125" i="1"/>
  <c r="K1125" i="1"/>
  <c r="J1125" i="1"/>
  <c r="E1125" i="1"/>
  <c r="D1125" i="1"/>
  <c r="AB1124" i="1"/>
  <c r="AA1124" i="1"/>
  <c r="Z1124" i="1"/>
  <c r="R1124" i="1"/>
  <c r="P1124" i="1"/>
  <c r="K1124" i="1"/>
  <c r="J1124" i="1"/>
  <c r="E1124" i="1"/>
  <c r="D1124" i="1"/>
  <c r="AA1123" i="1"/>
  <c r="Z1123" i="1"/>
  <c r="AB1123" i="1" s="1"/>
  <c r="R1123" i="1"/>
  <c r="P1123" i="1"/>
  <c r="K1123" i="1"/>
  <c r="J1123" i="1"/>
  <c r="E1123" i="1"/>
  <c r="D1123" i="1"/>
  <c r="AB1122" i="1"/>
  <c r="AA1122" i="1"/>
  <c r="Z1122" i="1"/>
  <c r="R1122" i="1"/>
  <c r="P1122" i="1"/>
  <c r="K1122" i="1"/>
  <c r="J1122" i="1"/>
  <c r="E1122" i="1"/>
  <c r="D1122" i="1"/>
  <c r="AA1121" i="1"/>
  <c r="Z1121" i="1"/>
  <c r="AB1121" i="1" s="1"/>
  <c r="R1121" i="1"/>
  <c r="P1121" i="1"/>
  <c r="K1121" i="1"/>
  <c r="J1121" i="1"/>
  <c r="E1121" i="1"/>
  <c r="D1121" i="1"/>
  <c r="AB1120" i="1"/>
  <c r="AA1120" i="1"/>
  <c r="Z1120" i="1"/>
  <c r="R1120" i="1"/>
  <c r="P1120" i="1"/>
  <c r="K1120" i="1"/>
  <c r="J1120" i="1"/>
  <c r="E1120" i="1"/>
  <c r="D1120" i="1"/>
  <c r="AA1119" i="1"/>
  <c r="Z1119" i="1"/>
  <c r="AB1119" i="1" s="1"/>
  <c r="R1119" i="1"/>
  <c r="P1119" i="1"/>
  <c r="K1119" i="1"/>
  <c r="J1119" i="1"/>
  <c r="E1119" i="1"/>
  <c r="D1119" i="1"/>
  <c r="AB1118" i="1"/>
  <c r="AA1118" i="1"/>
  <c r="Z1118" i="1"/>
  <c r="R1118" i="1"/>
  <c r="P1118" i="1"/>
  <c r="K1118" i="1"/>
  <c r="J1118" i="1"/>
  <c r="E1118" i="1"/>
  <c r="D1118" i="1"/>
  <c r="AA1117" i="1"/>
  <c r="Z1117" i="1"/>
  <c r="AB1117" i="1" s="1"/>
  <c r="R1117" i="1"/>
  <c r="P1117" i="1"/>
  <c r="K1117" i="1"/>
  <c r="J1117" i="1"/>
  <c r="E1117" i="1"/>
  <c r="D1117" i="1"/>
  <c r="AB1116" i="1"/>
  <c r="AA1116" i="1"/>
  <c r="Z1116" i="1"/>
  <c r="R1116" i="1"/>
  <c r="P1116" i="1"/>
  <c r="K1116" i="1"/>
  <c r="J1116" i="1"/>
  <c r="E1116" i="1"/>
  <c r="D1116" i="1"/>
  <c r="AA1115" i="1"/>
  <c r="Z1115" i="1"/>
  <c r="AB1115" i="1" s="1"/>
  <c r="R1115" i="1"/>
  <c r="P1115" i="1"/>
  <c r="K1115" i="1"/>
  <c r="J1115" i="1"/>
  <c r="E1115" i="1"/>
  <c r="D1115" i="1"/>
  <c r="AB1114" i="1"/>
  <c r="AA1114" i="1"/>
  <c r="Z1114" i="1"/>
  <c r="R1114" i="1"/>
  <c r="P1114" i="1"/>
  <c r="K1114" i="1"/>
  <c r="J1114" i="1"/>
  <c r="E1114" i="1"/>
  <c r="D1114" i="1"/>
  <c r="AA1113" i="1"/>
  <c r="Z1113" i="1"/>
  <c r="R1113" i="1"/>
  <c r="P1113" i="1"/>
  <c r="K1113" i="1"/>
  <c r="J1113" i="1"/>
  <c r="E1113" i="1"/>
  <c r="D1113" i="1"/>
  <c r="AB1112" i="1"/>
  <c r="AA1112" i="1"/>
  <c r="Z1112" i="1"/>
  <c r="R1112" i="1"/>
  <c r="P1112" i="1"/>
  <c r="K1112" i="1"/>
  <c r="J1112" i="1"/>
  <c r="E1112" i="1"/>
  <c r="D1112" i="1"/>
  <c r="AA1111" i="1"/>
  <c r="Z1111" i="1"/>
  <c r="AB1111" i="1" s="1"/>
  <c r="R1111" i="1"/>
  <c r="P1111" i="1"/>
  <c r="K1111" i="1"/>
  <c r="J1111" i="1"/>
  <c r="E1111" i="1"/>
  <c r="D1111" i="1"/>
  <c r="AB1110" i="1"/>
  <c r="AA1110" i="1"/>
  <c r="Z1110" i="1"/>
  <c r="R1110" i="1"/>
  <c r="P1110" i="1"/>
  <c r="K1110" i="1"/>
  <c r="J1110" i="1"/>
  <c r="E1110" i="1"/>
  <c r="D1110" i="1"/>
  <c r="AA1109" i="1"/>
  <c r="Z1109" i="1"/>
  <c r="R1109" i="1"/>
  <c r="P1109" i="1"/>
  <c r="K1109" i="1"/>
  <c r="J1109" i="1"/>
  <c r="E1109" i="1"/>
  <c r="D1109" i="1"/>
  <c r="AB1108" i="1"/>
  <c r="AA1108" i="1"/>
  <c r="Z1108" i="1"/>
  <c r="R1108" i="1"/>
  <c r="P1108" i="1"/>
  <c r="K1108" i="1"/>
  <c r="J1108" i="1"/>
  <c r="E1108" i="1"/>
  <c r="D1108" i="1"/>
  <c r="AA1107" i="1"/>
  <c r="Z1107" i="1"/>
  <c r="AB1107" i="1" s="1"/>
  <c r="R1107" i="1"/>
  <c r="P1107" i="1"/>
  <c r="K1107" i="1"/>
  <c r="J1107" i="1"/>
  <c r="E1107" i="1"/>
  <c r="D1107" i="1"/>
  <c r="AB1106" i="1"/>
  <c r="AA1106" i="1"/>
  <c r="Z1106" i="1"/>
  <c r="R1106" i="1"/>
  <c r="P1106" i="1"/>
  <c r="K1106" i="1"/>
  <c r="J1106" i="1"/>
  <c r="E1106" i="1"/>
  <c r="D1106" i="1"/>
  <c r="AA1105" i="1"/>
  <c r="Z1105" i="1"/>
  <c r="R1105" i="1"/>
  <c r="P1105" i="1"/>
  <c r="K1105" i="1"/>
  <c r="J1105" i="1"/>
  <c r="E1105" i="1"/>
  <c r="D1105" i="1"/>
  <c r="AB1104" i="1"/>
  <c r="AA1104" i="1"/>
  <c r="Z1104" i="1"/>
  <c r="R1104" i="1"/>
  <c r="P1104" i="1"/>
  <c r="K1104" i="1"/>
  <c r="J1104" i="1"/>
  <c r="E1104" i="1"/>
  <c r="D1104" i="1"/>
  <c r="AA1103" i="1"/>
  <c r="Z1103" i="1"/>
  <c r="AB1103" i="1" s="1"/>
  <c r="R1103" i="1"/>
  <c r="P1103" i="1"/>
  <c r="L1103" i="1"/>
  <c r="K1103" i="1"/>
  <c r="J1103" i="1"/>
  <c r="E1103" i="1"/>
  <c r="D1103" i="1"/>
  <c r="AA1102" i="1"/>
  <c r="Z1102" i="1"/>
  <c r="AB1102" i="1" s="1"/>
  <c r="R1102" i="1"/>
  <c r="P1102" i="1"/>
  <c r="L1102" i="1"/>
  <c r="K1102" i="1"/>
  <c r="J1102" i="1"/>
  <c r="E1102" i="1"/>
  <c r="D1102" i="1"/>
  <c r="AB1101" i="1"/>
  <c r="AA1101" i="1"/>
  <c r="Z1101" i="1"/>
  <c r="R1101" i="1"/>
  <c r="P1101" i="1"/>
  <c r="L1101" i="1"/>
  <c r="K1101" i="1"/>
  <c r="J1101" i="1"/>
  <c r="E1101" i="1"/>
  <c r="D1101" i="1"/>
  <c r="AA1100" i="1"/>
  <c r="Z1100" i="1"/>
  <c r="AB1100" i="1" s="1"/>
  <c r="R1100" i="1"/>
  <c r="P1100" i="1"/>
  <c r="L1100" i="1"/>
  <c r="K1100" i="1"/>
  <c r="J1100" i="1"/>
  <c r="E1100" i="1"/>
  <c r="D1100" i="1"/>
  <c r="AB1099" i="1"/>
  <c r="AA1099" i="1"/>
  <c r="Z1099" i="1"/>
  <c r="R1099" i="1"/>
  <c r="P1099" i="1"/>
  <c r="K1099" i="1"/>
  <c r="J1099" i="1"/>
  <c r="E1099" i="1"/>
  <c r="D1099" i="1"/>
  <c r="AA1098" i="1"/>
  <c r="Z1098" i="1"/>
  <c r="AB1098" i="1" s="1"/>
  <c r="R1098" i="1"/>
  <c r="P1098" i="1"/>
  <c r="K1098" i="1"/>
  <c r="J1098" i="1"/>
  <c r="E1098" i="1"/>
  <c r="D1098" i="1"/>
  <c r="AA1097" i="1"/>
  <c r="Z1097" i="1"/>
  <c r="R1097" i="1"/>
  <c r="P1097" i="1"/>
  <c r="K1097" i="1"/>
  <c r="J1097" i="1"/>
  <c r="E1097" i="1"/>
  <c r="D1097" i="1"/>
  <c r="AA1096" i="1"/>
  <c r="Z1096" i="1"/>
  <c r="AB1096" i="1" s="1"/>
  <c r="R1096" i="1"/>
  <c r="P1096" i="1"/>
  <c r="K1096" i="1"/>
  <c r="J1096" i="1"/>
  <c r="E1096" i="1"/>
  <c r="D1096" i="1"/>
  <c r="AA1095" i="1"/>
  <c r="AB1095" i="1" s="1"/>
  <c r="Z1095" i="1"/>
  <c r="R1095" i="1"/>
  <c r="P1095" i="1"/>
  <c r="K1095" i="1"/>
  <c r="J1095" i="1"/>
  <c r="E1095" i="1"/>
  <c r="D1095" i="1"/>
  <c r="AB1094" i="1"/>
  <c r="AA1094" i="1"/>
  <c r="Z1094" i="1"/>
  <c r="R1094" i="1"/>
  <c r="P1094" i="1"/>
  <c r="K1094" i="1"/>
  <c r="J1094" i="1"/>
  <c r="E1094" i="1"/>
  <c r="D1094" i="1"/>
  <c r="AA1093" i="1"/>
  <c r="Z1093" i="1"/>
  <c r="R1093" i="1"/>
  <c r="P1093" i="1"/>
  <c r="K1093" i="1"/>
  <c r="J1093" i="1"/>
  <c r="E1093" i="1"/>
  <c r="D1093" i="1"/>
  <c r="AB1092" i="1"/>
  <c r="AA1092" i="1"/>
  <c r="Z1092" i="1"/>
  <c r="R1092" i="1"/>
  <c r="P1092" i="1"/>
  <c r="K1092" i="1"/>
  <c r="J1092" i="1"/>
  <c r="E1092" i="1"/>
  <c r="D1092" i="1"/>
  <c r="AA1091" i="1"/>
  <c r="Z1091" i="1"/>
  <c r="AB1091" i="1" s="1"/>
  <c r="R1091" i="1"/>
  <c r="P1091" i="1"/>
  <c r="K1091" i="1"/>
  <c r="J1091" i="1"/>
  <c r="E1091" i="1"/>
  <c r="D1091" i="1"/>
  <c r="AB1090" i="1"/>
  <c r="AA1090" i="1"/>
  <c r="Z1090" i="1"/>
  <c r="R1090" i="1"/>
  <c r="P1090" i="1"/>
  <c r="K1090" i="1"/>
  <c r="J1090" i="1"/>
  <c r="E1090" i="1"/>
  <c r="D1090" i="1"/>
  <c r="AA1089" i="1"/>
  <c r="Z1089" i="1"/>
  <c r="R1089" i="1"/>
  <c r="P1089" i="1"/>
  <c r="K1089" i="1"/>
  <c r="J1089" i="1"/>
  <c r="E1089" i="1"/>
  <c r="D1089" i="1"/>
  <c r="AB1088" i="1"/>
  <c r="AA1088" i="1"/>
  <c r="Z1088" i="1"/>
  <c r="R1088" i="1"/>
  <c r="P1088" i="1"/>
  <c r="K1088" i="1"/>
  <c r="J1088" i="1"/>
  <c r="E1088" i="1"/>
  <c r="D1088" i="1"/>
  <c r="AA1087" i="1"/>
  <c r="Z1087" i="1"/>
  <c r="AB1087" i="1" s="1"/>
  <c r="R1087" i="1"/>
  <c r="P1087" i="1"/>
  <c r="K1087" i="1"/>
  <c r="J1087" i="1"/>
  <c r="E1087" i="1"/>
  <c r="D1087" i="1"/>
  <c r="AA1086" i="1"/>
  <c r="AB1086" i="1" s="1"/>
  <c r="Z1086" i="1"/>
  <c r="R1086" i="1"/>
  <c r="P1086" i="1"/>
  <c r="K1086" i="1"/>
  <c r="J1086" i="1"/>
  <c r="E1086" i="1"/>
  <c r="D1086" i="1"/>
  <c r="AA1085" i="1"/>
  <c r="Z1085" i="1"/>
  <c r="AB1085" i="1" s="1"/>
  <c r="R1085" i="1"/>
  <c r="P1085" i="1"/>
  <c r="K1085" i="1"/>
  <c r="J1085" i="1"/>
  <c r="E1085" i="1"/>
  <c r="D1085" i="1"/>
  <c r="AA1084" i="1"/>
  <c r="AB1084" i="1" s="1"/>
  <c r="Z1084" i="1"/>
  <c r="R1084" i="1"/>
  <c r="P1084" i="1"/>
  <c r="K1084" i="1"/>
  <c r="J1084" i="1"/>
  <c r="E1084" i="1"/>
  <c r="D1084" i="1"/>
  <c r="AA1083" i="1"/>
  <c r="AB1083" i="1" s="1"/>
  <c r="Z1083" i="1"/>
  <c r="R1083" i="1"/>
  <c r="P1083" i="1"/>
  <c r="K1083" i="1"/>
  <c r="J1083" i="1"/>
  <c r="E1083" i="1"/>
  <c r="D1083" i="1"/>
  <c r="AB1082" i="1"/>
  <c r="AA1082" i="1"/>
  <c r="Z1082" i="1"/>
  <c r="R1082" i="1"/>
  <c r="P1082" i="1"/>
  <c r="K1082" i="1"/>
  <c r="J1082" i="1"/>
  <c r="E1082" i="1"/>
  <c r="D1082" i="1"/>
  <c r="AA1081" i="1"/>
  <c r="Z1081" i="1"/>
  <c r="R1081" i="1"/>
  <c r="P1081" i="1"/>
  <c r="K1081" i="1"/>
  <c r="J1081" i="1"/>
  <c r="E1081" i="1"/>
  <c r="D1081" i="1"/>
  <c r="AA1080" i="1"/>
  <c r="Z1080" i="1"/>
  <c r="AB1080" i="1" s="1"/>
  <c r="R1080" i="1"/>
  <c r="P1080" i="1"/>
  <c r="K1080" i="1"/>
  <c r="J1080" i="1"/>
  <c r="E1080" i="1"/>
  <c r="D1080" i="1"/>
  <c r="AB1079" i="1"/>
  <c r="AA1079" i="1"/>
  <c r="Z1079" i="1"/>
  <c r="R1079" i="1"/>
  <c r="P1079" i="1"/>
  <c r="K1079" i="1"/>
  <c r="J1079" i="1"/>
  <c r="E1079" i="1"/>
  <c r="D1079" i="1"/>
  <c r="AB1078" i="1"/>
  <c r="AA1078" i="1"/>
  <c r="Z1078" i="1"/>
  <c r="R1078" i="1"/>
  <c r="P1078" i="1"/>
  <c r="K1078" i="1"/>
  <c r="J1078" i="1"/>
  <c r="E1078" i="1"/>
  <c r="D1078" i="1"/>
  <c r="AA1077" i="1"/>
  <c r="Z1077" i="1"/>
  <c r="R1077" i="1"/>
  <c r="P1077" i="1"/>
  <c r="K1077" i="1"/>
  <c r="J1077" i="1"/>
  <c r="E1077" i="1"/>
  <c r="D1077" i="1"/>
  <c r="AA1076" i="1"/>
  <c r="Z1076" i="1"/>
  <c r="AB1076" i="1" s="1"/>
  <c r="R1076" i="1"/>
  <c r="P1076" i="1"/>
  <c r="K1076" i="1"/>
  <c r="J1076" i="1"/>
  <c r="E1076" i="1"/>
  <c r="D1076" i="1"/>
  <c r="AA1075" i="1"/>
  <c r="AB1075" i="1" s="1"/>
  <c r="Z1075" i="1"/>
  <c r="R1075" i="1"/>
  <c r="P1075" i="1"/>
  <c r="K1075" i="1"/>
  <c r="J1075" i="1"/>
  <c r="E1075" i="1"/>
  <c r="D1075" i="1"/>
  <c r="AA1074" i="1"/>
  <c r="Z1074" i="1"/>
  <c r="R1074" i="1"/>
  <c r="P1074" i="1"/>
  <c r="K1074" i="1"/>
  <c r="J1074" i="1"/>
  <c r="E1074" i="1"/>
  <c r="D1074" i="1"/>
  <c r="AA1073" i="1"/>
  <c r="Z1073" i="1"/>
  <c r="R1073" i="1"/>
  <c r="P1073" i="1"/>
  <c r="K1073" i="1"/>
  <c r="J1073" i="1"/>
  <c r="E1073" i="1"/>
  <c r="D1073" i="1"/>
  <c r="AA1072" i="1"/>
  <c r="AB1072" i="1" s="1"/>
  <c r="Z1072" i="1"/>
  <c r="R1072" i="1"/>
  <c r="P1072" i="1"/>
  <c r="K1072" i="1"/>
  <c r="J1072" i="1"/>
  <c r="E1072" i="1"/>
  <c r="D1072" i="1"/>
  <c r="AB1071" i="1"/>
  <c r="AA1071" i="1"/>
  <c r="Z1071" i="1"/>
  <c r="R1071" i="1"/>
  <c r="P1071" i="1"/>
  <c r="K1071" i="1"/>
  <c r="J1071" i="1"/>
  <c r="E1071" i="1"/>
  <c r="D1071" i="1"/>
  <c r="AA1070" i="1"/>
  <c r="Z1070" i="1"/>
  <c r="AB1070" i="1" s="1"/>
  <c r="R1070" i="1"/>
  <c r="P1070" i="1"/>
  <c r="K1070" i="1"/>
  <c r="J1070" i="1"/>
  <c r="E1070" i="1"/>
  <c r="D1070" i="1"/>
  <c r="AA1069" i="1"/>
  <c r="Z1069" i="1"/>
  <c r="AB1069" i="1" s="1"/>
  <c r="R1069" i="1"/>
  <c r="P1069" i="1"/>
  <c r="K1069" i="1"/>
  <c r="J1069" i="1"/>
  <c r="E1069" i="1"/>
  <c r="D1069" i="1"/>
  <c r="AB1068" i="1"/>
  <c r="AA1068" i="1"/>
  <c r="Z1068" i="1"/>
  <c r="R1068" i="1"/>
  <c r="P1068" i="1"/>
  <c r="K1068" i="1"/>
  <c r="J1068" i="1"/>
  <c r="E1068" i="1"/>
  <c r="D1068" i="1"/>
  <c r="AB1067" i="1"/>
  <c r="AA1067" i="1"/>
  <c r="Z1067" i="1"/>
  <c r="R1067" i="1"/>
  <c r="P1067" i="1"/>
  <c r="K1067" i="1"/>
  <c r="J1067" i="1"/>
  <c r="E1067" i="1"/>
  <c r="D1067" i="1"/>
  <c r="AB1066" i="1"/>
  <c r="AA1066" i="1"/>
  <c r="Z1066" i="1"/>
  <c r="R1066" i="1"/>
  <c r="P1066" i="1"/>
  <c r="K1066" i="1"/>
  <c r="J1066" i="1"/>
  <c r="E1066" i="1"/>
  <c r="D1066" i="1"/>
  <c r="AA1065" i="1"/>
  <c r="Z1065" i="1"/>
  <c r="AB1065" i="1" s="1"/>
  <c r="R1065" i="1"/>
  <c r="P1065" i="1"/>
  <c r="K1065" i="1"/>
  <c r="J1065" i="1"/>
  <c r="E1065" i="1"/>
  <c r="D1065" i="1"/>
  <c r="AA1064" i="1"/>
  <c r="AB1064" i="1" s="1"/>
  <c r="Z1064" i="1"/>
  <c r="R1064" i="1"/>
  <c r="P1064" i="1"/>
  <c r="K1064" i="1"/>
  <c r="J1064" i="1"/>
  <c r="E1064" i="1"/>
  <c r="D1064" i="1"/>
  <c r="AA1063" i="1"/>
  <c r="Z1063" i="1"/>
  <c r="AB1063" i="1" s="1"/>
  <c r="R1063" i="1"/>
  <c r="P1063" i="1"/>
  <c r="K1063" i="1"/>
  <c r="J1063" i="1"/>
  <c r="E1063" i="1"/>
  <c r="D1063" i="1"/>
  <c r="AB1062" i="1"/>
  <c r="AA1062" i="1"/>
  <c r="Z1062" i="1"/>
  <c r="R1062" i="1"/>
  <c r="P1062" i="1"/>
  <c r="K1062" i="1"/>
  <c r="J1062" i="1"/>
  <c r="E1062" i="1"/>
  <c r="D1062" i="1"/>
  <c r="AA1061" i="1"/>
  <c r="Z1061" i="1"/>
  <c r="R1061" i="1"/>
  <c r="P1061" i="1"/>
  <c r="K1061" i="1"/>
  <c r="J1061" i="1"/>
  <c r="E1061" i="1"/>
  <c r="D1061" i="1"/>
  <c r="AB1060" i="1"/>
  <c r="AA1060" i="1"/>
  <c r="Z1060" i="1"/>
  <c r="R1060" i="1"/>
  <c r="P1060" i="1"/>
  <c r="K1060" i="1"/>
  <c r="J1060" i="1"/>
  <c r="E1060" i="1"/>
  <c r="D1060" i="1"/>
  <c r="AA1059" i="1"/>
  <c r="Z1059" i="1"/>
  <c r="AB1059" i="1" s="1"/>
  <c r="R1059" i="1"/>
  <c r="P1059" i="1"/>
  <c r="K1059" i="1"/>
  <c r="J1059" i="1"/>
  <c r="E1059" i="1"/>
  <c r="D1059" i="1"/>
  <c r="AA1058" i="1"/>
  <c r="AB1058" i="1" s="1"/>
  <c r="Z1058" i="1"/>
  <c r="R1058" i="1"/>
  <c r="P1058" i="1"/>
  <c r="K1058" i="1"/>
  <c r="J1058" i="1"/>
  <c r="E1058" i="1"/>
  <c r="D1058" i="1"/>
  <c r="AA1057" i="1"/>
  <c r="Z1057" i="1"/>
  <c r="AB1057" i="1" s="1"/>
  <c r="R1057" i="1"/>
  <c r="P1057" i="1"/>
  <c r="K1057" i="1"/>
  <c r="J1057" i="1"/>
  <c r="E1057" i="1"/>
  <c r="D1057" i="1"/>
  <c r="AB1056" i="1"/>
  <c r="AA1056" i="1"/>
  <c r="Z1056" i="1"/>
  <c r="R1056" i="1"/>
  <c r="P1056" i="1"/>
  <c r="K1056" i="1"/>
  <c r="J1056" i="1"/>
  <c r="E1056" i="1"/>
  <c r="D1056" i="1"/>
  <c r="AB1055" i="1"/>
  <c r="AA1055" i="1"/>
  <c r="Z1055" i="1"/>
  <c r="R1055" i="1"/>
  <c r="P1055" i="1"/>
  <c r="K1055" i="1"/>
  <c r="J1055" i="1"/>
  <c r="E1055" i="1"/>
  <c r="D1055" i="1"/>
  <c r="AA1054" i="1"/>
  <c r="Z1054" i="1"/>
  <c r="AB1054" i="1" s="1"/>
  <c r="R1054" i="1"/>
  <c r="P1054" i="1"/>
  <c r="K1054" i="1"/>
  <c r="J1054" i="1"/>
  <c r="E1054" i="1"/>
  <c r="D1054" i="1"/>
  <c r="AA1053" i="1"/>
  <c r="Z1053" i="1"/>
  <c r="R1053" i="1"/>
  <c r="P1053" i="1"/>
  <c r="K1053" i="1"/>
  <c r="J1053" i="1"/>
  <c r="E1053" i="1"/>
  <c r="D1053" i="1"/>
  <c r="AA1052" i="1"/>
  <c r="Z1052" i="1"/>
  <c r="AB1052" i="1" s="1"/>
  <c r="R1052" i="1"/>
  <c r="P1052" i="1"/>
  <c r="K1052" i="1"/>
  <c r="J1052" i="1"/>
  <c r="E1052" i="1"/>
  <c r="D1052" i="1"/>
  <c r="AB1051" i="1"/>
  <c r="AA1051" i="1"/>
  <c r="Z1051" i="1"/>
  <c r="R1051" i="1"/>
  <c r="P1051" i="1"/>
  <c r="K1051" i="1"/>
  <c r="J1051" i="1"/>
  <c r="E1051" i="1"/>
  <c r="D1051" i="1"/>
  <c r="AA1050" i="1"/>
  <c r="Z1050" i="1"/>
  <c r="AB1050" i="1" s="1"/>
  <c r="R1050" i="1"/>
  <c r="P1050" i="1"/>
  <c r="K1050" i="1"/>
  <c r="J1050" i="1"/>
  <c r="E1050" i="1"/>
  <c r="D1050" i="1"/>
  <c r="AA1049" i="1"/>
  <c r="Z1049" i="1"/>
  <c r="AB1049" i="1" s="1"/>
  <c r="R1049" i="1"/>
  <c r="P1049" i="1"/>
  <c r="K1049" i="1"/>
  <c r="J1049" i="1"/>
  <c r="E1049" i="1"/>
  <c r="D1049" i="1"/>
  <c r="AA1048" i="1"/>
  <c r="Z1048" i="1"/>
  <c r="AB1048" i="1" s="1"/>
  <c r="R1048" i="1"/>
  <c r="P1048" i="1"/>
  <c r="K1048" i="1"/>
  <c r="J1048" i="1"/>
  <c r="E1048" i="1"/>
  <c r="D1048" i="1"/>
  <c r="AA1047" i="1"/>
  <c r="AB1047" i="1" s="1"/>
  <c r="Z1047" i="1"/>
  <c r="R1047" i="1"/>
  <c r="P1047" i="1"/>
  <c r="K1047" i="1"/>
  <c r="J1047" i="1"/>
  <c r="E1047" i="1"/>
  <c r="D1047" i="1"/>
  <c r="AA1046" i="1"/>
  <c r="Z1046" i="1"/>
  <c r="AB1046" i="1" s="1"/>
  <c r="R1046" i="1"/>
  <c r="P1046" i="1"/>
  <c r="K1046" i="1"/>
  <c r="J1046" i="1"/>
  <c r="E1046" i="1"/>
  <c r="D1046" i="1"/>
  <c r="AA1045" i="1"/>
  <c r="Z1045" i="1"/>
  <c r="R1045" i="1"/>
  <c r="P1045" i="1"/>
  <c r="K1045" i="1"/>
  <c r="J1045" i="1"/>
  <c r="E1045" i="1"/>
  <c r="D1045" i="1"/>
  <c r="AB1044" i="1"/>
  <c r="AA1044" i="1"/>
  <c r="Z1044" i="1"/>
  <c r="R1044" i="1"/>
  <c r="P1044" i="1"/>
  <c r="K1044" i="1"/>
  <c r="J1044" i="1"/>
  <c r="E1044" i="1"/>
  <c r="D1044" i="1"/>
  <c r="AA1043" i="1"/>
  <c r="Z1043" i="1"/>
  <c r="AB1043" i="1" s="1"/>
  <c r="R1043" i="1"/>
  <c r="P1043" i="1"/>
  <c r="K1043" i="1"/>
  <c r="J1043" i="1"/>
  <c r="E1043" i="1"/>
  <c r="D1043" i="1"/>
  <c r="AA1042" i="1"/>
  <c r="AB1042" i="1" s="1"/>
  <c r="Z1042" i="1"/>
  <c r="R1042" i="1"/>
  <c r="P1042" i="1"/>
  <c r="K1042" i="1"/>
  <c r="J1042" i="1"/>
  <c r="E1042" i="1"/>
  <c r="D1042" i="1"/>
  <c r="AA1041" i="1"/>
  <c r="Z1041" i="1"/>
  <c r="R1041" i="1"/>
  <c r="P1041" i="1"/>
  <c r="K1041" i="1"/>
  <c r="J1041" i="1"/>
  <c r="E1041" i="1"/>
  <c r="D1041" i="1"/>
  <c r="AB1040" i="1"/>
  <c r="AA1040" i="1"/>
  <c r="Z1040" i="1"/>
  <c r="R1040" i="1"/>
  <c r="P1040" i="1"/>
  <c r="K1040" i="1"/>
  <c r="J1040" i="1"/>
  <c r="E1040" i="1"/>
  <c r="D1040" i="1"/>
  <c r="AA1039" i="1"/>
  <c r="Z1039" i="1"/>
  <c r="AB1039" i="1" s="1"/>
  <c r="R1039" i="1"/>
  <c r="P1039" i="1"/>
  <c r="K1039" i="1"/>
  <c r="J1039" i="1"/>
  <c r="E1039" i="1"/>
  <c r="D1039" i="1"/>
  <c r="AA1038" i="1"/>
  <c r="Z1038" i="1"/>
  <c r="AB1038" i="1" s="1"/>
  <c r="R1038" i="1"/>
  <c r="P1038" i="1"/>
  <c r="K1038" i="1"/>
  <c r="J1038" i="1"/>
  <c r="E1038" i="1"/>
  <c r="D1038" i="1"/>
  <c r="AA1037" i="1"/>
  <c r="Z1037" i="1"/>
  <c r="AB1037" i="1" s="1"/>
  <c r="R1037" i="1"/>
  <c r="P1037" i="1"/>
  <c r="K1037" i="1"/>
  <c r="J1037" i="1"/>
  <c r="E1037" i="1"/>
  <c r="D1037" i="1"/>
  <c r="AA1036" i="1"/>
  <c r="AB1036" i="1" s="1"/>
  <c r="Z1036" i="1"/>
  <c r="R1036" i="1"/>
  <c r="P1036" i="1"/>
  <c r="K1036" i="1"/>
  <c r="J1036" i="1"/>
  <c r="E1036" i="1"/>
  <c r="D1036" i="1"/>
  <c r="AB1035" i="1"/>
  <c r="AA1035" i="1"/>
  <c r="Z1035" i="1"/>
  <c r="R1035" i="1"/>
  <c r="P1035" i="1"/>
  <c r="K1035" i="1"/>
  <c r="J1035" i="1"/>
  <c r="E1035" i="1"/>
  <c r="D1035" i="1"/>
  <c r="AB1034" i="1"/>
  <c r="AA1034" i="1"/>
  <c r="Z1034" i="1"/>
  <c r="R1034" i="1"/>
  <c r="P1034" i="1"/>
  <c r="K1034" i="1"/>
  <c r="J1034" i="1"/>
  <c r="E1034" i="1"/>
  <c r="D1034" i="1"/>
  <c r="AA1033" i="1"/>
  <c r="Z1033" i="1"/>
  <c r="R1033" i="1"/>
  <c r="P1033" i="1"/>
  <c r="K1033" i="1"/>
  <c r="J1033" i="1"/>
  <c r="E1033" i="1"/>
  <c r="D1033" i="1"/>
  <c r="AA1032" i="1"/>
  <c r="Z1032" i="1"/>
  <c r="R1032" i="1"/>
  <c r="P1032" i="1"/>
  <c r="K1032" i="1"/>
  <c r="J1032" i="1"/>
  <c r="E1032" i="1"/>
  <c r="D1032" i="1"/>
  <c r="AA1031" i="1"/>
  <c r="AB1031" i="1" s="1"/>
  <c r="Z1031" i="1"/>
  <c r="R1031" i="1"/>
  <c r="P1031" i="1"/>
  <c r="K1031" i="1"/>
  <c r="J1031" i="1"/>
  <c r="E1031" i="1"/>
  <c r="D1031" i="1"/>
  <c r="AB1030" i="1"/>
  <c r="AA1030" i="1"/>
  <c r="Z1030" i="1"/>
  <c r="R1030" i="1"/>
  <c r="P1030" i="1"/>
  <c r="K1030" i="1"/>
  <c r="J1030" i="1"/>
  <c r="E1030" i="1"/>
  <c r="D1030" i="1"/>
  <c r="AA1029" i="1"/>
  <c r="Z1029" i="1"/>
  <c r="R1029" i="1"/>
  <c r="P1029" i="1"/>
  <c r="K1029" i="1"/>
  <c r="J1029" i="1"/>
  <c r="E1029" i="1"/>
  <c r="D1029" i="1"/>
  <c r="AA1028" i="1"/>
  <c r="Z1028" i="1"/>
  <c r="AB1028" i="1" s="1"/>
  <c r="R1028" i="1"/>
  <c r="P1028" i="1"/>
  <c r="K1028" i="1"/>
  <c r="J1028" i="1"/>
  <c r="E1028" i="1"/>
  <c r="D1028" i="1"/>
  <c r="AA1027" i="1"/>
  <c r="Z1027" i="1"/>
  <c r="AB1027" i="1" s="1"/>
  <c r="R1027" i="1"/>
  <c r="P1027" i="1"/>
  <c r="K1027" i="1"/>
  <c r="J1027" i="1"/>
  <c r="E1027" i="1"/>
  <c r="D1027" i="1"/>
  <c r="AA1026" i="1"/>
  <c r="Z1026" i="1"/>
  <c r="AB1026" i="1" s="1"/>
  <c r="R1026" i="1"/>
  <c r="P1026" i="1"/>
  <c r="K1026" i="1"/>
  <c r="J1026" i="1"/>
  <c r="E1026" i="1"/>
  <c r="D1026" i="1"/>
  <c r="AA1025" i="1"/>
  <c r="Z1025" i="1"/>
  <c r="R1025" i="1"/>
  <c r="P1025" i="1"/>
  <c r="K1025" i="1"/>
  <c r="J1025" i="1"/>
  <c r="E1025" i="1"/>
  <c r="D1025" i="1"/>
  <c r="AB1024" i="1"/>
  <c r="AA1024" i="1"/>
  <c r="Z1024" i="1"/>
  <c r="R1024" i="1"/>
  <c r="P1024" i="1"/>
  <c r="K1024" i="1"/>
  <c r="J1024" i="1"/>
  <c r="E1024" i="1"/>
  <c r="D1024" i="1"/>
  <c r="AB1023" i="1"/>
  <c r="AA1023" i="1"/>
  <c r="Z1023" i="1"/>
  <c r="R1023" i="1"/>
  <c r="P1023" i="1"/>
  <c r="K1023" i="1"/>
  <c r="J1023" i="1"/>
  <c r="E1023" i="1"/>
  <c r="D1023" i="1"/>
  <c r="AA1022" i="1"/>
  <c r="Z1022" i="1"/>
  <c r="AB1022" i="1" s="1"/>
  <c r="R1022" i="1"/>
  <c r="P1022" i="1"/>
  <c r="K1022" i="1"/>
  <c r="J1022" i="1"/>
  <c r="E1022" i="1"/>
  <c r="D1022" i="1"/>
  <c r="AA1021" i="1"/>
  <c r="Z1021" i="1"/>
  <c r="R1021" i="1"/>
  <c r="P1021" i="1"/>
  <c r="K1021" i="1"/>
  <c r="J1021" i="1"/>
  <c r="E1021" i="1"/>
  <c r="D1021" i="1"/>
  <c r="AA1020" i="1"/>
  <c r="AB1020" i="1" s="1"/>
  <c r="Z1020" i="1"/>
  <c r="R1020" i="1"/>
  <c r="P1020" i="1"/>
  <c r="K1020" i="1"/>
  <c r="J1020" i="1"/>
  <c r="E1020" i="1"/>
  <c r="D1020" i="1"/>
  <c r="AB1019" i="1"/>
  <c r="AA1019" i="1"/>
  <c r="Z1019" i="1"/>
  <c r="R1019" i="1"/>
  <c r="P1019" i="1"/>
  <c r="K1019" i="1"/>
  <c r="J1019" i="1"/>
  <c r="E1019" i="1"/>
  <c r="D1019" i="1"/>
  <c r="AB1018" i="1"/>
  <c r="AA1018" i="1"/>
  <c r="Z1018" i="1"/>
  <c r="R1018" i="1"/>
  <c r="P1018" i="1"/>
  <c r="K1018" i="1"/>
  <c r="J1018" i="1"/>
  <c r="E1018" i="1"/>
  <c r="D1018" i="1"/>
  <c r="AA1017" i="1"/>
  <c r="Z1017" i="1"/>
  <c r="AB1017" i="1" s="1"/>
  <c r="R1017" i="1"/>
  <c r="P1017" i="1"/>
  <c r="K1017" i="1"/>
  <c r="J1017" i="1"/>
  <c r="E1017" i="1"/>
  <c r="D1017" i="1"/>
  <c r="AA1016" i="1"/>
  <c r="Z1016" i="1"/>
  <c r="AB1016" i="1" s="1"/>
  <c r="R1016" i="1"/>
  <c r="P1016" i="1"/>
  <c r="K1016" i="1"/>
  <c r="J1016" i="1"/>
  <c r="E1016" i="1"/>
  <c r="D1016" i="1"/>
  <c r="AA1015" i="1"/>
  <c r="Z1015" i="1"/>
  <c r="AB1015" i="1" s="1"/>
  <c r="R1015" i="1"/>
  <c r="P1015" i="1"/>
  <c r="K1015" i="1"/>
  <c r="J1015" i="1"/>
  <c r="E1015" i="1"/>
  <c r="D1015" i="1"/>
  <c r="AB1014" i="1"/>
  <c r="AA1014" i="1"/>
  <c r="Z1014" i="1"/>
  <c r="R1014" i="1"/>
  <c r="P1014" i="1"/>
  <c r="K1014" i="1"/>
  <c r="J1014" i="1"/>
  <c r="E1014" i="1"/>
  <c r="D1014" i="1"/>
  <c r="AA1013" i="1"/>
  <c r="Z1013" i="1"/>
  <c r="R1013" i="1"/>
  <c r="P1013" i="1"/>
  <c r="K1013" i="1"/>
  <c r="J1013" i="1"/>
  <c r="E1013" i="1"/>
  <c r="D1013" i="1"/>
  <c r="AB1012" i="1"/>
  <c r="AA1012" i="1"/>
  <c r="Z1012" i="1"/>
  <c r="R1012" i="1"/>
  <c r="P1012" i="1"/>
  <c r="K1012" i="1"/>
  <c r="J1012" i="1"/>
  <c r="E1012" i="1"/>
  <c r="D1012" i="1"/>
  <c r="AA1011" i="1"/>
  <c r="Z1011" i="1"/>
  <c r="AB1011" i="1" s="1"/>
  <c r="R1011" i="1"/>
  <c r="P1011" i="1"/>
  <c r="K1011" i="1"/>
  <c r="J1011" i="1"/>
  <c r="E1011" i="1"/>
  <c r="D1011" i="1"/>
  <c r="AA1010" i="1"/>
  <c r="AB1010" i="1" s="1"/>
  <c r="Z1010" i="1"/>
  <c r="R1010" i="1"/>
  <c r="P1010" i="1"/>
  <c r="K1010" i="1"/>
  <c r="J1010" i="1"/>
  <c r="E1010" i="1"/>
  <c r="D1010" i="1"/>
  <c r="AA1009" i="1"/>
  <c r="Z1009" i="1"/>
  <c r="R1009" i="1"/>
  <c r="P1009" i="1"/>
  <c r="K1009" i="1"/>
  <c r="J1009" i="1"/>
  <c r="E1009" i="1"/>
  <c r="D1009" i="1"/>
  <c r="AB1008" i="1"/>
  <c r="AA1008" i="1"/>
  <c r="Z1008" i="1"/>
  <c r="R1008" i="1"/>
  <c r="P1008" i="1"/>
  <c r="K1008" i="1"/>
  <c r="J1008" i="1"/>
  <c r="E1008" i="1"/>
  <c r="D1008" i="1"/>
  <c r="AB1007" i="1"/>
  <c r="AA1007" i="1"/>
  <c r="Z1007" i="1"/>
  <c r="R1007" i="1"/>
  <c r="P1007" i="1"/>
  <c r="K1007" i="1"/>
  <c r="J1007" i="1"/>
  <c r="E1007" i="1"/>
  <c r="D1007" i="1"/>
  <c r="AA1006" i="1"/>
  <c r="Z1006" i="1"/>
  <c r="AB1006" i="1" s="1"/>
  <c r="R1006" i="1"/>
  <c r="P1006" i="1"/>
  <c r="K1006" i="1"/>
  <c r="J1006" i="1"/>
  <c r="E1006" i="1"/>
  <c r="D1006" i="1"/>
  <c r="AA1005" i="1"/>
  <c r="Z1005" i="1"/>
  <c r="AB1005" i="1" s="1"/>
  <c r="R1005" i="1"/>
  <c r="P1005" i="1"/>
  <c r="K1005" i="1"/>
  <c r="J1005" i="1"/>
  <c r="E1005" i="1"/>
  <c r="D1005" i="1"/>
  <c r="AA1004" i="1"/>
  <c r="Z1004" i="1"/>
  <c r="R1004" i="1"/>
  <c r="P1004" i="1"/>
  <c r="K1004" i="1"/>
  <c r="J1004" i="1"/>
  <c r="E1004" i="1"/>
  <c r="D1004" i="1"/>
  <c r="AB1003" i="1"/>
  <c r="AA1003" i="1"/>
  <c r="Z1003" i="1"/>
  <c r="R1003" i="1"/>
  <c r="P1003" i="1"/>
  <c r="K1003" i="1"/>
  <c r="J1003" i="1"/>
  <c r="E1003" i="1"/>
  <c r="D1003" i="1"/>
  <c r="AA1002" i="1"/>
  <c r="Z1002" i="1"/>
  <c r="AB1002" i="1" s="1"/>
  <c r="R1002" i="1"/>
  <c r="P1002" i="1"/>
  <c r="K1002" i="1"/>
  <c r="J1002" i="1"/>
  <c r="E1002" i="1"/>
  <c r="D1002" i="1"/>
  <c r="AA1001" i="1"/>
  <c r="Z1001" i="1"/>
  <c r="AB1001" i="1" s="1"/>
  <c r="R1001" i="1"/>
  <c r="P1001" i="1"/>
  <c r="K1001" i="1"/>
  <c r="J1001" i="1"/>
  <c r="E1001" i="1"/>
  <c r="D1001" i="1"/>
  <c r="AA1000" i="1"/>
  <c r="Z1000" i="1"/>
  <c r="AB1000" i="1" s="1"/>
  <c r="R1000" i="1"/>
  <c r="P1000" i="1"/>
  <c r="K1000" i="1"/>
  <c r="J1000" i="1"/>
  <c r="E1000" i="1"/>
  <c r="D1000" i="1"/>
  <c r="AA999" i="1"/>
  <c r="AB999" i="1" s="1"/>
  <c r="Z999" i="1"/>
  <c r="R999" i="1"/>
  <c r="P999" i="1"/>
  <c r="K999" i="1"/>
  <c r="J999" i="1"/>
  <c r="E999" i="1"/>
  <c r="D999" i="1"/>
  <c r="AB998" i="1"/>
  <c r="AA998" i="1"/>
  <c r="Z998" i="1"/>
  <c r="R998" i="1"/>
  <c r="P998" i="1"/>
  <c r="K998" i="1"/>
  <c r="J998" i="1"/>
  <c r="E998" i="1"/>
  <c r="D998" i="1"/>
  <c r="AA997" i="1"/>
  <c r="Z997" i="1"/>
  <c r="R997" i="1"/>
  <c r="P997" i="1"/>
  <c r="K997" i="1"/>
  <c r="J997" i="1"/>
  <c r="E997" i="1"/>
  <c r="D997" i="1"/>
  <c r="AB996" i="1"/>
  <c r="AA996" i="1"/>
  <c r="Z996" i="1"/>
  <c r="R996" i="1"/>
  <c r="P996" i="1"/>
  <c r="K996" i="1"/>
  <c r="J996" i="1"/>
  <c r="E996" i="1"/>
  <c r="D996" i="1"/>
  <c r="AA995" i="1"/>
  <c r="Z995" i="1"/>
  <c r="R995" i="1"/>
  <c r="P995" i="1"/>
  <c r="K995" i="1"/>
  <c r="J995" i="1"/>
  <c r="E995" i="1"/>
  <c r="D995" i="1"/>
  <c r="AA994" i="1"/>
  <c r="AB994" i="1" s="1"/>
  <c r="Z994" i="1"/>
  <c r="R994" i="1"/>
  <c r="P994" i="1"/>
  <c r="K994" i="1"/>
  <c r="J994" i="1"/>
  <c r="E994" i="1"/>
  <c r="D994" i="1"/>
  <c r="AA993" i="1"/>
  <c r="Z993" i="1"/>
  <c r="R993" i="1"/>
  <c r="P993" i="1"/>
  <c r="K993" i="1"/>
  <c r="J993" i="1"/>
  <c r="E993" i="1"/>
  <c r="D993" i="1"/>
  <c r="AB992" i="1"/>
  <c r="AA992" i="1"/>
  <c r="Z992" i="1"/>
  <c r="R992" i="1"/>
  <c r="P992" i="1"/>
  <c r="K992" i="1"/>
  <c r="J992" i="1"/>
  <c r="E992" i="1"/>
  <c r="D992" i="1"/>
  <c r="AA991" i="1"/>
  <c r="Z991" i="1"/>
  <c r="AB991" i="1" s="1"/>
  <c r="R991" i="1"/>
  <c r="P991" i="1"/>
  <c r="K991" i="1"/>
  <c r="J991" i="1"/>
  <c r="E991" i="1"/>
  <c r="D991" i="1"/>
  <c r="AA990" i="1"/>
  <c r="Z990" i="1"/>
  <c r="AB990" i="1" s="1"/>
  <c r="R990" i="1"/>
  <c r="P990" i="1"/>
  <c r="K990" i="1"/>
  <c r="J990" i="1"/>
  <c r="E990" i="1"/>
  <c r="D990" i="1"/>
  <c r="AA989" i="1"/>
  <c r="Z989" i="1"/>
  <c r="AB989" i="1" s="1"/>
  <c r="R989" i="1"/>
  <c r="P989" i="1"/>
  <c r="K989" i="1"/>
  <c r="J989" i="1"/>
  <c r="E989" i="1"/>
  <c r="D989" i="1"/>
  <c r="AB988" i="1"/>
  <c r="AA988" i="1"/>
  <c r="Z988" i="1"/>
  <c r="R988" i="1"/>
  <c r="P988" i="1"/>
  <c r="K988" i="1"/>
  <c r="J988" i="1"/>
  <c r="E988" i="1"/>
  <c r="D988" i="1"/>
  <c r="AB987" i="1"/>
  <c r="AA987" i="1"/>
  <c r="Z987" i="1"/>
  <c r="R987" i="1"/>
  <c r="P987" i="1"/>
  <c r="K987" i="1"/>
  <c r="J987" i="1"/>
  <c r="E987" i="1"/>
  <c r="D987" i="1"/>
  <c r="AB986" i="1"/>
  <c r="AA986" i="1"/>
  <c r="Z986" i="1"/>
  <c r="R986" i="1"/>
  <c r="P986" i="1"/>
  <c r="K986" i="1"/>
  <c r="J986" i="1"/>
  <c r="E986" i="1"/>
  <c r="D986" i="1"/>
  <c r="AA985" i="1"/>
  <c r="Z985" i="1"/>
  <c r="R985" i="1"/>
  <c r="P985" i="1"/>
  <c r="K985" i="1"/>
  <c r="J985" i="1"/>
  <c r="E985" i="1"/>
  <c r="D985" i="1"/>
  <c r="AA984" i="1"/>
  <c r="Z984" i="1"/>
  <c r="R984" i="1"/>
  <c r="P984" i="1"/>
  <c r="K984" i="1"/>
  <c r="J984" i="1"/>
  <c r="E984" i="1"/>
  <c r="D984" i="1"/>
  <c r="AA983" i="1"/>
  <c r="AB983" i="1" s="1"/>
  <c r="Z983" i="1"/>
  <c r="R983" i="1"/>
  <c r="P983" i="1"/>
  <c r="K983" i="1"/>
  <c r="J983" i="1"/>
  <c r="E983" i="1"/>
  <c r="D983" i="1"/>
  <c r="AB982" i="1"/>
  <c r="AA982" i="1"/>
  <c r="Z982" i="1"/>
  <c r="R982" i="1"/>
  <c r="P982" i="1"/>
  <c r="K982" i="1"/>
  <c r="J982" i="1"/>
  <c r="E982" i="1"/>
  <c r="D982" i="1"/>
  <c r="AA981" i="1"/>
  <c r="Z981" i="1"/>
  <c r="R981" i="1"/>
  <c r="P981" i="1"/>
  <c r="K981" i="1"/>
  <c r="J981" i="1"/>
  <c r="E981" i="1"/>
  <c r="D981" i="1"/>
  <c r="AA980" i="1"/>
  <c r="Z980" i="1"/>
  <c r="AB980" i="1" s="1"/>
  <c r="R980" i="1"/>
  <c r="P980" i="1"/>
  <c r="K980" i="1"/>
  <c r="J980" i="1"/>
  <c r="E980" i="1"/>
  <c r="D980" i="1"/>
  <c r="AA979" i="1"/>
  <c r="Z979" i="1"/>
  <c r="AB979" i="1" s="1"/>
  <c r="R979" i="1"/>
  <c r="P979" i="1"/>
  <c r="K979" i="1"/>
  <c r="J979" i="1"/>
  <c r="E979" i="1"/>
  <c r="D979" i="1"/>
  <c r="AA978" i="1"/>
  <c r="Z978" i="1"/>
  <c r="R978" i="1"/>
  <c r="P978" i="1"/>
  <c r="K978" i="1"/>
  <c r="J978" i="1"/>
  <c r="E978" i="1"/>
  <c r="D978" i="1"/>
  <c r="AA977" i="1"/>
  <c r="Z977" i="1"/>
  <c r="R977" i="1"/>
  <c r="P977" i="1"/>
  <c r="K977" i="1"/>
  <c r="J977" i="1"/>
  <c r="E977" i="1"/>
  <c r="D977" i="1"/>
  <c r="AB976" i="1"/>
  <c r="AA976" i="1"/>
  <c r="Z976" i="1"/>
  <c r="R976" i="1"/>
  <c r="P976" i="1"/>
  <c r="K976" i="1"/>
  <c r="J976" i="1"/>
  <c r="E976" i="1"/>
  <c r="D976" i="1"/>
  <c r="AB975" i="1"/>
  <c r="AA975" i="1"/>
  <c r="Z975" i="1"/>
  <c r="R975" i="1"/>
  <c r="P975" i="1"/>
  <c r="K975" i="1"/>
  <c r="J975" i="1"/>
  <c r="E975" i="1"/>
  <c r="D975" i="1"/>
  <c r="AA974" i="1"/>
  <c r="Z974" i="1"/>
  <c r="AB974" i="1" s="1"/>
  <c r="R974" i="1"/>
  <c r="P974" i="1"/>
  <c r="K974" i="1"/>
  <c r="J974" i="1"/>
  <c r="E974" i="1"/>
  <c r="D974" i="1"/>
  <c r="AA973" i="1"/>
  <c r="Z973" i="1"/>
  <c r="R973" i="1"/>
  <c r="P973" i="1"/>
  <c r="K973" i="1"/>
  <c r="J973" i="1"/>
  <c r="E973" i="1"/>
  <c r="D973" i="1"/>
  <c r="AA972" i="1"/>
  <c r="AB972" i="1" s="1"/>
  <c r="Z972" i="1"/>
  <c r="R972" i="1"/>
  <c r="P972" i="1"/>
  <c r="K972" i="1"/>
  <c r="J972" i="1"/>
  <c r="E972" i="1"/>
  <c r="D972" i="1"/>
  <c r="AB971" i="1"/>
  <c r="AA971" i="1"/>
  <c r="Z971" i="1"/>
  <c r="R971" i="1"/>
  <c r="P971" i="1"/>
  <c r="K971" i="1"/>
  <c r="J971" i="1"/>
  <c r="E971" i="1"/>
  <c r="D971" i="1"/>
  <c r="AB970" i="1"/>
  <c r="AA970" i="1"/>
  <c r="Z970" i="1"/>
  <c r="R970" i="1"/>
  <c r="P970" i="1"/>
  <c r="K970" i="1"/>
  <c r="J970" i="1"/>
  <c r="E970" i="1"/>
  <c r="D970" i="1"/>
  <c r="AA969" i="1"/>
  <c r="Z969" i="1"/>
  <c r="AB969" i="1" s="1"/>
  <c r="R969" i="1"/>
  <c r="P969" i="1"/>
  <c r="K969" i="1"/>
  <c r="J969" i="1"/>
  <c r="E969" i="1"/>
  <c r="D969" i="1"/>
  <c r="AA968" i="1"/>
  <c r="Z968" i="1"/>
  <c r="AB968" i="1" s="1"/>
  <c r="R968" i="1"/>
  <c r="P968" i="1"/>
  <c r="K968" i="1"/>
  <c r="J968" i="1"/>
  <c r="E968" i="1"/>
  <c r="D968" i="1"/>
  <c r="AA967" i="1"/>
  <c r="Z967" i="1"/>
  <c r="AB967" i="1" s="1"/>
  <c r="R967" i="1"/>
  <c r="P967" i="1"/>
  <c r="K967" i="1"/>
  <c r="J967" i="1"/>
  <c r="E967" i="1"/>
  <c r="D967" i="1"/>
  <c r="AB966" i="1"/>
  <c r="AA966" i="1"/>
  <c r="Z966" i="1"/>
  <c r="R966" i="1"/>
  <c r="P966" i="1"/>
  <c r="K966" i="1"/>
  <c r="J966" i="1"/>
  <c r="E966" i="1"/>
  <c r="D966" i="1"/>
  <c r="AA965" i="1"/>
  <c r="Z965" i="1"/>
  <c r="AB965" i="1" s="1"/>
  <c r="R965" i="1"/>
  <c r="P965" i="1"/>
  <c r="K965" i="1"/>
  <c r="J965" i="1"/>
  <c r="E965" i="1"/>
  <c r="D965" i="1"/>
  <c r="AB964" i="1"/>
  <c r="AA964" i="1"/>
  <c r="Z964" i="1"/>
  <c r="R964" i="1"/>
  <c r="P964" i="1"/>
  <c r="K964" i="1"/>
  <c r="J964" i="1"/>
  <c r="E964" i="1"/>
  <c r="D964" i="1"/>
  <c r="AA963" i="1"/>
  <c r="Z963" i="1"/>
  <c r="AB963" i="1" s="1"/>
  <c r="R963" i="1"/>
  <c r="P963" i="1"/>
  <c r="K963" i="1"/>
  <c r="J963" i="1"/>
  <c r="E963" i="1"/>
  <c r="D963" i="1"/>
  <c r="AA962" i="1"/>
  <c r="AB962" i="1" s="1"/>
  <c r="Z962" i="1"/>
  <c r="R962" i="1"/>
  <c r="P962" i="1"/>
  <c r="K962" i="1"/>
  <c r="J962" i="1"/>
  <c r="E962" i="1"/>
  <c r="D962" i="1"/>
  <c r="AA961" i="1"/>
  <c r="Z961" i="1"/>
  <c r="R961" i="1"/>
  <c r="P961" i="1"/>
  <c r="K961" i="1"/>
  <c r="J961" i="1"/>
  <c r="E961" i="1"/>
  <c r="D961" i="1"/>
  <c r="AB960" i="1"/>
  <c r="AA960" i="1"/>
  <c r="Z960" i="1"/>
  <c r="R960" i="1"/>
  <c r="P960" i="1"/>
  <c r="K960" i="1"/>
  <c r="J960" i="1"/>
  <c r="E960" i="1"/>
  <c r="D960" i="1"/>
  <c r="AB959" i="1"/>
  <c r="AA959" i="1"/>
  <c r="Z959" i="1"/>
  <c r="R959" i="1"/>
  <c r="P959" i="1"/>
  <c r="K959" i="1"/>
  <c r="J959" i="1"/>
  <c r="E959" i="1"/>
  <c r="D959" i="1"/>
  <c r="AA958" i="1"/>
  <c r="Z958" i="1"/>
  <c r="AB958" i="1" s="1"/>
  <c r="R958" i="1"/>
  <c r="P958" i="1"/>
  <c r="K958" i="1"/>
  <c r="J958" i="1"/>
  <c r="E958" i="1"/>
  <c r="D958" i="1"/>
  <c r="AA957" i="1"/>
  <c r="Z957" i="1"/>
  <c r="AB957" i="1" s="1"/>
  <c r="R957" i="1"/>
  <c r="P957" i="1"/>
  <c r="K957" i="1"/>
  <c r="J957" i="1"/>
  <c r="E957" i="1"/>
  <c r="D957" i="1"/>
  <c r="AA956" i="1"/>
  <c r="Z956" i="1"/>
  <c r="R956" i="1"/>
  <c r="P956" i="1"/>
  <c r="K956" i="1"/>
  <c r="J956" i="1"/>
  <c r="E956" i="1"/>
  <c r="D956" i="1"/>
  <c r="AB955" i="1"/>
  <c r="AA955" i="1"/>
  <c r="Z955" i="1"/>
  <c r="R955" i="1"/>
  <c r="P955" i="1"/>
  <c r="K955" i="1"/>
  <c r="J955" i="1"/>
  <c r="E955" i="1"/>
  <c r="D955" i="1"/>
  <c r="AA954" i="1"/>
  <c r="Z954" i="1"/>
  <c r="AB954" i="1" s="1"/>
  <c r="R954" i="1"/>
  <c r="P954" i="1"/>
  <c r="K954" i="1"/>
  <c r="J954" i="1"/>
  <c r="E954" i="1"/>
  <c r="D954" i="1"/>
  <c r="AA953" i="1"/>
  <c r="Z953" i="1"/>
  <c r="AB953" i="1" s="1"/>
  <c r="R953" i="1"/>
  <c r="P953" i="1"/>
  <c r="K953" i="1"/>
  <c r="J953" i="1"/>
  <c r="E953" i="1"/>
  <c r="D953" i="1"/>
  <c r="AA952" i="1"/>
  <c r="Z952" i="1"/>
  <c r="AB952" i="1" s="1"/>
  <c r="R952" i="1"/>
  <c r="P952" i="1"/>
  <c r="K952" i="1"/>
  <c r="J952" i="1"/>
  <c r="E952" i="1"/>
  <c r="D952" i="1"/>
  <c r="AB951" i="1"/>
  <c r="AA951" i="1"/>
  <c r="Z951" i="1"/>
  <c r="R951" i="1"/>
  <c r="P951" i="1"/>
  <c r="K951" i="1"/>
  <c r="J951" i="1"/>
  <c r="E951" i="1"/>
  <c r="D951" i="1"/>
  <c r="AB950" i="1"/>
  <c r="AA950" i="1"/>
  <c r="Z950" i="1"/>
  <c r="R950" i="1"/>
  <c r="P950" i="1"/>
  <c r="K950" i="1"/>
  <c r="J950" i="1"/>
  <c r="E950" i="1"/>
  <c r="D950" i="1"/>
  <c r="AA949" i="1"/>
  <c r="Z949" i="1"/>
  <c r="R949" i="1"/>
  <c r="P949" i="1"/>
  <c r="K949" i="1"/>
  <c r="J949" i="1"/>
  <c r="E949" i="1"/>
  <c r="D949" i="1"/>
  <c r="AB948" i="1"/>
  <c r="AA948" i="1"/>
  <c r="Z948" i="1"/>
  <c r="R948" i="1"/>
  <c r="P948" i="1"/>
  <c r="K948" i="1"/>
  <c r="J948" i="1"/>
  <c r="E948" i="1"/>
  <c r="D948" i="1"/>
  <c r="AA947" i="1"/>
  <c r="Z947" i="1"/>
  <c r="R947" i="1"/>
  <c r="P947" i="1"/>
  <c r="K947" i="1"/>
  <c r="J947" i="1"/>
  <c r="E947" i="1"/>
  <c r="D947" i="1"/>
  <c r="AA946" i="1"/>
  <c r="AB946" i="1" s="1"/>
  <c r="Z946" i="1"/>
  <c r="R946" i="1"/>
  <c r="P946" i="1"/>
  <c r="K946" i="1"/>
  <c r="J946" i="1"/>
  <c r="E946" i="1"/>
  <c r="D946" i="1"/>
  <c r="AA945" i="1"/>
  <c r="Z945" i="1"/>
  <c r="R945" i="1"/>
  <c r="P945" i="1"/>
  <c r="K945" i="1"/>
  <c r="J945" i="1"/>
  <c r="E945" i="1"/>
  <c r="D945" i="1"/>
  <c r="AB944" i="1"/>
  <c r="AA944" i="1"/>
  <c r="Z944" i="1"/>
  <c r="R944" i="1"/>
  <c r="P944" i="1"/>
  <c r="K944" i="1"/>
  <c r="J944" i="1"/>
  <c r="E944" i="1"/>
  <c r="D944" i="1"/>
  <c r="AA943" i="1"/>
  <c r="Z943" i="1"/>
  <c r="AB943" i="1" s="1"/>
  <c r="R943" i="1"/>
  <c r="P943" i="1"/>
  <c r="K943" i="1"/>
  <c r="J943" i="1"/>
  <c r="E943" i="1"/>
  <c r="D943" i="1"/>
  <c r="AA942" i="1"/>
  <c r="Z942" i="1"/>
  <c r="AB942" i="1" s="1"/>
  <c r="R942" i="1"/>
  <c r="P942" i="1"/>
  <c r="K942" i="1"/>
  <c r="J942" i="1"/>
  <c r="E942" i="1"/>
  <c r="D942" i="1"/>
  <c r="AA941" i="1"/>
  <c r="Z941" i="1"/>
  <c r="AB941" i="1" s="1"/>
  <c r="R941" i="1"/>
  <c r="P941" i="1"/>
  <c r="K941" i="1"/>
  <c r="J941" i="1"/>
  <c r="E941" i="1"/>
  <c r="D941" i="1"/>
  <c r="AB940" i="1"/>
  <c r="AA940" i="1"/>
  <c r="Z940" i="1"/>
  <c r="R940" i="1"/>
  <c r="P940" i="1"/>
  <c r="K940" i="1"/>
  <c r="J940" i="1"/>
  <c r="E940" i="1"/>
  <c r="D940" i="1"/>
  <c r="AB939" i="1"/>
  <c r="AA939" i="1"/>
  <c r="Z939" i="1"/>
  <c r="R939" i="1"/>
  <c r="P939" i="1"/>
  <c r="K939" i="1"/>
  <c r="J939" i="1"/>
  <c r="E939" i="1"/>
  <c r="D939" i="1"/>
  <c r="AB938" i="1"/>
  <c r="AA938" i="1"/>
  <c r="Z938" i="1"/>
  <c r="R938" i="1"/>
  <c r="P938" i="1"/>
  <c r="K938" i="1"/>
  <c r="J938" i="1"/>
  <c r="E938" i="1"/>
  <c r="D938" i="1"/>
  <c r="AA937" i="1"/>
  <c r="Z937" i="1"/>
  <c r="R937" i="1"/>
  <c r="P937" i="1"/>
  <c r="K937" i="1"/>
  <c r="J937" i="1"/>
  <c r="E937" i="1"/>
  <c r="D937" i="1"/>
  <c r="AA936" i="1"/>
  <c r="Z936" i="1"/>
  <c r="R936" i="1"/>
  <c r="P936" i="1"/>
  <c r="K936" i="1"/>
  <c r="J936" i="1"/>
  <c r="E936" i="1"/>
  <c r="D936" i="1"/>
  <c r="AA935" i="1"/>
  <c r="AB935" i="1" s="1"/>
  <c r="Z935" i="1"/>
  <c r="R935" i="1"/>
  <c r="P935" i="1"/>
  <c r="K935" i="1"/>
  <c r="J935" i="1"/>
  <c r="E935" i="1"/>
  <c r="D935" i="1"/>
  <c r="AB934" i="1"/>
  <c r="AA934" i="1"/>
  <c r="Z934" i="1"/>
  <c r="R934" i="1"/>
  <c r="P934" i="1"/>
  <c r="K934" i="1"/>
  <c r="J934" i="1"/>
  <c r="E934" i="1"/>
  <c r="D934" i="1"/>
  <c r="AA933" i="1"/>
  <c r="Z933" i="1"/>
  <c r="R933" i="1"/>
  <c r="P933" i="1"/>
  <c r="K933" i="1"/>
  <c r="J933" i="1"/>
  <c r="E933" i="1"/>
  <c r="D933" i="1"/>
  <c r="AA932" i="1"/>
  <c r="Z932" i="1"/>
  <c r="AB932" i="1" s="1"/>
  <c r="R932" i="1"/>
  <c r="P932" i="1"/>
  <c r="K932" i="1"/>
  <c r="J932" i="1"/>
  <c r="E932" i="1"/>
  <c r="D932" i="1"/>
  <c r="AA931" i="1"/>
  <c r="Z931" i="1"/>
  <c r="AB931" i="1" s="1"/>
  <c r="R931" i="1"/>
  <c r="P931" i="1"/>
  <c r="K931" i="1"/>
  <c r="J931" i="1"/>
  <c r="E931" i="1"/>
  <c r="D931" i="1"/>
  <c r="AA930" i="1"/>
  <c r="Z930" i="1"/>
  <c r="R930" i="1"/>
  <c r="P930" i="1"/>
  <c r="K930" i="1"/>
  <c r="J930" i="1"/>
  <c r="E930" i="1"/>
  <c r="D930" i="1"/>
  <c r="AA929" i="1"/>
  <c r="Z929" i="1"/>
  <c r="R929" i="1"/>
  <c r="P929" i="1"/>
  <c r="K929" i="1"/>
  <c r="J929" i="1"/>
  <c r="E929" i="1"/>
  <c r="D929" i="1"/>
  <c r="AB928" i="1"/>
  <c r="AA928" i="1"/>
  <c r="Z928" i="1"/>
  <c r="R928" i="1"/>
  <c r="P928" i="1"/>
  <c r="K928" i="1"/>
  <c r="J928" i="1"/>
  <c r="E928" i="1"/>
  <c r="D928" i="1"/>
  <c r="AB927" i="1"/>
  <c r="AA927" i="1"/>
  <c r="Z927" i="1"/>
  <c r="R927" i="1"/>
  <c r="P927" i="1"/>
  <c r="K927" i="1"/>
  <c r="J927" i="1"/>
  <c r="E927" i="1"/>
  <c r="D927" i="1"/>
  <c r="AA926" i="1"/>
  <c r="Z926" i="1"/>
  <c r="AB926" i="1" s="1"/>
  <c r="R926" i="1"/>
  <c r="P926" i="1"/>
  <c r="K926" i="1"/>
  <c r="J926" i="1"/>
  <c r="E926" i="1"/>
  <c r="D926" i="1"/>
  <c r="AA925" i="1"/>
  <c r="Z925" i="1"/>
  <c r="R925" i="1"/>
  <c r="P925" i="1"/>
  <c r="K925" i="1"/>
  <c r="J925" i="1"/>
  <c r="E925" i="1"/>
  <c r="D925" i="1"/>
  <c r="AA924" i="1"/>
  <c r="AB924" i="1" s="1"/>
  <c r="Z924" i="1"/>
  <c r="R924" i="1"/>
  <c r="P924" i="1"/>
  <c r="K924" i="1"/>
  <c r="J924" i="1"/>
  <c r="E924" i="1"/>
  <c r="D924" i="1"/>
  <c r="AB923" i="1"/>
  <c r="AA923" i="1"/>
  <c r="Z923" i="1"/>
  <c r="R923" i="1"/>
  <c r="P923" i="1"/>
  <c r="K923" i="1"/>
  <c r="J923" i="1"/>
  <c r="E923" i="1"/>
  <c r="D923" i="1"/>
  <c r="AB922" i="1"/>
  <c r="AA922" i="1"/>
  <c r="Z922" i="1"/>
  <c r="R922" i="1"/>
  <c r="P922" i="1"/>
  <c r="K922" i="1"/>
  <c r="J922" i="1"/>
  <c r="E922" i="1"/>
  <c r="D922" i="1"/>
  <c r="AA921" i="1"/>
  <c r="Z921" i="1"/>
  <c r="AB921" i="1" s="1"/>
  <c r="R921" i="1"/>
  <c r="P921" i="1"/>
  <c r="K921" i="1"/>
  <c r="J921" i="1"/>
  <c r="E921" i="1"/>
  <c r="D921" i="1"/>
  <c r="AA920" i="1"/>
  <c r="Z920" i="1"/>
  <c r="AB920" i="1" s="1"/>
  <c r="R920" i="1"/>
  <c r="P920" i="1"/>
  <c r="K920" i="1"/>
  <c r="J920" i="1"/>
  <c r="E920" i="1"/>
  <c r="D920" i="1"/>
  <c r="AA919" i="1"/>
  <c r="Z919" i="1"/>
  <c r="AB919" i="1" s="1"/>
  <c r="R919" i="1"/>
  <c r="P919" i="1"/>
  <c r="K919" i="1"/>
  <c r="J919" i="1"/>
  <c r="E919" i="1"/>
  <c r="D919" i="1"/>
  <c r="AB918" i="1"/>
  <c r="AA918" i="1"/>
  <c r="Z918" i="1"/>
  <c r="R918" i="1"/>
  <c r="P918" i="1"/>
  <c r="K918" i="1"/>
  <c r="J918" i="1"/>
  <c r="E918" i="1"/>
  <c r="D918" i="1"/>
  <c r="AA917" i="1"/>
  <c r="Z917" i="1"/>
  <c r="R917" i="1"/>
  <c r="P917" i="1"/>
  <c r="K917" i="1"/>
  <c r="J917" i="1"/>
  <c r="E917" i="1"/>
  <c r="D917" i="1"/>
  <c r="AB916" i="1"/>
  <c r="AA916" i="1"/>
  <c r="Z916" i="1"/>
  <c r="R916" i="1"/>
  <c r="P916" i="1"/>
  <c r="K916" i="1"/>
  <c r="J916" i="1"/>
  <c r="E916" i="1"/>
  <c r="D916" i="1"/>
  <c r="AA915" i="1"/>
  <c r="Z915" i="1"/>
  <c r="AB915" i="1" s="1"/>
  <c r="R915" i="1"/>
  <c r="P915" i="1"/>
  <c r="K915" i="1"/>
  <c r="J915" i="1"/>
  <c r="E915" i="1"/>
  <c r="D915" i="1"/>
  <c r="AA914" i="1"/>
  <c r="AB914" i="1" s="1"/>
  <c r="Z914" i="1"/>
  <c r="R914" i="1"/>
  <c r="P914" i="1"/>
  <c r="L914" i="1"/>
  <c r="K914" i="1"/>
  <c r="J914" i="1"/>
  <c r="E914" i="1"/>
  <c r="D914" i="1"/>
  <c r="AA913" i="1"/>
  <c r="Z913" i="1"/>
  <c r="AB913" i="1" s="1"/>
  <c r="R913" i="1"/>
  <c r="P913" i="1"/>
  <c r="K913" i="1"/>
  <c r="J913" i="1"/>
  <c r="E913" i="1"/>
  <c r="D913" i="1"/>
  <c r="AA912" i="1"/>
  <c r="AB912" i="1" s="1"/>
  <c r="Z912" i="1"/>
  <c r="R912" i="1"/>
  <c r="P912" i="1"/>
  <c r="K912" i="1"/>
  <c r="J912" i="1"/>
  <c r="E912" i="1"/>
  <c r="D912" i="1"/>
  <c r="AA911" i="1"/>
  <c r="Z911" i="1"/>
  <c r="R911" i="1"/>
  <c r="P911" i="1"/>
  <c r="K911" i="1"/>
  <c r="J911" i="1"/>
  <c r="E911" i="1"/>
  <c r="D911" i="1"/>
  <c r="AB910" i="1"/>
  <c r="AA910" i="1"/>
  <c r="Z910" i="1"/>
  <c r="R910" i="1"/>
  <c r="P910" i="1"/>
  <c r="K910" i="1"/>
  <c r="J910" i="1"/>
  <c r="E910" i="1"/>
  <c r="D910" i="1"/>
  <c r="AA909" i="1"/>
  <c r="Z909" i="1"/>
  <c r="AB909" i="1" s="1"/>
  <c r="R909" i="1"/>
  <c r="P909" i="1"/>
  <c r="K909" i="1"/>
  <c r="J909" i="1"/>
  <c r="E909" i="1"/>
  <c r="D909" i="1"/>
  <c r="AA908" i="1"/>
  <c r="AB908" i="1" s="1"/>
  <c r="Z908" i="1"/>
  <c r="R908" i="1"/>
  <c r="P908" i="1"/>
  <c r="K908" i="1"/>
  <c r="J908" i="1"/>
  <c r="E908" i="1"/>
  <c r="D908" i="1"/>
  <c r="AA907" i="1"/>
  <c r="Z907" i="1"/>
  <c r="AB907" i="1" s="1"/>
  <c r="R907" i="1"/>
  <c r="P907" i="1"/>
  <c r="K907" i="1"/>
  <c r="J907" i="1"/>
  <c r="E907" i="1"/>
  <c r="D907" i="1"/>
  <c r="AB906" i="1"/>
  <c r="AA906" i="1"/>
  <c r="Z906" i="1"/>
  <c r="R906" i="1"/>
  <c r="P906" i="1"/>
  <c r="K906" i="1"/>
  <c r="J906" i="1"/>
  <c r="E906" i="1"/>
  <c r="D906" i="1"/>
  <c r="AA905" i="1"/>
  <c r="Z905" i="1"/>
  <c r="AB905" i="1" s="1"/>
  <c r="R905" i="1"/>
  <c r="P905" i="1"/>
  <c r="K905" i="1"/>
  <c r="J905" i="1"/>
  <c r="E905" i="1"/>
  <c r="D905" i="1"/>
  <c r="AA904" i="1"/>
  <c r="AB904" i="1" s="1"/>
  <c r="Z904" i="1"/>
  <c r="R904" i="1"/>
  <c r="P904" i="1"/>
  <c r="K904" i="1"/>
  <c r="J904" i="1"/>
  <c r="E904" i="1"/>
  <c r="D904" i="1"/>
  <c r="AA903" i="1"/>
  <c r="Z903" i="1"/>
  <c r="AB903" i="1" s="1"/>
  <c r="R903" i="1"/>
  <c r="P903" i="1"/>
  <c r="K903" i="1"/>
  <c r="J903" i="1"/>
  <c r="E903" i="1"/>
  <c r="D903" i="1"/>
  <c r="AB902" i="1"/>
  <c r="AA902" i="1"/>
  <c r="Z902" i="1"/>
  <c r="R902" i="1"/>
  <c r="P902" i="1"/>
  <c r="K902" i="1"/>
  <c r="J902" i="1"/>
  <c r="E902" i="1"/>
  <c r="D902" i="1"/>
  <c r="AA901" i="1"/>
  <c r="Z901" i="1"/>
  <c r="AB901" i="1" s="1"/>
  <c r="R901" i="1"/>
  <c r="P901" i="1"/>
  <c r="K901" i="1"/>
  <c r="J901" i="1"/>
  <c r="E901" i="1"/>
  <c r="D901" i="1"/>
  <c r="AA900" i="1"/>
  <c r="AB900" i="1" s="1"/>
  <c r="Z900" i="1"/>
  <c r="R900" i="1"/>
  <c r="P900" i="1"/>
  <c r="K900" i="1"/>
  <c r="J900" i="1"/>
  <c r="E900" i="1"/>
  <c r="D900" i="1"/>
  <c r="AA899" i="1"/>
  <c r="Z899" i="1"/>
  <c r="AB899" i="1" s="1"/>
  <c r="R899" i="1"/>
  <c r="P899" i="1"/>
  <c r="K899" i="1"/>
  <c r="J899" i="1"/>
  <c r="E899" i="1"/>
  <c r="D899" i="1"/>
  <c r="AB898" i="1"/>
  <c r="AA898" i="1"/>
  <c r="Z898" i="1"/>
  <c r="R898" i="1"/>
  <c r="P898" i="1"/>
  <c r="K898" i="1"/>
  <c r="J898" i="1"/>
  <c r="E898" i="1"/>
  <c r="D898" i="1"/>
  <c r="AA897" i="1"/>
  <c r="Z897" i="1"/>
  <c r="AB897" i="1" s="1"/>
  <c r="R897" i="1"/>
  <c r="P897" i="1"/>
  <c r="K897" i="1"/>
  <c r="J897" i="1"/>
  <c r="E897" i="1"/>
  <c r="D897" i="1"/>
  <c r="AA896" i="1"/>
  <c r="AB896" i="1" s="1"/>
  <c r="Z896" i="1"/>
  <c r="R896" i="1"/>
  <c r="P896" i="1"/>
  <c r="K896" i="1"/>
  <c r="J896" i="1"/>
  <c r="E896" i="1"/>
  <c r="D896" i="1"/>
  <c r="AA895" i="1"/>
  <c r="Z895" i="1"/>
  <c r="R895" i="1"/>
  <c r="P895" i="1"/>
  <c r="K895" i="1"/>
  <c r="J895" i="1"/>
  <c r="E895" i="1"/>
  <c r="D895" i="1"/>
  <c r="AB894" i="1"/>
  <c r="AA894" i="1"/>
  <c r="Z894" i="1"/>
  <c r="R894" i="1"/>
  <c r="P894" i="1"/>
  <c r="K894" i="1"/>
  <c r="J894" i="1"/>
  <c r="E894" i="1"/>
  <c r="D894" i="1"/>
  <c r="AA893" i="1"/>
  <c r="Z893" i="1"/>
  <c r="AB893" i="1" s="1"/>
  <c r="R893" i="1"/>
  <c r="P893" i="1"/>
  <c r="K893" i="1"/>
  <c r="J893" i="1"/>
  <c r="E893" i="1"/>
  <c r="D893" i="1"/>
  <c r="AA892" i="1"/>
  <c r="AB892" i="1" s="1"/>
  <c r="Z892" i="1"/>
  <c r="R892" i="1"/>
  <c r="P892" i="1"/>
  <c r="K892" i="1"/>
  <c r="J892" i="1"/>
  <c r="E892" i="1"/>
  <c r="D892" i="1"/>
  <c r="AA891" i="1"/>
  <c r="Z891" i="1"/>
  <c r="AB891" i="1" s="1"/>
  <c r="R891" i="1"/>
  <c r="P891" i="1"/>
  <c r="K891" i="1"/>
  <c r="J891" i="1"/>
  <c r="E891" i="1"/>
  <c r="D891" i="1"/>
  <c r="AB890" i="1"/>
  <c r="AA890" i="1"/>
  <c r="Z890" i="1"/>
  <c r="R890" i="1"/>
  <c r="P890" i="1"/>
  <c r="K890" i="1"/>
  <c r="J890" i="1"/>
  <c r="E890" i="1"/>
  <c r="D890" i="1"/>
  <c r="AA889" i="1"/>
  <c r="Z889" i="1"/>
  <c r="AB889" i="1" s="1"/>
  <c r="R889" i="1"/>
  <c r="P889" i="1"/>
  <c r="K889" i="1"/>
  <c r="J889" i="1"/>
  <c r="E889" i="1"/>
  <c r="D889" i="1"/>
  <c r="AA888" i="1"/>
  <c r="AB888" i="1" s="1"/>
  <c r="Z888" i="1"/>
  <c r="R888" i="1"/>
  <c r="P888" i="1"/>
  <c r="K888" i="1"/>
  <c r="J888" i="1"/>
  <c r="E888" i="1"/>
  <c r="D888" i="1"/>
  <c r="AA887" i="1"/>
  <c r="Z887" i="1"/>
  <c r="AB887" i="1" s="1"/>
  <c r="R887" i="1"/>
  <c r="P887" i="1"/>
  <c r="K887" i="1"/>
  <c r="J887" i="1"/>
  <c r="E887" i="1"/>
  <c r="D887" i="1"/>
  <c r="AB886" i="1"/>
  <c r="AA886" i="1"/>
  <c r="Z886" i="1"/>
  <c r="R886" i="1"/>
  <c r="P886" i="1"/>
  <c r="K886" i="1"/>
  <c r="J886" i="1"/>
  <c r="E886" i="1"/>
  <c r="D886" i="1"/>
  <c r="AA885" i="1"/>
  <c r="Z885" i="1"/>
  <c r="AB885" i="1" s="1"/>
  <c r="R885" i="1"/>
  <c r="P885" i="1"/>
  <c r="K885" i="1"/>
  <c r="J885" i="1"/>
  <c r="E885" i="1"/>
  <c r="D885" i="1"/>
  <c r="AA884" i="1"/>
  <c r="Z884" i="1"/>
  <c r="AB884" i="1" s="1"/>
  <c r="R884" i="1"/>
  <c r="P884" i="1"/>
  <c r="K884" i="1"/>
  <c r="J884" i="1"/>
  <c r="E884" i="1"/>
  <c r="D884" i="1"/>
  <c r="AA883" i="1"/>
  <c r="Z883" i="1"/>
  <c r="AB883" i="1" s="1"/>
  <c r="R883" i="1"/>
  <c r="P883" i="1"/>
  <c r="K883" i="1"/>
  <c r="J883" i="1"/>
  <c r="E883" i="1"/>
  <c r="D883" i="1"/>
  <c r="AB882" i="1"/>
  <c r="AA882" i="1"/>
  <c r="Z882" i="1"/>
  <c r="R882" i="1"/>
  <c r="P882" i="1"/>
  <c r="K882" i="1"/>
  <c r="J882" i="1"/>
  <c r="E882" i="1"/>
  <c r="D882" i="1"/>
  <c r="AA881" i="1"/>
  <c r="Z881" i="1"/>
  <c r="AB881" i="1" s="1"/>
  <c r="R881" i="1"/>
  <c r="P881" i="1"/>
  <c r="K881" i="1"/>
  <c r="J881" i="1"/>
  <c r="E881" i="1"/>
  <c r="D881" i="1"/>
  <c r="AA880" i="1"/>
  <c r="Z880" i="1"/>
  <c r="AB880" i="1" s="1"/>
  <c r="R880" i="1"/>
  <c r="P880" i="1"/>
  <c r="K880" i="1"/>
  <c r="J880" i="1"/>
  <c r="E880" i="1"/>
  <c r="D880" i="1"/>
  <c r="AA879" i="1"/>
  <c r="Z879" i="1"/>
  <c r="R879" i="1"/>
  <c r="P879" i="1"/>
  <c r="K879" i="1"/>
  <c r="J879" i="1"/>
  <c r="E879" i="1"/>
  <c r="D879" i="1"/>
  <c r="AB878" i="1"/>
  <c r="AA878" i="1"/>
  <c r="Z878" i="1"/>
  <c r="R878" i="1"/>
  <c r="P878" i="1"/>
  <c r="K878" i="1"/>
  <c r="J878" i="1"/>
  <c r="E878" i="1"/>
  <c r="D878" i="1"/>
  <c r="AA877" i="1"/>
  <c r="Z877" i="1"/>
  <c r="AB877" i="1" s="1"/>
  <c r="R877" i="1"/>
  <c r="P877" i="1"/>
  <c r="K877" i="1"/>
  <c r="J877" i="1"/>
  <c r="E877" i="1"/>
  <c r="D877" i="1"/>
  <c r="AA876" i="1"/>
  <c r="Z876" i="1"/>
  <c r="AB876" i="1" s="1"/>
  <c r="R876" i="1"/>
  <c r="P876" i="1"/>
  <c r="K876" i="1"/>
  <c r="J876" i="1"/>
  <c r="E876" i="1"/>
  <c r="D876" i="1"/>
  <c r="AA875" i="1"/>
  <c r="Z875" i="1"/>
  <c r="AB875" i="1" s="1"/>
  <c r="R875" i="1"/>
  <c r="P875" i="1"/>
  <c r="K875" i="1"/>
  <c r="J875" i="1"/>
  <c r="E875" i="1"/>
  <c r="D875" i="1"/>
  <c r="AB874" i="1"/>
  <c r="AA874" i="1"/>
  <c r="Z874" i="1"/>
  <c r="R874" i="1"/>
  <c r="P874" i="1"/>
  <c r="K874" i="1"/>
  <c r="J874" i="1"/>
  <c r="E874" i="1"/>
  <c r="D874" i="1"/>
  <c r="AA873" i="1"/>
  <c r="Z873" i="1"/>
  <c r="AB873" i="1" s="1"/>
  <c r="R873" i="1"/>
  <c r="P873" i="1"/>
  <c r="K873" i="1"/>
  <c r="J873" i="1"/>
  <c r="E873" i="1"/>
  <c r="D873" i="1"/>
  <c r="AA872" i="1"/>
  <c r="Z872" i="1"/>
  <c r="AB872" i="1" s="1"/>
  <c r="R872" i="1"/>
  <c r="P872" i="1"/>
  <c r="K872" i="1"/>
  <c r="J872" i="1"/>
  <c r="E872" i="1"/>
  <c r="D872" i="1"/>
  <c r="AA871" i="1"/>
  <c r="Z871" i="1"/>
  <c r="AB871" i="1" s="1"/>
  <c r="R871" i="1"/>
  <c r="P871" i="1"/>
  <c r="K871" i="1"/>
  <c r="J871" i="1"/>
  <c r="E871" i="1"/>
  <c r="D871" i="1"/>
  <c r="AB870" i="1"/>
  <c r="AA870" i="1"/>
  <c r="Z870" i="1"/>
  <c r="R870" i="1"/>
  <c r="P870" i="1"/>
  <c r="K870" i="1"/>
  <c r="J870" i="1"/>
  <c r="E870" i="1"/>
  <c r="D870" i="1"/>
  <c r="AA869" i="1"/>
  <c r="Z869" i="1"/>
  <c r="AB869" i="1" s="1"/>
  <c r="R869" i="1"/>
  <c r="P869" i="1"/>
  <c r="K869" i="1"/>
  <c r="J869" i="1"/>
  <c r="E869" i="1"/>
  <c r="D869" i="1"/>
  <c r="AA868" i="1"/>
  <c r="Z868" i="1"/>
  <c r="AB868" i="1" s="1"/>
  <c r="R868" i="1"/>
  <c r="P868" i="1"/>
  <c r="K868" i="1"/>
  <c r="J868" i="1"/>
  <c r="E868" i="1"/>
  <c r="D868" i="1"/>
  <c r="AA867" i="1"/>
  <c r="Z867" i="1"/>
  <c r="AB867" i="1" s="1"/>
  <c r="R867" i="1"/>
  <c r="P867" i="1"/>
  <c r="K867" i="1"/>
  <c r="J867" i="1"/>
  <c r="E867" i="1"/>
  <c r="D867" i="1"/>
  <c r="AB866" i="1"/>
  <c r="AA866" i="1"/>
  <c r="Z866" i="1"/>
  <c r="R866" i="1"/>
  <c r="P866" i="1"/>
  <c r="K866" i="1"/>
  <c r="J866" i="1"/>
  <c r="E866" i="1"/>
  <c r="D866" i="1"/>
  <c r="AA865" i="1"/>
  <c r="Z865" i="1"/>
  <c r="AB865" i="1" s="1"/>
  <c r="R865" i="1"/>
  <c r="P865" i="1"/>
  <c r="K865" i="1"/>
  <c r="J865" i="1"/>
  <c r="E865" i="1"/>
  <c r="D865" i="1"/>
  <c r="AA864" i="1"/>
  <c r="Z864" i="1"/>
  <c r="AB864" i="1" s="1"/>
  <c r="R864" i="1"/>
  <c r="P864" i="1"/>
  <c r="K864" i="1"/>
  <c r="J864" i="1"/>
  <c r="E864" i="1"/>
  <c r="D864" i="1"/>
  <c r="AA863" i="1"/>
  <c r="Z863" i="1"/>
  <c r="R863" i="1"/>
  <c r="P863" i="1"/>
  <c r="K863" i="1"/>
  <c r="J863" i="1"/>
  <c r="E863" i="1"/>
  <c r="D863" i="1"/>
  <c r="AB862" i="1"/>
  <c r="AA862" i="1"/>
  <c r="Z862" i="1"/>
  <c r="R862" i="1"/>
  <c r="P862" i="1"/>
  <c r="K862" i="1"/>
  <c r="J862" i="1"/>
  <c r="E862" i="1"/>
  <c r="D862" i="1"/>
  <c r="AA861" i="1"/>
  <c r="Z861" i="1"/>
  <c r="AB861" i="1" s="1"/>
  <c r="R861" i="1"/>
  <c r="P861" i="1"/>
  <c r="K861" i="1"/>
  <c r="J861" i="1"/>
  <c r="E861" i="1"/>
  <c r="D861" i="1"/>
  <c r="AA860" i="1"/>
  <c r="Z860" i="1"/>
  <c r="AB860" i="1" s="1"/>
  <c r="R860" i="1"/>
  <c r="P860" i="1"/>
  <c r="K860" i="1"/>
  <c r="J860" i="1"/>
  <c r="E860" i="1"/>
  <c r="D860" i="1"/>
  <c r="AA859" i="1"/>
  <c r="Z859" i="1"/>
  <c r="AB859" i="1" s="1"/>
  <c r="R859" i="1"/>
  <c r="P859" i="1"/>
  <c r="K859" i="1"/>
  <c r="J859" i="1"/>
  <c r="E859" i="1"/>
  <c r="D859" i="1"/>
  <c r="AB858" i="1"/>
  <c r="AA858" i="1"/>
  <c r="Z858" i="1"/>
  <c r="R858" i="1"/>
  <c r="P858" i="1"/>
  <c r="K858" i="1"/>
  <c r="J858" i="1"/>
  <c r="E858" i="1"/>
  <c r="D858" i="1"/>
  <c r="AA857" i="1"/>
  <c r="Z857" i="1"/>
  <c r="AB857" i="1" s="1"/>
  <c r="R857" i="1"/>
  <c r="P857" i="1"/>
  <c r="K857" i="1"/>
  <c r="J857" i="1"/>
  <c r="E857" i="1"/>
  <c r="D857" i="1"/>
  <c r="AA856" i="1"/>
  <c r="Z856" i="1"/>
  <c r="AB856" i="1" s="1"/>
  <c r="R856" i="1"/>
  <c r="P856" i="1"/>
  <c r="K856" i="1"/>
  <c r="J856" i="1"/>
  <c r="E856" i="1"/>
  <c r="D856" i="1"/>
  <c r="AA855" i="1"/>
  <c r="Z855" i="1"/>
  <c r="AB855" i="1" s="1"/>
  <c r="R855" i="1"/>
  <c r="P855" i="1"/>
  <c r="K855" i="1"/>
  <c r="J855" i="1"/>
  <c r="E855" i="1"/>
  <c r="D855" i="1"/>
  <c r="AB854" i="1"/>
  <c r="AA854" i="1"/>
  <c r="Z854" i="1"/>
  <c r="R854" i="1"/>
  <c r="P854" i="1"/>
  <c r="K854" i="1"/>
  <c r="J854" i="1"/>
  <c r="E854" i="1"/>
  <c r="D854" i="1"/>
  <c r="AA853" i="1"/>
  <c r="Z853" i="1"/>
  <c r="AB853" i="1" s="1"/>
  <c r="R853" i="1"/>
  <c r="P853" i="1"/>
  <c r="K853" i="1"/>
  <c r="J853" i="1"/>
  <c r="E853" i="1"/>
  <c r="D853" i="1"/>
  <c r="AA852" i="1"/>
  <c r="Z852" i="1"/>
  <c r="AB852" i="1" s="1"/>
  <c r="R852" i="1"/>
  <c r="P852" i="1"/>
  <c r="K852" i="1"/>
  <c r="J852" i="1"/>
  <c r="E852" i="1"/>
  <c r="D852" i="1"/>
  <c r="AA851" i="1"/>
  <c r="Z851" i="1"/>
  <c r="AB851" i="1" s="1"/>
  <c r="R851" i="1"/>
  <c r="P851" i="1"/>
  <c r="K851" i="1"/>
  <c r="J851" i="1"/>
  <c r="E851" i="1"/>
  <c r="D851" i="1"/>
  <c r="AB850" i="1"/>
  <c r="AA850" i="1"/>
  <c r="Z850" i="1"/>
  <c r="R850" i="1"/>
  <c r="P850" i="1"/>
  <c r="K850" i="1"/>
  <c r="J850" i="1"/>
  <c r="E850" i="1"/>
  <c r="D850" i="1"/>
  <c r="AA849" i="1"/>
  <c r="Z849" i="1"/>
  <c r="AB849" i="1" s="1"/>
  <c r="R849" i="1"/>
  <c r="P849" i="1"/>
  <c r="K849" i="1"/>
  <c r="J849" i="1"/>
  <c r="E849" i="1"/>
  <c r="D849" i="1"/>
  <c r="AA848" i="1"/>
  <c r="Z848" i="1"/>
  <c r="AB848" i="1" s="1"/>
  <c r="R848" i="1"/>
  <c r="P848" i="1"/>
  <c r="K848" i="1"/>
  <c r="J848" i="1"/>
  <c r="E848" i="1"/>
  <c r="D848" i="1"/>
  <c r="AA847" i="1"/>
  <c r="Z847" i="1"/>
  <c r="R847" i="1"/>
  <c r="P847" i="1"/>
  <c r="K847" i="1"/>
  <c r="J847" i="1"/>
  <c r="E847" i="1"/>
  <c r="D847" i="1"/>
  <c r="AB846" i="1"/>
  <c r="AA846" i="1"/>
  <c r="Z846" i="1"/>
  <c r="R846" i="1"/>
  <c r="P846" i="1"/>
  <c r="K846" i="1"/>
  <c r="J846" i="1"/>
  <c r="E846" i="1"/>
  <c r="D846" i="1"/>
  <c r="AA845" i="1"/>
  <c r="Z845" i="1"/>
  <c r="AB845" i="1" s="1"/>
  <c r="R845" i="1"/>
  <c r="P845" i="1"/>
  <c r="K845" i="1"/>
  <c r="J845" i="1"/>
  <c r="E845" i="1"/>
  <c r="D845" i="1"/>
  <c r="AA844" i="1"/>
  <c r="Z844" i="1"/>
  <c r="AB844" i="1" s="1"/>
  <c r="R844" i="1"/>
  <c r="P844" i="1"/>
  <c r="K844" i="1"/>
  <c r="J844" i="1"/>
  <c r="E844" i="1"/>
  <c r="D844" i="1"/>
  <c r="AA843" i="1"/>
  <c r="Z843" i="1"/>
  <c r="AB843" i="1" s="1"/>
  <c r="R843" i="1"/>
  <c r="P843" i="1"/>
  <c r="K843" i="1"/>
  <c r="J843" i="1"/>
  <c r="E843" i="1"/>
  <c r="D843" i="1"/>
  <c r="AB842" i="1"/>
  <c r="AA842" i="1"/>
  <c r="Z842" i="1"/>
  <c r="R842" i="1"/>
  <c r="P842" i="1"/>
  <c r="K842" i="1"/>
  <c r="J842" i="1"/>
  <c r="E842" i="1"/>
  <c r="D842" i="1"/>
  <c r="AA841" i="1"/>
  <c r="Z841" i="1"/>
  <c r="AB841" i="1" s="1"/>
  <c r="R841" i="1"/>
  <c r="P841" i="1"/>
  <c r="K841" i="1"/>
  <c r="J841" i="1"/>
  <c r="E841" i="1"/>
  <c r="D841" i="1"/>
  <c r="AA840" i="1"/>
  <c r="Z840" i="1"/>
  <c r="AB840" i="1" s="1"/>
  <c r="R840" i="1"/>
  <c r="P840" i="1"/>
  <c r="K840" i="1"/>
  <c r="J840" i="1"/>
  <c r="E840" i="1"/>
  <c r="D840" i="1"/>
  <c r="AA839" i="1"/>
  <c r="Z839" i="1"/>
  <c r="AB839" i="1" s="1"/>
  <c r="R839" i="1"/>
  <c r="P839" i="1"/>
  <c r="K839" i="1"/>
  <c r="J839" i="1"/>
  <c r="E839" i="1"/>
  <c r="D839" i="1"/>
  <c r="AB838" i="1"/>
  <c r="AA838" i="1"/>
  <c r="Z838" i="1"/>
  <c r="R838" i="1"/>
  <c r="P838" i="1"/>
  <c r="K838" i="1"/>
  <c r="J838" i="1"/>
  <c r="E838" i="1"/>
  <c r="D838" i="1"/>
  <c r="AA837" i="1"/>
  <c r="Z837" i="1"/>
  <c r="AB837" i="1" s="1"/>
  <c r="R837" i="1"/>
  <c r="P837" i="1"/>
  <c r="K837" i="1"/>
  <c r="J837" i="1"/>
  <c r="E837" i="1"/>
  <c r="D837" i="1"/>
  <c r="AA836" i="1"/>
  <c r="Z836" i="1"/>
  <c r="AB836" i="1" s="1"/>
  <c r="R836" i="1"/>
  <c r="P836" i="1"/>
  <c r="K836" i="1"/>
  <c r="J836" i="1"/>
  <c r="E836" i="1"/>
  <c r="D836" i="1"/>
  <c r="AA835" i="1"/>
  <c r="Z835" i="1"/>
  <c r="AB835" i="1" s="1"/>
  <c r="R835" i="1"/>
  <c r="P835" i="1"/>
  <c r="K835" i="1"/>
  <c r="J835" i="1"/>
  <c r="E835" i="1"/>
  <c r="D835" i="1"/>
  <c r="AB834" i="1"/>
  <c r="AA834" i="1"/>
  <c r="Z834" i="1"/>
  <c r="R834" i="1"/>
  <c r="P834" i="1"/>
  <c r="K834" i="1"/>
  <c r="J834" i="1"/>
  <c r="E834" i="1"/>
  <c r="D834" i="1"/>
  <c r="AA833" i="1"/>
  <c r="Z833" i="1"/>
  <c r="AB833" i="1" s="1"/>
  <c r="R833" i="1"/>
  <c r="P833" i="1"/>
  <c r="K833" i="1"/>
  <c r="J833" i="1"/>
  <c r="E833" i="1"/>
  <c r="D833" i="1"/>
  <c r="AA832" i="1"/>
  <c r="Z832" i="1"/>
  <c r="AB832" i="1" s="1"/>
  <c r="R832" i="1"/>
  <c r="P832" i="1"/>
  <c r="K832" i="1"/>
  <c r="J832" i="1"/>
  <c r="E832" i="1"/>
  <c r="D832" i="1"/>
  <c r="AA831" i="1"/>
  <c r="Z831" i="1"/>
  <c r="R831" i="1"/>
  <c r="P831" i="1"/>
  <c r="K831" i="1"/>
  <c r="J831" i="1"/>
  <c r="E831" i="1"/>
  <c r="D831" i="1"/>
  <c r="AB830" i="1"/>
  <c r="AA830" i="1"/>
  <c r="Z830" i="1"/>
  <c r="R830" i="1"/>
  <c r="P830" i="1"/>
  <c r="K830" i="1"/>
  <c r="J830" i="1"/>
  <c r="E830" i="1"/>
  <c r="D830" i="1"/>
  <c r="AA829" i="1"/>
  <c r="Z829" i="1"/>
  <c r="AB829" i="1" s="1"/>
  <c r="R829" i="1"/>
  <c r="P829" i="1"/>
  <c r="K829" i="1"/>
  <c r="J829" i="1"/>
  <c r="E829" i="1"/>
  <c r="D829" i="1"/>
  <c r="AA828" i="1"/>
  <c r="Z828" i="1"/>
  <c r="AB828" i="1" s="1"/>
  <c r="R828" i="1"/>
  <c r="P828" i="1"/>
  <c r="K828" i="1"/>
  <c r="J828" i="1"/>
  <c r="E828" i="1"/>
  <c r="D828" i="1"/>
  <c r="AA827" i="1"/>
  <c r="Z827" i="1"/>
  <c r="AB827" i="1" s="1"/>
  <c r="R827" i="1"/>
  <c r="P827" i="1"/>
  <c r="K827" i="1"/>
  <c r="J827" i="1"/>
  <c r="E827" i="1"/>
  <c r="D827" i="1"/>
  <c r="AB826" i="1"/>
  <c r="AA826" i="1"/>
  <c r="Z826" i="1"/>
  <c r="R826" i="1"/>
  <c r="P826" i="1"/>
  <c r="K826" i="1"/>
  <c r="J826" i="1"/>
  <c r="E826" i="1"/>
  <c r="D826" i="1"/>
  <c r="AA825" i="1"/>
  <c r="Z825" i="1"/>
  <c r="AB825" i="1" s="1"/>
  <c r="R825" i="1"/>
  <c r="P825" i="1"/>
  <c r="K825" i="1"/>
  <c r="J825" i="1"/>
  <c r="E825" i="1"/>
  <c r="D825" i="1"/>
  <c r="AA824" i="1"/>
  <c r="Z824" i="1"/>
  <c r="AB824" i="1" s="1"/>
  <c r="R824" i="1"/>
  <c r="P824" i="1"/>
  <c r="K824" i="1"/>
  <c r="J824" i="1"/>
  <c r="E824" i="1"/>
  <c r="D824" i="1"/>
  <c r="AA823" i="1"/>
  <c r="Z823" i="1"/>
  <c r="AB823" i="1" s="1"/>
  <c r="R823" i="1"/>
  <c r="P823" i="1"/>
  <c r="K823" i="1"/>
  <c r="J823" i="1"/>
  <c r="E823" i="1"/>
  <c r="D823" i="1"/>
  <c r="AB822" i="1"/>
  <c r="AA822" i="1"/>
  <c r="Z822" i="1"/>
  <c r="R822" i="1"/>
  <c r="P822" i="1"/>
  <c r="K822" i="1"/>
  <c r="J822" i="1"/>
  <c r="E822" i="1"/>
  <c r="D822" i="1"/>
  <c r="AA821" i="1"/>
  <c r="Z821" i="1"/>
  <c r="AB821" i="1" s="1"/>
  <c r="R821" i="1"/>
  <c r="P821" i="1"/>
  <c r="K821" i="1"/>
  <c r="J821" i="1"/>
  <c r="E821" i="1"/>
  <c r="D821" i="1"/>
  <c r="AA820" i="1"/>
  <c r="Z820" i="1"/>
  <c r="AB820" i="1" s="1"/>
  <c r="R820" i="1"/>
  <c r="P820" i="1"/>
  <c r="K820" i="1"/>
  <c r="J820" i="1"/>
  <c r="E820" i="1"/>
  <c r="D820" i="1"/>
  <c r="AA819" i="1"/>
  <c r="Z819" i="1"/>
  <c r="AB819" i="1" s="1"/>
  <c r="R819" i="1"/>
  <c r="P819" i="1"/>
  <c r="K819" i="1"/>
  <c r="J819" i="1"/>
  <c r="E819" i="1"/>
  <c r="D819" i="1"/>
  <c r="AB818" i="1"/>
  <c r="AA818" i="1"/>
  <c r="Z818" i="1"/>
  <c r="R818" i="1"/>
  <c r="P818" i="1"/>
  <c r="K818" i="1"/>
  <c r="J818" i="1"/>
  <c r="E818" i="1"/>
  <c r="D818" i="1"/>
  <c r="AA817" i="1"/>
  <c r="Z817" i="1"/>
  <c r="AB817" i="1" s="1"/>
  <c r="R817" i="1"/>
  <c r="P817" i="1"/>
  <c r="K817" i="1"/>
  <c r="J817" i="1"/>
  <c r="E817" i="1"/>
  <c r="D817" i="1"/>
  <c r="AA816" i="1"/>
  <c r="Z816" i="1"/>
  <c r="AB816" i="1" s="1"/>
  <c r="R816" i="1"/>
  <c r="P816" i="1"/>
  <c r="K816" i="1"/>
  <c r="J816" i="1"/>
  <c r="E816" i="1"/>
  <c r="D816" i="1"/>
  <c r="AA815" i="1"/>
  <c r="Z815" i="1"/>
  <c r="R815" i="1"/>
  <c r="P815" i="1"/>
  <c r="K815" i="1"/>
  <c r="J815" i="1"/>
  <c r="E815" i="1"/>
  <c r="D815" i="1"/>
  <c r="AB814" i="1"/>
  <c r="AA814" i="1"/>
  <c r="Z814" i="1"/>
  <c r="R814" i="1"/>
  <c r="P814" i="1"/>
  <c r="K814" i="1"/>
  <c r="J814" i="1"/>
  <c r="E814" i="1"/>
  <c r="D814" i="1"/>
  <c r="AA813" i="1"/>
  <c r="Z813" i="1"/>
  <c r="AB813" i="1" s="1"/>
  <c r="R813" i="1"/>
  <c r="P813" i="1"/>
  <c r="K813" i="1"/>
  <c r="J813" i="1"/>
  <c r="E813" i="1"/>
  <c r="D813" i="1"/>
  <c r="AA812" i="1"/>
  <c r="Z812" i="1"/>
  <c r="AB812" i="1" s="1"/>
  <c r="R812" i="1"/>
  <c r="P812" i="1"/>
  <c r="K812" i="1"/>
  <c r="J812" i="1"/>
  <c r="E812" i="1"/>
  <c r="D812" i="1"/>
  <c r="AA811" i="1"/>
  <c r="Z811" i="1"/>
  <c r="AB811" i="1" s="1"/>
  <c r="R811" i="1"/>
  <c r="P811" i="1"/>
  <c r="K811" i="1"/>
  <c r="J811" i="1"/>
  <c r="E811" i="1"/>
  <c r="D811" i="1"/>
  <c r="AB810" i="1"/>
  <c r="AA810" i="1"/>
  <c r="Z810" i="1"/>
  <c r="R810" i="1"/>
  <c r="P810" i="1"/>
  <c r="K810" i="1"/>
  <c r="J810" i="1"/>
  <c r="E810" i="1"/>
  <c r="D810" i="1"/>
  <c r="AA809" i="1"/>
  <c r="Z809" i="1"/>
  <c r="AB809" i="1" s="1"/>
  <c r="R809" i="1"/>
  <c r="P809" i="1"/>
  <c r="K809" i="1"/>
  <c r="J809" i="1"/>
  <c r="E809" i="1"/>
  <c r="D809" i="1"/>
  <c r="AA808" i="1"/>
  <c r="Z808" i="1"/>
  <c r="AB808" i="1" s="1"/>
  <c r="R808" i="1"/>
  <c r="P808" i="1"/>
  <c r="K808" i="1"/>
  <c r="J808" i="1"/>
  <c r="E808" i="1"/>
  <c r="D808" i="1"/>
  <c r="AA807" i="1"/>
  <c r="Z807" i="1"/>
  <c r="AB807" i="1" s="1"/>
  <c r="R807" i="1"/>
  <c r="P807" i="1"/>
  <c r="K807" i="1"/>
  <c r="J807" i="1"/>
  <c r="E807" i="1"/>
  <c r="D807" i="1"/>
  <c r="AA806" i="1"/>
  <c r="Z806" i="1"/>
  <c r="AB806" i="1" s="1"/>
  <c r="R806" i="1"/>
  <c r="P806" i="1"/>
  <c r="K806" i="1"/>
  <c r="J806" i="1"/>
  <c r="E806" i="1"/>
  <c r="D806" i="1"/>
  <c r="AA805" i="1"/>
  <c r="Z805" i="1"/>
  <c r="AB805" i="1" s="1"/>
  <c r="R805" i="1"/>
  <c r="P805" i="1"/>
  <c r="K805" i="1"/>
  <c r="J805" i="1"/>
  <c r="E805" i="1"/>
  <c r="D805" i="1"/>
  <c r="AA804" i="1"/>
  <c r="Z804" i="1"/>
  <c r="AB804" i="1" s="1"/>
  <c r="R804" i="1"/>
  <c r="P804" i="1"/>
  <c r="K804" i="1"/>
  <c r="J804" i="1"/>
  <c r="E804" i="1"/>
  <c r="D804" i="1"/>
  <c r="AA803" i="1"/>
  <c r="Z803" i="1"/>
  <c r="AB803" i="1" s="1"/>
  <c r="R803" i="1"/>
  <c r="P803" i="1"/>
  <c r="K803" i="1"/>
  <c r="J803" i="1"/>
  <c r="E803" i="1"/>
  <c r="D803" i="1"/>
  <c r="AB802" i="1"/>
  <c r="AA802" i="1"/>
  <c r="Z802" i="1"/>
  <c r="R802" i="1"/>
  <c r="P802" i="1"/>
  <c r="K802" i="1"/>
  <c r="J802" i="1"/>
  <c r="E802" i="1"/>
  <c r="D802" i="1"/>
  <c r="AA801" i="1"/>
  <c r="Z801" i="1"/>
  <c r="AB801" i="1" s="1"/>
  <c r="R801" i="1"/>
  <c r="P801" i="1"/>
  <c r="K801" i="1"/>
  <c r="J801" i="1"/>
  <c r="E801" i="1"/>
  <c r="D801" i="1"/>
  <c r="AA800" i="1"/>
  <c r="Z800" i="1"/>
  <c r="AB800" i="1" s="1"/>
  <c r="R800" i="1"/>
  <c r="P800" i="1"/>
  <c r="K800" i="1"/>
  <c r="J800" i="1"/>
  <c r="E800" i="1"/>
  <c r="D800" i="1"/>
  <c r="AA799" i="1"/>
  <c r="Z799" i="1"/>
  <c r="R799" i="1"/>
  <c r="P799" i="1"/>
  <c r="K799" i="1"/>
  <c r="J799" i="1"/>
  <c r="E799" i="1"/>
  <c r="D799" i="1"/>
  <c r="AA798" i="1"/>
  <c r="Z798" i="1"/>
  <c r="AB798" i="1" s="1"/>
  <c r="R798" i="1"/>
  <c r="P798" i="1"/>
  <c r="K798" i="1"/>
  <c r="J798" i="1"/>
  <c r="E798" i="1"/>
  <c r="D798" i="1"/>
  <c r="AA797" i="1"/>
  <c r="Z797" i="1"/>
  <c r="AB797" i="1" s="1"/>
  <c r="R797" i="1"/>
  <c r="P797" i="1"/>
  <c r="K797" i="1"/>
  <c r="J797" i="1"/>
  <c r="E797" i="1"/>
  <c r="D797" i="1"/>
  <c r="AA796" i="1"/>
  <c r="Z796" i="1"/>
  <c r="AB796" i="1" s="1"/>
  <c r="R796" i="1"/>
  <c r="P796" i="1"/>
  <c r="K796" i="1"/>
  <c r="J796" i="1"/>
  <c r="E796" i="1"/>
  <c r="D796" i="1"/>
  <c r="AA795" i="1"/>
  <c r="Z795" i="1"/>
  <c r="AB795" i="1" s="1"/>
  <c r="R795" i="1"/>
  <c r="P795" i="1"/>
  <c r="K795" i="1"/>
  <c r="J795" i="1"/>
  <c r="E795" i="1"/>
  <c r="D795" i="1"/>
  <c r="AB794" i="1"/>
  <c r="AA794" i="1"/>
  <c r="Z794" i="1"/>
  <c r="R794" i="1"/>
  <c r="P794" i="1"/>
  <c r="K794" i="1"/>
  <c r="J794" i="1"/>
  <c r="E794" i="1"/>
  <c r="D794" i="1"/>
  <c r="AA793" i="1"/>
  <c r="Z793" i="1"/>
  <c r="AB793" i="1" s="1"/>
  <c r="R793" i="1"/>
  <c r="P793" i="1"/>
  <c r="L793" i="1"/>
  <c r="K793" i="1"/>
  <c r="J793" i="1"/>
  <c r="E793" i="1"/>
  <c r="D793" i="1"/>
  <c r="AA792" i="1"/>
  <c r="AB792" i="1" s="1"/>
  <c r="Z792" i="1"/>
  <c r="R792" i="1"/>
  <c r="P792" i="1"/>
  <c r="L792" i="1"/>
  <c r="K792" i="1"/>
  <c r="J792" i="1"/>
  <c r="E792" i="1"/>
  <c r="D792" i="1"/>
  <c r="AB791" i="1"/>
  <c r="AA791" i="1"/>
  <c r="Z791" i="1"/>
  <c r="R791" i="1"/>
  <c r="P791" i="1"/>
  <c r="L791" i="1"/>
  <c r="K791" i="1"/>
  <c r="J791" i="1"/>
  <c r="E791" i="1"/>
  <c r="D791" i="1"/>
  <c r="AA790" i="1"/>
  <c r="Z790" i="1"/>
  <c r="AB790" i="1" s="1"/>
  <c r="R790" i="1"/>
  <c r="P790" i="1"/>
  <c r="L790" i="1"/>
  <c r="K790" i="1"/>
  <c r="J790" i="1"/>
  <c r="E790" i="1"/>
  <c r="D790" i="1"/>
  <c r="AA789" i="1"/>
  <c r="AB789" i="1" s="1"/>
  <c r="Z789" i="1"/>
  <c r="R789" i="1"/>
  <c r="P789" i="1"/>
  <c r="K789" i="1"/>
  <c r="J789" i="1"/>
  <c r="E789" i="1"/>
  <c r="D789" i="1"/>
  <c r="AA788" i="1"/>
  <c r="Z788" i="1"/>
  <c r="R788" i="1"/>
  <c r="P788" i="1"/>
  <c r="K788" i="1"/>
  <c r="J788" i="1"/>
  <c r="E788" i="1"/>
  <c r="D788" i="1"/>
  <c r="AA787" i="1"/>
  <c r="AB787" i="1" s="1"/>
  <c r="Z787" i="1"/>
  <c r="R787" i="1"/>
  <c r="P787" i="1"/>
  <c r="K787" i="1"/>
  <c r="J787" i="1"/>
  <c r="E787" i="1"/>
  <c r="D787" i="1"/>
  <c r="AA786" i="1"/>
  <c r="AB786" i="1" s="1"/>
  <c r="Z786" i="1"/>
  <c r="R786" i="1"/>
  <c r="P786" i="1"/>
  <c r="K786" i="1"/>
  <c r="J786" i="1"/>
  <c r="E786" i="1"/>
  <c r="D786" i="1"/>
  <c r="AA785" i="1"/>
  <c r="AB785" i="1" s="1"/>
  <c r="Z785" i="1"/>
  <c r="R785" i="1"/>
  <c r="P785" i="1"/>
  <c r="K785" i="1"/>
  <c r="J785" i="1"/>
  <c r="E785" i="1"/>
  <c r="D785" i="1"/>
  <c r="AA784" i="1"/>
  <c r="Z784" i="1"/>
  <c r="AB784" i="1" s="1"/>
  <c r="R784" i="1"/>
  <c r="P784" i="1"/>
  <c r="K784" i="1"/>
  <c r="J784" i="1"/>
  <c r="E784" i="1"/>
  <c r="D784" i="1"/>
  <c r="AA783" i="1"/>
  <c r="AB783" i="1" s="1"/>
  <c r="Z783" i="1"/>
  <c r="R783" i="1"/>
  <c r="P783" i="1"/>
  <c r="K783" i="1"/>
  <c r="J783" i="1"/>
  <c r="E783" i="1"/>
  <c r="D783" i="1"/>
  <c r="AB782" i="1"/>
  <c r="AA782" i="1"/>
  <c r="Z782" i="1"/>
  <c r="R782" i="1"/>
  <c r="P782" i="1"/>
  <c r="K782" i="1"/>
  <c r="J782" i="1"/>
  <c r="E782" i="1"/>
  <c r="D782" i="1"/>
  <c r="AA781" i="1"/>
  <c r="AB781" i="1" s="1"/>
  <c r="Z781" i="1"/>
  <c r="R781" i="1"/>
  <c r="P781" i="1"/>
  <c r="K781" i="1"/>
  <c r="J781" i="1"/>
  <c r="E781" i="1"/>
  <c r="D781" i="1"/>
  <c r="AA780" i="1"/>
  <c r="Z780" i="1"/>
  <c r="R780" i="1"/>
  <c r="P780" i="1"/>
  <c r="K780" i="1"/>
  <c r="J780" i="1"/>
  <c r="E780" i="1"/>
  <c r="D780" i="1"/>
  <c r="AA779" i="1"/>
  <c r="AB779" i="1" s="1"/>
  <c r="Z779" i="1"/>
  <c r="R779" i="1"/>
  <c r="P779" i="1"/>
  <c r="K779" i="1"/>
  <c r="J779" i="1"/>
  <c r="E779" i="1"/>
  <c r="D779" i="1"/>
  <c r="AA778" i="1"/>
  <c r="AB778" i="1" s="1"/>
  <c r="Z778" i="1"/>
  <c r="R778" i="1"/>
  <c r="P778" i="1"/>
  <c r="K778" i="1"/>
  <c r="J778" i="1"/>
  <c r="E778" i="1"/>
  <c r="D778" i="1"/>
  <c r="AA777" i="1"/>
  <c r="AB777" i="1" s="1"/>
  <c r="Z777" i="1"/>
  <c r="R777" i="1"/>
  <c r="P777" i="1"/>
  <c r="K777" i="1"/>
  <c r="J777" i="1"/>
  <c r="E777" i="1"/>
  <c r="D777" i="1"/>
  <c r="AA776" i="1"/>
  <c r="Z776" i="1"/>
  <c r="AB776" i="1" s="1"/>
  <c r="R776" i="1"/>
  <c r="P776" i="1"/>
  <c r="K776" i="1"/>
  <c r="J776" i="1"/>
  <c r="E776" i="1"/>
  <c r="D776" i="1"/>
  <c r="AA775" i="1"/>
  <c r="AB775" i="1" s="1"/>
  <c r="Z775" i="1"/>
  <c r="R775" i="1"/>
  <c r="P775" i="1"/>
  <c r="K775" i="1"/>
  <c r="J775" i="1"/>
  <c r="E775" i="1"/>
  <c r="D775" i="1"/>
  <c r="AA774" i="1"/>
  <c r="AB774" i="1" s="1"/>
  <c r="Z774" i="1"/>
  <c r="R774" i="1"/>
  <c r="P774" i="1"/>
  <c r="K774" i="1"/>
  <c r="J774" i="1"/>
  <c r="E774" i="1"/>
  <c r="D774" i="1"/>
  <c r="AA773" i="1"/>
  <c r="AB773" i="1" s="1"/>
  <c r="Z773" i="1"/>
  <c r="R773" i="1"/>
  <c r="P773" i="1"/>
  <c r="K773" i="1"/>
  <c r="J773" i="1"/>
  <c r="E773" i="1"/>
  <c r="D773" i="1"/>
  <c r="AA772" i="1"/>
  <c r="Z772" i="1"/>
  <c r="R772" i="1"/>
  <c r="P772" i="1"/>
  <c r="K772" i="1"/>
  <c r="J772" i="1"/>
  <c r="E772" i="1"/>
  <c r="D772" i="1"/>
  <c r="AA771" i="1"/>
  <c r="AB771" i="1" s="1"/>
  <c r="Z771" i="1"/>
  <c r="R771" i="1"/>
  <c r="P771" i="1"/>
  <c r="K771" i="1"/>
  <c r="J771" i="1"/>
  <c r="E771" i="1"/>
  <c r="D771" i="1"/>
  <c r="AA770" i="1"/>
  <c r="AB770" i="1" s="1"/>
  <c r="Z770" i="1"/>
  <c r="R770" i="1"/>
  <c r="P770" i="1"/>
  <c r="K770" i="1"/>
  <c r="J770" i="1"/>
  <c r="E770" i="1"/>
  <c r="D770" i="1"/>
  <c r="AA769" i="1"/>
  <c r="AB769" i="1" s="1"/>
  <c r="Z769" i="1"/>
  <c r="R769" i="1"/>
  <c r="P769" i="1"/>
  <c r="K769" i="1"/>
  <c r="J769" i="1"/>
  <c r="E769" i="1"/>
  <c r="D769" i="1"/>
  <c r="AA768" i="1"/>
  <c r="Z768" i="1"/>
  <c r="AB768" i="1" s="1"/>
  <c r="R768" i="1"/>
  <c r="P768" i="1"/>
  <c r="K768" i="1"/>
  <c r="J768" i="1"/>
  <c r="E768" i="1"/>
  <c r="D768" i="1"/>
  <c r="AA767" i="1"/>
  <c r="AB767" i="1" s="1"/>
  <c r="Z767" i="1"/>
  <c r="R767" i="1"/>
  <c r="P767" i="1"/>
  <c r="K767" i="1"/>
  <c r="J767" i="1"/>
  <c r="E767" i="1"/>
  <c r="D767" i="1"/>
  <c r="AA766" i="1"/>
  <c r="AB766" i="1" s="1"/>
  <c r="Z766" i="1"/>
  <c r="R766" i="1"/>
  <c r="P766" i="1"/>
  <c r="K766" i="1"/>
  <c r="J766" i="1"/>
  <c r="E766" i="1"/>
  <c r="D766" i="1"/>
  <c r="AA765" i="1"/>
  <c r="AB765" i="1" s="1"/>
  <c r="Z765" i="1"/>
  <c r="R765" i="1"/>
  <c r="P765" i="1"/>
  <c r="K765" i="1"/>
  <c r="J765" i="1"/>
  <c r="E765" i="1"/>
  <c r="D765" i="1"/>
  <c r="AA764" i="1"/>
  <c r="Z764" i="1"/>
  <c r="R764" i="1"/>
  <c r="P764" i="1"/>
  <c r="K764" i="1"/>
  <c r="J764" i="1"/>
  <c r="E764" i="1"/>
  <c r="D764" i="1"/>
  <c r="AA763" i="1"/>
  <c r="AB763" i="1" s="1"/>
  <c r="Z763" i="1"/>
  <c r="R763" i="1"/>
  <c r="P763" i="1"/>
  <c r="K763" i="1"/>
  <c r="J763" i="1"/>
  <c r="E763" i="1"/>
  <c r="D763" i="1"/>
  <c r="AA762" i="1"/>
  <c r="AB762" i="1" s="1"/>
  <c r="Z762" i="1"/>
  <c r="R762" i="1"/>
  <c r="P762" i="1"/>
  <c r="K762" i="1"/>
  <c r="J762" i="1"/>
  <c r="E762" i="1"/>
  <c r="D762" i="1"/>
  <c r="AA761" i="1"/>
  <c r="AB761" i="1" s="1"/>
  <c r="Z761" i="1"/>
  <c r="R761" i="1"/>
  <c r="P761" i="1"/>
  <c r="K761" i="1"/>
  <c r="J761" i="1"/>
  <c r="E761" i="1"/>
  <c r="D761" i="1"/>
  <c r="AA760" i="1"/>
  <c r="Z760" i="1"/>
  <c r="R760" i="1"/>
  <c r="P760" i="1"/>
  <c r="K760" i="1"/>
  <c r="J760" i="1"/>
  <c r="E760" i="1"/>
  <c r="D760" i="1"/>
  <c r="AA759" i="1"/>
  <c r="AB759" i="1" s="1"/>
  <c r="Z759" i="1"/>
  <c r="R759" i="1"/>
  <c r="P759" i="1"/>
  <c r="K759" i="1"/>
  <c r="J759" i="1"/>
  <c r="E759" i="1"/>
  <c r="D759" i="1"/>
  <c r="AA758" i="1"/>
  <c r="AB758" i="1" s="1"/>
  <c r="Z758" i="1"/>
  <c r="R758" i="1"/>
  <c r="P758" i="1"/>
  <c r="K758" i="1"/>
  <c r="J758" i="1"/>
  <c r="E758" i="1"/>
  <c r="D758" i="1"/>
  <c r="AA757" i="1"/>
  <c r="AB757" i="1" s="1"/>
  <c r="Z757" i="1"/>
  <c r="R757" i="1"/>
  <c r="P757" i="1"/>
  <c r="K757" i="1"/>
  <c r="J757" i="1"/>
  <c r="E757" i="1"/>
  <c r="D757" i="1"/>
  <c r="AA756" i="1"/>
  <c r="Z756" i="1"/>
  <c r="R756" i="1"/>
  <c r="P756" i="1"/>
  <c r="K756" i="1"/>
  <c r="J756" i="1"/>
  <c r="E756" i="1"/>
  <c r="D756" i="1"/>
  <c r="AA755" i="1"/>
  <c r="AB755" i="1" s="1"/>
  <c r="Z755" i="1"/>
  <c r="R755" i="1"/>
  <c r="P755" i="1"/>
  <c r="K755" i="1"/>
  <c r="J755" i="1"/>
  <c r="E755" i="1"/>
  <c r="D755" i="1"/>
  <c r="AA754" i="1"/>
  <c r="AB754" i="1" s="1"/>
  <c r="Z754" i="1"/>
  <c r="R754" i="1"/>
  <c r="P754" i="1"/>
  <c r="K754" i="1"/>
  <c r="J754" i="1"/>
  <c r="E754" i="1"/>
  <c r="D754" i="1"/>
  <c r="AA753" i="1"/>
  <c r="AB753" i="1" s="1"/>
  <c r="Z753" i="1"/>
  <c r="R753" i="1"/>
  <c r="P753" i="1"/>
  <c r="K753" i="1"/>
  <c r="J753" i="1"/>
  <c r="E753" i="1"/>
  <c r="D753" i="1"/>
  <c r="AA752" i="1"/>
  <c r="Z752" i="1"/>
  <c r="AB752" i="1" s="1"/>
  <c r="R752" i="1"/>
  <c r="P752" i="1"/>
  <c r="K752" i="1"/>
  <c r="J752" i="1"/>
  <c r="E752" i="1"/>
  <c r="D752" i="1"/>
  <c r="AA751" i="1"/>
  <c r="AB751" i="1" s="1"/>
  <c r="Z751" i="1"/>
  <c r="R751" i="1"/>
  <c r="P751" i="1"/>
  <c r="K751" i="1"/>
  <c r="J751" i="1"/>
  <c r="E751" i="1"/>
  <c r="D751" i="1"/>
  <c r="AA750" i="1"/>
  <c r="AB750" i="1" s="1"/>
  <c r="Z750" i="1"/>
  <c r="R750" i="1"/>
  <c r="P750" i="1"/>
  <c r="K750" i="1"/>
  <c r="J750" i="1"/>
  <c r="E750" i="1"/>
  <c r="D750" i="1"/>
  <c r="AA749" i="1"/>
  <c r="AB749" i="1" s="1"/>
  <c r="Z749" i="1"/>
  <c r="R749" i="1"/>
  <c r="P749" i="1"/>
  <c r="K749" i="1"/>
  <c r="J749" i="1"/>
  <c r="E749" i="1"/>
  <c r="D749" i="1"/>
  <c r="AA748" i="1"/>
  <c r="Z748" i="1"/>
  <c r="R748" i="1"/>
  <c r="P748" i="1"/>
  <c r="K748" i="1"/>
  <c r="J748" i="1"/>
  <c r="E748" i="1"/>
  <c r="D748" i="1"/>
  <c r="AA747" i="1"/>
  <c r="AB747" i="1" s="1"/>
  <c r="Z747" i="1"/>
  <c r="R747" i="1"/>
  <c r="P747" i="1"/>
  <c r="K747" i="1"/>
  <c r="J747" i="1"/>
  <c r="E747" i="1"/>
  <c r="D747" i="1"/>
  <c r="AA746" i="1"/>
  <c r="AB746" i="1" s="1"/>
  <c r="Z746" i="1"/>
  <c r="R746" i="1"/>
  <c r="P746" i="1"/>
  <c r="K746" i="1"/>
  <c r="J746" i="1"/>
  <c r="E746" i="1"/>
  <c r="D746" i="1"/>
  <c r="AA745" i="1"/>
  <c r="AB745" i="1" s="1"/>
  <c r="Z745" i="1"/>
  <c r="R745" i="1"/>
  <c r="P745" i="1"/>
  <c r="K745" i="1"/>
  <c r="J745" i="1"/>
  <c r="E745" i="1"/>
  <c r="D745" i="1"/>
  <c r="AA744" i="1"/>
  <c r="Z744" i="1"/>
  <c r="R744" i="1"/>
  <c r="P744" i="1"/>
  <c r="K744" i="1"/>
  <c r="J744" i="1"/>
  <c r="E744" i="1"/>
  <c r="D744" i="1"/>
  <c r="AA743" i="1"/>
  <c r="AB743" i="1" s="1"/>
  <c r="Z743" i="1"/>
  <c r="R743" i="1"/>
  <c r="P743" i="1"/>
  <c r="K743" i="1"/>
  <c r="J743" i="1"/>
  <c r="E743" i="1"/>
  <c r="D743" i="1"/>
  <c r="AA742" i="1"/>
  <c r="AB742" i="1" s="1"/>
  <c r="Z742" i="1"/>
  <c r="R742" i="1"/>
  <c r="P742" i="1"/>
  <c r="K742" i="1"/>
  <c r="J742" i="1"/>
  <c r="E742" i="1"/>
  <c r="D742" i="1"/>
  <c r="AA741" i="1"/>
  <c r="AB741" i="1" s="1"/>
  <c r="Z741" i="1"/>
  <c r="R741" i="1"/>
  <c r="P741" i="1"/>
  <c r="K741" i="1"/>
  <c r="J741" i="1"/>
  <c r="E741" i="1"/>
  <c r="D741" i="1"/>
  <c r="AA740" i="1"/>
  <c r="Z740" i="1"/>
  <c r="AB740" i="1" s="1"/>
  <c r="R740" i="1"/>
  <c r="P740" i="1"/>
  <c r="K740" i="1"/>
  <c r="J740" i="1"/>
  <c r="E740" i="1"/>
  <c r="D740" i="1"/>
  <c r="AA739" i="1"/>
  <c r="AB739" i="1" s="1"/>
  <c r="Z739" i="1"/>
  <c r="R739" i="1"/>
  <c r="P739" i="1"/>
  <c r="K739" i="1"/>
  <c r="J739" i="1"/>
  <c r="E739" i="1"/>
  <c r="D739" i="1"/>
  <c r="AA738" i="1"/>
  <c r="AB738" i="1" s="1"/>
  <c r="Z738" i="1"/>
  <c r="R738" i="1"/>
  <c r="P738" i="1"/>
  <c r="K738" i="1"/>
  <c r="J738" i="1"/>
  <c r="E738" i="1"/>
  <c r="D738" i="1"/>
  <c r="AB737" i="1"/>
  <c r="AA737" i="1"/>
  <c r="Z737" i="1"/>
  <c r="R737" i="1"/>
  <c r="P737" i="1"/>
  <c r="K737" i="1"/>
  <c r="J737" i="1"/>
  <c r="E737" i="1"/>
  <c r="D737" i="1"/>
  <c r="AA736" i="1"/>
  <c r="Z736" i="1"/>
  <c r="AB736" i="1" s="1"/>
  <c r="R736" i="1"/>
  <c r="P736" i="1"/>
  <c r="K736" i="1"/>
  <c r="J736" i="1"/>
  <c r="E736" i="1"/>
  <c r="D736" i="1"/>
  <c r="AA735" i="1"/>
  <c r="AB735" i="1" s="1"/>
  <c r="Z735" i="1"/>
  <c r="R735" i="1"/>
  <c r="P735" i="1"/>
  <c r="K735" i="1"/>
  <c r="J735" i="1"/>
  <c r="E735" i="1"/>
  <c r="D735" i="1"/>
  <c r="AB734" i="1"/>
  <c r="AA734" i="1"/>
  <c r="Z734" i="1"/>
  <c r="R734" i="1"/>
  <c r="P734" i="1"/>
  <c r="K734" i="1"/>
  <c r="J734" i="1"/>
  <c r="E734" i="1"/>
  <c r="D734" i="1"/>
  <c r="AB733" i="1"/>
  <c r="AA733" i="1"/>
  <c r="Z733" i="1"/>
  <c r="R733" i="1"/>
  <c r="P733" i="1"/>
  <c r="K733" i="1"/>
  <c r="J733" i="1"/>
  <c r="E733" i="1"/>
  <c r="D733" i="1"/>
  <c r="AA732" i="1"/>
  <c r="Z732" i="1"/>
  <c r="AB732" i="1" s="1"/>
  <c r="R732" i="1"/>
  <c r="P732" i="1"/>
  <c r="K732" i="1"/>
  <c r="J732" i="1"/>
  <c r="E732" i="1"/>
  <c r="D732" i="1"/>
  <c r="AA731" i="1"/>
  <c r="AB731" i="1" s="1"/>
  <c r="Z731" i="1"/>
  <c r="R731" i="1"/>
  <c r="P731" i="1"/>
  <c r="K731" i="1"/>
  <c r="J731" i="1"/>
  <c r="E731" i="1"/>
  <c r="D731" i="1"/>
  <c r="AA730" i="1"/>
  <c r="AB730" i="1" s="1"/>
  <c r="Z730" i="1"/>
  <c r="R730" i="1"/>
  <c r="P730" i="1"/>
  <c r="K730" i="1"/>
  <c r="J730" i="1"/>
  <c r="E730" i="1"/>
  <c r="D730" i="1"/>
  <c r="AA729" i="1"/>
  <c r="AB729" i="1" s="1"/>
  <c r="Z729" i="1"/>
  <c r="R729" i="1"/>
  <c r="P729" i="1"/>
  <c r="K729" i="1"/>
  <c r="J729" i="1"/>
  <c r="E729" i="1"/>
  <c r="D729" i="1"/>
  <c r="AA728" i="1"/>
  <c r="Z728" i="1"/>
  <c r="AB728" i="1" s="1"/>
  <c r="R728" i="1"/>
  <c r="P728" i="1"/>
  <c r="K728" i="1"/>
  <c r="J728" i="1"/>
  <c r="E728" i="1"/>
  <c r="D728" i="1"/>
  <c r="AA727" i="1"/>
  <c r="AB727" i="1" s="1"/>
  <c r="Z727" i="1"/>
  <c r="R727" i="1"/>
  <c r="P727" i="1"/>
  <c r="K727" i="1"/>
  <c r="J727" i="1"/>
  <c r="E727" i="1"/>
  <c r="D727" i="1"/>
  <c r="AA726" i="1"/>
  <c r="AB726" i="1" s="1"/>
  <c r="Z726" i="1"/>
  <c r="R726" i="1"/>
  <c r="P726" i="1"/>
  <c r="K726" i="1"/>
  <c r="J726" i="1"/>
  <c r="E726" i="1"/>
  <c r="D726" i="1"/>
  <c r="AB725" i="1"/>
  <c r="AA725" i="1"/>
  <c r="Z725" i="1"/>
  <c r="R725" i="1"/>
  <c r="P725" i="1"/>
  <c r="K725" i="1"/>
  <c r="J725" i="1"/>
  <c r="E725" i="1"/>
  <c r="D725" i="1"/>
  <c r="AA724" i="1"/>
  <c r="Z724" i="1"/>
  <c r="AB724" i="1" s="1"/>
  <c r="R724" i="1"/>
  <c r="P724" i="1"/>
  <c r="K724" i="1"/>
  <c r="J724" i="1"/>
  <c r="E724" i="1"/>
  <c r="D724" i="1"/>
  <c r="AA723" i="1"/>
  <c r="AB723" i="1" s="1"/>
  <c r="Z723" i="1"/>
  <c r="R723" i="1"/>
  <c r="P723" i="1"/>
  <c r="K723" i="1"/>
  <c r="J723" i="1"/>
  <c r="E723" i="1"/>
  <c r="D723" i="1"/>
  <c r="AB722" i="1"/>
  <c r="AA722" i="1"/>
  <c r="Z722" i="1"/>
  <c r="R722" i="1"/>
  <c r="P722" i="1"/>
  <c r="K722" i="1"/>
  <c r="J722" i="1"/>
  <c r="E722" i="1"/>
  <c r="D722" i="1"/>
  <c r="AB721" i="1"/>
  <c r="AA721" i="1"/>
  <c r="Z721" i="1"/>
  <c r="R721" i="1"/>
  <c r="P721" i="1"/>
  <c r="K721" i="1"/>
  <c r="J721" i="1"/>
  <c r="E721" i="1"/>
  <c r="D721" i="1"/>
  <c r="AA720" i="1"/>
  <c r="Z720" i="1"/>
  <c r="R720" i="1"/>
  <c r="P720" i="1"/>
  <c r="K720" i="1"/>
  <c r="J720" i="1"/>
  <c r="E720" i="1"/>
  <c r="D720" i="1"/>
  <c r="AA719" i="1"/>
  <c r="AB719" i="1" s="1"/>
  <c r="Z719" i="1"/>
  <c r="R719" i="1"/>
  <c r="P719" i="1"/>
  <c r="K719" i="1"/>
  <c r="J719" i="1"/>
  <c r="E719" i="1"/>
  <c r="D719" i="1"/>
  <c r="AA718" i="1"/>
  <c r="AB718" i="1" s="1"/>
  <c r="Z718" i="1"/>
  <c r="R718" i="1"/>
  <c r="P718" i="1"/>
  <c r="K718" i="1"/>
  <c r="J718" i="1"/>
  <c r="E718" i="1"/>
  <c r="D718" i="1"/>
  <c r="AA717" i="1"/>
  <c r="AB717" i="1" s="1"/>
  <c r="Z717" i="1"/>
  <c r="R717" i="1"/>
  <c r="P717" i="1"/>
  <c r="K717" i="1"/>
  <c r="J717" i="1"/>
  <c r="E717" i="1"/>
  <c r="D717" i="1"/>
  <c r="AA716" i="1"/>
  <c r="Z716" i="1"/>
  <c r="R716" i="1"/>
  <c r="P716" i="1"/>
  <c r="K716" i="1"/>
  <c r="J716" i="1"/>
  <c r="E716" i="1"/>
  <c r="D716" i="1"/>
  <c r="AA715" i="1"/>
  <c r="AB715" i="1" s="1"/>
  <c r="Z715" i="1"/>
  <c r="R715" i="1"/>
  <c r="P715" i="1"/>
  <c r="K715" i="1"/>
  <c r="J715" i="1"/>
  <c r="E715" i="1"/>
  <c r="D715" i="1"/>
  <c r="AA714" i="1"/>
  <c r="AB714" i="1" s="1"/>
  <c r="Z714" i="1"/>
  <c r="R714" i="1"/>
  <c r="P714" i="1"/>
  <c r="K714" i="1"/>
  <c r="J714" i="1"/>
  <c r="E714" i="1"/>
  <c r="D714" i="1"/>
  <c r="AB713" i="1"/>
  <c r="AA713" i="1"/>
  <c r="Z713" i="1"/>
  <c r="R713" i="1"/>
  <c r="P713" i="1"/>
  <c r="K713" i="1"/>
  <c r="J713" i="1"/>
  <c r="E713" i="1"/>
  <c r="D713" i="1"/>
  <c r="AA712" i="1"/>
  <c r="Z712" i="1"/>
  <c r="AB712" i="1" s="1"/>
  <c r="R712" i="1"/>
  <c r="P712" i="1"/>
  <c r="K712" i="1"/>
  <c r="J712" i="1"/>
  <c r="E712" i="1"/>
  <c r="D712" i="1"/>
  <c r="AA711" i="1"/>
  <c r="AB711" i="1" s="1"/>
  <c r="Z711" i="1"/>
  <c r="R711" i="1"/>
  <c r="P711" i="1"/>
  <c r="K711" i="1"/>
  <c r="J711" i="1"/>
  <c r="E711" i="1"/>
  <c r="D711" i="1"/>
  <c r="AB710" i="1"/>
  <c r="AA710" i="1"/>
  <c r="Z710" i="1"/>
  <c r="R710" i="1"/>
  <c r="P710" i="1"/>
  <c r="K710" i="1"/>
  <c r="J710" i="1"/>
  <c r="E710" i="1"/>
  <c r="D710" i="1"/>
  <c r="AB709" i="1"/>
  <c r="AA709" i="1"/>
  <c r="Z709" i="1"/>
  <c r="R709" i="1"/>
  <c r="P709" i="1"/>
  <c r="K709" i="1"/>
  <c r="J709" i="1"/>
  <c r="E709" i="1"/>
  <c r="D709" i="1"/>
  <c r="AA708" i="1"/>
  <c r="Z708" i="1"/>
  <c r="R708" i="1"/>
  <c r="P708" i="1"/>
  <c r="K708" i="1"/>
  <c r="J708" i="1"/>
  <c r="E708" i="1"/>
  <c r="D708" i="1"/>
  <c r="AA707" i="1"/>
  <c r="AB707" i="1" s="1"/>
  <c r="Z707" i="1"/>
  <c r="R707" i="1"/>
  <c r="P707" i="1"/>
  <c r="K707" i="1"/>
  <c r="J707" i="1"/>
  <c r="E707" i="1"/>
  <c r="D707" i="1"/>
  <c r="AB706" i="1"/>
  <c r="AA706" i="1"/>
  <c r="Z706" i="1"/>
  <c r="R706" i="1"/>
  <c r="P706" i="1"/>
  <c r="K706" i="1"/>
  <c r="J706" i="1"/>
  <c r="E706" i="1"/>
  <c r="D706" i="1"/>
  <c r="AA705" i="1"/>
  <c r="AB705" i="1" s="1"/>
  <c r="Z705" i="1"/>
  <c r="R705" i="1"/>
  <c r="P705" i="1"/>
  <c r="K705" i="1"/>
  <c r="J705" i="1"/>
  <c r="E705" i="1"/>
  <c r="D705" i="1"/>
  <c r="AA704" i="1"/>
  <c r="Z704" i="1"/>
  <c r="AB704" i="1" s="1"/>
  <c r="R704" i="1"/>
  <c r="P704" i="1"/>
  <c r="K704" i="1"/>
  <c r="J704" i="1"/>
  <c r="E704" i="1"/>
  <c r="D704" i="1"/>
  <c r="AA703" i="1"/>
  <c r="AB703" i="1" s="1"/>
  <c r="Z703" i="1"/>
  <c r="R703" i="1"/>
  <c r="P703" i="1"/>
  <c r="K703" i="1"/>
  <c r="J703" i="1"/>
  <c r="E703" i="1"/>
  <c r="D703" i="1"/>
  <c r="AA702" i="1"/>
  <c r="AB702" i="1" s="1"/>
  <c r="Z702" i="1"/>
  <c r="R702" i="1"/>
  <c r="P702" i="1"/>
  <c r="K702" i="1"/>
  <c r="J702" i="1"/>
  <c r="E702" i="1"/>
  <c r="D702" i="1"/>
  <c r="AB701" i="1"/>
  <c r="AA701" i="1"/>
  <c r="Z701" i="1"/>
  <c r="R701" i="1"/>
  <c r="P701" i="1"/>
  <c r="K701" i="1"/>
  <c r="J701" i="1"/>
  <c r="E701" i="1"/>
  <c r="D701" i="1"/>
  <c r="AA700" i="1"/>
  <c r="Z700" i="1"/>
  <c r="AB700" i="1" s="1"/>
  <c r="R700" i="1"/>
  <c r="P700" i="1"/>
  <c r="K700" i="1"/>
  <c r="J700" i="1"/>
  <c r="E700" i="1"/>
  <c r="D700" i="1"/>
  <c r="AA699" i="1"/>
  <c r="AB699" i="1" s="1"/>
  <c r="Z699" i="1"/>
  <c r="R699" i="1"/>
  <c r="P699" i="1"/>
  <c r="K699" i="1"/>
  <c r="J699" i="1"/>
  <c r="E699" i="1"/>
  <c r="D699" i="1"/>
  <c r="AB698" i="1"/>
  <c r="AA698" i="1"/>
  <c r="Z698" i="1"/>
  <c r="R698" i="1"/>
  <c r="P698" i="1"/>
  <c r="K698" i="1"/>
  <c r="J698" i="1"/>
  <c r="E698" i="1"/>
  <c r="D698" i="1"/>
  <c r="AB697" i="1"/>
  <c r="AA697" i="1"/>
  <c r="Z697" i="1"/>
  <c r="R697" i="1"/>
  <c r="P697" i="1"/>
  <c r="K697" i="1"/>
  <c r="J697" i="1"/>
  <c r="E697" i="1"/>
  <c r="D697" i="1"/>
  <c r="AA696" i="1"/>
  <c r="Z696" i="1"/>
  <c r="R696" i="1"/>
  <c r="P696" i="1"/>
  <c r="K696" i="1"/>
  <c r="J696" i="1"/>
  <c r="E696" i="1"/>
  <c r="D696" i="1"/>
  <c r="AA695" i="1"/>
  <c r="AB695" i="1" s="1"/>
  <c r="Z695" i="1"/>
  <c r="R695" i="1"/>
  <c r="P695" i="1"/>
  <c r="K695" i="1"/>
  <c r="J695" i="1"/>
  <c r="E695" i="1"/>
  <c r="D695" i="1"/>
  <c r="AA694" i="1"/>
  <c r="AB694" i="1" s="1"/>
  <c r="Z694" i="1"/>
  <c r="R694" i="1"/>
  <c r="P694" i="1"/>
  <c r="K694" i="1"/>
  <c r="J694" i="1"/>
  <c r="E694" i="1"/>
  <c r="D694" i="1"/>
  <c r="AA693" i="1"/>
  <c r="AB693" i="1" s="1"/>
  <c r="Z693" i="1"/>
  <c r="R693" i="1"/>
  <c r="P693" i="1"/>
  <c r="K693" i="1"/>
  <c r="J693" i="1"/>
  <c r="E693" i="1"/>
  <c r="D693" i="1"/>
  <c r="AA692" i="1"/>
  <c r="Z692" i="1"/>
  <c r="R692" i="1"/>
  <c r="P692" i="1"/>
  <c r="K692" i="1"/>
  <c r="J692" i="1"/>
  <c r="E692" i="1"/>
  <c r="D692" i="1"/>
  <c r="AA691" i="1"/>
  <c r="AB691" i="1" s="1"/>
  <c r="Z691" i="1"/>
  <c r="R691" i="1"/>
  <c r="P691" i="1"/>
  <c r="K691" i="1"/>
  <c r="J691" i="1"/>
  <c r="E691" i="1"/>
  <c r="D691" i="1"/>
  <c r="AA690" i="1"/>
  <c r="AB690" i="1" s="1"/>
  <c r="Z690" i="1"/>
  <c r="R690" i="1"/>
  <c r="P690" i="1"/>
  <c r="K690" i="1"/>
  <c r="J690" i="1"/>
  <c r="E690" i="1"/>
  <c r="D690" i="1"/>
  <c r="AB689" i="1"/>
  <c r="AA689" i="1"/>
  <c r="Z689" i="1"/>
  <c r="R689" i="1"/>
  <c r="P689" i="1"/>
  <c r="K689" i="1"/>
  <c r="J689" i="1"/>
  <c r="E689" i="1"/>
  <c r="D689" i="1"/>
  <c r="AA688" i="1"/>
  <c r="Z688" i="1"/>
  <c r="AB688" i="1" s="1"/>
  <c r="R688" i="1"/>
  <c r="P688" i="1"/>
  <c r="K688" i="1"/>
  <c r="J688" i="1"/>
  <c r="E688" i="1"/>
  <c r="D688" i="1"/>
  <c r="AA687" i="1"/>
  <c r="AB687" i="1" s="1"/>
  <c r="Z687" i="1"/>
  <c r="R687" i="1"/>
  <c r="P687" i="1"/>
  <c r="K687" i="1"/>
  <c r="J687" i="1"/>
  <c r="E687" i="1"/>
  <c r="D687" i="1"/>
  <c r="AB686" i="1"/>
  <c r="AA686" i="1"/>
  <c r="Z686" i="1"/>
  <c r="R686" i="1"/>
  <c r="P686" i="1"/>
  <c r="K686" i="1"/>
  <c r="J686" i="1"/>
  <c r="E686" i="1"/>
  <c r="D686" i="1"/>
  <c r="AB685" i="1"/>
  <c r="AA685" i="1"/>
  <c r="Z685" i="1"/>
  <c r="R685" i="1"/>
  <c r="P685" i="1"/>
  <c r="K685" i="1"/>
  <c r="J685" i="1"/>
  <c r="E685" i="1"/>
  <c r="D685" i="1"/>
  <c r="AA684" i="1"/>
  <c r="Z684" i="1"/>
  <c r="R684" i="1"/>
  <c r="P684" i="1"/>
  <c r="K684" i="1"/>
  <c r="J684" i="1"/>
  <c r="E684" i="1"/>
  <c r="D684" i="1"/>
  <c r="AA683" i="1"/>
  <c r="AB683" i="1" s="1"/>
  <c r="Z683" i="1"/>
  <c r="R683" i="1"/>
  <c r="P683" i="1"/>
  <c r="K683" i="1"/>
  <c r="J683" i="1"/>
  <c r="E683" i="1"/>
  <c r="D683" i="1"/>
  <c r="AB682" i="1"/>
  <c r="AA682" i="1"/>
  <c r="Z682" i="1"/>
  <c r="R682" i="1"/>
  <c r="P682" i="1"/>
  <c r="K682" i="1"/>
  <c r="J682" i="1"/>
  <c r="E682" i="1"/>
  <c r="D682" i="1"/>
  <c r="AA681" i="1"/>
  <c r="AB681" i="1" s="1"/>
  <c r="Z681" i="1"/>
  <c r="R681" i="1"/>
  <c r="P681" i="1"/>
  <c r="K681" i="1"/>
  <c r="J681" i="1"/>
  <c r="E681" i="1"/>
  <c r="D681" i="1"/>
  <c r="AA680" i="1"/>
  <c r="Z680" i="1"/>
  <c r="AB680" i="1" s="1"/>
  <c r="R680" i="1"/>
  <c r="P680" i="1"/>
  <c r="K680" i="1"/>
  <c r="J680" i="1"/>
  <c r="E680" i="1"/>
  <c r="D680" i="1"/>
  <c r="AA679" i="1"/>
  <c r="AB679" i="1" s="1"/>
  <c r="Z679" i="1"/>
  <c r="R679" i="1"/>
  <c r="P679" i="1"/>
  <c r="K679" i="1"/>
  <c r="J679" i="1"/>
  <c r="E679" i="1"/>
  <c r="D679" i="1"/>
  <c r="AA678" i="1"/>
  <c r="AB678" i="1" s="1"/>
  <c r="Z678" i="1"/>
  <c r="R678" i="1"/>
  <c r="P678" i="1"/>
  <c r="K678" i="1"/>
  <c r="J678" i="1"/>
  <c r="E678" i="1"/>
  <c r="D678" i="1"/>
  <c r="AB677" i="1"/>
  <c r="AA677" i="1"/>
  <c r="Z677" i="1"/>
  <c r="R677" i="1"/>
  <c r="P677" i="1"/>
  <c r="K677" i="1"/>
  <c r="J677" i="1"/>
  <c r="E677" i="1"/>
  <c r="D677" i="1"/>
  <c r="AA676" i="1"/>
  <c r="Z676" i="1"/>
  <c r="AB676" i="1" s="1"/>
  <c r="R676" i="1"/>
  <c r="P676" i="1"/>
  <c r="K676" i="1"/>
  <c r="J676" i="1"/>
  <c r="E676" i="1"/>
  <c r="D676" i="1"/>
  <c r="AA675" i="1"/>
  <c r="AB675" i="1" s="1"/>
  <c r="Z675" i="1"/>
  <c r="R675" i="1"/>
  <c r="P675" i="1"/>
  <c r="K675" i="1"/>
  <c r="J675" i="1"/>
  <c r="E675" i="1"/>
  <c r="D675" i="1"/>
  <c r="AB674" i="1"/>
  <c r="AA674" i="1"/>
  <c r="Z674" i="1"/>
  <c r="R674" i="1"/>
  <c r="P674" i="1"/>
  <c r="K674" i="1"/>
  <c r="J674" i="1"/>
  <c r="E674" i="1"/>
  <c r="D674" i="1"/>
  <c r="AB673" i="1"/>
  <c r="AA673" i="1"/>
  <c r="Z673" i="1"/>
  <c r="R673" i="1"/>
  <c r="P673" i="1"/>
  <c r="K673" i="1"/>
  <c r="J673" i="1"/>
  <c r="E673" i="1"/>
  <c r="D673" i="1"/>
  <c r="AA672" i="1"/>
  <c r="Z672" i="1"/>
  <c r="R672" i="1"/>
  <c r="P672" i="1"/>
  <c r="K672" i="1"/>
  <c r="J672" i="1"/>
  <c r="E672" i="1"/>
  <c r="D672" i="1"/>
  <c r="AA671" i="1"/>
  <c r="AB671" i="1" s="1"/>
  <c r="Z671" i="1"/>
  <c r="R671" i="1"/>
  <c r="P671" i="1"/>
  <c r="K671" i="1"/>
  <c r="J671" i="1"/>
  <c r="E671" i="1"/>
  <c r="D671" i="1"/>
  <c r="AA670" i="1"/>
  <c r="AB670" i="1" s="1"/>
  <c r="Z670" i="1"/>
  <c r="R670" i="1"/>
  <c r="P670" i="1"/>
  <c r="K670" i="1"/>
  <c r="J670" i="1"/>
  <c r="E670" i="1"/>
  <c r="D670" i="1"/>
  <c r="AA669" i="1"/>
  <c r="Z669" i="1"/>
  <c r="AB669" i="1" s="1"/>
  <c r="R669" i="1"/>
  <c r="P669" i="1"/>
  <c r="K669" i="1"/>
  <c r="J669" i="1"/>
  <c r="E669" i="1"/>
  <c r="D669" i="1"/>
  <c r="AA668" i="1"/>
  <c r="Z668" i="1"/>
  <c r="R668" i="1"/>
  <c r="P668" i="1"/>
  <c r="K668" i="1"/>
  <c r="J668" i="1"/>
  <c r="E668" i="1"/>
  <c r="D668" i="1"/>
  <c r="AA667" i="1"/>
  <c r="AB667" i="1" s="1"/>
  <c r="Z667" i="1"/>
  <c r="R667" i="1"/>
  <c r="P667" i="1"/>
  <c r="K667" i="1"/>
  <c r="J667" i="1"/>
  <c r="E667" i="1"/>
  <c r="D667" i="1"/>
  <c r="AA666" i="1"/>
  <c r="AB666" i="1" s="1"/>
  <c r="Z666" i="1"/>
  <c r="R666" i="1"/>
  <c r="P666" i="1"/>
  <c r="K666" i="1"/>
  <c r="J666" i="1"/>
  <c r="E666" i="1"/>
  <c r="D666" i="1"/>
  <c r="AB665" i="1"/>
  <c r="AA665" i="1"/>
  <c r="Z665" i="1"/>
  <c r="R665" i="1"/>
  <c r="P665" i="1"/>
  <c r="K665" i="1"/>
  <c r="J665" i="1"/>
  <c r="E665" i="1"/>
  <c r="D665" i="1"/>
  <c r="AA664" i="1"/>
  <c r="Z664" i="1"/>
  <c r="AB664" i="1" s="1"/>
  <c r="R664" i="1"/>
  <c r="P664" i="1"/>
  <c r="K664" i="1"/>
  <c r="J664" i="1"/>
  <c r="E664" i="1"/>
  <c r="D664" i="1"/>
  <c r="AA663" i="1"/>
  <c r="AB663" i="1" s="1"/>
  <c r="Z663" i="1"/>
  <c r="R663" i="1"/>
  <c r="P663" i="1"/>
  <c r="K663" i="1"/>
  <c r="J663" i="1"/>
  <c r="E663" i="1"/>
  <c r="D663" i="1"/>
  <c r="AA662" i="1"/>
  <c r="Z662" i="1"/>
  <c r="AB662" i="1" s="1"/>
  <c r="R662" i="1"/>
  <c r="P662" i="1"/>
  <c r="K662" i="1"/>
  <c r="J662" i="1"/>
  <c r="E662" i="1"/>
  <c r="D662" i="1"/>
  <c r="AB661" i="1"/>
  <c r="AA661" i="1"/>
  <c r="Z661" i="1"/>
  <c r="R661" i="1"/>
  <c r="P661" i="1"/>
  <c r="K661" i="1"/>
  <c r="J661" i="1"/>
  <c r="E661" i="1"/>
  <c r="D661" i="1"/>
  <c r="AA660" i="1"/>
  <c r="Z660" i="1"/>
  <c r="R660" i="1"/>
  <c r="P660" i="1"/>
  <c r="K660" i="1"/>
  <c r="J660" i="1"/>
  <c r="E660" i="1"/>
  <c r="D660" i="1"/>
  <c r="AA659" i="1"/>
  <c r="AB659" i="1" s="1"/>
  <c r="Z659" i="1"/>
  <c r="R659" i="1"/>
  <c r="P659" i="1"/>
  <c r="K659" i="1"/>
  <c r="J659" i="1"/>
  <c r="E659" i="1"/>
  <c r="D659" i="1"/>
  <c r="AB658" i="1"/>
  <c r="AA658" i="1"/>
  <c r="Z658" i="1"/>
  <c r="R658" i="1"/>
  <c r="P658" i="1"/>
  <c r="K658" i="1"/>
  <c r="J658" i="1"/>
  <c r="E658" i="1"/>
  <c r="D658" i="1"/>
  <c r="AA657" i="1"/>
  <c r="Z657" i="1"/>
  <c r="AB657" i="1" s="1"/>
  <c r="R657" i="1"/>
  <c r="P657" i="1"/>
  <c r="K657" i="1"/>
  <c r="J657" i="1"/>
  <c r="E657" i="1"/>
  <c r="D657" i="1"/>
  <c r="AA656" i="1"/>
  <c r="Z656" i="1"/>
  <c r="AB656" i="1" s="1"/>
  <c r="R656" i="1"/>
  <c r="P656" i="1"/>
  <c r="K656" i="1"/>
  <c r="J656" i="1"/>
  <c r="E656" i="1"/>
  <c r="D656" i="1"/>
  <c r="AA655" i="1"/>
  <c r="AB655" i="1" s="1"/>
  <c r="Z655" i="1"/>
  <c r="R655" i="1"/>
  <c r="P655" i="1"/>
  <c r="K655" i="1"/>
  <c r="J655" i="1"/>
  <c r="E655" i="1"/>
  <c r="D655" i="1"/>
  <c r="AA654" i="1"/>
  <c r="Z654" i="1"/>
  <c r="R654" i="1"/>
  <c r="P654" i="1"/>
  <c r="K654" i="1"/>
  <c r="J654" i="1"/>
  <c r="E654" i="1"/>
  <c r="D654" i="1"/>
  <c r="AB653" i="1"/>
  <c r="AA653" i="1"/>
  <c r="Z653" i="1"/>
  <c r="R653" i="1"/>
  <c r="P653" i="1"/>
  <c r="K653" i="1"/>
  <c r="J653" i="1"/>
  <c r="E653" i="1"/>
  <c r="D653" i="1"/>
  <c r="AA652" i="1"/>
  <c r="Z652" i="1"/>
  <c r="AB652" i="1" s="1"/>
  <c r="R652" i="1"/>
  <c r="P652" i="1"/>
  <c r="K652" i="1"/>
  <c r="J652" i="1"/>
  <c r="E652" i="1"/>
  <c r="D652" i="1"/>
  <c r="AA651" i="1"/>
  <c r="Z651" i="1"/>
  <c r="R651" i="1"/>
  <c r="P651" i="1"/>
  <c r="K651" i="1"/>
  <c r="J651" i="1"/>
  <c r="E651" i="1"/>
  <c r="D651" i="1"/>
  <c r="AA650" i="1"/>
  <c r="Z650" i="1"/>
  <c r="AB650" i="1" s="1"/>
  <c r="R650" i="1"/>
  <c r="P650" i="1"/>
  <c r="K650" i="1"/>
  <c r="J650" i="1"/>
  <c r="E650" i="1"/>
  <c r="D650" i="1"/>
  <c r="AB649" i="1"/>
  <c r="AA649" i="1"/>
  <c r="Z649" i="1"/>
  <c r="R649" i="1"/>
  <c r="P649" i="1"/>
  <c r="K649" i="1"/>
  <c r="J649" i="1"/>
  <c r="E649" i="1"/>
  <c r="D649" i="1"/>
  <c r="AA648" i="1"/>
  <c r="Z648" i="1"/>
  <c r="R648" i="1"/>
  <c r="P648" i="1"/>
  <c r="K648" i="1"/>
  <c r="J648" i="1"/>
  <c r="E648" i="1"/>
  <c r="D648" i="1"/>
  <c r="AA647" i="1"/>
  <c r="Z647" i="1"/>
  <c r="AB647" i="1" s="1"/>
  <c r="R647" i="1"/>
  <c r="P647" i="1"/>
  <c r="K647" i="1"/>
  <c r="J647" i="1"/>
  <c r="E647" i="1"/>
  <c r="D647" i="1"/>
  <c r="AB646" i="1"/>
  <c r="AA646" i="1"/>
  <c r="Z646" i="1"/>
  <c r="R646" i="1"/>
  <c r="P646" i="1"/>
  <c r="K646" i="1"/>
  <c r="J646" i="1"/>
  <c r="E646" i="1"/>
  <c r="D646" i="1"/>
  <c r="AA645" i="1"/>
  <c r="Z645" i="1"/>
  <c r="AB645" i="1" s="1"/>
  <c r="R645" i="1"/>
  <c r="P645" i="1"/>
  <c r="K645" i="1"/>
  <c r="J645" i="1"/>
  <c r="E645" i="1"/>
  <c r="D645" i="1"/>
  <c r="AA644" i="1"/>
  <c r="Z644" i="1"/>
  <c r="R644" i="1"/>
  <c r="P644" i="1"/>
  <c r="K644" i="1"/>
  <c r="J644" i="1"/>
  <c r="E644" i="1"/>
  <c r="D644" i="1"/>
  <c r="AA643" i="1"/>
  <c r="Z643" i="1"/>
  <c r="R643" i="1"/>
  <c r="P643" i="1"/>
  <c r="K643" i="1"/>
  <c r="J643" i="1"/>
  <c r="E643" i="1"/>
  <c r="D643" i="1"/>
  <c r="AA642" i="1"/>
  <c r="Z642" i="1"/>
  <c r="AB642" i="1" s="1"/>
  <c r="R642" i="1"/>
  <c r="P642" i="1"/>
  <c r="K642" i="1"/>
  <c r="J642" i="1"/>
  <c r="E642" i="1"/>
  <c r="D642" i="1"/>
  <c r="AB641" i="1"/>
  <c r="AA641" i="1"/>
  <c r="Z641" i="1"/>
  <c r="R641" i="1"/>
  <c r="P641" i="1"/>
  <c r="K641" i="1"/>
  <c r="J641" i="1"/>
  <c r="E641" i="1"/>
  <c r="D641" i="1"/>
  <c r="AA640" i="1"/>
  <c r="Z640" i="1"/>
  <c r="AB640" i="1" s="1"/>
  <c r="R640" i="1"/>
  <c r="P640" i="1"/>
  <c r="K640" i="1"/>
  <c r="J640" i="1"/>
  <c r="E640" i="1"/>
  <c r="D640" i="1"/>
  <c r="AA639" i="1"/>
  <c r="Z639" i="1"/>
  <c r="R639" i="1"/>
  <c r="P639" i="1"/>
  <c r="K639" i="1"/>
  <c r="J639" i="1"/>
  <c r="E639" i="1"/>
  <c r="D639" i="1"/>
  <c r="AA638" i="1"/>
  <c r="Z638" i="1"/>
  <c r="AB638" i="1" s="1"/>
  <c r="R638" i="1"/>
  <c r="P638" i="1"/>
  <c r="K638" i="1"/>
  <c r="J638" i="1"/>
  <c r="E638" i="1"/>
  <c r="D638" i="1"/>
  <c r="AB637" i="1"/>
  <c r="AA637" i="1"/>
  <c r="Z637" i="1"/>
  <c r="R637" i="1"/>
  <c r="P637" i="1"/>
  <c r="K637" i="1"/>
  <c r="J637" i="1"/>
  <c r="E637" i="1"/>
  <c r="D637" i="1"/>
  <c r="AA636" i="1"/>
  <c r="Z636" i="1"/>
  <c r="R636" i="1"/>
  <c r="P636" i="1"/>
  <c r="K636" i="1"/>
  <c r="J636" i="1"/>
  <c r="E636" i="1"/>
  <c r="D636" i="1"/>
  <c r="AA635" i="1"/>
  <c r="Z635" i="1"/>
  <c r="AB635" i="1" s="1"/>
  <c r="R635" i="1"/>
  <c r="P635" i="1"/>
  <c r="K635" i="1"/>
  <c r="J635" i="1"/>
  <c r="E635" i="1"/>
  <c r="D635" i="1"/>
  <c r="AB634" i="1"/>
  <c r="AA634" i="1"/>
  <c r="Z634" i="1"/>
  <c r="R634" i="1"/>
  <c r="P634" i="1"/>
  <c r="K634" i="1"/>
  <c r="J634" i="1"/>
  <c r="E634" i="1"/>
  <c r="D634" i="1"/>
  <c r="AA633" i="1"/>
  <c r="Z633" i="1"/>
  <c r="AB633" i="1" s="1"/>
  <c r="R633" i="1"/>
  <c r="P633" i="1"/>
  <c r="K633" i="1"/>
  <c r="J633" i="1"/>
  <c r="E633" i="1"/>
  <c r="D633" i="1"/>
  <c r="AA632" i="1"/>
  <c r="Z632" i="1"/>
  <c r="R632" i="1"/>
  <c r="P632" i="1"/>
  <c r="K632" i="1"/>
  <c r="J632" i="1"/>
  <c r="E632" i="1"/>
  <c r="D632" i="1"/>
  <c r="AA631" i="1"/>
  <c r="Z631" i="1"/>
  <c r="R631" i="1"/>
  <c r="P631" i="1"/>
  <c r="K631" i="1"/>
  <c r="J631" i="1"/>
  <c r="E631" i="1"/>
  <c r="D631" i="1"/>
  <c r="AA630" i="1"/>
  <c r="Z630" i="1"/>
  <c r="AB630" i="1" s="1"/>
  <c r="R630" i="1"/>
  <c r="P630" i="1"/>
  <c r="K630" i="1"/>
  <c r="J630" i="1"/>
  <c r="E630" i="1"/>
  <c r="D630" i="1"/>
  <c r="AB629" i="1"/>
  <c r="AA629" i="1"/>
  <c r="Z629" i="1"/>
  <c r="R629" i="1"/>
  <c r="P629" i="1"/>
  <c r="K629" i="1"/>
  <c r="J629" i="1"/>
  <c r="E629" i="1"/>
  <c r="D629" i="1"/>
  <c r="AA628" i="1"/>
  <c r="Z628" i="1"/>
  <c r="AB628" i="1" s="1"/>
  <c r="R628" i="1"/>
  <c r="P628" i="1"/>
  <c r="K628" i="1"/>
  <c r="J628" i="1"/>
  <c r="E628" i="1"/>
  <c r="D628" i="1"/>
  <c r="AA627" i="1"/>
  <c r="Z627" i="1"/>
  <c r="R627" i="1"/>
  <c r="P627" i="1"/>
  <c r="K627" i="1"/>
  <c r="J627" i="1"/>
  <c r="E627" i="1"/>
  <c r="D627" i="1"/>
  <c r="AA626" i="1"/>
  <c r="Z626" i="1"/>
  <c r="AB626" i="1" s="1"/>
  <c r="R626" i="1"/>
  <c r="P626" i="1"/>
  <c r="K626" i="1"/>
  <c r="J626" i="1"/>
  <c r="E626" i="1"/>
  <c r="D626" i="1"/>
  <c r="AB625" i="1"/>
  <c r="AA625" i="1"/>
  <c r="Z625" i="1"/>
  <c r="R625" i="1"/>
  <c r="P625" i="1"/>
  <c r="K625" i="1"/>
  <c r="J625" i="1"/>
  <c r="E625" i="1"/>
  <c r="D625" i="1"/>
  <c r="AA624" i="1"/>
  <c r="Z624" i="1"/>
  <c r="R624" i="1"/>
  <c r="P624" i="1"/>
  <c r="K624" i="1"/>
  <c r="J624" i="1"/>
  <c r="E624" i="1"/>
  <c r="D624" i="1"/>
  <c r="AA623" i="1"/>
  <c r="Z623" i="1"/>
  <c r="AB623" i="1" s="1"/>
  <c r="R623" i="1"/>
  <c r="P623" i="1"/>
  <c r="K623" i="1"/>
  <c r="J623" i="1"/>
  <c r="E623" i="1"/>
  <c r="D623" i="1"/>
  <c r="AB622" i="1"/>
  <c r="AA622" i="1"/>
  <c r="Z622" i="1"/>
  <c r="R622" i="1"/>
  <c r="P622" i="1"/>
  <c r="K622" i="1"/>
  <c r="J622" i="1"/>
  <c r="E622" i="1"/>
  <c r="D622" i="1"/>
  <c r="AA621" i="1"/>
  <c r="Z621" i="1"/>
  <c r="AB621" i="1" s="1"/>
  <c r="R621" i="1"/>
  <c r="P621" i="1"/>
  <c r="K621" i="1"/>
  <c r="J621" i="1"/>
  <c r="E621" i="1"/>
  <c r="D621" i="1"/>
  <c r="AA620" i="1"/>
  <c r="Z620" i="1"/>
  <c r="R620" i="1"/>
  <c r="P620" i="1"/>
  <c r="K620" i="1"/>
  <c r="J620" i="1"/>
  <c r="E620" i="1"/>
  <c r="D620" i="1"/>
  <c r="AA619" i="1"/>
  <c r="Z619" i="1"/>
  <c r="R619" i="1"/>
  <c r="P619" i="1"/>
  <c r="K619" i="1"/>
  <c r="J619" i="1"/>
  <c r="E619" i="1"/>
  <c r="D619" i="1"/>
  <c r="AA618" i="1"/>
  <c r="Z618" i="1"/>
  <c r="R618" i="1"/>
  <c r="P618" i="1"/>
  <c r="K618" i="1"/>
  <c r="J618" i="1"/>
  <c r="E618" i="1"/>
  <c r="D618" i="1"/>
  <c r="AB617" i="1"/>
  <c r="AA617" i="1"/>
  <c r="Z617" i="1"/>
  <c r="R617" i="1"/>
  <c r="P617" i="1"/>
  <c r="K617" i="1"/>
  <c r="J617" i="1"/>
  <c r="E617" i="1"/>
  <c r="D617" i="1"/>
  <c r="AA616" i="1"/>
  <c r="Z616" i="1"/>
  <c r="AB616" i="1" s="1"/>
  <c r="R616" i="1"/>
  <c r="P616" i="1"/>
  <c r="K616" i="1"/>
  <c r="J616" i="1"/>
  <c r="E616" i="1"/>
  <c r="D616" i="1"/>
  <c r="AA615" i="1"/>
  <c r="Z615" i="1"/>
  <c r="R615" i="1"/>
  <c r="P615" i="1"/>
  <c r="K615" i="1"/>
  <c r="J615" i="1"/>
  <c r="E615" i="1"/>
  <c r="D615" i="1"/>
  <c r="AA614" i="1"/>
  <c r="Z614" i="1"/>
  <c r="AB614" i="1" s="1"/>
  <c r="R614" i="1"/>
  <c r="P614" i="1"/>
  <c r="K614" i="1"/>
  <c r="J614" i="1"/>
  <c r="E614" i="1"/>
  <c r="D614" i="1"/>
  <c r="AB613" i="1"/>
  <c r="AA613" i="1"/>
  <c r="Z613" i="1"/>
  <c r="R613" i="1"/>
  <c r="P613" i="1"/>
  <c r="K613" i="1"/>
  <c r="J613" i="1"/>
  <c r="E613" i="1"/>
  <c r="D613" i="1"/>
  <c r="AA612" i="1"/>
  <c r="Z612" i="1"/>
  <c r="R612" i="1"/>
  <c r="P612" i="1"/>
  <c r="K612" i="1"/>
  <c r="J612" i="1"/>
  <c r="E612" i="1"/>
  <c r="D612" i="1"/>
  <c r="AA611" i="1"/>
  <c r="Z611" i="1"/>
  <c r="AB611" i="1" s="1"/>
  <c r="R611" i="1"/>
  <c r="P611" i="1"/>
  <c r="K611" i="1"/>
  <c r="J611" i="1"/>
  <c r="E611" i="1"/>
  <c r="D611" i="1"/>
  <c r="AB610" i="1"/>
  <c r="AA610" i="1"/>
  <c r="Z610" i="1"/>
  <c r="R610" i="1"/>
  <c r="P610" i="1"/>
  <c r="K610" i="1"/>
  <c r="J610" i="1"/>
  <c r="E610" i="1"/>
  <c r="D610" i="1"/>
  <c r="AA609" i="1"/>
  <c r="Z609" i="1"/>
  <c r="AB609" i="1" s="1"/>
  <c r="R609" i="1"/>
  <c r="P609" i="1"/>
  <c r="K609" i="1"/>
  <c r="J609" i="1"/>
  <c r="E609" i="1"/>
  <c r="D609" i="1"/>
  <c r="AA608" i="1"/>
  <c r="Z608" i="1"/>
  <c r="R608" i="1"/>
  <c r="P608" i="1"/>
  <c r="K608" i="1"/>
  <c r="J608" i="1"/>
  <c r="E608" i="1"/>
  <c r="D608" i="1"/>
  <c r="AA607" i="1"/>
  <c r="Z607" i="1"/>
  <c r="R607" i="1"/>
  <c r="P607" i="1"/>
  <c r="K607" i="1"/>
  <c r="J607" i="1"/>
  <c r="E607" i="1"/>
  <c r="D607" i="1"/>
  <c r="AA606" i="1"/>
  <c r="Z606" i="1"/>
  <c r="R606" i="1"/>
  <c r="P606" i="1"/>
  <c r="K606" i="1"/>
  <c r="J606" i="1"/>
  <c r="E606" i="1"/>
  <c r="D606" i="1"/>
  <c r="AB605" i="1"/>
  <c r="AA605" i="1"/>
  <c r="Z605" i="1"/>
  <c r="R605" i="1"/>
  <c r="P605" i="1"/>
  <c r="K605" i="1"/>
  <c r="J605" i="1"/>
  <c r="E605" i="1"/>
  <c r="D605" i="1"/>
  <c r="AA604" i="1"/>
  <c r="Z604" i="1"/>
  <c r="AB604" i="1" s="1"/>
  <c r="R604" i="1"/>
  <c r="P604" i="1"/>
  <c r="K604" i="1"/>
  <c r="J604" i="1"/>
  <c r="E604" i="1"/>
  <c r="D604" i="1"/>
  <c r="AA603" i="1"/>
  <c r="Z603" i="1"/>
  <c r="R603" i="1"/>
  <c r="P603" i="1"/>
  <c r="K603" i="1"/>
  <c r="J603" i="1"/>
  <c r="E603" i="1"/>
  <c r="D603" i="1"/>
  <c r="AA602" i="1"/>
  <c r="Z602" i="1"/>
  <c r="AB602" i="1" s="1"/>
  <c r="R602" i="1"/>
  <c r="P602" i="1"/>
  <c r="K602" i="1"/>
  <c r="J602" i="1"/>
  <c r="E602" i="1"/>
  <c r="D602" i="1"/>
  <c r="AB601" i="1"/>
  <c r="AA601" i="1"/>
  <c r="Z601" i="1"/>
  <c r="R601" i="1"/>
  <c r="P601" i="1"/>
  <c r="K601" i="1"/>
  <c r="J601" i="1"/>
  <c r="E601" i="1"/>
  <c r="D601" i="1"/>
  <c r="AA600" i="1"/>
  <c r="Z600" i="1"/>
  <c r="R600" i="1"/>
  <c r="P600" i="1"/>
  <c r="K600" i="1"/>
  <c r="J600" i="1"/>
  <c r="E600" i="1"/>
  <c r="D600" i="1"/>
  <c r="AA599" i="1"/>
  <c r="Z599" i="1"/>
  <c r="AB599" i="1" s="1"/>
  <c r="R599" i="1"/>
  <c r="P599" i="1"/>
  <c r="K599" i="1"/>
  <c r="J599" i="1"/>
  <c r="E599" i="1"/>
  <c r="D599" i="1"/>
  <c r="AB598" i="1"/>
  <c r="AA598" i="1"/>
  <c r="Z598" i="1"/>
  <c r="R598" i="1"/>
  <c r="P598" i="1"/>
  <c r="K598" i="1"/>
  <c r="J598" i="1"/>
  <c r="E598" i="1"/>
  <c r="D598" i="1"/>
  <c r="AA597" i="1"/>
  <c r="Z597" i="1"/>
  <c r="AB597" i="1" s="1"/>
  <c r="R597" i="1"/>
  <c r="P597" i="1"/>
  <c r="K597" i="1"/>
  <c r="J597" i="1"/>
  <c r="E597" i="1"/>
  <c r="D597" i="1"/>
  <c r="AA596" i="1"/>
  <c r="Z596" i="1"/>
  <c r="AB596" i="1" s="1"/>
  <c r="R596" i="1"/>
  <c r="P596" i="1"/>
  <c r="K596" i="1"/>
  <c r="J596" i="1"/>
  <c r="E596" i="1"/>
  <c r="D596" i="1"/>
  <c r="AA595" i="1"/>
  <c r="Z595" i="1"/>
  <c r="R595" i="1"/>
  <c r="P595" i="1"/>
  <c r="K595" i="1"/>
  <c r="J595" i="1"/>
  <c r="E595" i="1"/>
  <c r="D595" i="1"/>
  <c r="AA594" i="1"/>
  <c r="Z594" i="1"/>
  <c r="AB594" i="1" s="1"/>
  <c r="R594" i="1"/>
  <c r="P594" i="1"/>
  <c r="K594" i="1"/>
  <c r="J594" i="1"/>
  <c r="E594" i="1"/>
  <c r="D594" i="1"/>
  <c r="AB593" i="1"/>
  <c r="AA593" i="1"/>
  <c r="Z593" i="1"/>
  <c r="R593" i="1"/>
  <c r="P593" i="1"/>
  <c r="K593" i="1"/>
  <c r="J593" i="1"/>
  <c r="E593" i="1"/>
  <c r="D593" i="1"/>
  <c r="AA592" i="1"/>
  <c r="Z592" i="1"/>
  <c r="AB592" i="1" s="1"/>
  <c r="R592" i="1"/>
  <c r="P592" i="1"/>
  <c r="K592" i="1"/>
  <c r="J592" i="1"/>
  <c r="E592" i="1"/>
  <c r="D592" i="1"/>
  <c r="AA591" i="1"/>
  <c r="Z591" i="1"/>
  <c r="R591" i="1"/>
  <c r="P591" i="1"/>
  <c r="K591" i="1"/>
  <c r="J591" i="1"/>
  <c r="E591" i="1"/>
  <c r="D591" i="1"/>
  <c r="AA590" i="1"/>
  <c r="Z590" i="1"/>
  <c r="AB590" i="1" s="1"/>
  <c r="R590" i="1"/>
  <c r="P590" i="1"/>
  <c r="K590" i="1"/>
  <c r="J590" i="1"/>
  <c r="E590" i="1"/>
  <c r="D590" i="1"/>
  <c r="AB589" i="1"/>
  <c r="AA589" i="1"/>
  <c r="Z589" i="1"/>
  <c r="R589" i="1"/>
  <c r="P589" i="1"/>
  <c r="K589" i="1"/>
  <c r="J589" i="1"/>
  <c r="E589" i="1"/>
  <c r="D589" i="1"/>
  <c r="AA588" i="1"/>
  <c r="Z588" i="1"/>
  <c r="R588" i="1"/>
  <c r="P588" i="1"/>
  <c r="K588" i="1"/>
  <c r="J588" i="1"/>
  <c r="E588" i="1"/>
  <c r="D588" i="1"/>
  <c r="AA587" i="1"/>
  <c r="Z587" i="1"/>
  <c r="AB587" i="1" s="1"/>
  <c r="R587" i="1"/>
  <c r="P587" i="1"/>
  <c r="K587" i="1"/>
  <c r="J587" i="1"/>
  <c r="E587" i="1"/>
  <c r="D587" i="1"/>
  <c r="AA586" i="1"/>
  <c r="AB586" i="1" s="1"/>
  <c r="Z586" i="1"/>
  <c r="R586" i="1"/>
  <c r="P586" i="1"/>
  <c r="K586" i="1"/>
  <c r="J586" i="1"/>
  <c r="E586" i="1"/>
  <c r="D586" i="1"/>
  <c r="AA585" i="1"/>
  <c r="Z585" i="1"/>
  <c r="AB585" i="1" s="1"/>
  <c r="R585" i="1"/>
  <c r="P585" i="1"/>
  <c r="K585" i="1"/>
  <c r="J585" i="1"/>
  <c r="E585" i="1"/>
  <c r="D585" i="1"/>
  <c r="AA584" i="1"/>
  <c r="Z584" i="1"/>
  <c r="AB584" i="1" s="1"/>
  <c r="R584" i="1"/>
  <c r="P584" i="1"/>
  <c r="K584" i="1"/>
  <c r="J584" i="1"/>
  <c r="E584" i="1"/>
  <c r="D584" i="1"/>
  <c r="AA583" i="1"/>
  <c r="Z583" i="1"/>
  <c r="AB583" i="1" s="1"/>
  <c r="R583" i="1"/>
  <c r="P583" i="1"/>
  <c r="K583" i="1"/>
  <c r="J583" i="1"/>
  <c r="E583" i="1"/>
  <c r="D583" i="1"/>
  <c r="AA582" i="1"/>
  <c r="Z582" i="1"/>
  <c r="R582" i="1"/>
  <c r="P582" i="1"/>
  <c r="K582" i="1"/>
  <c r="J582" i="1"/>
  <c r="E582" i="1"/>
  <c r="D582" i="1"/>
  <c r="AB581" i="1"/>
  <c r="AA581" i="1"/>
  <c r="Z581" i="1"/>
  <c r="R581" i="1"/>
  <c r="P581" i="1"/>
  <c r="K581" i="1"/>
  <c r="J581" i="1"/>
  <c r="E581" i="1"/>
  <c r="D581" i="1"/>
  <c r="AA580" i="1"/>
  <c r="Z580" i="1"/>
  <c r="AB580" i="1" s="1"/>
  <c r="R580" i="1"/>
  <c r="P580" i="1"/>
  <c r="K580" i="1"/>
  <c r="J580" i="1"/>
  <c r="E580" i="1"/>
  <c r="D580" i="1"/>
  <c r="AA579" i="1"/>
  <c r="Z579" i="1"/>
  <c r="AB579" i="1" s="1"/>
  <c r="R579" i="1"/>
  <c r="P579" i="1"/>
  <c r="K579" i="1"/>
  <c r="J579" i="1"/>
  <c r="E579" i="1"/>
  <c r="D579" i="1"/>
  <c r="AA578" i="1"/>
  <c r="Z578" i="1"/>
  <c r="AB578" i="1" s="1"/>
  <c r="R578" i="1"/>
  <c r="P578" i="1"/>
  <c r="K578" i="1"/>
  <c r="J578" i="1"/>
  <c r="E578" i="1"/>
  <c r="D578" i="1"/>
  <c r="AB577" i="1"/>
  <c r="AA577" i="1"/>
  <c r="Z577" i="1"/>
  <c r="R577" i="1"/>
  <c r="P577" i="1"/>
  <c r="K577" i="1"/>
  <c r="J577" i="1"/>
  <c r="E577" i="1"/>
  <c r="D577" i="1"/>
  <c r="AA576" i="1"/>
  <c r="Z576" i="1"/>
  <c r="AB576" i="1" s="1"/>
  <c r="R576" i="1"/>
  <c r="P576" i="1"/>
  <c r="K576" i="1"/>
  <c r="J576" i="1"/>
  <c r="E576" i="1"/>
  <c r="D576" i="1"/>
  <c r="AA575" i="1"/>
  <c r="Z575" i="1"/>
  <c r="AB575" i="1" s="1"/>
  <c r="R575" i="1"/>
  <c r="P575" i="1"/>
  <c r="K575" i="1"/>
  <c r="J575" i="1"/>
  <c r="E575" i="1"/>
  <c r="D575" i="1"/>
  <c r="AA574" i="1"/>
  <c r="AB574" i="1" s="1"/>
  <c r="Z574" i="1"/>
  <c r="R574" i="1"/>
  <c r="P574" i="1"/>
  <c r="K574" i="1"/>
  <c r="J574" i="1"/>
  <c r="E574" i="1"/>
  <c r="D574" i="1"/>
  <c r="AA573" i="1"/>
  <c r="Z573" i="1"/>
  <c r="AB573" i="1" s="1"/>
  <c r="R573" i="1"/>
  <c r="P573" i="1"/>
  <c r="K573" i="1"/>
  <c r="J573" i="1"/>
  <c r="E573" i="1"/>
  <c r="D573" i="1"/>
  <c r="AA572" i="1"/>
  <c r="Z572" i="1"/>
  <c r="AB572" i="1" s="1"/>
  <c r="R572" i="1"/>
  <c r="P572" i="1"/>
  <c r="K572" i="1"/>
  <c r="J572" i="1"/>
  <c r="E572" i="1"/>
  <c r="D572" i="1"/>
  <c r="AA571" i="1"/>
  <c r="Z571" i="1"/>
  <c r="R571" i="1"/>
  <c r="P571" i="1"/>
  <c r="K571" i="1"/>
  <c r="J571" i="1"/>
  <c r="E571" i="1"/>
  <c r="D571" i="1"/>
  <c r="AA570" i="1"/>
  <c r="Z570" i="1"/>
  <c r="AB570" i="1" s="1"/>
  <c r="R570" i="1"/>
  <c r="P570" i="1"/>
  <c r="K570" i="1"/>
  <c r="J570" i="1"/>
  <c r="E570" i="1"/>
  <c r="D570" i="1"/>
  <c r="AB569" i="1"/>
  <c r="AA569" i="1"/>
  <c r="Z569" i="1"/>
  <c r="R569" i="1"/>
  <c r="P569" i="1"/>
  <c r="K569" i="1"/>
  <c r="J569" i="1"/>
  <c r="E569" i="1"/>
  <c r="D569" i="1"/>
  <c r="AA568" i="1"/>
  <c r="Z568" i="1"/>
  <c r="AB568" i="1" s="1"/>
  <c r="R568" i="1"/>
  <c r="P568" i="1"/>
  <c r="K568" i="1"/>
  <c r="J568" i="1"/>
  <c r="E568" i="1"/>
  <c r="D568" i="1"/>
  <c r="AA567" i="1"/>
  <c r="Z567" i="1"/>
  <c r="AB567" i="1" s="1"/>
  <c r="R567" i="1"/>
  <c r="P567" i="1"/>
  <c r="K567" i="1"/>
  <c r="J567" i="1"/>
  <c r="E567" i="1"/>
  <c r="D567" i="1"/>
  <c r="AA566" i="1"/>
  <c r="Z566" i="1"/>
  <c r="AB566" i="1" s="1"/>
  <c r="R566" i="1"/>
  <c r="P566" i="1"/>
  <c r="K566" i="1"/>
  <c r="J566" i="1"/>
  <c r="E566" i="1"/>
  <c r="D566" i="1"/>
  <c r="AB565" i="1"/>
  <c r="AA565" i="1"/>
  <c r="Z565" i="1"/>
  <c r="R565" i="1"/>
  <c r="P565" i="1"/>
  <c r="K565" i="1"/>
  <c r="J565" i="1"/>
  <c r="E565" i="1"/>
  <c r="D565" i="1"/>
  <c r="AA564" i="1"/>
  <c r="Z564" i="1"/>
  <c r="R564" i="1"/>
  <c r="P564" i="1"/>
  <c r="K564" i="1"/>
  <c r="J564" i="1"/>
  <c r="E564" i="1"/>
  <c r="D564" i="1"/>
  <c r="AA563" i="1"/>
  <c r="Z563" i="1"/>
  <c r="AB563" i="1" s="1"/>
  <c r="R563" i="1"/>
  <c r="P563" i="1"/>
  <c r="K563" i="1"/>
  <c r="J563" i="1"/>
  <c r="E563" i="1"/>
  <c r="D563" i="1"/>
  <c r="AA562" i="1"/>
  <c r="AB562" i="1" s="1"/>
  <c r="Z562" i="1"/>
  <c r="R562" i="1"/>
  <c r="P562" i="1"/>
  <c r="K562" i="1"/>
  <c r="J562" i="1"/>
  <c r="E562" i="1"/>
  <c r="D562" i="1"/>
  <c r="AA561" i="1"/>
  <c r="Z561" i="1"/>
  <c r="AB561" i="1" s="1"/>
  <c r="R561" i="1"/>
  <c r="P561" i="1"/>
  <c r="K561" i="1"/>
  <c r="J561" i="1"/>
  <c r="E561" i="1"/>
  <c r="D561" i="1"/>
  <c r="AA560" i="1"/>
  <c r="Z560" i="1"/>
  <c r="AB560" i="1" s="1"/>
  <c r="R560" i="1"/>
  <c r="P560" i="1"/>
  <c r="K560" i="1"/>
  <c r="J560" i="1"/>
  <c r="E560" i="1"/>
  <c r="D560" i="1"/>
  <c r="AA559" i="1"/>
  <c r="Z559" i="1"/>
  <c r="AB559" i="1" s="1"/>
  <c r="R559" i="1"/>
  <c r="P559" i="1"/>
  <c r="K559" i="1"/>
  <c r="J559" i="1"/>
  <c r="E559" i="1"/>
  <c r="D559" i="1"/>
  <c r="AA558" i="1"/>
  <c r="Z558" i="1"/>
  <c r="R558" i="1"/>
  <c r="P558" i="1"/>
  <c r="K558" i="1"/>
  <c r="J558" i="1"/>
  <c r="E558" i="1"/>
  <c r="D558" i="1"/>
  <c r="AB557" i="1"/>
  <c r="AA557" i="1"/>
  <c r="Z557" i="1"/>
  <c r="R557" i="1"/>
  <c r="P557" i="1"/>
  <c r="K557" i="1"/>
  <c r="J557" i="1"/>
  <c r="E557" i="1"/>
  <c r="D557" i="1"/>
  <c r="AA556" i="1"/>
  <c r="Z556" i="1"/>
  <c r="AB556" i="1" s="1"/>
  <c r="R556" i="1"/>
  <c r="P556" i="1"/>
  <c r="K556" i="1"/>
  <c r="J556" i="1"/>
  <c r="E556" i="1"/>
  <c r="D556" i="1"/>
  <c r="AA555" i="1"/>
  <c r="Z555" i="1"/>
  <c r="AB555" i="1" s="1"/>
  <c r="R555" i="1"/>
  <c r="P555" i="1"/>
  <c r="K555" i="1"/>
  <c r="J555" i="1"/>
  <c r="E555" i="1"/>
  <c r="D555" i="1"/>
  <c r="AA554" i="1"/>
  <c r="Z554" i="1"/>
  <c r="AB554" i="1" s="1"/>
  <c r="R554" i="1"/>
  <c r="P554" i="1"/>
  <c r="K554" i="1"/>
  <c r="J554" i="1"/>
  <c r="E554" i="1"/>
  <c r="D554" i="1"/>
  <c r="AB553" i="1"/>
  <c r="AA553" i="1"/>
  <c r="Z553" i="1"/>
  <c r="R553" i="1"/>
  <c r="P553" i="1"/>
  <c r="K553" i="1"/>
  <c r="J553" i="1"/>
  <c r="E553" i="1"/>
  <c r="D553" i="1"/>
  <c r="AA552" i="1"/>
  <c r="Z552" i="1"/>
  <c r="AB552" i="1" s="1"/>
  <c r="R552" i="1"/>
  <c r="P552" i="1"/>
  <c r="K552" i="1"/>
  <c r="J552" i="1"/>
  <c r="E552" i="1"/>
  <c r="D552" i="1"/>
  <c r="AA551" i="1"/>
  <c r="Z551" i="1"/>
  <c r="AB551" i="1" s="1"/>
  <c r="R551" i="1"/>
  <c r="P551" i="1"/>
  <c r="K551" i="1"/>
  <c r="J551" i="1"/>
  <c r="E551" i="1"/>
  <c r="D551" i="1"/>
  <c r="AA550" i="1"/>
  <c r="AB550" i="1" s="1"/>
  <c r="Z550" i="1"/>
  <c r="R550" i="1"/>
  <c r="P550" i="1"/>
  <c r="K550" i="1"/>
  <c r="J550" i="1"/>
  <c r="E550" i="1"/>
  <c r="D550" i="1"/>
  <c r="AA549" i="1"/>
  <c r="Z549" i="1"/>
  <c r="AB549" i="1" s="1"/>
  <c r="R549" i="1"/>
  <c r="P549" i="1"/>
  <c r="K549" i="1"/>
  <c r="J549" i="1"/>
  <c r="E549" i="1"/>
  <c r="D549" i="1"/>
  <c r="AA548" i="1"/>
  <c r="Z548" i="1"/>
  <c r="AB548" i="1" s="1"/>
  <c r="R548" i="1"/>
  <c r="P548" i="1"/>
  <c r="K548" i="1"/>
  <c r="J548" i="1"/>
  <c r="E548" i="1"/>
  <c r="D548" i="1"/>
  <c r="AA547" i="1"/>
  <c r="Z547" i="1"/>
  <c r="R547" i="1"/>
  <c r="P547" i="1"/>
  <c r="K547" i="1"/>
  <c r="J547" i="1"/>
  <c r="E547" i="1"/>
  <c r="D547" i="1"/>
  <c r="AA546" i="1"/>
  <c r="Z546" i="1"/>
  <c r="R546" i="1"/>
  <c r="P546" i="1"/>
  <c r="K546" i="1"/>
  <c r="J546" i="1"/>
  <c r="E546" i="1"/>
  <c r="D546" i="1"/>
  <c r="AB545" i="1"/>
  <c r="AA545" i="1"/>
  <c r="Z545" i="1"/>
  <c r="R545" i="1"/>
  <c r="P545" i="1"/>
  <c r="K545" i="1"/>
  <c r="J545" i="1"/>
  <c r="E545" i="1"/>
  <c r="D545" i="1"/>
  <c r="AA544" i="1"/>
  <c r="Z544" i="1"/>
  <c r="AB544" i="1" s="1"/>
  <c r="R544" i="1"/>
  <c r="P544" i="1"/>
  <c r="K544" i="1"/>
  <c r="J544" i="1"/>
  <c r="E544" i="1"/>
  <c r="D544" i="1"/>
  <c r="AA543" i="1"/>
  <c r="Z543" i="1"/>
  <c r="AB543" i="1" s="1"/>
  <c r="R543" i="1"/>
  <c r="P543" i="1"/>
  <c r="K543" i="1"/>
  <c r="J543" i="1"/>
  <c r="E543" i="1"/>
  <c r="D543" i="1"/>
  <c r="AA542" i="1"/>
  <c r="Z542" i="1"/>
  <c r="AB542" i="1" s="1"/>
  <c r="R542" i="1"/>
  <c r="P542" i="1"/>
  <c r="K542" i="1"/>
  <c r="J542" i="1"/>
  <c r="E542" i="1"/>
  <c r="D542" i="1"/>
  <c r="AB541" i="1"/>
  <c r="AA541" i="1"/>
  <c r="Z541" i="1"/>
  <c r="R541" i="1"/>
  <c r="P541" i="1"/>
  <c r="K541" i="1"/>
  <c r="J541" i="1"/>
  <c r="E541" i="1"/>
  <c r="D541" i="1"/>
  <c r="AA540" i="1"/>
  <c r="Z540" i="1"/>
  <c r="AB540" i="1" s="1"/>
  <c r="R540" i="1"/>
  <c r="P540" i="1"/>
  <c r="K540" i="1"/>
  <c r="J540" i="1"/>
  <c r="E540" i="1"/>
  <c r="D540" i="1"/>
  <c r="AA539" i="1"/>
  <c r="Z539" i="1"/>
  <c r="AB539" i="1" s="1"/>
  <c r="R539" i="1"/>
  <c r="P539" i="1"/>
  <c r="K539" i="1"/>
  <c r="J539" i="1"/>
  <c r="E539" i="1"/>
  <c r="D539" i="1"/>
  <c r="AA538" i="1"/>
  <c r="AB538" i="1" s="1"/>
  <c r="Z538" i="1"/>
  <c r="R538" i="1"/>
  <c r="P538" i="1"/>
  <c r="K538" i="1"/>
  <c r="J538" i="1"/>
  <c r="E538" i="1"/>
  <c r="D538" i="1"/>
  <c r="AA537" i="1"/>
  <c r="Z537" i="1"/>
  <c r="AB537" i="1" s="1"/>
  <c r="R537" i="1"/>
  <c r="P537" i="1"/>
  <c r="K537" i="1"/>
  <c r="J537" i="1"/>
  <c r="E537" i="1"/>
  <c r="D537" i="1"/>
  <c r="AA536" i="1"/>
  <c r="Z536" i="1"/>
  <c r="AB536" i="1" s="1"/>
  <c r="R536" i="1"/>
  <c r="P536" i="1"/>
  <c r="K536" i="1"/>
  <c r="J536" i="1"/>
  <c r="E536" i="1"/>
  <c r="D536" i="1"/>
  <c r="AA535" i="1"/>
  <c r="Z535" i="1"/>
  <c r="AB535" i="1" s="1"/>
  <c r="R535" i="1"/>
  <c r="P535" i="1"/>
  <c r="K535" i="1"/>
  <c r="J535" i="1"/>
  <c r="E535" i="1"/>
  <c r="D535" i="1"/>
  <c r="AA534" i="1"/>
  <c r="Z534" i="1"/>
  <c r="AB534" i="1" s="1"/>
  <c r="R534" i="1"/>
  <c r="P534" i="1"/>
  <c r="K534" i="1"/>
  <c r="J534" i="1"/>
  <c r="E534" i="1"/>
  <c r="D534" i="1"/>
  <c r="AB533" i="1"/>
  <c r="AA533" i="1"/>
  <c r="Z533" i="1"/>
  <c r="R533" i="1"/>
  <c r="P533" i="1"/>
  <c r="K533" i="1"/>
  <c r="J533" i="1"/>
  <c r="E533" i="1"/>
  <c r="D533" i="1"/>
  <c r="AA532" i="1"/>
  <c r="Z532" i="1"/>
  <c r="AB532" i="1" s="1"/>
  <c r="R532" i="1"/>
  <c r="P532" i="1"/>
  <c r="K532" i="1"/>
  <c r="J532" i="1"/>
  <c r="E532" i="1"/>
  <c r="D532" i="1"/>
  <c r="AA531" i="1"/>
  <c r="Z531" i="1"/>
  <c r="AB531" i="1" s="1"/>
  <c r="R531" i="1"/>
  <c r="P531" i="1"/>
  <c r="K531" i="1"/>
  <c r="J531" i="1"/>
  <c r="E531" i="1"/>
  <c r="D531" i="1"/>
  <c r="AA530" i="1"/>
  <c r="Z530" i="1"/>
  <c r="AB530" i="1" s="1"/>
  <c r="R530" i="1"/>
  <c r="P530" i="1"/>
  <c r="K530" i="1"/>
  <c r="J530" i="1"/>
  <c r="E530" i="1"/>
  <c r="D530" i="1"/>
  <c r="AB529" i="1"/>
  <c r="AA529" i="1"/>
  <c r="Z529" i="1"/>
  <c r="R529" i="1"/>
  <c r="P529" i="1"/>
  <c r="K529" i="1"/>
  <c r="J529" i="1"/>
  <c r="E529" i="1"/>
  <c r="D529" i="1"/>
  <c r="AA528" i="1"/>
  <c r="Z528" i="1"/>
  <c r="AB528" i="1" s="1"/>
  <c r="R528" i="1"/>
  <c r="P528" i="1"/>
  <c r="K528" i="1"/>
  <c r="J528" i="1"/>
  <c r="E528" i="1"/>
  <c r="D528" i="1"/>
  <c r="AA527" i="1"/>
  <c r="Z527" i="1"/>
  <c r="AB527" i="1" s="1"/>
  <c r="R527" i="1"/>
  <c r="P527" i="1"/>
  <c r="K527" i="1"/>
  <c r="J527" i="1"/>
  <c r="E527" i="1"/>
  <c r="D527" i="1"/>
  <c r="AA526" i="1"/>
  <c r="AB526" i="1" s="1"/>
  <c r="Z526" i="1"/>
  <c r="R526" i="1"/>
  <c r="P526" i="1"/>
  <c r="K526" i="1"/>
  <c r="J526" i="1"/>
  <c r="E526" i="1"/>
  <c r="D526" i="1"/>
  <c r="AA525" i="1"/>
  <c r="Z525" i="1"/>
  <c r="AB525" i="1" s="1"/>
  <c r="R525" i="1"/>
  <c r="P525" i="1"/>
  <c r="K525" i="1"/>
  <c r="J525" i="1"/>
  <c r="E525" i="1"/>
  <c r="D525" i="1"/>
  <c r="AA524" i="1"/>
  <c r="Z524" i="1"/>
  <c r="AB524" i="1" s="1"/>
  <c r="R524" i="1"/>
  <c r="P524" i="1"/>
  <c r="K524" i="1"/>
  <c r="J524" i="1"/>
  <c r="E524" i="1"/>
  <c r="D524" i="1"/>
  <c r="AA523" i="1"/>
  <c r="Z523" i="1"/>
  <c r="AB523" i="1" s="1"/>
  <c r="R523" i="1"/>
  <c r="P523" i="1"/>
  <c r="K523" i="1"/>
  <c r="J523" i="1"/>
  <c r="E523" i="1"/>
  <c r="D523" i="1"/>
  <c r="AA522" i="1"/>
  <c r="Z522" i="1"/>
  <c r="AB522" i="1" s="1"/>
  <c r="R522" i="1"/>
  <c r="P522" i="1"/>
  <c r="K522" i="1"/>
  <c r="J522" i="1"/>
  <c r="E522" i="1"/>
  <c r="D522" i="1"/>
  <c r="AB521" i="1"/>
  <c r="AA521" i="1"/>
  <c r="Z521" i="1"/>
  <c r="R521" i="1"/>
  <c r="P521" i="1"/>
  <c r="K521" i="1"/>
  <c r="J521" i="1"/>
  <c r="E521" i="1"/>
  <c r="D521" i="1"/>
  <c r="AA520" i="1"/>
  <c r="Z520" i="1"/>
  <c r="AB520" i="1" s="1"/>
  <c r="R520" i="1"/>
  <c r="P520" i="1"/>
  <c r="K520" i="1"/>
  <c r="J520" i="1"/>
  <c r="E520" i="1"/>
  <c r="D520" i="1"/>
  <c r="AA519" i="1"/>
  <c r="Z519" i="1"/>
  <c r="AB519" i="1" s="1"/>
  <c r="R519" i="1"/>
  <c r="P519" i="1"/>
  <c r="K519" i="1"/>
  <c r="J519" i="1"/>
  <c r="E519" i="1"/>
  <c r="D519" i="1"/>
  <c r="AA518" i="1"/>
  <c r="Z518" i="1"/>
  <c r="AB518" i="1" s="1"/>
  <c r="R518" i="1"/>
  <c r="P518" i="1"/>
  <c r="K518" i="1"/>
  <c r="J518" i="1"/>
  <c r="E518" i="1"/>
  <c r="D518" i="1"/>
  <c r="AB517" i="1"/>
  <c r="AA517" i="1"/>
  <c r="Z517" i="1"/>
  <c r="R517" i="1"/>
  <c r="P517" i="1"/>
  <c r="K517" i="1"/>
  <c r="J517" i="1"/>
  <c r="E517" i="1"/>
  <c r="D517" i="1"/>
  <c r="AA516" i="1"/>
  <c r="Z516" i="1"/>
  <c r="AB516" i="1" s="1"/>
  <c r="R516" i="1"/>
  <c r="P516" i="1"/>
  <c r="K516" i="1"/>
  <c r="J516" i="1"/>
  <c r="E516" i="1"/>
  <c r="D516" i="1"/>
  <c r="AA515" i="1"/>
  <c r="Z515" i="1"/>
  <c r="AB515" i="1" s="1"/>
  <c r="R515" i="1"/>
  <c r="P515" i="1"/>
  <c r="K515" i="1"/>
  <c r="J515" i="1"/>
  <c r="E515" i="1"/>
  <c r="D515" i="1"/>
  <c r="AA514" i="1"/>
  <c r="AB514" i="1" s="1"/>
  <c r="Z514" i="1"/>
  <c r="R514" i="1"/>
  <c r="P514" i="1"/>
  <c r="K514" i="1"/>
  <c r="J514" i="1"/>
  <c r="E514" i="1"/>
  <c r="D514" i="1"/>
  <c r="AA513" i="1"/>
  <c r="Z513" i="1"/>
  <c r="AB513" i="1" s="1"/>
  <c r="R513" i="1"/>
  <c r="P513" i="1"/>
  <c r="K513" i="1"/>
  <c r="J513" i="1"/>
  <c r="E513" i="1"/>
  <c r="D513" i="1"/>
  <c r="AA512" i="1"/>
  <c r="Z512" i="1"/>
  <c r="AB512" i="1" s="1"/>
  <c r="R512" i="1"/>
  <c r="P512" i="1"/>
  <c r="K512" i="1"/>
  <c r="J512" i="1"/>
  <c r="E512" i="1"/>
  <c r="D512" i="1"/>
  <c r="AA511" i="1"/>
  <c r="Z511" i="1"/>
  <c r="AB511" i="1" s="1"/>
  <c r="R511" i="1"/>
  <c r="P511" i="1"/>
  <c r="K511" i="1"/>
  <c r="J511" i="1"/>
  <c r="E511" i="1"/>
  <c r="D511" i="1"/>
  <c r="AA510" i="1"/>
  <c r="Z510" i="1"/>
  <c r="R510" i="1"/>
  <c r="P510" i="1"/>
  <c r="K510" i="1"/>
  <c r="J510" i="1"/>
  <c r="E510" i="1"/>
  <c r="D510" i="1"/>
  <c r="AB509" i="1"/>
  <c r="AA509" i="1"/>
  <c r="Z509" i="1"/>
  <c r="R509" i="1"/>
  <c r="P509" i="1"/>
  <c r="K509" i="1"/>
  <c r="J509" i="1"/>
  <c r="E509" i="1"/>
  <c r="D509" i="1"/>
  <c r="AA508" i="1"/>
  <c r="Z508" i="1"/>
  <c r="AB508" i="1" s="1"/>
  <c r="R508" i="1"/>
  <c r="P508" i="1"/>
  <c r="K508" i="1"/>
  <c r="J508" i="1"/>
  <c r="E508" i="1"/>
  <c r="D508" i="1"/>
  <c r="AA507" i="1"/>
  <c r="AB507" i="1" s="1"/>
  <c r="Z507" i="1"/>
  <c r="R507" i="1"/>
  <c r="P507" i="1"/>
  <c r="K507" i="1"/>
  <c r="J507" i="1"/>
  <c r="E507" i="1"/>
  <c r="D507" i="1"/>
  <c r="AA506" i="1"/>
  <c r="Z506" i="1"/>
  <c r="AB506" i="1" s="1"/>
  <c r="R506" i="1"/>
  <c r="P506" i="1"/>
  <c r="K506" i="1"/>
  <c r="J506" i="1"/>
  <c r="E506" i="1"/>
  <c r="D506" i="1"/>
  <c r="AA505" i="1"/>
  <c r="AB505" i="1" s="1"/>
  <c r="Z505" i="1"/>
  <c r="R505" i="1"/>
  <c r="P505" i="1"/>
  <c r="K505" i="1"/>
  <c r="J505" i="1"/>
  <c r="E505" i="1"/>
  <c r="D505" i="1"/>
  <c r="AA504" i="1"/>
  <c r="Z504" i="1"/>
  <c r="AB504" i="1" s="1"/>
  <c r="R504" i="1"/>
  <c r="P504" i="1"/>
  <c r="K504" i="1"/>
  <c r="J504" i="1"/>
  <c r="E504" i="1"/>
  <c r="D504" i="1"/>
  <c r="AB503" i="1"/>
  <c r="AA503" i="1"/>
  <c r="Z503" i="1"/>
  <c r="R503" i="1"/>
  <c r="P503" i="1"/>
  <c r="K503" i="1"/>
  <c r="J503" i="1"/>
  <c r="E503" i="1"/>
  <c r="D503" i="1"/>
  <c r="AA502" i="1"/>
  <c r="Z502" i="1"/>
  <c r="AB502" i="1" s="1"/>
  <c r="R502" i="1"/>
  <c r="P502" i="1"/>
  <c r="K502" i="1"/>
  <c r="J502" i="1"/>
  <c r="E502" i="1"/>
  <c r="D502" i="1"/>
  <c r="AB501" i="1"/>
  <c r="AA501" i="1"/>
  <c r="Z501" i="1"/>
  <c r="R501" i="1"/>
  <c r="P501" i="1"/>
  <c r="K501" i="1"/>
  <c r="J501" i="1"/>
  <c r="E501" i="1"/>
  <c r="D501" i="1"/>
  <c r="AA500" i="1"/>
  <c r="Z500" i="1"/>
  <c r="AB500" i="1" s="1"/>
  <c r="R500" i="1"/>
  <c r="P500" i="1"/>
  <c r="K500" i="1"/>
  <c r="J500" i="1"/>
  <c r="E500" i="1"/>
  <c r="D500" i="1"/>
  <c r="AA499" i="1"/>
  <c r="AB499" i="1" s="1"/>
  <c r="Z499" i="1"/>
  <c r="R499" i="1"/>
  <c r="P499" i="1"/>
  <c r="K499" i="1"/>
  <c r="J499" i="1"/>
  <c r="E499" i="1"/>
  <c r="D499" i="1"/>
  <c r="AB498" i="1"/>
  <c r="AA498" i="1"/>
  <c r="Z498" i="1"/>
  <c r="R498" i="1"/>
  <c r="P498" i="1"/>
  <c r="K498" i="1"/>
  <c r="J498" i="1"/>
  <c r="E498" i="1"/>
  <c r="D498" i="1"/>
  <c r="AA497" i="1"/>
  <c r="Z497" i="1"/>
  <c r="R497" i="1"/>
  <c r="P497" i="1"/>
  <c r="K497" i="1"/>
  <c r="J497" i="1"/>
  <c r="E497" i="1"/>
  <c r="D497" i="1"/>
  <c r="AA496" i="1"/>
  <c r="Z496" i="1"/>
  <c r="R496" i="1"/>
  <c r="P496" i="1"/>
  <c r="K496" i="1"/>
  <c r="J496" i="1"/>
  <c r="E496" i="1"/>
  <c r="D496" i="1"/>
  <c r="AA495" i="1"/>
  <c r="Z495" i="1"/>
  <c r="AB495" i="1" s="1"/>
  <c r="R495" i="1"/>
  <c r="P495" i="1"/>
  <c r="K495" i="1"/>
  <c r="J495" i="1"/>
  <c r="E495" i="1"/>
  <c r="D495" i="1"/>
  <c r="AA494" i="1"/>
  <c r="AB494" i="1" s="1"/>
  <c r="Z494" i="1"/>
  <c r="R494" i="1"/>
  <c r="P494" i="1"/>
  <c r="K494" i="1"/>
  <c r="J494" i="1"/>
  <c r="E494" i="1"/>
  <c r="D494" i="1"/>
  <c r="AA493" i="1"/>
  <c r="Z493" i="1"/>
  <c r="AB493" i="1" s="1"/>
  <c r="R493" i="1"/>
  <c r="P493" i="1"/>
  <c r="K493" i="1"/>
  <c r="J493" i="1"/>
  <c r="E493" i="1"/>
  <c r="D493" i="1"/>
  <c r="AA492" i="1"/>
  <c r="Z492" i="1"/>
  <c r="AB492" i="1" s="1"/>
  <c r="R492" i="1"/>
  <c r="P492" i="1"/>
  <c r="K492" i="1"/>
  <c r="J492" i="1"/>
  <c r="E492" i="1"/>
  <c r="D492" i="1"/>
  <c r="AA491" i="1"/>
  <c r="Z491" i="1"/>
  <c r="AB491" i="1" s="1"/>
  <c r="R491" i="1"/>
  <c r="P491" i="1"/>
  <c r="K491" i="1"/>
  <c r="J491" i="1"/>
  <c r="E491" i="1"/>
  <c r="D491" i="1"/>
  <c r="AB490" i="1"/>
  <c r="AA490" i="1"/>
  <c r="Z490" i="1"/>
  <c r="R490" i="1"/>
  <c r="P490" i="1"/>
  <c r="K490" i="1"/>
  <c r="J490" i="1"/>
  <c r="E490" i="1"/>
  <c r="D490" i="1"/>
  <c r="AA489" i="1"/>
  <c r="Z489" i="1"/>
  <c r="AB489" i="1" s="1"/>
  <c r="R489" i="1"/>
  <c r="P489" i="1"/>
  <c r="L489" i="1"/>
  <c r="K489" i="1"/>
  <c r="J489" i="1"/>
  <c r="E489" i="1"/>
  <c r="D489" i="1"/>
  <c r="AA488" i="1"/>
  <c r="AB488" i="1" s="1"/>
  <c r="Z488" i="1"/>
  <c r="R488" i="1"/>
  <c r="P488" i="1"/>
  <c r="K488" i="1"/>
  <c r="J488" i="1"/>
  <c r="E488" i="1"/>
  <c r="D488" i="1"/>
  <c r="AA487" i="1"/>
  <c r="AB487" i="1" s="1"/>
  <c r="Z487" i="1"/>
  <c r="R487" i="1"/>
  <c r="P487" i="1"/>
  <c r="K487" i="1"/>
  <c r="J487" i="1"/>
  <c r="E487" i="1"/>
  <c r="D487" i="1"/>
  <c r="AA486" i="1"/>
  <c r="AB486" i="1" s="1"/>
  <c r="Z486" i="1"/>
  <c r="R486" i="1"/>
  <c r="P486" i="1"/>
  <c r="K486" i="1"/>
  <c r="J486" i="1"/>
  <c r="E486" i="1"/>
  <c r="D486" i="1"/>
  <c r="AA485" i="1"/>
  <c r="Z485" i="1"/>
  <c r="AB485" i="1" s="1"/>
  <c r="R485" i="1"/>
  <c r="P485" i="1"/>
  <c r="K485" i="1"/>
  <c r="J485" i="1"/>
  <c r="E485" i="1"/>
  <c r="D485" i="1"/>
  <c r="AA484" i="1"/>
  <c r="AB484" i="1" s="1"/>
  <c r="Z484" i="1"/>
  <c r="R484" i="1"/>
  <c r="P484" i="1"/>
  <c r="K484" i="1"/>
  <c r="J484" i="1"/>
  <c r="E484" i="1"/>
  <c r="D484" i="1"/>
  <c r="AA483" i="1"/>
  <c r="AB483" i="1" s="1"/>
  <c r="Z483" i="1"/>
  <c r="R483" i="1"/>
  <c r="P483" i="1"/>
  <c r="K483" i="1"/>
  <c r="J483" i="1"/>
  <c r="E483" i="1"/>
  <c r="D483" i="1"/>
  <c r="AA482" i="1"/>
  <c r="AB482" i="1" s="1"/>
  <c r="Z482" i="1"/>
  <c r="R482" i="1"/>
  <c r="P482" i="1"/>
  <c r="K482" i="1"/>
  <c r="J482" i="1"/>
  <c r="E482" i="1"/>
  <c r="D482" i="1"/>
  <c r="AA481" i="1"/>
  <c r="Z481" i="1"/>
  <c r="AB481" i="1" s="1"/>
  <c r="R481" i="1"/>
  <c r="P481" i="1"/>
  <c r="K481" i="1"/>
  <c r="J481" i="1"/>
  <c r="E481" i="1"/>
  <c r="D481" i="1"/>
  <c r="AA480" i="1"/>
  <c r="AB480" i="1" s="1"/>
  <c r="Z480" i="1"/>
  <c r="R480" i="1"/>
  <c r="P480" i="1"/>
  <c r="K480" i="1"/>
  <c r="J480" i="1"/>
  <c r="E480" i="1"/>
  <c r="D480" i="1"/>
  <c r="AA479" i="1"/>
  <c r="AB479" i="1" s="1"/>
  <c r="Z479" i="1"/>
  <c r="R479" i="1"/>
  <c r="P479" i="1"/>
  <c r="K479" i="1"/>
  <c r="J479" i="1"/>
  <c r="E479" i="1"/>
  <c r="D479" i="1"/>
  <c r="AA478" i="1"/>
  <c r="AB478" i="1" s="1"/>
  <c r="Z478" i="1"/>
  <c r="R478" i="1"/>
  <c r="P478" i="1"/>
  <c r="K478" i="1"/>
  <c r="J478" i="1"/>
  <c r="E478" i="1"/>
  <c r="D478" i="1"/>
  <c r="AA477" i="1"/>
  <c r="Z477" i="1"/>
  <c r="AB477" i="1" s="1"/>
  <c r="R477" i="1"/>
  <c r="P477" i="1"/>
  <c r="K477" i="1"/>
  <c r="J477" i="1"/>
  <c r="E477" i="1"/>
  <c r="D477" i="1"/>
  <c r="AA476" i="1"/>
  <c r="AB476" i="1" s="1"/>
  <c r="Z476" i="1"/>
  <c r="R476" i="1"/>
  <c r="P476" i="1"/>
  <c r="K476" i="1"/>
  <c r="J476" i="1"/>
  <c r="E476" i="1"/>
  <c r="D476" i="1"/>
  <c r="AA475" i="1"/>
  <c r="AB475" i="1" s="1"/>
  <c r="Z475" i="1"/>
  <c r="R475" i="1"/>
  <c r="P475" i="1"/>
  <c r="K475" i="1"/>
  <c r="J475" i="1"/>
  <c r="E475" i="1"/>
  <c r="D475" i="1"/>
  <c r="AA474" i="1"/>
  <c r="AB474" i="1" s="1"/>
  <c r="Z474" i="1"/>
  <c r="R474" i="1"/>
  <c r="P474" i="1"/>
  <c r="K474" i="1"/>
  <c r="J474" i="1"/>
  <c r="E474" i="1"/>
  <c r="D474" i="1"/>
  <c r="AA473" i="1"/>
  <c r="Z473" i="1"/>
  <c r="AB473" i="1" s="1"/>
  <c r="R473" i="1"/>
  <c r="P473" i="1"/>
  <c r="K473" i="1"/>
  <c r="J473" i="1"/>
  <c r="E473" i="1"/>
  <c r="D473" i="1"/>
  <c r="AA472" i="1"/>
  <c r="AB472" i="1" s="1"/>
  <c r="Z472" i="1"/>
  <c r="R472" i="1"/>
  <c r="P472" i="1"/>
  <c r="K472" i="1"/>
  <c r="J472" i="1"/>
  <c r="E472" i="1"/>
  <c r="D472" i="1"/>
  <c r="AA471" i="1"/>
  <c r="AB471" i="1" s="1"/>
  <c r="Z471" i="1"/>
  <c r="R471" i="1"/>
  <c r="P471" i="1"/>
  <c r="K471" i="1"/>
  <c r="J471" i="1"/>
  <c r="E471" i="1"/>
  <c r="D471" i="1"/>
  <c r="AA470" i="1"/>
  <c r="Z470" i="1"/>
  <c r="AB470" i="1" s="1"/>
  <c r="R470" i="1"/>
  <c r="P470" i="1"/>
  <c r="K470" i="1"/>
  <c r="J470" i="1"/>
  <c r="E470" i="1"/>
  <c r="D470" i="1"/>
  <c r="AA469" i="1"/>
  <c r="Z469" i="1"/>
  <c r="AB469" i="1" s="1"/>
  <c r="R469" i="1"/>
  <c r="P469" i="1"/>
  <c r="K469" i="1"/>
  <c r="J469" i="1"/>
  <c r="E469" i="1"/>
  <c r="D469" i="1"/>
  <c r="AA468" i="1"/>
  <c r="AB468" i="1" s="1"/>
  <c r="Z468" i="1"/>
  <c r="R468" i="1"/>
  <c r="P468" i="1"/>
  <c r="K468" i="1"/>
  <c r="J468" i="1"/>
  <c r="E468" i="1"/>
  <c r="D468" i="1"/>
  <c r="AA467" i="1"/>
  <c r="AB467" i="1" s="1"/>
  <c r="Z467" i="1"/>
  <c r="R467" i="1"/>
  <c r="P467" i="1"/>
  <c r="K467" i="1"/>
  <c r="J467" i="1"/>
  <c r="E467" i="1"/>
  <c r="D467" i="1"/>
  <c r="AA466" i="1"/>
  <c r="Z466" i="1"/>
  <c r="AB466" i="1" s="1"/>
  <c r="R466" i="1"/>
  <c r="P466" i="1"/>
  <c r="K466" i="1"/>
  <c r="J466" i="1"/>
  <c r="E466" i="1"/>
  <c r="D466" i="1"/>
  <c r="AA465" i="1"/>
  <c r="Z465" i="1"/>
  <c r="AB465" i="1" s="1"/>
  <c r="R465" i="1"/>
  <c r="P465" i="1"/>
  <c r="K465" i="1"/>
  <c r="J465" i="1"/>
  <c r="E465" i="1"/>
  <c r="D465" i="1"/>
  <c r="AA464" i="1"/>
  <c r="AB464" i="1" s="1"/>
  <c r="Z464" i="1"/>
  <c r="R464" i="1"/>
  <c r="P464" i="1"/>
  <c r="K464" i="1"/>
  <c r="J464" i="1"/>
  <c r="E464" i="1"/>
  <c r="D464" i="1"/>
  <c r="AA463" i="1"/>
  <c r="AB463" i="1" s="1"/>
  <c r="Z463" i="1"/>
  <c r="R463" i="1"/>
  <c r="P463" i="1"/>
  <c r="K463" i="1"/>
  <c r="J463" i="1"/>
  <c r="E463" i="1"/>
  <c r="D463" i="1"/>
  <c r="AA462" i="1"/>
  <c r="Z462" i="1"/>
  <c r="AB462" i="1" s="1"/>
  <c r="R462" i="1"/>
  <c r="P462" i="1"/>
  <c r="K462" i="1"/>
  <c r="J462" i="1"/>
  <c r="E462" i="1"/>
  <c r="D462" i="1"/>
  <c r="AA461" i="1"/>
  <c r="Z461" i="1"/>
  <c r="AB461" i="1" s="1"/>
  <c r="R461" i="1"/>
  <c r="P461" i="1"/>
  <c r="K461" i="1"/>
  <c r="J461" i="1"/>
  <c r="E461" i="1"/>
  <c r="D461" i="1"/>
  <c r="AA460" i="1"/>
  <c r="AB460" i="1" s="1"/>
  <c r="Z460" i="1"/>
  <c r="R460" i="1"/>
  <c r="P460" i="1"/>
  <c r="K460" i="1"/>
  <c r="J460" i="1"/>
  <c r="E460" i="1"/>
  <c r="D460" i="1"/>
  <c r="AA459" i="1"/>
  <c r="AB459" i="1" s="1"/>
  <c r="Z459" i="1"/>
  <c r="R459" i="1"/>
  <c r="P459" i="1"/>
  <c r="K459" i="1"/>
  <c r="J459" i="1"/>
  <c r="E459" i="1"/>
  <c r="D459" i="1"/>
  <c r="AA458" i="1"/>
  <c r="Z458" i="1"/>
  <c r="AB458" i="1" s="1"/>
  <c r="R458" i="1"/>
  <c r="P458" i="1"/>
  <c r="K458" i="1"/>
  <c r="J458" i="1"/>
  <c r="E458" i="1"/>
  <c r="D458" i="1"/>
  <c r="AA457" i="1"/>
  <c r="Z457" i="1"/>
  <c r="AB457" i="1" s="1"/>
  <c r="R457" i="1"/>
  <c r="P457" i="1"/>
  <c r="K457" i="1"/>
  <c r="J457" i="1"/>
  <c r="E457" i="1"/>
  <c r="D457" i="1"/>
  <c r="AA456" i="1"/>
  <c r="AB456" i="1" s="1"/>
  <c r="Z456" i="1"/>
  <c r="R456" i="1"/>
  <c r="P456" i="1"/>
  <c r="K456" i="1"/>
  <c r="J456" i="1"/>
  <c r="E456" i="1"/>
  <c r="D456" i="1"/>
  <c r="AA455" i="1"/>
  <c r="AB455" i="1" s="1"/>
  <c r="Z455" i="1"/>
  <c r="R455" i="1"/>
  <c r="P455" i="1"/>
  <c r="K455" i="1"/>
  <c r="J455" i="1"/>
  <c r="E455" i="1"/>
  <c r="D455" i="1"/>
  <c r="AA454" i="1"/>
  <c r="Z454" i="1"/>
  <c r="AB454" i="1" s="1"/>
  <c r="R454" i="1"/>
  <c r="P454" i="1"/>
  <c r="K454" i="1"/>
  <c r="J454" i="1"/>
  <c r="E454" i="1"/>
  <c r="D454" i="1"/>
  <c r="AA453" i="1"/>
  <c r="Z453" i="1"/>
  <c r="AB453" i="1" s="1"/>
  <c r="R453" i="1"/>
  <c r="P453" i="1"/>
  <c r="K453" i="1"/>
  <c r="J453" i="1"/>
  <c r="E453" i="1"/>
  <c r="D453" i="1"/>
  <c r="AA452" i="1"/>
  <c r="AB452" i="1" s="1"/>
  <c r="Z452" i="1"/>
  <c r="R452" i="1"/>
  <c r="P452" i="1"/>
  <c r="K452" i="1"/>
  <c r="J452" i="1"/>
  <c r="E452" i="1"/>
  <c r="D452" i="1"/>
  <c r="AA451" i="1"/>
  <c r="AB451" i="1" s="1"/>
  <c r="Z451" i="1"/>
  <c r="R451" i="1"/>
  <c r="P451" i="1"/>
  <c r="K451" i="1"/>
  <c r="J451" i="1"/>
  <c r="E451" i="1"/>
  <c r="D451" i="1"/>
  <c r="AA450" i="1"/>
  <c r="Z450" i="1"/>
  <c r="AB450" i="1" s="1"/>
  <c r="R450" i="1"/>
  <c r="P450" i="1"/>
  <c r="K450" i="1"/>
  <c r="J450" i="1"/>
  <c r="E450" i="1"/>
  <c r="D450" i="1"/>
  <c r="AA449" i="1"/>
  <c r="Z449" i="1"/>
  <c r="AB449" i="1" s="1"/>
  <c r="R449" i="1"/>
  <c r="P449" i="1"/>
  <c r="K449" i="1"/>
  <c r="J449" i="1"/>
  <c r="E449" i="1"/>
  <c r="D449" i="1"/>
  <c r="AA448" i="1"/>
  <c r="AB448" i="1" s="1"/>
  <c r="Z448" i="1"/>
  <c r="R448" i="1"/>
  <c r="P448" i="1"/>
  <c r="K448" i="1"/>
  <c r="J448" i="1"/>
  <c r="E448" i="1"/>
  <c r="D448" i="1"/>
  <c r="AA447" i="1"/>
  <c r="AB447" i="1" s="1"/>
  <c r="Z447" i="1"/>
  <c r="R447" i="1"/>
  <c r="P447" i="1"/>
  <c r="K447" i="1"/>
  <c r="J447" i="1"/>
  <c r="E447" i="1"/>
  <c r="D447" i="1"/>
  <c r="AA446" i="1"/>
  <c r="Z446" i="1"/>
  <c r="AB446" i="1" s="1"/>
  <c r="R446" i="1"/>
  <c r="P446" i="1"/>
  <c r="K446" i="1"/>
  <c r="J446" i="1"/>
  <c r="E446" i="1"/>
  <c r="D446" i="1"/>
  <c r="AA445" i="1"/>
  <c r="Z445" i="1"/>
  <c r="AB445" i="1" s="1"/>
  <c r="R445" i="1"/>
  <c r="P445" i="1"/>
  <c r="K445" i="1"/>
  <c r="J445" i="1"/>
  <c r="E445" i="1"/>
  <c r="D445" i="1"/>
  <c r="AA444" i="1"/>
  <c r="AB444" i="1" s="1"/>
  <c r="Z444" i="1"/>
  <c r="R444" i="1"/>
  <c r="P444" i="1"/>
  <c r="K444" i="1"/>
  <c r="J444" i="1"/>
  <c r="E444" i="1"/>
  <c r="D444" i="1"/>
  <c r="AA443" i="1"/>
  <c r="AB443" i="1" s="1"/>
  <c r="Z443" i="1"/>
  <c r="R443" i="1"/>
  <c r="P443" i="1"/>
  <c r="K443" i="1"/>
  <c r="J443" i="1"/>
  <c r="E443" i="1"/>
  <c r="D443" i="1"/>
  <c r="AA442" i="1"/>
  <c r="Z442" i="1"/>
  <c r="AB442" i="1" s="1"/>
  <c r="R442" i="1"/>
  <c r="P442" i="1"/>
  <c r="K442" i="1"/>
  <c r="J442" i="1"/>
  <c r="E442" i="1"/>
  <c r="D442" i="1"/>
  <c r="AA441" i="1"/>
  <c r="Z441" i="1"/>
  <c r="AB441" i="1" s="1"/>
  <c r="R441" i="1"/>
  <c r="P441" i="1"/>
  <c r="K441" i="1"/>
  <c r="J441" i="1"/>
  <c r="E441" i="1"/>
  <c r="D441" i="1"/>
  <c r="AA440" i="1"/>
  <c r="Z440" i="1"/>
  <c r="AB440" i="1" s="1"/>
  <c r="R440" i="1"/>
  <c r="P440" i="1"/>
  <c r="K440" i="1"/>
  <c r="J440" i="1"/>
  <c r="E440" i="1"/>
  <c r="D440" i="1"/>
  <c r="AA439" i="1"/>
  <c r="AB439" i="1" s="1"/>
  <c r="Z439" i="1"/>
  <c r="R439" i="1"/>
  <c r="P439" i="1"/>
  <c r="K439" i="1"/>
  <c r="J439" i="1"/>
  <c r="E439" i="1"/>
  <c r="D439" i="1"/>
  <c r="AA438" i="1"/>
  <c r="Z438" i="1"/>
  <c r="AB438" i="1" s="1"/>
  <c r="R438" i="1"/>
  <c r="P438" i="1"/>
  <c r="K438" i="1"/>
  <c r="J438" i="1"/>
  <c r="E438" i="1"/>
  <c r="D438" i="1"/>
  <c r="AA437" i="1"/>
  <c r="Z437" i="1"/>
  <c r="AB437" i="1" s="1"/>
  <c r="R437" i="1"/>
  <c r="P437" i="1"/>
  <c r="K437" i="1"/>
  <c r="J437" i="1"/>
  <c r="E437" i="1"/>
  <c r="D437" i="1"/>
  <c r="AA436" i="1"/>
  <c r="Z436" i="1"/>
  <c r="AB436" i="1" s="1"/>
  <c r="R436" i="1"/>
  <c r="P436" i="1"/>
  <c r="K436" i="1"/>
  <c r="J436" i="1"/>
  <c r="E436" i="1"/>
  <c r="D436" i="1"/>
  <c r="AA435" i="1"/>
  <c r="AB435" i="1" s="1"/>
  <c r="Z435" i="1"/>
  <c r="R435" i="1"/>
  <c r="P435" i="1"/>
  <c r="K435" i="1"/>
  <c r="J435" i="1"/>
  <c r="E435" i="1"/>
  <c r="D435" i="1"/>
  <c r="AA434" i="1"/>
  <c r="Z434" i="1"/>
  <c r="AB434" i="1" s="1"/>
  <c r="R434" i="1"/>
  <c r="P434" i="1"/>
  <c r="K434" i="1"/>
  <c r="J434" i="1"/>
  <c r="E434" i="1"/>
  <c r="D434" i="1"/>
  <c r="AA433" i="1"/>
  <c r="Z433" i="1"/>
  <c r="AB433" i="1" s="1"/>
  <c r="R433" i="1"/>
  <c r="P433" i="1"/>
  <c r="K433" i="1"/>
  <c r="J433" i="1"/>
  <c r="E433" i="1"/>
  <c r="D433" i="1"/>
  <c r="AA432" i="1"/>
  <c r="Z432" i="1"/>
  <c r="AB432" i="1" s="1"/>
  <c r="R432" i="1"/>
  <c r="P432" i="1"/>
  <c r="K432" i="1"/>
  <c r="J432" i="1"/>
  <c r="E432" i="1"/>
  <c r="D432" i="1"/>
  <c r="AA431" i="1"/>
  <c r="Z431" i="1"/>
  <c r="AB431" i="1" s="1"/>
  <c r="R431" i="1"/>
  <c r="P431" i="1"/>
  <c r="K431" i="1"/>
  <c r="J431" i="1"/>
  <c r="E431" i="1"/>
  <c r="D431" i="1"/>
  <c r="AA430" i="1"/>
  <c r="Z430" i="1"/>
  <c r="AB430" i="1" s="1"/>
  <c r="R430" i="1"/>
  <c r="P430" i="1"/>
  <c r="K430" i="1"/>
  <c r="J430" i="1"/>
  <c r="E430" i="1"/>
  <c r="D430" i="1"/>
  <c r="AA429" i="1"/>
  <c r="Z429" i="1"/>
  <c r="AB429" i="1" s="1"/>
  <c r="R429" i="1"/>
  <c r="P429" i="1"/>
  <c r="K429" i="1"/>
  <c r="J429" i="1"/>
  <c r="E429" i="1"/>
  <c r="D429" i="1"/>
  <c r="AA428" i="1"/>
  <c r="Z428" i="1"/>
  <c r="AB428" i="1" s="1"/>
  <c r="R428" i="1"/>
  <c r="P428" i="1"/>
  <c r="K428" i="1"/>
  <c r="J428" i="1"/>
  <c r="E428" i="1"/>
  <c r="D428" i="1"/>
  <c r="AA427" i="1"/>
  <c r="Z427" i="1"/>
  <c r="AB427" i="1" s="1"/>
  <c r="R427" i="1"/>
  <c r="P427" i="1"/>
  <c r="K427" i="1"/>
  <c r="J427" i="1"/>
  <c r="E427" i="1"/>
  <c r="D427" i="1"/>
  <c r="AA426" i="1"/>
  <c r="Z426" i="1"/>
  <c r="AB426" i="1" s="1"/>
  <c r="R426" i="1"/>
  <c r="P426" i="1"/>
  <c r="K426" i="1"/>
  <c r="J426" i="1"/>
  <c r="E426" i="1"/>
  <c r="D426" i="1"/>
  <c r="AA425" i="1"/>
  <c r="Z425" i="1"/>
  <c r="AB425" i="1" s="1"/>
  <c r="R425" i="1"/>
  <c r="P425" i="1"/>
  <c r="K425" i="1"/>
  <c r="J425" i="1"/>
  <c r="E425" i="1"/>
  <c r="D425" i="1"/>
  <c r="AA424" i="1"/>
  <c r="Z424" i="1"/>
  <c r="AB424" i="1" s="1"/>
  <c r="R424" i="1"/>
  <c r="P424" i="1"/>
  <c r="K424" i="1"/>
  <c r="J424" i="1"/>
  <c r="E424" i="1"/>
  <c r="D424" i="1"/>
  <c r="AA423" i="1"/>
  <c r="Z423" i="1"/>
  <c r="AB423" i="1" s="1"/>
  <c r="R423" i="1"/>
  <c r="P423" i="1"/>
  <c r="K423" i="1"/>
  <c r="J423" i="1"/>
  <c r="E423" i="1"/>
  <c r="D423" i="1"/>
  <c r="AA422" i="1"/>
  <c r="Z422" i="1"/>
  <c r="AB422" i="1" s="1"/>
  <c r="R422" i="1"/>
  <c r="P422" i="1"/>
  <c r="K422" i="1"/>
  <c r="J422" i="1"/>
  <c r="E422" i="1"/>
  <c r="D422" i="1"/>
  <c r="AA421" i="1"/>
  <c r="Z421" i="1"/>
  <c r="AB421" i="1" s="1"/>
  <c r="R421" i="1"/>
  <c r="P421" i="1"/>
  <c r="K421" i="1"/>
  <c r="J421" i="1"/>
  <c r="E421" i="1"/>
  <c r="D421" i="1"/>
  <c r="AA420" i="1"/>
  <c r="Z420" i="1"/>
  <c r="AB420" i="1" s="1"/>
  <c r="R420" i="1"/>
  <c r="P420" i="1"/>
  <c r="K420" i="1"/>
  <c r="J420" i="1"/>
  <c r="E420" i="1"/>
  <c r="D420" i="1"/>
  <c r="AA419" i="1"/>
  <c r="Z419" i="1"/>
  <c r="AB419" i="1" s="1"/>
  <c r="R419" i="1"/>
  <c r="P419" i="1"/>
  <c r="K419" i="1"/>
  <c r="J419" i="1"/>
  <c r="E419" i="1"/>
  <c r="D419" i="1"/>
  <c r="AA418" i="1"/>
  <c r="Z418" i="1"/>
  <c r="AB418" i="1" s="1"/>
  <c r="R418" i="1"/>
  <c r="P418" i="1"/>
  <c r="K418" i="1"/>
  <c r="J418" i="1"/>
  <c r="E418" i="1"/>
  <c r="D418" i="1"/>
  <c r="AA417" i="1"/>
  <c r="Z417" i="1"/>
  <c r="AB417" i="1" s="1"/>
  <c r="R417" i="1"/>
  <c r="P417" i="1"/>
  <c r="K417" i="1"/>
  <c r="J417" i="1"/>
  <c r="E417" i="1"/>
  <c r="D417" i="1"/>
  <c r="AA416" i="1"/>
  <c r="Z416" i="1"/>
  <c r="AB416" i="1" s="1"/>
  <c r="R416" i="1"/>
  <c r="P416" i="1"/>
  <c r="K416" i="1"/>
  <c r="J416" i="1"/>
  <c r="E416" i="1"/>
  <c r="D416" i="1"/>
  <c r="AA415" i="1"/>
  <c r="Z415" i="1"/>
  <c r="AB415" i="1" s="1"/>
  <c r="R415" i="1"/>
  <c r="P415" i="1"/>
  <c r="K415" i="1"/>
  <c r="J415" i="1"/>
  <c r="E415" i="1"/>
  <c r="D415" i="1"/>
  <c r="AA414" i="1"/>
  <c r="Z414" i="1"/>
  <c r="AB414" i="1" s="1"/>
  <c r="R414" i="1"/>
  <c r="P414" i="1"/>
  <c r="K414" i="1"/>
  <c r="J414" i="1"/>
  <c r="E414" i="1"/>
  <c r="D414" i="1"/>
  <c r="AA413" i="1"/>
  <c r="Z413" i="1"/>
  <c r="AB413" i="1" s="1"/>
  <c r="R413" i="1"/>
  <c r="P413" i="1"/>
  <c r="K413" i="1"/>
  <c r="J413" i="1"/>
  <c r="E413" i="1"/>
  <c r="D413" i="1"/>
  <c r="AA412" i="1"/>
  <c r="Z412" i="1"/>
  <c r="AB412" i="1" s="1"/>
  <c r="R412" i="1"/>
  <c r="P412" i="1"/>
  <c r="K412" i="1"/>
  <c r="J412" i="1"/>
  <c r="E412" i="1"/>
  <c r="D412" i="1"/>
  <c r="AA411" i="1"/>
  <c r="Z411" i="1"/>
  <c r="AB411" i="1" s="1"/>
  <c r="R411" i="1"/>
  <c r="P411" i="1"/>
  <c r="K411" i="1"/>
  <c r="J411" i="1"/>
  <c r="E411" i="1"/>
  <c r="D411" i="1"/>
  <c r="AA410" i="1"/>
  <c r="Z410" i="1"/>
  <c r="AB410" i="1" s="1"/>
  <c r="R410" i="1"/>
  <c r="P410" i="1"/>
  <c r="K410" i="1"/>
  <c r="J410" i="1"/>
  <c r="E410" i="1"/>
  <c r="D410" i="1"/>
  <c r="AA409" i="1"/>
  <c r="Z409" i="1"/>
  <c r="AB409" i="1" s="1"/>
  <c r="R409" i="1"/>
  <c r="P409" i="1"/>
  <c r="K409" i="1"/>
  <c r="J409" i="1"/>
  <c r="E409" i="1"/>
  <c r="D409" i="1"/>
  <c r="AA408" i="1"/>
  <c r="Z408" i="1"/>
  <c r="AB408" i="1" s="1"/>
  <c r="R408" i="1"/>
  <c r="P408" i="1"/>
  <c r="K408" i="1"/>
  <c r="J408" i="1"/>
  <c r="E408" i="1"/>
  <c r="D408" i="1"/>
  <c r="AA407" i="1"/>
  <c r="Z407" i="1"/>
  <c r="AB407" i="1" s="1"/>
  <c r="R407" i="1"/>
  <c r="P407" i="1"/>
  <c r="K407" i="1"/>
  <c r="J407" i="1"/>
  <c r="E407" i="1"/>
  <c r="D407" i="1"/>
  <c r="AA406" i="1"/>
  <c r="Z406" i="1"/>
  <c r="AB406" i="1" s="1"/>
  <c r="R406" i="1"/>
  <c r="P406" i="1"/>
  <c r="K406" i="1"/>
  <c r="J406" i="1"/>
  <c r="E406" i="1"/>
  <c r="D406" i="1"/>
  <c r="AA405" i="1"/>
  <c r="Z405" i="1"/>
  <c r="AB405" i="1" s="1"/>
  <c r="R405" i="1"/>
  <c r="P405" i="1"/>
  <c r="K405" i="1"/>
  <c r="J405" i="1"/>
  <c r="E405" i="1"/>
  <c r="D405" i="1"/>
  <c r="AA404" i="1"/>
  <c r="Z404" i="1"/>
  <c r="AB404" i="1" s="1"/>
  <c r="R404" i="1"/>
  <c r="P404" i="1"/>
  <c r="K404" i="1"/>
  <c r="J404" i="1"/>
  <c r="E404" i="1"/>
  <c r="D404" i="1"/>
  <c r="AA403" i="1"/>
  <c r="Z403" i="1"/>
  <c r="AB403" i="1" s="1"/>
  <c r="R403" i="1"/>
  <c r="P403" i="1"/>
  <c r="K403" i="1"/>
  <c r="J403" i="1"/>
  <c r="E403" i="1"/>
  <c r="D403" i="1"/>
  <c r="AA402" i="1"/>
  <c r="Z402" i="1"/>
  <c r="AB402" i="1" s="1"/>
  <c r="R402" i="1"/>
  <c r="P402" i="1"/>
  <c r="K402" i="1"/>
  <c r="J402" i="1"/>
  <c r="E402" i="1"/>
  <c r="D402" i="1"/>
  <c r="AA401" i="1"/>
  <c r="Z401" i="1"/>
  <c r="AB401" i="1" s="1"/>
  <c r="R401" i="1"/>
  <c r="P401" i="1"/>
  <c r="K401" i="1"/>
  <c r="J401" i="1"/>
  <c r="E401" i="1"/>
  <c r="D401" i="1"/>
  <c r="AA400" i="1"/>
  <c r="Z400" i="1"/>
  <c r="AB400" i="1" s="1"/>
  <c r="R400" i="1"/>
  <c r="P400" i="1"/>
  <c r="K400" i="1"/>
  <c r="J400" i="1"/>
  <c r="E400" i="1"/>
  <c r="D400" i="1"/>
  <c r="AA399" i="1"/>
  <c r="Z399" i="1"/>
  <c r="AB399" i="1" s="1"/>
  <c r="R399" i="1"/>
  <c r="P399" i="1"/>
  <c r="K399" i="1"/>
  <c r="J399" i="1"/>
  <c r="E399" i="1"/>
  <c r="D399" i="1"/>
  <c r="AA398" i="1"/>
  <c r="Z398" i="1"/>
  <c r="AB398" i="1" s="1"/>
  <c r="R398" i="1"/>
  <c r="P398" i="1"/>
  <c r="K398" i="1"/>
  <c r="J398" i="1"/>
  <c r="E398" i="1"/>
  <c r="D398" i="1"/>
  <c r="AA397" i="1"/>
  <c r="Z397" i="1"/>
  <c r="AB397" i="1" s="1"/>
  <c r="R397" i="1"/>
  <c r="P397" i="1"/>
  <c r="K397" i="1"/>
  <c r="J397" i="1"/>
  <c r="E397" i="1"/>
  <c r="D397" i="1"/>
  <c r="AA396" i="1"/>
  <c r="Z396" i="1"/>
  <c r="AB396" i="1" s="1"/>
  <c r="R396" i="1"/>
  <c r="P396" i="1"/>
  <c r="K396" i="1"/>
  <c r="J396" i="1"/>
  <c r="E396" i="1"/>
  <c r="D396" i="1"/>
  <c r="AA395" i="1"/>
  <c r="Z395" i="1"/>
  <c r="AB395" i="1" s="1"/>
  <c r="R395" i="1"/>
  <c r="P395" i="1"/>
  <c r="K395" i="1"/>
  <c r="J395" i="1"/>
  <c r="E395" i="1"/>
  <c r="D395" i="1"/>
  <c r="AA394" i="1"/>
  <c r="Z394" i="1"/>
  <c r="AB394" i="1" s="1"/>
  <c r="R394" i="1"/>
  <c r="P394" i="1"/>
  <c r="K394" i="1"/>
  <c r="J394" i="1"/>
  <c r="E394" i="1"/>
  <c r="D394" i="1"/>
  <c r="AA393" i="1"/>
  <c r="Z393" i="1"/>
  <c r="AB393" i="1" s="1"/>
  <c r="R393" i="1"/>
  <c r="P393" i="1"/>
  <c r="K393" i="1"/>
  <c r="J393" i="1"/>
  <c r="E393" i="1"/>
  <c r="D393" i="1"/>
  <c r="AA392" i="1"/>
  <c r="Z392" i="1"/>
  <c r="AB392" i="1" s="1"/>
  <c r="R392" i="1"/>
  <c r="P392" i="1"/>
  <c r="K392" i="1"/>
  <c r="J392" i="1"/>
  <c r="E392" i="1"/>
  <c r="D392" i="1"/>
  <c r="AA391" i="1"/>
  <c r="Z391" i="1"/>
  <c r="AB391" i="1" s="1"/>
  <c r="R391" i="1"/>
  <c r="P391" i="1"/>
  <c r="K391" i="1"/>
  <c r="J391" i="1"/>
  <c r="E391" i="1"/>
  <c r="D391" i="1"/>
  <c r="AA390" i="1"/>
  <c r="Z390" i="1"/>
  <c r="AB390" i="1" s="1"/>
  <c r="R390" i="1"/>
  <c r="P390" i="1"/>
  <c r="K390" i="1"/>
  <c r="J390" i="1"/>
  <c r="E390" i="1"/>
  <c r="D390" i="1"/>
  <c r="AB389" i="1"/>
  <c r="AA389" i="1"/>
  <c r="Z389" i="1"/>
  <c r="R389" i="1"/>
  <c r="P389" i="1"/>
  <c r="K389" i="1"/>
  <c r="J389" i="1"/>
  <c r="E389" i="1"/>
  <c r="D389" i="1"/>
  <c r="AA388" i="1"/>
  <c r="Z388" i="1"/>
  <c r="AB388" i="1" s="1"/>
  <c r="R388" i="1"/>
  <c r="P388" i="1"/>
  <c r="K388" i="1"/>
  <c r="J388" i="1"/>
  <c r="E388" i="1"/>
  <c r="D388" i="1"/>
  <c r="AA387" i="1"/>
  <c r="Z387" i="1"/>
  <c r="AB387" i="1" s="1"/>
  <c r="R387" i="1"/>
  <c r="P387" i="1"/>
  <c r="K387" i="1"/>
  <c r="J387" i="1"/>
  <c r="E387" i="1"/>
  <c r="D387" i="1"/>
  <c r="AA386" i="1"/>
  <c r="Z386" i="1"/>
  <c r="AB386" i="1" s="1"/>
  <c r="R386" i="1"/>
  <c r="P386" i="1"/>
  <c r="K386" i="1"/>
  <c r="J386" i="1"/>
  <c r="E386" i="1"/>
  <c r="D386" i="1"/>
  <c r="AA385" i="1"/>
  <c r="Z385" i="1"/>
  <c r="AB385" i="1" s="1"/>
  <c r="R385" i="1"/>
  <c r="P385" i="1"/>
  <c r="K385" i="1"/>
  <c r="J385" i="1"/>
  <c r="E385" i="1"/>
  <c r="D385" i="1"/>
  <c r="AA384" i="1"/>
  <c r="Z384" i="1"/>
  <c r="AB384" i="1" s="1"/>
  <c r="R384" i="1"/>
  <c r="P384" i="1"/>
  <c r="K384" i="1"/>
  <c r="J384" i="1"/>
  <c r="E384" i="1"/>
  <c r="D384" i="1"/>
  <c r="AA383" i="1"/>
  <c r="Z383" i="1"/>
  <c r="AB383" i="1" s="1"/>
  <c r="R383" i="1"/>
  <c r="P383" i="1"/>
  <c r="K383" i="1"/>
  <c r="J383" i="1"/>
  <c r="E383" i="1"/>
  <c r="D383" i="1"/>
  <c r="AA382" i="1"/>
  <c r="Z382" i="1"/>
  <c r="AB382" i="1" s="1"/>
  <c r="R382" i="1"/>
  <c r="P382" i="1"/>
  <c r="K382" i="1"/>
  <c r="J382" i="1"/>
  <c r="E382" i="1"/>
  <c r="D382" i="1"/>
  <c r="AA381" i="1"/>
  <c r="Z381" i="1"/>
  <c r="AB381" i="1" s="1"/>
  <c r="R381" i="1"/>
  <c r="P381" i="1"/>
  <c r="K381" i="1"/>
  <c r="J381" i="1"/>
  <c r="E381" i="1"/>
  <c r="D381" i="1"/>
  <c r="AA380" i="1"/>
  <c r="Z380" i="1"/>
  <c r="AB380" i="1" s="1"/>
  <c r="R380" i="1"/>
  <c r="P380" i="1"/>
  <c r="K380" i="1"/>
  <c r="J380" i="1"/>
  <c r="E380" i="1"/>
  <c r="D380" i="1"/>
  <c r="AA379" i="1"/>
  <c r="Z379" i="1"/>
  <c r="AB379" i="1" s="1"/>
  <c r="R379" i="1"/>
  <c r="P379" i="1"/>
  <c r="K379" i="1"/>
  <c r="J379" i="1"/>
  <c r="E379" i="1"/>
  <c r="D379" i="1"/>
  <c r="AA378" i="1"/>
  <c r="Z378" i="1"/>
  <c r="AB378" i="1" s="1"/>
  <c r="R378" i="1"/>
  <c r="P378" i="1"/>
  <c r="K378" i="1"/>
  <c r="J378" i="1"/>
  <c r="E378" i="1"/>
  <c r="D378" i="1"/>
  <c r="AA377" i="1"/>
  <c r="Z377" i="1"/>
  <c r="AB377" i="1" s="1"/>
  <c r="R377" i="1"/>
  <c r="P377" i="1"/>
  <c r="K377" i="1"/>
  <c r="J377" i="1"/>
  <c r="E377" i="1"/>
  <c r="D377" i="1"/>
  <c r="AA376" i="1"/>
  <c r="Z376" i="1"/>
  <c r="AB376" i="1" s="1"/>
  <c r="R376" i="1"/>
  <c r="P376" i="1"/>
  <c r="K376" i="1"/>
  <c r="J376" i="1"/>
  <c r="E376" i="1"/>
  <c r="D376" i="1"/>
  <c r="AA375" i="1"/>
  <c r="Z375" i="1"/>
  <c r="AB375" i="1" s="1"/>
  <c r="R375" i="1"/>
  <c r="P375" i="1"/>
  <c r="K375" i="1"/>
  <c r="J375" i="1"/>
  <c r="E375" i="1"/>
  <c r="D375" i="1"/>
  <c r="AA374" i="1"/>
  <c r="Z374" i="1"/>
  <c r="AB374" i="1" s="1"/>
  <c r="R374" i="1"/>
  <c r="P374" i="1"/>
  <c r="K374" i="1"/>
  <c r="J374" i="1"/>
  <c r="E374" i="1"/>
  <c r="D374" i="1"/>
  <c r="AB373" i="1"/>
  <c r="AA373" i="1"/>
  <c r="Z373" i="1"/>
  <c r="R373" i="1"/>
  <c r="P373" i="1"/>
  <c r="K373" i="1"/>
  <c r="J373" i="1"/>
  <c r="E373" i="1"/>
  <c r="D373" i="1"/>
  <c r="AA372" i="1"/>
  <c r="Z372" i="1"/>
  <c r="AB372" i="1" s="1"/>
  <c r="R372" i="1"/>
  <c r="P372" i="1"/>
  <c r="K372" i="1"/>
  <c r="J372" i="1"/>
  <c r="E372" i="1"/>
  <c r="D372" i="1"/>
  <c r="AA371" i="1"/>
  <c r="Z371" i="1"/>
  <c r="AB371" i="1" s="1"/>
  <c r="R371" i="1"/>
  <c r="P371" i="1"/>
  <c r="K371" i="1"/>
  <c r="J371" i="1"/>
  <c r="E371" i="1"/>
  <c r="D371" i="1"/>
  <c r="AA370" i="1"/>
  <c r="Z370" i="1"/>
  <c r="AB370" i="1" s="1"/>
  <c r="R370" i="1"/>
  <c r="P370" i="1"/>
  <c r="K370" i="1"/>
  <c r="J370" i="1"/>
  <c r="E370" i="1"/>
  <c r="D370" i="1"/>
  <c r="AA369" i="1"/>
  <c r="Z369" i="1"/>
  <c r="AB369" i="1" s="1"/>
  <c r="R369" i="1"/>
  <c r="P369" i="1"/>
  <c r="K369" i="1"/>
  <c r="J369" i="1"/>
  <c r="E369" i="1"/>
  <c r="D369" i="1"/>
  <c r="AA368" i="1"/>
  <c r="Z368" i="1"/>
  <c r="AB368" i="1" s="1"/>
  <c r="R368" i="1"/>
  <c r="P368" i="1"/>
  <c r="K368" i="1"/>
  <c r="J368" i="1"/>
  <c r="E368" i="1"/>
  <c r="D368" i="1"/>
  <c r="AA367" i="1"/>
  <c r="Z367" i="1"/>
  <c r="AB367" i="1" s="1"/>
  <c r="R367" i="1"/>
  <c r="P367" i="1"/>
  <c r="K367" i="1"/>
  <c r="J367" i="1"/>
  <c r="E367" i="1"/>
  <c r="D367" i="1"/>
  <c r="AA366" i="1"/>
  <c r="Z366" i="1"/>
  <c r="AB366" i="1" s="1"/>
  <c r="R366" i="1"/>
  <c r="P366" i="1"/>
  <c r="K366" i="1"/>
  <c r="J366" i="1"/>
  <c r="E366" i="1"/>
  <c r="D366" i="1"/>
  <c r="AA365" i="1"/>
  <c r="Z365" i="1"/>
  <c r="AB365" i="1" s="1"/>
  <c r="R365" i="1"/>
  <c r="P365" i="1"/>
  <c r="K365" i="1"/>
  <c r="J365" i="1"/>
  <c r="E365" i="1"/>
  <c r="D365" i="1"/>
  <c r="AA364" i="1"/>
  <c r="Z364" i="1"/>
  <c r="AB364" i="1" s="1"/>
  <c r="R364" i="1"/>
  <c r="P364" i="1"/>
  <c r="K364" i="1"/>
  <c r="J364" i="1"/>
  <c r="E364" i="1"/>
  <c r="D364" i="1"/>
  <c r="AA363" i="1"/>
  <c r="Z363" i="1"/>
  <c r="AB363" i="1" s="1"/>
  <c r="R363" i="1"/>
  <c r="P363" i="1"/>
  <c r="K363" i="1"/>
  <c r="J363" i="1"/>
  <c r="E363" i="1"/>
  <c r="D363" i="1"/>
  <c r="AA362" i="1"/>
  <c r="Z362" i="1"/>
  <c r="AB362" i="1" s="1"/>
  <c r="R362" i="1"/>
  <c r="P362" i="1"/>
  <c r="K362" i="1"/>
  <c r="J362" i="1"/>
  <c r="E362" i="1"/>
  <c r="D362" i="1"/>
  <c r="AA361" i="1"/>
  <c r="Z361" i="1"/>
  <c r="AB361" i="1" s="1"/>
  <c r="R361" i="1"/>
  <c r="P361" i="1"/>
  <c r="K361" i="1"/>
  <c r="J361" i="1"/>
  <c r="E361" i="1"/>
  <c r="D361" i="1"/>
  <c r="AA360" i="1"/>
  <c r="Z360" i="1"/>
  <c r="AB360" i="1" s="1"/>
  <c r="R360" i="1"/>
  <c r="P360" i="1"/>
  <c r="K360" i="1"/>
  <c r="J360" i="1"/>
  <c r="E360" i="1"/>
  <c r="D360" i="1"/>
  <c r="AA359" i="1"/>
  <c r="Z359" i="1"/>
  <c r="AB359" i="1" s="1"/>
  <c r="R359" i="1"/>
  <c r="P359" i="1"/>
  <c r="K359" i="1"/>
  <c r="J359" i="1"/>
  <c r="E359" i="1"/>
  <c r="D359" i="1"/>
  <c r="AA358" i="1"/>
  <c r="Z358" i="1"/>
  <c r="AB358" i="1" s="1"/>
  <c r="R358" i="1"/>
  <c r="P358" i="1"/>
  <c r="K358" i="1"/>
  <c r="J358" i="1"/>
  <c r="E358" i="1"/>
  <c r="D358" i="1"/>
  <c r="AB357" i="1"/>
  <c r="AA357" i="1"/>
  <c r="Z357" i="1"/>
  <c r="R357" i="1"/>
  <c r="P357" i="1"/>
  <c r="K357" i="1"/>
  <c r="J357" i="1"/>
  <c r="E357" i="1"/>
  <c r="D357" i="1"/>
  <c r="AA356" i="1"/>
  <c r="Z356" i="1"/>
  <c r="AB356" i="1" s="1"/>
  <c r="R356" i="1"/>
  <c r="P356" i="1"/>
  <c r="K356" i="1"/>
  <c r="J356" i="1"/>
  <c r="E356" i="1"/>
  <c r="D356" i="1"/>
  <c r="AA355" i="1"/>
  <c r="Z355" i="1"/>
  <c r="AB355" i="1" s="1"/>
  <c r="R355" i="1"/>
  <c r="P355" i="1"/>
  <c r="K355" i="1"/>
  <c r="J355" i="1"/>
  <c r="E355" i="1"/>
  <c r="D355" i="1"/>
  <c r="AA354" i="1"/>
  <c r="Z354" i="1"/>
  <c r="AB354" i="1" s="1"/>
  <c r="R354" i="1"/>
  <c r="P354" i="1"/>
  <c r="K354" i="1"/>
  <c r="J354" i="1"/>
  <c r="E354" i="1"/>
  <c r="D354" i="1"/>
  <c r="AA353" i="1"/>
  <c r="Z353" i="1"/>
  <c r="AB353" i="1" s="1"/>
  <c r="R353" i="1"/>
  <c r="P353" i="1"/>
  <c r="K353" i="1"/>
  <c r="J353" i="1"/>
  <c r="E353" i="1"/>
  <c r="D353" i="1"/>
  <c r="AA352" i="1"/>
  <c r="Z352" i="1"/>
  <c r="AB352" i="1" s="1"/>
  <c r="R352" i="1"/>
  <c r="P352" i="1"/>
  <c r="K352" i="1"/>
  <c r="J352" i="1"/>
  <c r="E352" i="1"/>
  <c r="D352" i="1"/>
  <c r="AA351" i="1"/>
  <c r="Z351" i="1"/>
  <c r="AB351" i="1" s="1"/>
  <c r="R351" i="1"/>
  <c r="P351" i="1"/>
  <c r="K351" i="1"/>
  <c r="J351" i="1"/>
  <c r="E351" i="1"/>
  <c r="D351" i="1"/>
  <c r="AA350" i="1"/>
  <c r="Z350" i="1"/>
  <c r="AB350" i="1" s="1"/>
  <c r="R350" i="1"/>
  <c r="P350" i="1"/>
  <c r="K350" i="1"/>
  <c r="J350" i="1"/>
  <c r="E350" i="1"/>
  <c r="D350" i="1"/>
  <c r="AA349" i="1"/>
  <c r="Z349" i="1"/>
  <c r="AB349" i="1" s="1"/>
  <c r="R349" i="1"/>
  <c r="P349" i="1"/>
  <c r="K349" i="1"/>
  <c r="J349" i="1"/>
  <c r="E349" i="1"/>
  <c r="D349" i="1"/>
  <c r="AA348" i="1"/>
  <c r="Z348" i="1"/>
  <c r="AB348" i="1" s="1"/>
  <c r="R348" i="1"/>
  <c r="P348" i="1"/>
  <c r="K348" i="1"/>
  <c r="J348" i="1"/>
  <c r="E348" i="1"/>
  <c r="D348" i="1"/>
  <c r="AA347" i="1"/>
  <c r="Z347" i="1"/>
  <c r="AB347" i="1" s="1"/>
  <c r="R347" i="1"/>
  <c r="P347" i="1"/>
  <c r="K347" i="1"/>
  <c r="J347" i="1"/>
  <c r="E347" i="1"/>
  <c r="D347" i="1"/>
  <c r="AA346" i="1"/>
  <c r="Z346" i="1"/>
  <c r="AB346" i="1" s="1"/>
  <c r="R346" i="1"/>
  <c r="P346" i="1"/>
  <c r="K346" i="1"/>
  <c r="J346" i="1"/>
  <c r="E346" i="1"/>
  <c r="D346" i="1"/>
  <c r="AA345" i="1"/>
  <c r="Z345" i="1"/>
  <c r="AB345" i="1" s="1"/>
  <c r="R345" i="1"/>
  <c r="P345" i="1"/>
  <c r="K345" i="1"/>
  <c r="J345" i="1"/>
  <c r="E345" i="1"/>
  <c r="D345" i="1"/>
  <c r="AA344" i="1"/>
  <c r="Z344" i="1"/>
  <c r="AB344" i="1" s="1"/>
  <c r="R344" i="1"/>
  <c r="P344" i="1"/>
  <c r="K344" i="1"/>
  <c r="J344" i="1"/>
  <c r="E344" i="1"/>
  <c r="D344" i="1"/>
  <c r="AA343" i="1"/>
  <c r="Z343" i="1"/>
  <c r="AB343" i="1" s="1"/>
  <c r="R343" i="1"/>
  <c r="P343" i="1"/>
  <c r="K343" i="1"/>
  <c r="J343" i="1"/>
  <c r="E343" i="1"/>
  <c r="D343" i="1"/>
  <c r="AA342" i="1"/>
  <c r="Z342" i="1"/>
  <c r="AB342" i="1" s="1"/>
  <c r="R342" i="1"/>
  <c r="P342" i="1"/>
  <c r="K342" i="1"/>
  <c r="J342" i="1"/>
  <c r="E342" i="1"/>
  <c r="D342" i="1"/>
  <c r="AB341" i="1"/>
  <c r="AA341" i="1"/>
  <c r="Z341" i="1"/>
  <c r="R341" i="1"/>
  <c r="P341" i="1"/>
  <c r="K341" i="1"/>
  <c r="J341" i="1"/>
  <c r="E341" i="1"/>
  <c r="D341" i="1"/>
  <c r="AA340" i="1"/>
  <c r="Z340" i="1"/>
  <c r="AB340" i="1" s="1"/>
  <c r="R340" i="1"/>
  <c r="P340" i="1"/>
  <c r="K340" i="1"/>
  <c r="J340" i="1"/>
  <c r="E340" i="1"/>
  <c r="D340" i="1"/>
  <c r="AA339" i="1"/>
  <c r="Z339" i="1"/>
  <c r="AB339" i="1" s="1"/>
  <c r="R339" i="1"/>
  <c r="P339" i="1"/>
  <c r="K339" i="1"/>
  <c r="J339" i="1"/>
  <c r="E339" i="1"/>
  <c r="D339" i="1"/>
  <c r="AA338" i="1"/>
  <c r="Z338" i="1"/>
  <c r="AB338" i="1" s="1"/>
  <c r="R338" i="1"/>
  <c r="P338" i="1"/>
  <c r="K338" i="1"/>
  <c r="J338" i="1"/>
  <c r="E338" i="1"/>
  <c r="D338" i="1"/>
  <c r="AA337" i="1"/>
  <c r="Z337" i="1"/>
  <c r="AB337" i="1" s="1"/>
  <c r="R337" i="1"/>
  <c r="P337" i="1"/>
  <c r="K337" i="1"/>
  <c r="J337" i="1"/>
  <c r="E337" i="1"/>
  <c r="D337" i="1"/>
  <c r="AA336" i="1"/>
  <c r="Z336" i="1"/>
  <c r="AB336" i="1" s="1"/>
  <c r="R336" i="1"/>
  <c r="P336" i="1"/>
  <c r="K336" i="1"/>
  <c r="J336" i="1"/>
  <c r="E336" i="1"/>
  <c r="D336" i="1"/>
  <c r="AA335" i="1"/>
  <c r="Z335" i="1"/>
  <c r="AB335" i="1" s="1"/>
  <c r="R335" i="1"/>
  <c r="P335" i="1"/>
  <c r="K335" i="1"/>
  <c r="J335" i="1"/>
  <c r="E335" i="1"/>
  <c r="D335" i="1"/>
  <c r="AA334" i="1"/>
  <c r="Z334" i="1"/>
  <c r="AB334" i="1" s="1"/>
  <c r="R334" i="1"/>
  <c r="P334" i="1"/>
  <c r="K334" i="1"/>
  <c r="J334" i="1"/>
  <c r="E334" i="1"/>
  <c r="D334" i="1"/>
  <c r="AA333" i="1"/>
  <c r="Z333" i="1"/>
  <c r="AB333" i="1" s="1"/>
  <c r="R333" i="1"/>
  <c r="P333" i="1"/>
  <c r="K333" i="1"/>
  <c r="J333" i="1"/>
  <c r="E333" i="1"/>
  <c r="D333" i="1"/>
  <c r="AA332" i="1"/>
  <c r="Z332" i="1"/>
  <c r="AB332" i="1" s="1"/>
  <c r="R332" i="1"/>
  <c r="P332" i="1"/>
  <c r="K332" i="1"/>
  <c r="J332" i="1"/>
  <c r="E332" i="1"/>
  <c r="D332" i="1"/>
  <c r="AA331" i="1"/>
  <c r="Z331" i="1"/>
  <c r="AB331" i="1" s="1"/>
  <c r="R331" i="1"/>
  <c r="P331" i="1"/>
  <c r="K331" i="1"/>
  <c r="J331" i="1"/>
  <c r="E331" i="1"/>
  <c r="D331" i="1"/>
  <c r="AA330" i="1"/>
  <c r="Z330" i="1"/>
  <c r="AB330" i="1" s="1"/>
  <c r="R330" i="1"/>
  <c r="P330" i="1"/>
  <c r="K330" i="1"/>
  <c r="J330" i="1"/>
  <c r="E330" i="1"/>
  <c r="D330" i="1"/>
  <c r="AA329" i="1"/>
  <c r="Z329" i="1"/>
  <c r="AB329" i="1" s="1"/>
  <c r="R329" i="1"/>
  <c r="P329" i="1"/>
  <c r="K329" i="1"/>
  <c r="J329" i="1"/>
  <c r="E329" i="1"/>
  <c r="D329" i="1"/>
  <c r="AA328" i="1"/>
  <c r="Z328" i="1"/>
  <c r="AB328" i="1" s="1"/>
  <c r="R328" i="1"/>
  <c r="P328" i="1"/>
  <c r="K328" i="1"/>
  <c r="J328" i="1"/>
  <c r="E328" i="1"/>
  <c r="D328" i="1"/>
  <c r="AA327" i="1"/>
  <c r="Z327" i="1"/>
  <c r="AB327" i="1" s="1"/>
  <c r="R327" i="1"/>
  <c r="P327" i="1"/>
  <c r="K327" i="1"/>
  <c r="J327" i="1"/>
  <c r="E327" i="1"/>
  <c r="D327" i="1"/>
  <c r="AA326" i="1"/>
  <c r="Z326" i="1"/>
  <c r="AB326" i="1" s="1"/>
  <c r="R326" i="1"/>
  <c r="P326" i="1"/>
  <c r="K326" i="1"/>
  <c r="J326" i="1"/>
  <c r="E326" i="1"/>
  <c r="D326" i="1"/>
  <c r="AB325" i="1"/>
  <c r="AA325" i="1"/>
  <c r="Z325" i="1"/>
  <c r="R325" i="1"/>
  <c r="P325" i="1"/>
  <c r="K325" i="1"/>
  <c r="J325" i="1"/>
  <c r="E325" i="1"/>
  <c r="D325" i="1"/>
  <c r="AA324" i="1"/>
  <c r="Z324" i="1"/>
  <c r="AB324" i="1" s="1"/>
  <c r="R324" i="1"/>
  <c r="P324" i="1"/>
  <c r="K324" i="1"/>
  <c r="J324" i="1"/>
  <c r="E324" i="1"/>
  <c r="D324" i="1"/>
  <c r="AA323" i="1"/>
  <c r="Z323" i="1"/>
  <c r="AB323" i="1" s="1"/>
  <c r="R323" i="1"/>
  <c r="P323" i="1"/>
  <c r="K323" i="1"/>
  <c r="J323" i="1"/>
  <c r="E323" i="1"/>
  <c r="D323" i="1"/>
  <c r="AA322" i="1"/>
  <c r="Z322" i="1"/>
  <c r="AB322" i="1" s="1"/>
  <c r="R322" i="1"/>
  <c r="P322" i="1"/>
  <c r="K322" i="1"/>
  <c r="J322" i="1"/>
  <c r="E322" i="1"/>
  <c r="D322" i="1"/>
  <c r="AA321" i="1"/>
  <c r="Z321" i="1"/>
  <c r="AB321" i="1" s="1"/>
  <c r="R321" i="1"/>
  <c r="P321" i="1"/>
  <c r="K321" i="1"/>
  <c r="J321" i="1"/>
  <c r="E321" i="1"/>
  <c r="D321" i="1"/>
  <c r="AA320" i="1"/>
  <c r="Z320" i="1"/>
  <c r="AB320" i="1" s="1"/>
  <c r="R320" i="1"/>
  <c r="P320" i="1"/>
  <c r="K320" i="1"/>
  <c r="J320" i="1"/>
  <c r="E320" i="1"/>
  <c r="D320" i="1"/>
  <c r="AA319" i="1"/>
  <c r="Z319" i="1"/>
  <c r="AB319" i="1" s="1"/>
  <c r="R319" i="1"/>
  <c r="P319" i="1"/>
  <c r="K319" i="1"/>
  <c r="J319" i="1"/>
  <c r="E319" i="1"/>
  <c r="D319" i="1"/>
  <c r="AA318" i="1"/>
  <c r="Z318" i="1"/>
  <c r="AB318" i="1" s="1"/>
  <c r="R318" i="1"/>
  <c r="P318" i="1"/>
  <c r="K318" i="1"/>
  <c r="J318" i="1"/>
  <c r="E318" i="1"/>
  <c r="D318" i="1"/>
  <c r="AA317" i="1"/>
  <c r="Z317" i="1"/>
  <c r="AB317" i="1" s="1"/>
  <c r="R317" i="1"/>
  <c r="P317" i="1"/>
  <c r="K317" i="1"/>
  <c r="J317" i="1"/>
  <c r="E317" i="1"/>
  <c r="D317" i="1"/>
  <c r="AA316" i="1"/>
  <c r="Z316" i="1"/>
  <c r="AB316" i="1" s="1"/>
  <c r="R316" i="1"/>
  <c r="P316" i="1"/>
  <c r="K316" i="1"/>
  <c r="J316" i="1"/>
  <c r="E316" i="1"/>
  <c r="D316" i="1"/>
  <c r="AA315" i="1"/>
  <c r="Z315" i="1"/>
  <c r="AB315" i="1" s="1"/>
  <c r="R315" i="1"/>
  <c r="P315" i="1"/>
  <c r="K315" i="1"/>
  <c r="J315" i="1"/>
  <c r="E315" i="1"/>
  <c r="D315" i="1"/>
  <c r="AA314" i="1"/>
  <c r="Z314" i="1"/>
  <c r="AB314" i="1" s="1"/>
  <c r="R314" i="1"/>
  <c r="P314" i="1"/>
  <c r="K314" i="1"/>
  <c r="J314" i="1"/>
  <c r="E314" i="1"/>
  <c r="D314" i="1"/>
  <c r="AA313" i="1"/>
  <c r="Z313" i="1"/>
  <c r="AB313" i="1" s="1"/>
  <c r="R313" i="1"/>
  <c r="P313" i="1"/>
  <c r="K313" i="1"/>
  <c r="J313" i="1"/>
  <c r="E313" i="1"/>
  <c r="D313" i="1"/>
  <c r="AA312" i="1"/>
  <c r="Z312" i="1"/>
  <c r="AB312" i="1" s="1"/>
  <c r="R312" i="1"/>
  <c r="P312" i="1"/>
  <c r="K312" i="1"/>
  <c r="J312" i="1"/>
  <c r="E312" i="1"/>
  <c r="D312" i="1"/>
  <c r="AA311" i="1"/>
  <c r="Z311" i="1"/>
  <c r="AB311" i="1" s="1"/>
  <c r="R311" i="1"/>
  <c r="P311" i="1"/>
  <c r="K311" i="1"/>
  <c r="J311" i="1"/>
  <c r="E311" i="1"/>
  <c r="D311" i="1"/>
  <c r="AA310" i="1"/>
  <c r="Z310" i="1"/>
  <c r="AB310" i="1" s="1"/>
  <c r="R310" i="1"/>
  <c r="P310" i="1"/>
  <c r="K310" i="1"/>
  <c r="J310" i="1"/>
  <c r="E310" i="1"/>
  <c r="D310" i="1"/>
  <c r="AB309" i="1"/>
  <c r="AA309" i="1"/>
  <c r="Z309" i="1"/>
  <c r="R309" i="1"/>
  <c r="P309" i="1"/>
  <c r="K309" i="1"/>
  <c r="J309" i="1"/>
  <c r="E309" i="1"/>
  <c r="D309" i="1"/>
  <c r="AA308" i="1"/>
  <c r="Z308" i="1"/>
  <c r="AB308" i="1" s="1"/>
  <c r="R308" i="1"/>
  <c r="P308" i="1"/>
  <c r="K308" i="1"/>
  <c r="J308" i="1"/>
  <c r="E308" i="1"/>
  <c r="D308" i="1"/>
  <c r="AA307" i="1"/>
  <c r="Z307" i="1"/>
  <c r="AB307" i="1" s="1"/>
  <c r="R307" i="1"/>
  <c r="P307" i="1"/>
  <c r="K307" i="1"/>
  <c r="J307" i="1"/>
  <c r="E307" i="1"/>
  <c r="D307" i="1"/>
  <c r="AA306" i="1"/>
  <c r="Z306" i="1"/>
  <c r="AB306" i="1" s="1"/>
  <c r="R306" i="1"/>
  <c r="P306" i="1"/>
  <c r="K306" i="1"/>
  <c r="J306" i="1"/>
  <c r="E306" i="1"/>
  <c r="D306" i="1"/>
  <c r="AA305" i="1"/>
  <c r="Z305" i="1"/>
  <c r="AB305" i="1" s="1"/>
  <c r="R305" i="1"/>
  <c r="P305" i="1"/>
  <c r="K305" i="1"/>
  <c r="J305" i="1"/>
  <c r="E305" i="1"/>
  <c r="D305" i="1"/>
  <c r="AA304" i="1"/>
  <c r="Z304" i="1"/>
  <c r="AB304" i="1" s="1"/>
  <c r="R304" i="1"/>
  <c r="P304" i="1"/>
  <c r="K304" i="1"/>
  <c r="J304" i="1"/>
  <c r="E304" i="1"/>
  <c r="D304" i="1"/>
  <c r="AA303" i="1"/>
  <c r="Z303" i="1"/>
  <c r="AB303" i="1" s="1"/>
  <c r="R303" i="1"/>
  <c r="P303" i="1"/>
  <c r="K303" i="1"/>
  <c r="J303" i="1"/>
  <c r="E303" i="1"/>
  <c r="D303" i="1"/>
  <c r="AA302" i="1"/>
  <c r="Z302" i="1"/>
  <c r="AB302" i="1" s="1"/>
  <c r="R302" i="1"/>
  <c r="P302" i="1"/>
  <c r="K302" i="1"/>
  <c r="J302" i="1"/>
  <c r="E302" i="1"/>
  <c r="D302" i="1"/>
  <c r="AA301" i="1"/>
  <c r="Z301" i="1"/>
  <c r="AB301" i="1" s="1"/>
  <c r="R301" i="1"/>
  <c r="P301" i="1"/>
  <c r="K301" i="1"/>
  <c r="J301" i="1"/>
  <c r="E301" i="1"/>
  <c r="D301" i="1"/>
  <c r="AA300" i="1"/>
  <c r="Z300" i="1"/>
  <c r="AB300" i="1" s="1"/>
  <c r="R300" i="1"/>
  <c r="P300" i="1"/>
  <c r="K300" i="1"/>
  <c r="J300" i="1"/>
  <c r="E300" i="1"/>
  <c r="D300" i="1"/>
  <c r="AA299" i="1"/>
  <c r="Z299" i="1"/>
  <c r="AB299" i="1" s="1"/>
  <c r="R299" i="1"/>
  <c r="P299" i="1"/>
  <c r="K299" i="1"/>
  <c r="J299" i="1"/>
  <c r="E299" i="1"/>
  <c r="D299" i="1"/>
  <c r="AA298" i="1"/>
  <c r="Z298" i="1"/>
  <c r="AB298" i="1" s="1"/>
  <c r="R298" i="1"/>
  <c r="P298" i="1"/>
  <c r="K298" i="1"/>
  <c r="J298" i="1"/>
  <c r="E298" i="1"/>
  <c r="D298" i="1"/>
  <c r="AA297" i="1"/>
  <c r="Z297" i="1"/>
  <c r="AB297" i="1" s="1"/>
  <c r="R297" i="1"/>
  <c r="P297" i="1"/>
  <c r="K297" i="1"/>
  <c r="J297" i="1"/>
  <c r="E297" i="1"/>
  <c r="D297" i="1"/>
  <c r="AA296" i="1"/>
  <c r="Z296" i="1"/>
  <c r="AB296" i="1" s="1"/>
  <c r="R296" i="1"/>
  <c r="P296" i="1"/>
  <c r="K296" i="1"/>
  <c r="J296" i="1"/>
  <c r="E296" i="1"/>
  <c r="D296" i="1"/>
  <c r="AA295" i="1"/>
  <c r="Z295" i="1"/>
  <c r="AB295" i="1" s="1"/>
  <c r="R295" i="1"/>
  <c r="P295" i="1"/>
  <c r="K295" i="1"/>
  <c r="J295" i="1"/>
  <c r="E295" i="1"/>
  <c r="D295" i="1"/>
  <c r="AA294" i="1"/>
  <c r="Z294" i="1"/>
  <c r="AB294" i="1" s="1"/>
  <c r="R294" i="1"/>
  <c r="P294" i="1"/>
  <c r="K294" i="1"/>
  <c r="J294" i="1"/>
  <c r="E294" i="1"/>
  <c r="D294" i="1"/>
  <c r="AB293" i="1"/>
  <c r="AA293" i="1"/>
  <c r="Z293" i="1"/>
  <c r="R293" i="1"/>
  <c r="P293" i="1"/>
  <c r="K293" i="1"/>
  <c r="J293" i="1"/>
  <c r="E293" i="1"/>
  <c r="D293" i="1"/>
  <c r="AA292" i="1"/>
  <c r="Z292" i="1"/>
  <c r="AB292" i="1" s="1"/>
  <c r="R292" i="1"/>
  <c r="P292" i="1"/>
  <c r="K292" i="1"/>
  <c r="J292" i="1"/>
  <c r="E292" i="1"/>
  <c r="D292" i="1"/>
  <c r="AA291" i="1"/>
  <c r="Z291" i="1"/>
  <c r="AB291" i="1" s="1"/>
  <c r="R291" i="1"/>
  <c r="P291" i="1"/>
  <c r="K291" i="1"/>
  <c r="J291" i="1"/>
  <c r="E291" i="1"/>
  <c r="D291" i="1"/>
  <c r="AA290" i="1"/>
  <c r="Z290" i="1"/>
  <c r="AB290" i="1" s="1"/>
  <c r="R290" i="1"/>
  <c r="P290" i="1"/>
  <c r="K290" i="1"/>
  <c r="J290" i="1"/>
  <c r="E290" i="1"/>
  <c r="D290" i="1"/>
  <c r="AA289" i="1"/>
  <c r="Z289" i="1"/>
  <c r="AB289" i="1" s="1"/>
  <c r="R289" i="1"/>
  <c r="P289" i="1"/>
  <c r="K289" i="1"/>
  <c r="J289" i="1"/>
  <c r="E289" i="1"/>
  <c r="D289" i="1"/>
  <c r="AA288" i="1"/>
  <c r="Z288" i="1"/>
  <c r="AB288" i="1" s="1"/>
  <c r="R288" i="1"/>
  <c r="P288" i="1"/>
  <c r="K288" i="1"/>
  <c r="J288" i="1"/>
  <c r="E288" i="1"/>
  <c r="D288" i="1"/>
  <c r="AA287" i="1"/>
  <c r="Z287" i="1"/>
  <c r="AB287" i="1" s="1"/>
  <c r="R287" i="1"/>
  <c r="P287" i="1"/>
  <c r="K287" i="1"/>
  <c r="J287" i="1"/>
  <c r="E287" i="1"/>
  <c r="D287" i="1"/>
  <c r="AA286" i="1"/>
  <c r="Z286" i="1"/>
  <c r="AB286" i="1" s="1"/>
  <c r="R286" i="1"/>
  <c r="P286" i="1"/>
  <c r="K286" i="1"/>
  <c r="J286" i="1"/>
  <c r="E286" i="1"/>
  <c r="D286" i="1"/>
  <c r="AA285" i="1"/>
  <c r="Z285" i="1"/>
  <c r="AB285" i="1" s="1"/>
  <c r="R285" i="1"/>
  <c r="P285" i="1"/>
  <c r="K285" i="1"/>
  <c r="J285" i="1"/>
  <c r="E285" i="1"/>
  <c r="D285" i="1"/>
  <c r="AA284" i="1"/>
  <c r="Z284" i="1"/>
  <c r="AB284" i="1" s="1"/>
  <c r="R284" i="1"/>
  <c r="P284" i="1"/>
  <c r="K284" i="1"/>
  <c r="J284" i="1"/>
  <c r="E284" i="1"/>
  <c r="D284" i="1"/>
  <c r="AA283" i="1"/>
  <c r="Z283" i="1"/>
  <c r="AB283" i="1" s="1"/>
  <c r="R283" i="1"/>
  <c r="P283" i="1"/>
  <c r="K283" i="1"/>
  <c r="J283" i="1"/>
  <c r="E283" i="1"/>
  <c r="D283" i="1"/>
  <c r="AA282" i="1"/>
  <c r="Z282" i="1"/>
  <c r="AB282" i="1" s="1"/>
  <c r="R282" i="1"/>
  <c r="P282" i="1"/>
  <c r="K282" i="1"/>
  <c r="J282" i="1"/>
  <c r="E282" i="1"/>
  <c r="D282" i="1"/>
  <c r="AA281" i="1"/>
  <c r="Z281" i="1"/>
  <c r="AB281" i="1" s="1"/>
  <c r="R281" i="1"/>
  <c r="P281" i="1"/>
  <c r="K281" i="1"/>
  <c r="J281" i="1"/>
  <c r="E281" i="1"/>
  <c r="D281" i="1"/>
  <c r="AA280" i="1"/>
  <c r="Z280" i="1"/>
  <c r="AB280" i="1" s="1"/>
  <c r="R280" i="1"/>
  <c r="P280" i="1"/>
  <c r="K280" i="1"/>
  <c r="J280" i="1"/>
  <c r="E280" i="1"/>
  <c r="D280" i="1"/>
  <c r="AA279" i="1"/>
  <c r="Z279" i="1"/>
  <c r="AB279" i="1" s="1"/>
  <c r="R279" i="1"/>
  <c r="P279" i="1"/>
  <c r="K279" i="1"/>
  <c r="J279" i="1"/>
  <c r="E279" i="1"/>
  <c r="D279" i="1"/>
  <c r="AA278" i="1"/>
  <c r="Z278" i="1"/>
  <c r="AB278" i="1" s="1"/>
  <c r="R278" i="1"/>
  <c r="P278" i="1"/>
  <c r="K278" i="1"/>
  <c r="J278" i="1"/>
  <c r="E278" i="1"/>
  <c r="D278" i="1"/>
  <c r="AA277" i="1"/>
  <c r="AB277" i="1" s="1"/>
  <c r="Z277" i="1"/>
  <c r="R277" i="1"/>
  <c r="P277" i="1"/>
  <c r="K277" i="1"/>
  <c r="J277" i="1"/>
  <c r="E277" i="1"/>
  <c r="D277" i="1"/>
  <c r="AA276" i="1"/>
  <c r="Z276" i="1"/>
  <c r="AB276" i="1" s="1"/>
  <c r="R276" i="1"/>
  <c r="P276" i="1"/>
  <c r="K276" i="1"/>
  <c r="J276" i="1"/>
  <c r="E276" i="1"/>
  <c r="D276" i="1"/>
  <c r="AA275" i="1"/>
  <c r="Z275" i="1"/>
  <c r="AB275" i="1" s="1"/>
  <c r="R275" i="1"/>
  <c r="P275" i="1"/>
  <c r="K275" i="1"/>
  <c r="J275" i="1"/>
  <c r="E275" i="1"/>
  <c r="D275" i="1"/>
  <c r="AA274" i="1"/>
  <c r="Z274" i="1"/>
  <c r="AB274" i="1" s="1"/>
  <c r="R274" i="1"/>
  <c r="P274" i="1"/>
  <c r="K274" i="1"/>
  <c r="J274" i="1"/>
  <c r="E274" i="1"/>
  <c r="D274" i="1"/>
  <c r="AA273" i="1"/>
  <c r="Z273" i="1"/>
  <c r="AB273" i="1" s="1"/>
  <c r="R273" i="1"/>
  <c r="P273" i="1"/>
  <c r="K273" i="1"/>
  <c r="J273" i="1"/>
  <c r="E273" i="1"/>
  <c r="D273" i="1"/>
  <c r="AA272" i="1"/>
  <c r="Z272" i="1"/>
  <c r="AB272" i="1" s="1"/>
  <c r="R272" i="1"/>
  <c r="P272" i="1"/>
  <c r="K272" i="1"/>
  <c r="J272" i="1"/>
  <c r="E272" i="1"/>
  <c r="D272" i="1"/>
  <c r="AA271" i="1"/>
  <c r="Z271" i="1"/>
  <c r="AB271" i="1" s="1"/>
  <c r="R271" i="1"/>
  <c r="P271" i="1"/>
  <c r="K271" i="1"/>
  <c r="J271" i="1"/>
  <c r="E271" i="1"/>
  <c r="D271" i="1"/>
  <c r="AA270" i="1"/>
  <c r="Z270" i="1"/>
  <c r="AB270" i="1" s="1"/>
  <c r="R270" i="1"/>
  <c r="P270" i="1"/>
  <c r="K270" i="1"/>
  <c r="J270" i="1"/>
  <c r="E270" i="1"/>
  <c r="D270" i="1"/>
  <c r="AA269" i="1"/>
  <c r="Z269" i="1"/>
  <c r="AB269" i="1" s="1"/>
  <c r="R269" i="1"/>
  <c r="P269" i="1"/>
  <c r="K269" i="1"/>
  <c r="J269" i="1"/>
  <c r="E269" i="1"/>
  <c r="D269" i="1"/>
  <c r="AA268" i="1"/>
  <c r="Z268" i="1"/>
  <c r="AB268" i="1" s="1"/>
  <c r="R268" i="1"/>
  <c r="P268" i="1"/>
  <c r="K268" i="1"/>
  <c r="J268" i="1"/>
  <c r="E268" i="1"/>
  <c r="D268" i="1"/>
  <c r="AA267" i="1"/>
  <c r="Z267" i="1"/>
  <c r="AB267" i="1" s="1"/>
  <c r="R267" i="1"/>
  <c r="P267" i="1"/>
  <c r="K267" i="1"/>
  <c r="J267" i="1"/>
  <c r="E267" i="1"/>
  <c r="D267" i="1"/>
  <c r="AA266" i="1"/>
  <c r="Z266" i="1"/>
  <c r="AB266" i="1" s="1"/>
  <c r="R266" i="1"/>
  <c r="P266" i="1"/>
  <c r="K266" i="1"/>
  <c r="J266" i="1"/>
  <c r="E266" i="1"/>
  <c r="D266" i="1"/>
  <c r="AA265" i="1"/>
  <c r="Z265" i="1"/>
  <c r="AB265" i="1" s="1"/>
  <c r="R265" i="1"/>
  <c r="P265" i="1"/>
  <c r="K265" i="1"/>
  <c r="J265" i="1"/>
  <c r="E265" i="1"/>
  <c r="D265" i="1"/>
  <c r="AA264" i="1"/>
  <c r="AB264" i="1" s="1"/>
  <c r="Z264" i="1"/>
  <c r="R264" i="1"/>
  <c r="P264" i="1"/>
  <c r="K264" i="1"/>
  <c r="J264" i="1"/>
  <c r="E264" i="1"/>
  <c r="D264" i="1"/>
  <c r="AA263" i="1"/>
  <c r="Z263" i="1"/>
  <c r="AB263" i="1" s="1"/>
  <c r="R263" i="1"/>
  <c r="P263" i="1"/>
  <c r="K263" i="1"/>
  <c r="J263" i="1"/>
  <c r="E263" i="1"/>
  <c r="D263" i="1"/>
  <c r="AA262" i="1"/>
  <c r="Z262" i="1"/>
  <c r="AB262" i="1" s="1"/>
  <c r="R262" i="1"/>
  <c r="P262" i="1"/>
  <c r="K262" i="1"/>
  <c r="J262" i="1"/>
  <c r="E262" i="1"/>
  <c r="D262" i="1"/>
  <c r="AA261" i="1"/>
  <c r="Z261" i="1"/>
  <c r="AB261" i="1" s="1"/>
  <c r="R261" i="1"/>
  <c r="P261" i="1"/>
  <c r="K261" i="1"/>
  <c r="J261" i="1"/>
  <c r="E261" i="1"/>
  <c r="D261" i="1"/>
  <c r="AA260" i="1"/>
  <c r="AB260" i="1" s="1"/>
  <c r="Z260" i="1"/>
  <c r="R260" i="1"/>
  <c r="P260" i="1"/>
  <c r="K260" i="1"/>
  <c r="J260" i="1"/>
  <c r="E260" i="1"/>
  <c r="D260" i="1"/>
  <c r="AA259" i="1"/>
  <c r="Z259" i="1"/>
  <c r="AB259" i="1" s="1"/>
  <c r="R259" i="1"/>
  <c r="P259" i="1"/>
  <c r="K259" i="1"/>
  <c r="J259" i="1"/>
  <c r="E259" i="1"/>
  <c r="D259" i="1"/>
  <c r="AA258" i="1"/>
  <c r="Z258" i="1"/>
  <c r="AB258" i="1" s="1"/>
  <c r="R258" i="1"/>
  <c r="P258" i="1"/>
  <c r="K258" i="1"/>
  <c r="J258" i="1"/>
  <c r="E258" i="1"/>
  <c r="D258" i="1"/>
  <c r="AA257" i="1"/>
  <c r="Z257" i="1"/>
  <c r="AB257" i="1" s="1"/>
  <c r="R257" i="1"/>
  <c r="P257" i="1"/>
  <c r="K257" i="1"/>
  <c r="J257" i="1"/>
  <c r="E257" i="1"/>
  <c r="D257" i="1"/>
  <c r="AA256" i="1"/>
  <c r="AB256" i="1" s="1"/>
  <c r="Z256" i="1"/>
  <c r="R256" i="1"/>
  <c r="P256" i="1"/>
  <c r="K256" i="1"/>
  <c r="J256" i="1"/>
  <c r="E256" i="1"/>
  <c r="D256" i="1"/>
  <c r="AA255" i="1"/>
  <c r="Z255" i="1"/>
  <c r="AB255" i="1" s="1"/>
  <c r="R255" i="1"/>
  <c r="P255" i="1"/>
  <c r="K255" i="1"/>
  <c r="J255" i="1"/>
  <c r="E255" i="1"/>
  <c r="D255" i="1"/>
  <c r="AA254" i="1"/>
  <c r="Z254" i="1"/>
  <c r="AB254" i="1" s="1"/>
  <c r="R254" i="1"/>
  <c r="P254" i="1"/>
  <c r="K254" i="1"/>
  <c r="J254" i="1"/>
  <c r="E254" i="1"/>
  <c r="D254" i="1"/>
  <c r="AA253" i="1"/>
  <c r="Z253" i="1"/>
  <c r="AB253" i="1" s="1"/>
  <c r="R253" i="1"/>
  <c r="P253" i="1"/>
  <c r="K253" i="1"/>
  <c r="J253" i="1"/>
  <c r="E253" i="1"/>
  <c r="D253" i="1"/>
  <c r="AA252" i="1"/>
  <c r="AB252" i="1" s="1"/>
  <c r="Z252" i="1"/>
  <c r="R252" i="1"/>
  <c r="P252" i="1"/>
  <c r="K252" i="1"/>
  <c r="J252" i="1"/>
  <c r="E252" i="1"/>
  <c r="D252" i="1"/>
  <c r="AA251" i="1"/>
  <c r="Z251" i="1"/>
  <c r="AB251" i="1" s="1"/>
  <c r="R251" i="1"/>
  <c r="P251" i="1"/>
  <c r="K251" i="1"/>
  <c r="J251" i="1"/>
  <c r="E251" i="1"/>
  <c r="D251" i="1"/>
  <c r="AA250" i="1"/>
  <c r="Z250" i="1"/>
  <c r="AB250" i="1" s="1"/>
  <c r="R250" i="1"/>
  <c r="P250" i="1"/>
  <c r="K250" i="1"/>
  <c r="J250" i="1"/>
  <c r="E250" i="1"/>
  <c r="D250" i="1"/>
  <c r="AA249" i="1"/>
  <c r="Z249" i="1"/>
  <c r="AB249" i="1" s="1"/>
  <c r="R249" i="1"/>
  <c r="P249" i="1"/>
  <c r="K249" i="1"/>
  <c r="J249" i="1"/>
  <c r="E249" i="1"/>
  <c r="D249" i="1"/>
  <c r="AA248" i="1"/>
  <c r="Z248" i="1"/>
  <c r="AB248" i="1" s="1"/>
  <c r="R248" i="1"/>
  <c r="P248" i="1"/>
  <c r="K248" i="1"/>
  <c r="J248" i="1"/>
  <c r="E248" i="1"/>
  <c r="D248" i="1"/>
  <c r="AA247" i="1"/>
  <c r="Z247" i="1"/>
  <c r="AB247" i="1" s="1"/>
  <c r="R247" i="1"/>
  <c r="P247" i="1"/>
  <c r="K247" i="1"/>
  <c r="J247" i="1"/>
  <c r="E247" i="1"/>
  <c r="D247" i="1"/>
  <c r="AA246" i="1"/>
  <c r="Z246" i="1"/>
  <c r="AB246" i="1" s="1"/>
  <c r="R246" i="1"/>
  <c r="P246" i="1"/>
  <c r="K246" i="1"/>
  <c r="J246" i="1"/>
  <c r="E246" i="1"/>
  <c r="D246" i="1"/>
  <c r="AA245" i="1"/>
  <c r="Z245" i="1"/>
  <c r="AB245" i="1" s="1"/>
  <c r="R245" i="1"/>
  <c r="P245" i="1"/>
  <c r="K245" i="1"/>
  <c r="J245" i="1"/>
  <c r="E245" i="1"/>
  <c r="D245" i="1"/>
  <c r="AA244" i="1"/>
  <c r="Z244" i="1"/>
  <c r="AB244" i="1" s="1"/>
  <c r="R244" i="1"/>
  <c r="P244" i="1"/>
  <c r="K244" i="1"/>
  <c r="J244" i="1"/>
  <c r="E244" i="1"/>
  <c r="D244" i="1"/>
  <c r="AA243" i="1"/>
  <c r="Z243" i="1"/>
  <c r="AB243" i="1" s="1"/>
  <c r="R243" i="1"/>
  <c r="P243" i="1"/>
  <c r="K243" i="1"/>
  <c r="J243" i="1"/>
  <c r="E243" i="1"/>
  <c r="D243" i="1"/>
  <c r="AA242" i="1"/>
  <c r="Z242" i="1"/>
  <c r="AB242" i="1" s="1"/>
  <c r="R242" i="1"/>
  <c r="P242" i="1"/>
  <c r="K242" i="1"/>
  <c r="J242" i="1"/>
  <c r="E242" i="1"/>
  <c r="D242" i="1"/>
  <c r="AA241" i="1"/>
  <c r="Z241" i="1"/>
  <c r="AB241" i="1" s="1"/>
  <c r="R241" i="1"/>
  <c r="P241" i="1"/>
  <c r="K241" i="1"/>
  <c r="J241" i="1"/>
  <c r="E241" i="1"/>
  <c r="D241" i="1"/>
  <c r="AA240" i="1"/>
  <c r="Z240" i="1"/>
  <c r="AB240" i="1" s="1"/>
  <c r="R240" i="1"/>
  <c r="P240" i="1"/>
  <c r="K240" i="1"/>
  <c r="J240" i="1"/>
  <c r="E240" i="1"/>
  <c r="D240" i="1"/>
  <c r="AA239" i="1"/>
  <c r="Z239" i="1"/>
  <c r="AB239" i="1" s="1"/>
  <c r="R239" i="1"/>
  <c r="P239" i="1"/>
  <c r="K239" i="1"/>
  <c r="J239" i="1"/>
  <c r="E239" i="1"/>
  <c r="D239" i="1"/>
  <c r="AA238" i="1"/>
  <c r="Z238" i="1"/>
  <c r="AB238" i="1" s="1"/>
  <c r="R238" i="1"/>
  <c r="P238" i="1"/>
  <c r="K238" i="1"/>
  <c r="J238" i="1"/>
  <c r="E238" i="1"/>
  <c r="D238" i="1"/>
  <c r="AA237" i="1"/>
  <c r="Z237" i="1"/>
  <c r="AB237" i="1" s="1"/>
  <c r="R237" i="1"/>
  <c r="P237" i="1"/>
  <c r="K237" i="1"/>
  <c r="J237" i="1"/>
  <c r="E237" i="1"/>
  <c r="D237" i="1"/>
  <c r="AA236" i="1"/>
  <c r="Z236" i="1"/>
  <c r="AB236" i="1" s="1"/>
  <c r="R236" i="1"/>
  <c r="P236" i="1"/>
  <c r="K236" i="1"/>
  <c r="J236" i="1"/>
  <c r="E236" i="1"/>
  <c r="D236" i="1"/>
  <c r="AA235" i="1"/>
  <c r="Z235" i="1"/>
  <c r="AB235" i="1" s="1"/>
  <c r="R235" i="1"/>
  <c r="P235" i="1"/>
  <c r="K235" i="1"/>
  <c r="J235" i="1"/>
  <c r="E235" i="1"/>
  <c r="D235" i="1"/>
  <c r="AA234" i="1"/>
  <c r="Z234" i="1"/>
  <c r="AB234" i="1" s="1"/>
  <c r="R234" i="1"/>
  <c r="P234" i="1"/>
  <c r="K234" i="1"/>
  <c r="J234" i="1"/>
  <c r="E234" i="1"/>
  <c r="D234" i="1"/>
  <c r="AA233" i="1"/>
  <c r="Z233" i="1"/>
  <c r="AB233" i="1" s="1"/>
  <c r="R233" i="1"/>
  <c r="P233" i="1"/>
  <c r="K233" i="1"/>
  <c r="J233" i="1"/>
  <c r="E233" i="1"/>
  <c r="D233" i="1"/>
  <c r="AA232" i="1"/>
  <c r="Z232" i="1"/>
  <c r="AB232" i="1" s="1"/>
  <c r="R232" i="1"/>
  <c r="P232" i="1"/>
  <c r="K232" i="1"/>
  <c r="J232" i="1"/>
  <c r="E232" i="1"/>
  <c r="D232" i="1"/>
  <c r="AA231" i="1"/>
  <c r="Z231" i="1"/>
  <c r="AB231" i="1" s="1"/>
  <c r="R231" i="1"/>
  <c r="P231" i="1"/>
  <c r="K231" i="1"/>
  <c r="J231" i="1"/>
  <c r="E231" i="1"/>
  <c r="D231" i="1"/>
  <c r="AA230" i="1"/>
  <c r="Z230" i="1"/>
  <c r="AB230" i="1" s="1"/>
  <c r="R230" i="1"/>
  <c r="P230" i="1"/>
  <c r="K230" i="1"/>
  <c r="J230" i="1"/>
  <c r="E230" i="1"/>
  <c r="D230" i="1"/>
  <c r="AA229" i="1"/>
  <c r="Z229" i="1"/>
  <c r="AB229" i="1" s="1"/>
  <c r="R229" i="1"/>
  <c r="P229" i="1"/>
  <c r="K229" i="1"/>
  <c r="J229" i="1"/>
  <c r="E229" i="1"/>
  <c r="D229" i="1"/>
  <c r="AA228" i="1"/>
  <c r="Z228" i="1"/>
  <c r="AB228" i="1" s="1"/>
  <c r="R228" i="1"/>
  <c r="P228" i="1"/>
  <c r="K228" i="1"/>
  <c r="J228" i="1"/>
  <c r="E228" i="1"/>
  <c r="D228" i="1"/>
  <c r="AA227" i="1"/>
  <c r="Z227" i="1"/>
  <c r="AB227" i="1" s="1"/>
  <c r="R227" i="1"/>
  <c r="P227" i="1"/>
  <c r="K227" i="1"/>
  <c r="J227" i="1"/>
  <c r="E227" i="1"/>
  <c r="D227" i="1"/>
  <c r="AA226" i="1"/>
  <c r="Z226" i="1"/>
  <c r="AB226" i="1" s="1"/>
  <c r="R226" i="1"/>
  <c r="P226" i="1"/>
  <c r="K226" i="1"/>
  <c r="J226" i="1"/>
  <c r="E226" i="1"/>
  <c r="D226" i="1"/>
  <c r="AA225" i="1"/>
  <c r="Z225" i="1"/>
  <c r="AB225" i="1" s="1"/>
  <c r="R225" i="1"/>
  <c r="P225" i="1"/>
  <c r="K225" i="1"/>
  <c r="J225" i="1"/>
  <c r="E225" i="1"/>
  <c r="D225" i="1"/>
  <c r="AA224" i="1"/>
  <c r="Z224" i="1"/>
  <c r="AB224" i="1" s="1"/>
  <c r="R224" i="1"/>
  <c r="P224" i="1"/>
  <c r="K224" i="1"/>
  <c r="J224" i="1"/>
  <c r="E224" i="1"/>
  <c r="D224" i="1"/>
  <c r="AA223" i="1"/>
  <c r="Z223" i="1"/>
  <c r="AB223" i="1" s="1"/>
  <c r="R223" i="1"/>
  <c r="P223" i="1"/>
  <c r="K223" i="1"/>
  <c r="J223" i="1"/>
  <c r="E223" i="1"/>
  <c r="D223" i="1"/>
  <c r="AA222" i="1"/>
  <c r="Z222" i="1"/>
  <c r="AB222" i="1" s="1"/>
  <c r="R222" i="1"/>
  <c r="P222" i="1"/>
  <c r="K222" i="1"/>
  <c r="J222" i="1"/>
  <c r="E222" i="1"/>
  <c r="D222" i="1"/>
  <c r="AA221" i="1"/>
  <c r="Z221" i="1"/>
  <c r="AB221" i="1" s="1"/>
  <c r="R221" i="1"/>
  <c r="P221" i="1"/>
  <c r="K221" i="1"/>
  <c r="J221" i="1"/>
  <c r="E221" i="1"/>
  <c r="D221" i="1"/>
  <c r="AA220" i="1"/>
  <c r="Z220" i="1"/>
  <c r="AB220" i="1" s="1"/>
  <c r="R220" i="1"/>
  <c r="P220" i="1"/>
  <c r="K220" i="1"/>
  <c r="J220" i="1"/>
  <c r="E220" i="1"/>
  <c r="D220" i="1"/>
  <c r="AA219" i="1"/>
  <c r="Z219" i="1"/>
  <c r="AB219" i="1" s="1"/>
  <c r="R219" i="1"/>
  <c r="P219" i="1"/>
  <c r="K219" i="1"/>
  <c r="J219" i="1"/>
  <c r="E219" i="1"/>
  <c r="D219" i="1"/>
  <c r="AA218" i="1"/>
  <c r="Z218" i="1"/>
  <c r="AB218" i="1" s="1"/>
  <c r="R218" i="1"/>
  <c r="P218" i="1"/>
  <c r="K218" i="1"/>
  <c r="J218" i="1"/>
  <c r="E218" i="1"/>
  <c r="D218" i="1"/>
  <c r="AA217" i="1"/>
  <c r="Z217" i="1"/>
  <c r="AB217" i="1" s="1"/>
  <c r="R217" i="1"/>
  <c r="P217" i="1"/>
  <c r="K217" i="1"/>
  <c r="J217" i="1"/>
  <c r="E217" i="1"/>
  <c r="D217" i="1"/>
  <c r="AA216" i="1"/>
  <c r="Z216" i="1"/>
  <c r="AB216" i="1" s="1"/>
  <c r="R216" i="1"/>
  <c r="P216" i="1"/>
  <c r="K216" i="1"/>
  <c r="J216" i="1"/>
  <c r="E216" i="1"/>
  <c r="D216" i="1"/>
  <c r="AA215" i="1"/>
  <c r="Z215" i="1"/>
  <c r="AB215" i="1" s="1"/>
  <c r="R215" i="1"/>
  <c r="P215" i="1"/>
  <c r="K215" i="1"/>
  <c r="J215" i="1"/>
  <c r="E215" i="1"/>
  <c r="D215" i="1"/>
  <c r="AA214" i="1"/>
  <c r="Z214" i="1"/>
  <c r="AB214" i="1" s="1"/>
  <c r="R214" i="1"/>
  <c r="P214" i="1"/>
  <c r="K214" i="1"/>
  <c r="J214" i="1"/>
  <c r="E214" i="1"/>
  <c r="D214" i="1"/>
  <c r="AA213" i="1"/>
  <c r="Z213" i="1"/>
  <c r="AB213" i="1" s="1"/>
  <c r="R213" i="1"/>
  <c r="P213" i="1"/>
  <c r="K213" i="1"/>
  <c r="J213" i="1"/>
  <c r="E213" i="1"/>
  <c r="D213" i="1"/>
  <c r="AA212" i="1"/>
  <c r="Z212" i="1"/>
  <c r="AB212" i="1" s="1"/>
  <c r="R212" i="1"/>
  <c r="P212" i="1"/>
  <c r="K212" i="1"/>
  <c r="J212" i="1"/>
  <c r="E212" i="1"/>
  <c r="D212" i="1"/>
  <c r="AA211" i="1"/>
  <c r="Z211" i="1"/>
  <c r="AB211" i="1" s="1"/>
  <c r="R211" i="1"/>
  <c r="P211" i="1"/>
  <c r="K211" i="1"/>
  <c r="J211" i="1"/>
  <c r="E211" i="1"/>
  <c r="D211" i="1"/>
  <c r="AA210" i="1"/>
  <c r="Z210" i="1"/>
  <c r="AB210" i="1" s="1"/>
  <c r="R210" i="1"/>
  <c r="P210" i="1"/>
  <c r="K210" i="1"/>
  <c r="J210" i="1"/>
  <c r="E210" i="1"/>
  <c r="D210" i="1"/>
  <c r="AA209" i="1"/>
  <c r="Z209" i="1"/>
  <c r="AB209" i="1" s="1"/>
  <c r="R209" i="1"/>
  <c r="P209" i="1"/>
  <c r="K209" i="1"/>
  <c r="J209" i="1"/>
  <c r="E209" i="1"/>
  <c r="D209" i="1"/>
  <c r="AA208" i="1"/>
  <c r="Z208" i="1"/>
  <c r="AB208" i="1" s="1"/>
  <c r="R208" i="1"/>
  <c r="P208" i="1"/>
  <c r="K208" i="1"/>
  <c r="J208" i="1"/>
  <c r="E208" i="1"/>
  <c r="D208" i="1"/>
  <c r="AA207" i="1"/>
  <c r="Z207" i="1"/>
  <c r="AB207" i="1" s="1"/>
  <c r="R207" i="1"/>
  <c r="P207" i="1"/>
  <c r="K207" i="1"/>
  <c r="J207" i="1"/>
  <c r="E207" i="1"/>
  <c r="D207" i="1"/>
  <c r="AA206" i="1"/>
  <c r="Z206" i="1"/>
  <c r="AB206" i="1" s="1"/>
  <c r="R206" i="1"/>
  <c r="P206" i="1"/>
  <c r="K206" i="1"/>
  <c r="J206" i="1"/>
  <c r="E206" i="1"/>
  <c r="D206" i="1"/>
  <c r="AA205" i="1"/>
  <c r="Z205" i="1"/>
  <c r="AB205" i="1" s="1"/>
  <c r="R205" i="1"/>
  <c r="P205" i="1"/>
  <c r="K205" i="1"/>
  <c r="J205" i="1"/>
  <c r="E205" i="1"/>
  <c r="D205" i="1"/>
  <c r="AA204" i="1"/>
  <c r="Z204" i="1"/>
  <c r="AB204" i="1" s="1"/>
  <c r="R204" i="1"/>
  <c r="P204" i="1"/>
  <c r="K204" i="1"/>
  <c r="J204" i="1"/>
  <c r="E204" i="1"/>
  <c r="D204" i="1"/>
  <c r="AA203" i="1"/>
  <c r="Z203" i="1"/>
  <c r="AB203" i="1" s="1"/>
  <c r="R203" i="1"/>
  <c r="P203" i="1"/>
  <c r="K203" i="1"/>
  <c r="J203" i="1"/>
  <c r="E203" i="1"/>
  <c r="D203" i="1"/>
  <c r="AA202" i="1"/>
  <c r="Z202" i="1"/>
  <c r="AB202" i="1" s="1"/>
  <c r="R202" i="1"/>
  <c r="P202" i="1"/>
  <c r="K202" i="1"/>
  <c r="J202" i="1"/>
  <c r="E202" i="1"/>
  <c r="D202" i="1"/>
  <c r="AA201" i="1"/>
  <c r="Z201" i="1"/>
  <c r="AB201" i="1" s="1"/>
  <c r="R201" i="1"/>
  <c r="P201" i="1"/>
  <c r="K201" i="1"/>
  <c r="J201" i="1"/>
  <c r="E201" i="1"/>
  <c r="D201" i="1"/>
  <c r="AA200" i="1"/>
  <c r="Z200" i="1"/>
  <c r="AB200" i="1" s="1"/>
  <c r="R200" i="1"/>
  <c r="P200" i="1"/>
  <c r="K200" i="1"/>
  <c r="J200" i="1"/>
  <c r="E200" i="1"/>
  <c r="D200" i="1"/>
  <c r="AA199" i="1"/>
  <c r="Z199" i="1"/>
  <c r="AB199" i="1" s="1"/>
  <c r="R199" i="1"/>
  <c r="P199" i="1"/>
  <c r="K199" i="1"/>
  <c r="J199" i="1"/>
  <c r="E199" i="1"/>
  <c r="D199" i="1"/>
  <c r="AA198" i="1"/>
  <c r="Z198" i="1"/>
  <c r="AB198" i="1" s="1"/>
  <c r="R198" i="1"/>
  <c r="P198" i="1"/>
  <c r="K198" i="1"/>
  <c r="J198" i="1"/>
  <c r="E198" i="1"/>
  <c r="D198" i="1"/>
  <c r="AA197" i="1"/>
  <c r="Z197" i="1"/>
  <c r="AB197" i="1" s="1"/>
  <c r="R197" i="1"/>
  <c r="P197" i="1"/>
  <c r="K197" i="1"/>
  <c r="J197" i="1"/>
  <c r="E197" i="1"/>
  <c r="D197" i="1"/>
  <c r="AA196" i="1"/>
  <c r="Z196" i="1"/>
  <c r="AB196" i="1" s="1"/>
  <c r="R196" i="1"/>
  <c r="P196" i="1"/>
  <c r="K196" i="1"/>
  <c r="J196" i="1"/>
  <c r="E196" i="1"/>
  <c r="D196" i="1"/>
  <c r="AA195" i="1"/>
  <c r="Z195" i="1"/>
  <c r="AB195" i="1" s="1"/>
  <c r="R195" i="1"/>
  <c r="P195" i="1"/>
  <c r="K195" i="1"/>
  <c r="J195" i="1"/>
  <c r="E195" i="1"/>
  <c r="D195" i="1"/>
  <c r="AA194" i="1"/>
  <c r="Z194" i="1"/>
  <c r="AB194" i="1" s="1"/>
  <c r="R194" i="1"/>
  <c r="P194" i="1"/>
  <c r="K194" i="1"/>
  <c r="J194" i="1"/>
  <c r="E194" i="1"/>
  <c r="D194" i="1"/>
  <c r="AA193" i="1"/>
  <c r="Z193" i="1"/>
  <c r="AB193" i="1" s="1"/>
  <c r="R193" i="1"/>
  <c r="P193" i="1"/>
  <c r="K193" i="1"/>
  <c r="J193" i="1"/>
  <c r="E193" i="1"/>
  <c r="D193" i="1"/>
  <c r="AA192" i="1"/>
  <c r="Z192" i="1"/>
  <c r="AB192" i="1" s="1"/>
  <c r="R192" i="1"/>
  <c r="P192" i="1"/>
  <c r="K192" i="1"/>
  <c r="J192" i="1"/>
  <c r="E192" i="1"/>
  <c r="D192" i="1"/>
  <c r="AA191" i="1"/>
  <c r="Z191" i="1"/>
  <c r="AB191" i="1" s="1"/>
  <c r="R191" i="1"/>
  <c r="P191" i="1"/>
  <c r="K191" i="1"/>
  <c r="J191" i="1"/>
  <c r="E191" i="1"/>
  <c r="D191" i="1"/>
  <c r="AA190" i="1"/>
  <c r="Z190" i="1"/>
  <c r="AB190" i="1" s="1"/>
  <c r="R190" i="1"/>
  <c r="P190" i="1"/>
  <c r="K190" i="1"/>
  <c r="J190" i="1"/>
  <c r="E190" i="1"/>
  <c r="D190" i="1"/>
  <c r="AA189" i="1"/>
  <c r="Z189" i="1"/>
  <c r="AB189" i="1" s="1"/>
  <c r="R189" i="1"/>
  <c r="P189" i="1"/>
  <c r="K189" i="1"/>
  <c r="J189" i="1"/>
  <c r="E189" i="1"/>
  <c r="D189" i="1"/>
  <c r="AA188" i="1"/>
  <c r="Z188" i="1"/>
  <c r="AB188" i="1" s="1"/>
  <c r="R188" i="1"/>
  <c r="P188" i="1"/>
  <c r="K188" i="1"/>
  <c r="J188" i="1"/>
  <c r="E188" i="1"/>
  <c r="D188" i="1"/>
  <c r="AA187" i="1"/>
  <c r="Z187" i="1"/>
  <c r="AB187" i="1" s="1"/>
  <c r="R187" i="1"/>
  <c r="P187" i="1"/>
  <c r="K187" i="1"/>
  <c r="J187" i="1"/>
  <c r="E187" i="1"/>
  <c r="D187" i="1"/>
  <c r="AA186" i="1"/>
  <c r="Z186" i="1"/>
  <c r="AB186" i="1" s="1"/>
  <c r="R186" i="1"/>
  <c r="P186" i="1"/>
  <c r="K186" i="1"/>
  <c r="J186" i="1"/>
  <c r="E186" i="1"/>
  <c r="D186" i="1"/>
  <c r="AA185" i="1"/>
  <c r="Z185" i="1"/>
  <c r="AB185" i="1" s="1"/>
  <c r="R185" i="1"/>
  <c r="P185" i="1"/>
  <c r="K185" i="1"/>
  <c r="J185" i="1"/>
  <c r="E185" i="1"/>
  <c r="D185" i="1"/>
  <c r="AA184" i="1"/>
  <c r="Z184" i="1"/>
  <c r="AB184" i="1" s="1"/>
  <c r="R184" i="1"/>
  <c r="P184" i="1"/>
  <c r="K184" i="1"/>
  <c r="J184" i="1"/>
  <c r="E184" i="1"/>
  <c r="D184" i="1"/>
  <c r="AA183" i="1"/>
  <c r="Z183" i="1"/>
  <c r="AB183" i="1" s="1"/>
  <c r="R183" i="1"/>
  <c r="P183" i="1"/>
  <c r="K183" i="1"/>
  <c r="J183" i="1"/>
  <c r="E183" i="1"/>
  <c r="D183" i="1"/>
  <c r="AA182" i="1"/>
  <c r="Z182" i="1"/>
  <c r="AB182" i="1" s="1"/>
  <c r="R182" i="1"/>
  <c r="P182" i="1"/>
  <c r="K182" i="1"/>
  <c r="J182" i="1"/>
  <c r="E182" i="1"/>
  <c r="D182" i="1"/>
  <c r="AA181" i="1"/>
  <c r="Z181" i="1"/>
  <c r="AB181" i="1" s="1"/>
  <c r="R181" i="1"/>
  <c r="P181" i="1"/>
  <c r="K181" i="1"/>
  <c r="J181" i="1"/>
  <c r="E181" i="1"/>
  <c r="D181" i="1"/>
  <c r="AA180" i="1"/>
  <c r="Z180" i="1"/>
  <c r="AB180" i="1" s="1"/>
  <c r="R180" i="1"/>
  <c r="P180" i="1"/>
  <c r="K180" i="1"/>
  <c r="J180" i="1"/>
  <c r="E180" i="1"/>
  <c r="D180" i="1"/>
  <c r="AA179" i="1"/>
  <c r="Z179" i="1"/>
  <c r="AB179" i="1" s="1"/>
  <c r="R179" i="1"/>
  <c r="P179" i="1"/>
  <c r="K179" i="1"/>
  <c r="J179" i="1"/>
  <c r="E179" i="1"/>
  <c r="D179" i="1"/>
  <c r="AA178" i="1"/>
  <c r="Z178" i="1"/>
  <c r="AB178" i="1" s="1"/>
  <c r="R178" i="1"/>
  <c r="P178" i="1"/>
  <c r="K178" i="1"/>
  <c r="J178" i="1"/>
  <c r="E178" i="1"/>
  <c r="D178" i="1"/>
  <c r="AA177" i="1"/>
  <c r="Z177" i="1"/>
  <c r="AB177" i="1" s="1"/>
  <c r="R177" i="1"/>
  <c r="P177" i="1"/>
  <c r="K177" i="1"/>
  <c r="J177" i="1"/>
  <c r="E177" i="1"/>
  <c r="D177" i="1"/>
  <c r="AA176" i="1"/>
  <c r="Z176" i="1"/>
  <c r="AB176" i="1" s="1"/>
  <c r="R176" i="1"/>
  <c r="P176" i="1"/>
  <c r="K176" i="1"/>
  <c r="J176" i="1"/>
  <c r="E176" i="1"/>
  <c r="D176" i="1"/>
  <c r="AA175" i="1"/>
  <c r="Z175" i="1"/>
  <c r="AB175" i="1" s="1"/>
  <c r="R175" i="1"/>
  <c r="P175" i="1"/>
  <c r="K175" i="1"/>
  <c r="J175" i="1"/>
  <c r="E175" i="1"/>
  <c r="D175" i="1"/>
  <c r="AA174" i="1"/>
  <c r="Z174" i="1"/>
  <c r="AB174" i="1" s="1"/>
  <c r="R174" i="1"/>
  <c r="P174" i="1"/>
  <c r="K174" i="1"/>
  <c r="J174" i="1"/>
  <c r="E174" i="1"/>
  <c r="D174" i="1"/>
  <c r="AA173" i="1"/>
  <c r="Z173" i="1"/>
  <c r="AB173" i="1" s="1"/>
  <c r="R173" i="1"/>
  <c r="P173" i="1"/>
  <c r="K173" i="1"/>
  <c r="J173" i="1"/>
  <c r="E173" i="1"/>
  <c r="D173" i="1"/>
  <c r="AA172" i="1"/>
  <c r="Z172" i="1"/>
  <c r="AB172" i="1" s="1"/>
  <c r="R172" i="1"/>
  <c r="P172" i="1"/>
  <c r="K172" i="1"/>
  <c r="J172" i="1"/>
  <c r="E172" i="1"/>
  <c r="D172" i="1"/>
  <c r="AA171" i="1"/>
  <c r="Z171" i="1"/>
  <c r="AB171" i="1" s="1"/>
  <c r="R171" i="1"/>
  <c r="P171" i="1"/>
  <c r="K171" i="1"/>
  <c r="J171" i="1"/>
  <c r="E171" i="1"/>
  <c r="D171" i="1"/>
  <c r="AA170" i="1"/>
  <c r="Z170" i="1"/>
  <c r="AB170" i="1" s="1"/>
  <c r="R170" i="1"/>
  <c r="P170" i="1"/>
  <c r="K170" i="1"/>
  <c r="J170" i="1"/>
  <c r="E170" i="1"/>
  <c r="D170" i="1"/>
  <c r="AA169" i="1"/>
  <c r="Z169" i="1"/>
  <c r="AB169" i="1" s="1"/>
  <c r="R169" i="1"/>
  <c r="P169" i="1"/>
  <c r="K169" i="1"/>
  <c r="J169" i="1"/>
  <c r="E169" i="1"/>
  <c r="D169" i="1"/>
  <c r="AA168" i="1"/>
  <c r="Z168" i="1"/>
  <c r="AB168" i="1" s="1"/>
  <c r="R168" i="1"/>
  <c r="P168" i="1"/>
  <c r="K168" i="1"/>
  <c r="J168" i="1"/>
  <c r="E168" i="1"/>
  <c r="D168" i="1"/>
  <c r="AA167" i="1"/>
  <c r="Z167" i="1"/>
  <c r="AB167" i="1" s="1"/>
  <c r="R167" i="1"/>
  <c r="P167" i="1"/>
  <c r="K167" i="1"/>
  <c r="J167" i="1"/>
  <c r="E167" i="1"/>
  <c r="D167" i="1"/>
  <c r="AA166" i="1"/>
  <c r="Z166" i="1"/>
  <c r="AB166" i="1" s="1"/>
  <c r="R166" i="1"/>
  <c r="P166" i="1"/>
  <c r="K166" i="1"/>
  <c r="J166" i="1"/>
  <c r="E166" i="1"/>
  <c r="D166" i="1"/>
  <c r="AA165" i="1"/>
  <c r="Z165" i="1"/>
  <c r="AB165" i="1" s="1"/>
  <c r="R165" i="1"/>
  <c r="P165" i="1"/>
  <c r="K165" i="1"/>
  <c r="J165" i="1"/>
  <c r="E165" i="1"/>
  <c r="D165" i="1"/>
  <c r="AA164" i="1"/>
  <c r="Z164" i="1"/>
  <c r="AB164" i="1" s="1"/>
  <c r="R164" i="1"/>
  <c r="P164" i="1"/>
  <c r="K164" i="1"/>
  <c r="J164" i="1"/>
  <c r="E164" i="1"/>
  <c r="D164" i="1"/>
  <c r="AA163" i="1"/>
  <c r="Z163" i="1"/>
  <c r="AB163" i="1" s="1"/>
  <c r="R163" i="1"/>
  <c r="P163" i="1"/>
  <c r="K163" i="1"/>
  <c r="J163" i="1"/>
  <c r="E163" i="1"/>
  <c r="D163" i="1"/>
  <c r="AA162" i="1"/>
  <c r="Z162" i="1"/>
  <c r="AB162" i="1" s="1"/>
  <c r="R162" i="1"/>
  <c r="P162" i="1"/>
  <c r="K162" i="1"/>
  <c r="J162" i="1"/>
  <c r="E162" i="1"/>
  <c r="D162" i="1"/>
  <c r="AA161" i="1"/>
  <c r="Z161" i="1"/>
  <c r="AB161" i="1" s="1"/>
  <c r="R161" i="1"/>
  <c r="P161" i="1"/>
  <c r="K161" i="1"/>
  <c r="J161" i="1"/>
  <c r="E161" i="1"/>
  <c r="D161" i="1"/>
  <c r="AA160" i="1"/>
  <c r="Z160" i="1"/>
  <c r="AB160" i="1" s="1"/>
  <c r="R160" i="1"/>
  <c r="P160" i="1"/>
  <c r="K160" i="1"/>
  <c r="J160" i="1"/>
  <c r="E160" i="1"/>
  <c r="D160" i="1"/>
  <c r="AA159" i="1"/>
  <c r="Z159" i="1"/>
  <c r="AB159" i="1" s="1"/>
  <c r="R159" i="1"/>
  <c r="P159" i="1"/>
  <c r="K159" i="1"/>
  <c r="J159" i="1"/>
  <c r="E159" i="1"/>
  <c r="D159" i="1"/>
  <c r="AA158" i="1"/>
  <c r="Z158" i="1"/>
  <c r="AB158" i="1" s="1"/>
  <c r="R158" i="1"/>
  <c r="P158" i="1"/>
  <c r="K158" i="1"/>
  <c r="J158" i="1"/>
  <c r="E158" i="1"/>
  <c r="D158" i="1"/>
  <c r="AA157" i="1"/>
  <c r="Z157" i="1"/>
  <c r="AB157" i="1" s="1"/>
  <c r="R157" i="1"/>
  <c r="P157" i="1"/>
  <c r="K157" i="1"/>
  <c r="J157" i="1"/>
  <c r="E157" i="1"/>
  <c r="D157" i="1"/>
  <c r="AA156" i="1"/>
  <c r="Z156" i="1"/>
  <c r="AB156" i="1" s="1"/>
  <c r="R156" i="1"/>
  <c r="P156" i="1"/>
  <c r="K156" i="1"/>
  <c r="J156" i="1"/>
  <c r="E156" i="1"/>
  <c r="D156" i="1"/>
  <c r="AA155" i="1"/>
  <c r="Z155" i="1"/>
  <c r="AB155" i="1" s="1"/>
  <c r="R155" i="1"/>
  <c r="P155" i="1"/>
  <c r="K155" i="1"/>
  <c r="J155" i="1"/>
  <c r="E155" i="1"/>
  <c r="D155" i="1"/>
  <c r="AA154" i="1"/>
  <c r="Z154" i="1"/>
  <c r="AB154" i="1" s="1"/>
  <c r="R154" i="1"/>
  <c r="P154" i="1"/>
  <c r="K154" i="1"/>
  <c r="J154" i="1"/>
  <c r="E154" i="1"/>
  <c r="D154" i="1"/>
  <c r="AA153" i="1"/>
  <c r="Z153" i="1"/>
  <c r="AB153" i="1" s="1"/>
  <c r="R153" i="1"/>
  <c r="P153" i="1"/>
  <c r="K153" i="1"/>
  <c r="J153" i="1"/>
  <c r="E153" i="1"/>
  <c r="D153" i="1"/>
  <c r="AA152" i="1"/>
  <c r="Z152" i="1"/>
  <c r="AB152" i="1" s="1"/>
  <c r="R152" i="1"/>
  <c r="P152" i="1"/>
  <c r="K152" i="1"/>
  <c r="J152" i="1"/>
  <c r="E152" i="1"/>
  <c r="D152" i="1"/>
  <c r="AA151" i="1"/>
  <c r="Z151" i="1"/>
  <c r="AB151" i="1" s="1"/>
  <c r="R151" i="1"/>
  <c r="P151" i="1"/>
  <c r="K151" i="1"/>
  <c r="J151" i="1"/>
  <c r="E151" i="1"/>
  <c r="D151" i="1"/>
  <c r="AA150" i="1"/>
  <c r="Z150" i="1"/>
  <c r="AB150" i="1" s="1"/>
  <c r="R150" i="1"/>
  <c r="P150" i="1"/>
  <c r="K150" i="1"/>
  <c r="J150" i="1"/>
  <c r="E150" i="1"/>
  <c r="D150" i="1"/>
  <c r="AA149" i="1"/>
  <c r="Z149" i="1"/>
  <c r="AB149" i="1" s="1"/>
  <c r="R149" i="1"/>
  <c r="P149" i="1"/>
  <c r="K149" i="1"/>
  <c r="J149" i="1"/>
  <c r="E149" i="1"/>
  <c r="D149" i="1"/>
  <c r="AA148" i="1"/>
  <c r="Z148" i="1"/>
  <c r="AB148" i="1" s="1"/>
  <c r="R148" i="1"/>
  <c r="P148" i="1"/>
  <c r="K148" i="1"/>
  <c r="J148" i="1"/>
  <c r="E148" i="1"/>
  <c r="D148" i="1"/>
  <c r="AA147" i="1"/>
  <c r="Z147" i="1"/>
  <c r="AB147" i="1" s="1"/>
  <c r="R147" i="1"/>
  <c r="P147" i="1"/>
  <c r="K147" i="1"/>
  <c r="J147" i="1"/>
  <c r="E147" i="1"/>
  <c r="D147" i="1"/>
  <c r="AA146" i="1"/>
  <c r="Z146" i="1"/>
  <c r="AB146" i="1" s="1"/>
  <c r="R146" i="1"/>
  <c r="P146" i="1"/>
  <c r="K146" i="1"/>
  <c r="J146" i="1"/>
  <c r="E146" i="1"/>
  <c r="D146" i="1"/>
  <c r="AA145" i="1"/>
  <c r="Z145" i="1"/>
  <c r="AB145" i="1" s="1"/>
  <c r="R145" i="1"/>
  <c r="P145" i="1"/>
  <c r="K145" i="1"/>
  <c r="J145" i="1"/>
  <c r="E145" i="1"/>
  <c r="D145" i="1"/>
  <c r="AA144" i="1"/>
  <c r="Z144" i="1"/>
  <c r="AB144" i="1" s="1"/>
  <c r="R144" i="1"/>
  <c r="P144" i="1"/>
  <c r="K144" i="1"/>
  <c r="J144" i="1"/>
  <c r="E144" i="1"/>
  <c r="D144" i="1"/>
  <c r="AA143" i="1"/>
  <c r="Z143" i="1"/>
  <c r="AB143" i="1" s="1"/>
  <c r="R143" i="1"/>
  <c r="P143" i="1"/>
  <c r="K143" i="1"/>
  <c r="J143" i="1"/>
  <c r="E143" i="1"/>
  <c r="D143" i="1"/>
  <c r="AA142" i="1"/>
  <c r="Z142" i="1"/>
  <c r="AB142" i="1" s="1"/>
  <c r="R142" i="1"/>
  <c r="P142" i="1"/>
  <c r="K142" i="1"/>
  <c r="J142" i="1"/>
  <c r="E142" i="1"/>
  <c r="D142" i="1"/>
  <c r="AA141" i="1"/>
  <c r="Z141" i="1"/>
  <c r="AB141" i="1" s="1"/>
  <c r="R141" i="1"/>
  <c r="P141" i="1"/>
  <c r="K141" i="1"/>
  <c r="J141" i="1"/>
  <c r="E141" i="1"/>
  <c r="D141" i="1"/>
  <c r="AA140" i="1"/>
  <c r="Z140" i="1"/>
  <c r="AB140" i="1" s="1"/>
  <c r="R140" i="1"/>
  <c r="P140" i="1"/>
  <c r="K140" i="1"/>
  <c r="J140" i="1"/>
  <c r="E140" i="1"/>
  <c r="D140" i="1"/>
  <c r="AA139" i="1"/>
  <c r="Z139" i="1"/>
  <c r="AB139" i="1" s="1"/>
  <c r="R139" i="1"/>
  <c r="P139" i="1"/>
  <c r="K139" i="1"/>
  <c r="J139" i="1"/>
  <c r="E139" i="1"/>
  <c r="D139" i="1"/>
  <c r="AA138" i="1"/>
  <c r="Z138" i="1"/>
  <c r="AB138" i="1" s="1"/>
  <c r="R138" i="1"/>
  <c r="P138" i="1"/>
  <c r="K138" i="1"/>
  <c r="J138" i="1"/>
  <c r="E138" i="1"/>
  <c r="D138" i="1"/>
  <c r="AA137" i="1"/>
  <c r="Z137" i="1"/>
  <c r="AB137" i="1" s="1"/>
  <c r="R137" i="1"/>
  <c r="P137" i="1"/>
  <c r="K137" i="1"/>
  <c r="J137" i="1"/>
  <c r="E137" i="1"/>
  <c r="D137" i="1"/>
  <c r="AA136" i="1"/>
  <c r="Z136" i="1"/>
  <c r="AB136" i="1" s="1"/>
  <c r="R136" i="1"/>
  <c r="P136" i="1"/>
  <c r="K136" i="1"/>
  <c r="J136" i="1"/>
  <c r="E136" i="1"/>
  <c r="D136" i="1"/>
  <c r="AA135" i="1"/>
  <c r="Z135" i="1"/>
  <c r="AB135" i="1" s="1"/>
  <c r="R135" i="1"/>
  <c r="P135" i="1"/>
  <c r="K135" i="1"/>
  <c r="J135" i="1"/>
  <c r="E135" i="1"/>
  <c r="D135" i="1"/>
  <c r="AA134" i="1"/>
  <c r="Z134" i="1"/>
  <c r="AB134" i="1" s="1"/>
  <c r="R134" i="1"/>
  <c r="P134" i="1"/>
  <c r="K134" i="1"/>
  <c r="J134" i="1"/>
  <c r="E134" i="1"/>
  <c r="D134" i="1"/>
  <c r="AA133" i="1"/>
  <c r="Z133" i="1"/>
  <c r="AB133" i="1" s="1"/>
  <c r="R133" i="1"/>
  <c r="P133" i="1"/>
  <c r="K133" i="1"/>
  <c r="J133" i="1"/>
  <c r="E133" i="1"/>
  <c r="D133" i="1"/>
  <c r="AA132" i="1"/>
  <c r="Z132" i="1"/>
  <c r="AB132" i="1" s="1"/>
  <c r="R132" i="1"/>
  <c r="P132" i="1"/>
  <c r="K132" i="1"/>
  <c r="J132" i="1"/>
  <c r="E132" i="1"/>
  <c r="D132" i="1"/>
  <c r="AA131" i="1"/>
  <c r="Z131" i="1"/>
  <c r="AB131" i="1" s="1"/>
  <c r="R131" i="1"/>
  <c r="P131" i="1"/>
  <c r="K131" i="1"/>
  <c r="J131" i="1"/>
  <c r="E131" i="1"/>
  <c r="D131" i="1"/>
  <c r="AA130" i="1"/>
  <c r="Z130" i="1"/>
  <c r="AB130" i="1" s="1"/>
  <c r="R130" i="1"/>
  <c r="P130" i="1"/>
  <c r="K130" i="1"/>
  <c r="J130" i="1"/>
  <c r="E130" i="1"/>
  <c r="D130" i="1"/>
  <c r="AA129" i="1"/>
  <c r="Z129" i="1"/>
  <c r="AB129" i="1" s="1"/>
  <c r="R129" i="1"/>
  <c r="P129" i="1"/>
  <c r="K129" i="1"/>
  <c r="J129" i="1"/>
  <c r="E129" i="1"/>
  <c r="D129" i="1"/>
  <c r="AA128" i="1"/>
  <c r="Z128" i="1"/>
  <c r="AB128" i="1" s="1"/>
  <c r="R128" i="1"/>
  <c r="P128" i="1"/>
  <c r="K128" i="1"/>
  <c r="J128" i="1"/>
  <c r="E128" i="1"/>
  <c r="D128" i="1"/>
  <c r="AA127" i="1"/>
  <c r="Z127" i="1"/>
  <c r="AB127" i="1" s="1"/>
  <c r="R127" i="1"/>
  <c r="P127" i="1"/>
  <c r="K127" i="1"/>
  <c r="J127" i="1"/>
  <c r="E127" i="1"/>
  <c r="D127" i="1"/>
  <c r="AA126" i="1"/>
  <c r="Z126" i="1"/>
  <c r="AB126" i="1" s="1"/>
  <c r="R126" i="1"/>
  <c r="P126" i="1"/>
  <c r="K126" i="1"/>
  <c r="J126" i="1"/>
  <c r="E126" i="1"/>
  <c r="D126" i="1"/>
  <c r="AA125" i="1"/>
  <c r="Z125" i="1"/>
  <c r="AB125" i="1" s="1"/>
  <c r="R125" i="1"/>
  <c r="P125" i="1"/>
  <c r="K125" i="1"/>
  <c r="J125" i="1"/>
  <c r="E125" i="1"/>
  <c r="D125" i="1"/>
  <c r="AA124" i="1"/>
  <c r="Z124" i="1"/>
  <c r="AB124" i="1" s="1"/>
  <c r="R124" i="1"/>
  <c r="P124" i="1"/>
  <c r="K124" i="1"/>
  <c r="J124" i="1"/>
  <c r="E124" i="1"/>
  <c r="D124" i="1"/>
  <c r="AA123" i="1"/>
  <c r="Z123" i="1"/>
  <c r="AB123" i="1" s="1"/>
  <c r="R123" i="1"/>
  <c r="P123" i="1"/>
  <c r="K123" i="1"/>
  <c r="J123" i="1"/>
  <c r="E123" i="1"/>
  <c r="D123" i="1"/>
  <c r="AA122" i="1"/>
  <c r="Z122" i="1"/>
  <c r="AB122" i="1" s="1"/>
  <c r="R122" i="1"/>
  <c r="P122" i="1"/>
  <c r="K122" i="1"/>
  <c r="J122" i="1"/>
  <c r="E122" i="1"/>
  <c r="D122" i="1"/>
  <c r="AA121" i="1"/>
  <c r="Z121" i="1"/>
  <c r="AB121" i="1" s="1"/>
  <c r="R121" i="1"/>
  <c r="P121" i="1"/>
  <c r="K121" i="1"/>
  <c r="J121" i="1"/>
  <c r="E121" i="1"/>
  <c r="D121" i="1"/>
  <c r="AA120" i="1"/>
  <c r="Z120" i="1"/>
  <c r="AB120" i="1" s="1"/>
  <c r="R120" i="1"/>
  <c r="P120" i="1"/>
  <c r="K120" i="1"/>
  <c r="J120" i="1"/>
  <c r="E120" i="1"/>
  <c r="D120" i="1"/>
  <c r="AA119" i="1"/>
  <c r="Z119" i="1"/>
  <c r="AB119" i="1" s="1"/>
  <c r="R119" i="1"/>
  <c r="P119" i="1"/>
  <c r="K119" i="1"/>
  <c r="J119" i="1"/>
  <c r="E119" i="1"/>
  <c r="D119" i="1"/>
  <c r="AA118" i="1"/>
  <c r="Z118" i="1"/>
  <c r="AB118" i="1" s="1"/>
  <c r="R118" i="1"/>
  <c r="P118" i="1"/>
  <c r="K118" i="1"/>
  <c r="J118" i="1"/>
  <c r="E118" i="1"/>
  <c r="D118" i="1"/>
  <c r="AA117" i="1"/>
  <c r="Z117" i="1"/>
  <c r="AB117" i="1" s="1"/>
  <c r="R117" i="1"/>
  <c r="P117" i="1"/>
  <c r="K117" i="1"/>
  <c r="J117" i="1"/>
  <c r="E117" i="1"/>
  <c r="D117" i="1"/>
  <c r="AA116" i="1"/>
  <c r="Z116" i="1"/>
  <c r="AB116" i="1" s="1"/>
  <c r="R116" i="1"/>
  <c r="P116" i="1"/>
  <c r="K116" i="1"/>
  <c r="J116" i="1"/>
  <c r="E116" i="1"/>
  <c r="D116" i="1"/>
  <c r="AA115" i="1"/>
  <c r="Z115" i="1"/>
  <c r="AB115" i="1" s="1"/>
  <c r="R115" i="1"/>
  <c r="P115" i="1"/>
  <c r="K115" i="1"/>
  <c r="J115" i="1"/>
  <c r="E115" i="1"/>
  <c r="D115" i="1"/>
  <c r="AA114" i="1"/>
  <c r="Z114" i="1"/>
  <c r="AB114" i="1" s="1"/>
  <c r="R114" i="1"/>
  <c r="P114" i="1"/>
  <c r="K114" i="1"/>
  <c r="J114" i="1"/>
  <c r="E114" i="1"/>
  <c r="D114" i="1"/>
  <c r="AA113" i="1"/>
  <c r="Z113" i="1"/>
  <c r="AB113" i="1" s="1"/>
  <c r="R113" i="1"/>
  <c r="P113" i="1"/>
  <c r="K113" i="1"/>
  <c r="J113" i="1"/>
  <c r="E113" i="1"/>
  <c r="D113" i="1"/>
  <c r="AA112" i="1"/>
  <c r="Z112" i="1"/>
  <c r="AB112" i="1" s="1"/>
  <c r="R112" i="1"/>
  <c r="P112" i="1"/>
  <c r="K112" i="1"/>
  <c r="J112" i="1"/>
  <c r="E112" i="1"/>
  <c r="D112" i="1"/>
  <c r="AA111" i="1"/>
  <c r="Z111" i="1"/>
  <c r="AB111" i="1" s="1"/>
  <c r="R111" i="1"/>
  <c r="P111" i="1"/>
  <c r="K111" i="1"/>
  <c r="J111" i="1"/>
  <c r="E111" i="1"/>
  <c r="D111" i="1"/>
  <c r="AA110" i="1"/>
  <c r="Z110" i="1"/>
  <c r="AB110" i="1" s="1"/>
  <c r="R110" i="1"/>
  <c r="P110" i="1"/>
  <c r="K110" i="1"/>
  <c r="J110" i="1"/>
  <c r="E110" i="1"/>
  <c r="D110" i="1"/>
  <c r="AA109" i="1"/>
  <c r="Z109" i="1"/>
  <c r="AB109" i="1" s="1"/>
  <c r="R109" i="1"/>
  <c r="P109" i="1"/>
  <c r="K109" i="1"/>
  <c r="J109" i="1"/>
  <c r="E109" i="1"/>
  <c r="D109" i="1"/>
  <c r="AA108" i="1"/>
  <c r="Z108" i="1"/>
  <c r="AB108" i="1" s="1"/>
  <c r="R108" i="1"/>
  <c r="P108" i="1"/>
  <c r="K108" i="1"/>
  <c r="J108" i="1"/>
  <c r="E108" i="1"/>
  <c r="D108" i="1"/>
  <c r="AA107" i="1"/>
  <c r="Z107" i="1"/>
  <c r="AB107" i="1" s="1"/>
  <c r="R107" i="1"/>
  <c r="P107" i="1"/>
  <c r="K107" i="1"/>
  <c r="J107" i="1"/>
  <c r="E107" i="1"/>
  <c r="D107" i="1"/>
  <c r="AA106" i="1"/>
  <c r="Z106" i="1"/>
  <c r="AB106" i="1" s="1"/>
  <c r="R106" i="1"/>
  <c r="P106" i="1"/>
  <c r="K106" i="1"/>
  <c r="J106" i="1"/>
  <c r="E106" i="1"/>
  <c r="D106" i="1"/>
  <c r="AA105" i="1"/>
  <c r="Z105" i="1"/>
  <c r="AB105" i="1" s="1"/>
  <c r="R105" i="1"/>
  <c r="P105" i="1"/>
  <c r="K105" i="1"/>
  <c r="J105" i="1"/>
  <c r="E105" i="1"/>
  <c r="D105" i="1"/>
  <c r="AA104" i="1"/>
  <c r="Z104" i="1"/>
  <c r="AB104" i="1" s="1"/>
  <c r="R104" i="1"/>
  <c r="P104" i="1"/>
  <c r="K104" i="1"/>
  <c r="J104" i="1"/>
  <c r="E104" i="1"/>
  <c r="D104" i="1"/>
  <c r="AA103" i="1"/>
  <c r="Z103" i="1"/>
  <c r="AB103" i="1" s="1"/>
  <c r="R103" i="1"/>
  <c r="P103" i="1"/>
  <c r="K103" i="1"/>
  <c r="J103" i="1"/>
  <c r="E103" i="1"/>
  <c r="D103" i="1"/>
  <c r="AA102" i="1"/>
  <c r="Z102" i="1"/>
  <c r="AB102" i="1" s="1"/>
  <c r="R102" i="1"/>
  <c r="P102" i="1"/>
  <c r="K102" i="1"/>
  <c r="J102" i="1"/>
  <c r="E102" i="1"/>
  <c r="D102" i="1"/>
  <c r="AA101" i="1"/>
  <c r="Z101" i="1"/>
  <c r="AB101" i="1" s="1"/>
  <c r="R101" i="1"/>
  <c r="P101" i="1"/>
  <c r="K101" i="1"/>
  <c r="J101" i="1"/>
  <c r="E101" i="1"/>
  <c r="D101" i="1"/>
  <c r="AA100" i="1"/>
  <c r="Z100" i="1"/>
  <c r="AB100" i="1" s="1"/>
  <c r="R100" i="1"/>
  <c r="P100" i="1"/>
  <c r="K100" i="1"/>
  <c r="J100" i="1"/>
  <c r="E100" i="1"/>
  <c r="D100" i="1"/>
  <c r="AA99" i="1"/>
  <c r="Z99" i="1"/>
  <c r="AB99" i="1" s="1"/>
  <c r="R99" i="1"/>
  <c r="P99" i="1"/>
  <c r="K99" i="1"/>
  <c r="J99" i="1"/>
  <c r="E99" i="1"/>
  <c r="D99" i="1"/>
  <c r="AA98" i="1"/>
  <c r="Z98" i="1"/>
  <c r="AB98" i="1" s="1"/>
  <c r="R98" i="1"/>
  <c r="P98" i="1"/>
  <c r="K98" i="1"/>
  <c r="J98" i="1"/>
  <c r="E98" i="1"/>
  <c r="D98" i="1"/>
  <c r="AA97" i="1"/>
  <c r="Z97" i="1"/>
  <c r="AB97" i="1" s="1"/>
  <c r="R97" i="1"/>
  <c r="P97" i="1"/>
  <c r="K97" i="1"/>
  <c r="J97" i="1"/>
  <c r="E97" i="1"/>
  <c r="D97" i="1"/>
  <c r="AA96" i="1"/>
  <c r="Z96" i="1"/>
  <c r="AB96" i="1" s="1"/>
  <c r="R96" i="1"/>
  <c r="P96" i="1"/>
  <c r="K96" i="1"/>
  <c r="J96" i="1"/>
  <c r="E96" i="1"/>
  <c r="D96" i="1"/>
  <c r="AA95" i="1"/>
  <c r="Z95" i="1"/>
  <c r="AB95" i="1" s="1"/>
  <c r="R95" i="1"/>
  <c r="P95" i="1"/>
  <c r="K95" i="1"/>
  <c r="J95" i="1"/>
  <c r="E95" i="1"/>
  <c r="D95" i="1"/>
  <c r="AA94" i="1"/>
  <c r="Z94" i="1"/>
  <c r="AB94" i="1" s="1"/>
  <c r="R94" i="1"/>
  <c r="P94" i="1"/>
  <c r="K94" i="1"/>
  <c r="J94" i="1"/>
  <c r="E94" i="1"/>
  <c r="D94" i="1"/>
  <c r="AA93" i="1"/>
  <c r="Z93" i="1"/>
  <c r="AB93" i="1" s="1"/>
  <c r="R93" i="1"/>
  <c r="P93" i="1"/>
  <c r="K93" i="1"/>
  <c r="J93" i="1"/>
  <c r="E93" i="1"/>
  <c r="D93" i="1"/>
  <c r="AA92" i="1"/>
  <c r="Z92" i="1"/>
  <c r="AB92" i="1" s="1"/>
  <c r="R92" i="1"/>
  <c r="P92" i="1"/>
  <c r="K92" i="1"/>
  <c r="J92" i="1"/>
  <c r="E92" i="1"/>
  <c r="D92" i="1"/>
  <c r="AA91" i="1"/>
  <c r="Z91" i="1"/>
  <c r="AB91" i="1" s="1"/>
  <c r="R91" i="1"/>
  <c r="P91" i="1"/>
  <c r="K91" i="1"/>
  <c r="J91" i="1"/>
  <c r="E91" i="1"/>
  <c r="D91" i="1"/>
  <c r="AA90" i="1"/>
  <c r="Z90" i="1"/>
  <c r="AB90" i="1" s="1"/>
  <c r="R90" i="1"/>
  <c r="P90" i="1"/>
  <c r="K90" i="1"/>
  <c r="J90" i="1"/>
  <c r="E90" i="1"/>
  <c r="D90" i="1"/>
  <c r="AA89" i="1"/>
  <c r="Z89" i="1"/>
  <c r="AB89" i="1" s="1"/>
  <c r="R89" i="1"/>
  <c r="P89" i="1"/>
  <c r="K89" i="1"/>
  <c r="J89" i="1"/>
  <c r="E89" i="1"/>
  <c r="D89" i="1"/>
  <c r="AA88" i="1"/>
  <c r="Z88" i="1"/>
  <c r="AB88" i="1" s="1"/>
  <c r="R88" i="1"/>
  <c r="P88" i="1"/>
  <c r="K88" i="1"/>
  <c r="J88" i="1"/>
  <c r="E88" i="1"/>
  <c r="D88" i="1"/>
  <c r="AA87" i="1"/>
  <c r="Z87" i="1"/>
  <c r="AB87" i="1" s="1"/>
  <c r="R87" i="1"/>
  <c r="P87" i="1"/>
  <c r="K87" i="1"/>
  <c r="J87" i="1"/>
  <c r="E87" i="1"/>
  <c r="D87" i="1"/>
  <c r="AA86" i="1"/>
  <c r="Z86" i="1"/>
  <c r="AB86" i="1" s="1"/>
  <c r="R86" i="1"/>
  <c r="P86" i="1"/>
  <c r="K86" i="1"/>
  <c r="J86" i="1"/>
  <c r="E86" i="1"/>
  <c r="D86" i="1"/>
  <c r="AA85" i="1"/>
  <c r="Z85" i="1"/>
  <c r="AB85" i="1" s="1"/>
  <c r="R85" i="1"/>
  <c r="P85" i="1"/>
  <c r="K85" i="1"/>
  <c r="J85" i="1"/>
  <c r="E85" i="1"/>
  <c r="D85" i="1"/>
  <c r="AA84" i="1"/>
  <c r="Z84" i="1"/>
  <c r="AB84" i="1" s="1"/>
  <c r="R84" i="1"/>
  <c r="P84" i="1"/>
  <c r="K84" i="1"/>
  <c r="J84" i="1"/>
  <c r="E84" i="1"/>
  <c r="D84" i="1"/>
  <c r="AA83" i="1"/>
  <c r="Z83" i="1"/>
  <c r="AB83" i="1" s="1"/>
  <c r="R83" i="1"/>
  <c r="P83" i="1"/>
  <c r="K83" i="1"/>
  <c r="J83" i="1"/>
  <c r="E83" i="1"/>
  <c r="D83" i="1"/>
  <c r="AA82" i="1"/>
  <c r="Z82" i="1"/>
  <c r="AB82" i="1" s="1"/>
  <c r="R82" i="1"/>
  <c r="P82" i="1"/>
  <c r="K82" i="1"/>
  <c r="J82" i="1"/>
  <c r="E82" i="1"/>
  <c r="D82" i="1"/>
  <c r="AA81" i="1"/>
  <c r="Z81" i="1"/>
  <c r="AB81" i="1" s="1"/>
  <c r="R81" i="1"/>
  <c r="P81" i="1"/>
  <c r="K81" i="1"/>
  <c r="J81" i="1"/>
  <c r="E81" i="1"/>
  <c r="D81" i="1"/>
  <c r="AA80" i="1"/>
  <c r="Z80" i="1"/>
  <c r="AB80" i="1" s="1"/>
  <c r="R80" i="1"/>
  <c r="P80" i="1"/>
  <c r="K80" i="1"/>
  <c r="J80" i="1"/>
  <c r="E80" i="1"/>
  <c r="D80" i="1"/>
  <c r="AA79" i="1"/>
  <c r="Z79" i="1"/>
  <c r="AB79" i="1" s="1"/>
  <c r="R79" i="1"/>
  <c r="P79" i="1"/>
  <c r="K79" i="1"/>
  <c r="J79" i="1"/>
  <c r="E79" i="1"/>
  <c r="D79" i="1"/>
  <c r="AA78" i="1"/>
  <c r="Z78" i="1"/>
  <c r="AB78" i="1" s="1"/>
  <c r="R78" i="1"/>
  <c r="P78" i="1"/>
  <c r="K78" i="1"/>
  <c r="J78" i="1"/>
  <c r="E78" i="1"/>
  <c r="D78" i="1"/>
  <c r="AA77" i="1"/>
  <c r="Z77" i="1"/>
  <c r="AB77" i="1" s="1"/>
  <c r="R77" i="1"/>
  <c r="P77" i="1"/>
  <c r="K77" i="1"/>
  <c r="J77" i="1"/>
  <c r="E77" i="1"/>
  <c r="D77" i="1"/>
  <c r="AA76" i="1"/>
  <c r="Z76" i="1"/>
  <c r="AB76" i="1" s="1"/>
  <c r="R76" i="1"/>
  <c r="P76" i="1"/>
  <c r="K76" i="1"/>
  <c r="J76" i="1"/>
  <c r="E76" i="1"/>
  <c r="D76" i="1"/>
  <c r="AA75" i="1"/>
  <c r="Z75" i="1"/>
  <c r="AB75" i="1" s="1"/>
  <c r="R75" i="1"/>
  <c r="P75" i="1"/>
  <c r="K75" i="1"/>
  <c r="J75" i="1"/>
  <c r="E75" i="1"/>
  <c r="D75" i="1"/>
  <c r="AA74" i="1"/>
  <c r="Z74" i="1"/>
  <c r="AB74" i="1" s="1"/>
  <c r="R74" i="1"/>
  <c r="P74" i="1"/>
  <c r="K74" i="1"/>
  <c r="J74" i="1"/>
  <c r="E74" i="1"/>
  <c r="D74" i="1"/>
  <c r="AA73" i="1"/>
  <c r="Z73" i="1"/>
  <c r="AB73" i="1" s="1"/>
  <c r="R73" i="1"/>
  <c r="P73" i="1"/>
  <c r="K73" i="1"/>
  <c r="J73" i="1"/>
  <c r="E73" i="1"/>
  <c r="D73" i="1"/>
  <c r="AA72" i="1"/>
  <c r="Z72" i="1"/>
  <c r="AB72" i="1" s="1"/>
  <c r="R72" i="1"/>
  <c r="P72" i="1"/>
  <c r="K72" i="1"/>
  <c r="J72" i="1"/>
  <c r="E72" i="1"/>
  <c r="D72" i="1"/>
  <c r="AA71" i="1"/>
  <c r="Z71" i="1"/>
  <c r="AB71" i="1" s="1"/>
  <c r="R71" i="1"/>
  <c r="P71" i="1"/>
  <c r="K71" i="1"/>
  <c r="J71" i="1"/>
  <c r="E71" i="1"/>
  <c r="D71" i="1"/>
  <c r="AA70" i="1"/>
  <c r="Z70" i="1"/>
  <c r="AB70" i="1" s="1"/>
  <c r="R70" i="1"/>
  <c r="P70" i="1"/>
  <c r="K70" i="1"/>
  <c r="J70" i="1"/>
  <c r="E70" i="1"/>
  <c r="D70" i="1"/>
  <c r="AA69" i="1"/>
  <c r="Z69" i="1"/>
  <c r="AB69" i="1" s="1"/>
  <c r="R69" i="1"/>
  <c r="P69" i="1"/>
  <c r="K69" i="1"/>
  <c r="J69" i="1"/>
  <c r="E69" i="1"/>
  <c r="D69" i="1"/>
  <c r="AA68" i="1"/>
  <c r="Z68" i="1"/>
  <c r="AB68" i="1" s="1"/>
  <c r="R68" i="1"/>
  <c r="P68" i="1"/>
  <c r="K68" i="1"/>
  <c r="J68" i="1"/>
  <c r="E68" i="1"/>
  <c r="D68" i="1"/>
  <c r="AA67" i="1"/>
  <c r="Z67" i="1"/>
  <c r="AB67" i="1" s="1"/>
  <c r="R67" i="1"/>
  <c r="P67" i="1"/>
  <c r="K67" i="1"/>
  <c r="J67" i="1"/>
  <c r="E67" i="1"/>
  <c r="D67" i="1"/>
  <c r="AA66" i="1"/>
  <c r="Z66" i="1"/>
  <c r="AB66" i="1" s="1"/>
  <c r="R66" i="1"/>
  <c r="P66" i="1"/>
  <c r="K66" i="1"/>
  <c r="J66" i="1"/>
  <c r="E66" i="1"/>
  <c r="D66" i="1"/>
  <c r="AA65" i="1"/>
  <c r="Z65" i="1"/>
  <c r="AB65" i="1" s="1"/>
  <c r="R65" i="1"/>
  <c r="P65" i="1"/>
  <c r="K65" i="1"/>
  <c r="J65" i="1"/>
  <c r="E65" i="1"/>
  <c r="D65" i="1"/>
  <c r="AA64" i="1"/>
  <c r="Z64" i="1"/>
  <c r="AB64" i="1" s="1"/>
  <c r="R64" i="1"/>
  <c r="P64" i="1"/>
  <c r="K64" i="1"/>
  <c r="J64" i="1"/>
  <c r="E64" i="1"/>
  <c r="D64" i="1"/>
  <c r="AA63" i="1"/>
  <c r="Z63" i="1"/>
  <c r="AB63" i="1" s="1"/>
  <c r="R63" i="1"/>
  <c r="P63" i="1"/>
  <c r="K63" i="1"/>
  <c r="J63" i="1"/>
  <c r="E63" i="1"/>
  <c r="D63" i="1"/>
  <c r="AA62" i="1"/>
  <c r="Z62" i="1"/>
  <c r="AB62" i="1" s="1"/>
  <c r="R62" i="1"/>
  <c r="P62" i="1"/>
  <c r="K62" i="1"/>
  <c r="J62" i="1"/>
  <c r="E62" i="1"/>
  <c r="D62" i="1"/>
  <c r="AA61" i="1"/>
  <c r="Z61" i="1"/>
  <c r="AB61" i="1" s="1"/>
  <c r="R61" i="1"/>
  <c r="P61" i="1"/>
  <c r="K61" i="1"/>
  <c r="J61" i="1"/>
  <c r="E61" i="1"/>
  <c r="D61" i="1"/>
  <c r="AA60" i="1"/>
  <c r="Z60" i="1"/>
  <c r="AB60" i="1" s="1"/>
  <c r="R60" i="1"/>
  <c r="P60" i="1"/>
  <c r="K60" i="1"/>
  <c r="J60" i="1"/>
  <c r="E60" i="1"/>
  <c r="D60" i="1"/>
  <c r="AA59" i="1"/>
  <c r="Z59" i="1"/>
  <c r="AB59" i="1" s="1"/>
  <c r="R59" i="1"/>
  <c r="P59" i="1"/>
  <c r="K59" i="1"/>
  <c r="J59" i="1"/>
  <c r="E59" i="1"/>
  <c r="D59" i="1"/>
  <c r="AA58" i="1"/>
  <c r="Z58" i="1"/>
  <c r="AB58" i="1" s="1"/>
  <c r="R58" i="1"/>
  <c r="P58" i="1"/>
  <c r="K58" i="1"/>
  <c r="J58" i="1"/>
  <c r="E58" i="1"/>
  <c r="D58" i="1"/>
  <c r="AA57" i="1"/>
  <c r="Z57" i="1"/>
  <c r="AB57" i="1" s="1"/>
  <c r="R57" i="1"/>
  <c r="P57" i="1"/>
  <c r="K57" i="1"/>
  <c r="J57" i="1"/>
  <c r="E57" i="1"/>
  <c r="D57" i="1"/>
  <c r="AA56" i="1"/>
  <c r="Z56" i="1"/>
  <c r="AB56" i="1" s="1"/>
  <c r="R56" i="1"/>
  <c r="P56" i="1"/>
  <c r="K56" i="1"/>
  <c r="J56" i="1"/>
  <c r="E56" i="1"/>
  <c r="D56" i="1"/>
  <c r="AA55" i="1"/>
  <c r="Z55" i="1"/>
  <c r="AB55" i="1" s="1"/>
  <c r="R55" i="1"/>
  <c r="P55" i="1"/>
  <c r="K55" i="1"/>
  <c r="J55" i="1"/>
  <c r="E55" i="1"/>
  <c r="D55" i="1"/>
  <c r="AA54" i="1"/>
  <c r="Z54" i="1"/>
  <c r="AB54" i="1" s="1"/>
  <c r="R54" i="1"/>
  <c r="P54" i="1"/>
  <c r="K54" i="1"/>
  <c r="J54" i="1"/>
  <c r="E54" i="1"/>
  <c r="D54" i="1"/>
  <c r="AA53" i="1"/>
  <c r="Z53" i="1"/>
  <c r="AB53" i="1" s="1"/>
  <c r="R53" i="1"/>
  <c r="P53" i="1"/>
  <c r="K53" i="1"/>
  <c r="J53" i="1"/>
  <c r="E53" i="1"/>
  <c r="D53" i="1"/>
  <c r="AA52" i="1"/>
  <c r="Z52" i="1"/>
  <c r="AB52" i="1" s="1"/>
  <c r="R52" i="1"/>
  <c r="P52" i="1"/>
  <c r="K52" i="1"/>
  <c r="J52" i="1"/>
  <c r="E52" i="1"/>
  <c r="D52" i="1"/>
  <c r="AA51" i="1"/>
  <c r="Z51" i="1"/>
  <c r="AB51" i="1" s="1"/>
  <c r="R51" i="1"/>
  <c r="P51" i="1"/>
  <c r="K51" i="1"/>
  <c r="J51" i="1"/>
  <c r="E51" i="1"/>
  <c r="D51" i="1"/>
  <c r="AA50" i="1"/>
  <c r="Z50" i="1"/>
  <c r="AB50" i="1" s="1"/>
  <c r="R50" i="1"/>
  <c r="P50" i="1"/>
  <c r="K50" i="1"/>
  <c r="J50" i="1"/>
  <c r="E50" i="1"/>
  <c r="D50" i="1"/>
  <c r="AA49" i="1"/>
  <c r="Z49" i="1"/>
  <c r="AB49" i="1" s="1"/>
  <c r="R49" i="1"/>
  <c r="P49" i="1"/>
  <c r="K49" i="1"/>
  <c r="J49" i="1"/>
  <c r="E49" i="1"/>
  <c r="D49" i="1"/>
  <c r="AA48" i="1"/>
  <c r="Z48" i="1"/>
  <c r="AB48" i="1" s="1"/>
  <c r="R48" i="1"/>
  <c r="P48" i="1"/>
  <c r="K48" i="1"/>
  <c r="J48" i="1"/>
  <c r="E48" i="1"/>
  <c r="D48" i="1"/>
  <c r="AA47" i="1"/>
  <c r="Z47" i="1"/>
  <c r="AB47" i="1" s="1"/>
  <c r="R47" i="1"/>
  <c r="P47" i="1"/>
  <c r="K47" i="1"/>
  <c r="J47" i="1"/>
  <c r="E47" i="1"/>
  <c r="D47" i="1"/>
  <c r="AA46" i="1"/>
  <c r="Z46" i="1"/>
  <c r="AB46" i="1" s="1"/>
  <c r="R46" i="1"/>
  <c r="P46" i="1"/>
  <c r="K46" i="1"/>
  <c r="J46" i="1"/>
  <c r="E46" i="1"/>
  <c r="D46" i="1"/>
  <c r="AA45" i="1"/>
  <c r="Z45" i="1"/>
  <c r="AB45" i="1" s="1"/>
  <c r="R45" i="1"/>
  <c r="P45" i="1"/>
  <c r="K45" i="1"/>
  <c r="J45" i="1"/>
  <c r="E45" i="1"/>
  <c r="D45" i="1"/>
  <c r="AA44" i="1"/>
  <c r="Z44" i="1"/>
  <c r="AB44" i="1" s="1"/>
  <c r="R44" i="1"/>
  <c r="P44" i="1"/>
  <c r="K44" i="1"/>
  <c r="J44" i="1"/>
  <c r="E44" i="1"/>
  <c r="D44" i="1"/>
  <c r="AA43" i="1"/>
  <c r="Z43" i="1"/>
  <c r="AB43" i="1" s="1"/>
  <c r="R43" i="1"/>
  <c r="P43" i="1"/>
  <c r="K43" i="1"/>
  <c r="J43" i="1"/>
  <c r="E43" i="1"/>
  <c r="D43" i="1"/>
  <c r="AA42" i="1"/>
  <c r="Z42" i="1"/>
  <c r="AB42" i="1" s="1"/>
  <c r="R42" i="1"/>
  <c r="P42" i="1"/>
  <c r="K42" i="1"/>
  <c r="J42" i="1"/>
  <c r="E42" i="1"/>
  <c r="D42" i="1"/>
  <c r="AA41" i="1"/>
  <c r="Z41" i="1"/>
  <c r="AB41" i="1" s="1"/>
  <c r="R41" i="1"/>
  <c r="P41" i="1"/>
  <c r="K41" i="1"/>
  <c r="J41" i="1"/>
  <c r="E41" i="1"/>
  <c r="D41" i="1"/>
  <c r="AA40" i="1"/>
  <c r="Z40" i="1"/>
  <c r="AB40" i="1" s="1"/>
  <c r="R40" i="1"/>
  <c r="P40" i="1"/>
  <c r="K40" i="1"/>
  <c r="J40" i="1"/>
  <c r="E40" i="1"/>
  <c r="D40" i="1"/>
  <c r="AA39" i="1"/>
  <c r="Z39" i="1"/>
  <c r="AB39" i="1" s="1"/>
  <c r="R39" i="1"/>
  <c r="P39" i="1"/>
  <c r="K39" i="1"/>
  <c r="J39" i="1"/>
  <c r="E39" i="1"/>
  <c r="D39" i="1"/>
  <c r="AA38" i="1"/>
  <c r="Z38" i="1"/>
  <c r="AB38" i="1" s="1"/>
  <c r="R38" i="1"/>
  <c r="P38" i="1"/>
  <c r="K38" i="1"/>
  <c r="J38" i="1"/>
  <c r="E38" i="1"/>
  <c r="D38" i="1"/>
  <c r="AA37" i="1"/>
  <c r="Z37" i="1"/>
  <c r="AB37" i="1" s="1"/>
  <c r="R37" i="1"/>
  <c r="P37" i="1"/>
  <c r="K37" i="1"/>
  <c r="J37" i="1"/>
  <c r="E37" i="1"/>
  <c r="D37" i="1"/>
  <c r="AA36" i="1"/>
  <c r="Z36" i="1"/>
  <c r="AB36" i="1" s="1"/>
  <c r="R36" i="1"/>
  <c r="P36" i="1"/>
  <c r="K36" i="1"/>
  <c r="J36" i="1"/>
  <c r="E36" i="1"/>
  <c r="D36" i="1"/>
  <c r="AA35" i="1"/>
  <c r="Z35" i="1"/>
  <c r="AB35" i="1" s="1"/>
  <c r="R35" i="1"/>
  <c r="P35" i="1"/>
  <c r="K35" i="1"/>
  <c r="J35" i="1"/>
  <c r="E35" i="1"/>
  <c r="D35" i="1"/>
  <c r="AA34" i="1"/>
  <c r="Z34" i="1"/>
  <c r="AB34" i="1" s="1"/>
  <c r="R34" i="1"/>
  <c r="P34" i="1"/>
  <c r="K34" i="1"/>
  <c r="J34" i="1"/>
  <c r="E34" i="1"/>
  <c r="D34" i="1"/>
  <c r="AA33" i="1"/>
  <c r="Z33" i="1"/>
  <c r="AB33" i="1" s="1"/>
  <c r="R33" i="1"/>
  <c r="P33" i="1"/>
  <c r="K33" i="1"/>
  <c r="J33" i="1"/>
  <c r="E33" i="1"/>
  <c r="D33" i="1"/>
  <c r="AA32" i="1"/>
  <c r="Z32" i="1"/>
  <c r="AB32" i="1" s="1"/>
  <c r="R32" i="1"/>
  <c r="P32" i="1"/>
  <c r="K32" i="1"/>
  <c r="J32" i="1"/>
  <c r="E32" i="1"/>
  <c r="D32" i="1"/>
  <c r="AA31" i="1"/>
  <c r="Z31" i="1"/>
  <c r="AB31" i="1" s="1"/>
  <c r="R31" i="1"/>
  <c r="P31" i="1"/>
  <c r="K31" i="1"/>
  <c r="J31" i="1"/>
  <c r="E31" i="1"/>
  <c r="D31" i="1"/>
  <c r="AA30" i="1"/>
  <c r="Z30" i="1"/>
  <c r="AB30" i="1" s="1"/>
  <c r="R30" i="1"/>
  <c r="P30" i="1"/>
  <c r="K30" i="1"/>
  <c r="J30" i="1"/>
  <c r="E30" i="1"/>
  <c r="D30" i="1"/>
  <c r="AA29" i="1"/>
  <c r="Z29" i="1"/>
  <c r="AB29" i="1" s="1"/>
  <c r="R29" i="1"/>
  <c r="P29" i="1"/>
  <c r="K29" i="1"/>
  <c r="J29" i="1"/>
  <c r="E29" i="1"/>
  <c r="D29" i="1"/>
  <c r="AA28" i="1"/>
  <c r="Z28" i="1"/>
  <c r="AB28" i="1" s="1"/>
  <c r="R28" i="1"/>
  <c r="P28" i="1"/>
  <c r="K28" i="1"/>
  <c r="J28" i="1"/>
  <c r="E28" i="1"/>
  <c r="D28" i="1"/>
  <c r="AA27" i="1"/>
  <c r="Z27" i="1"/>
  <c r="AB27" i="1" s="1"/>
  <c r="R27" i="1"/>
  <c r="P27" i="1"/>
  <c r="K27" i="1"/>
  <c r="J27" i="1"/>
  <c r="E27" i="1"/>
  <c r="D27" i="1"/>
  <c r="AA26" i="1"/>
  <c r="Z26" i="1"/>
  <c r="AB26" i="1" s="1"/>
  <c r="R26" i="1"/>
  <c r="P26" i="1"/>
  <c r="K26" i="1"/>
  <c r="J26" i="1"/>
  <c r="E26" i="1"/>
  <c r="D26" i="1"/>
  <c r="AA25" i="1"/>
  <c r="Z25" i="1"/>
  <c r="AB25" i="1" s="1"/>
  <c r="R25" i="1"/>
  <c r="P25" i="1"/>
  <c r="K25" i="1"/>
  <c r="J25" i="1"/>
  <c r="E25" i="1"/>
  <c r="D25" i="1"/>
  <c r="AA24" i="1"/>
  <c r="Z24" i="1"/>
  <c r="AB24" i="1" s="1"/>
  <c r="R24" i="1"/>
  <c r="P24" i="1"/>
  <c r="K24" i="1"/>
  <c r="J24" i="1"/>
  <c r="E24" i="1"/>
  <c r="D24" i="1"/>
  <c r="AA23" i="1"/>
  <c r="Z23" i="1"/>
  <c r="AB23" i="1" s="1"/>
  <c r="R23" i="1"/>
  <c r="P23" i="1"/>
  <c r="K23" i="1"/>
  <c r="J23" i="1"/>
  <c r="E23" i="1"/>
  <c r="D23" i="1"/>
  <c r="AA22" i="1"/>
  <c r="Z22" i="1"/>
  <c r="AB22" i="1" s="1"/>
  <c r="R22" i="1"/>
  <c r="P22" i="1"/>
  <c r="K22" i="1"/>
  <c r="J22" i="1"/>
  <c r="E22" i="1"/>
  <c r="D22" i="1"/>
  <c r="AA21" i="1"/>
  <c r="Z21" i="1"/>
  <c r="AB21" i="1" s="1"/>
  <c r="R21" i="1"/>
  <c r="P21" i="1"/>
  <c r="K21" i="1"/>
  <c r="J21" i="1"/>
  <c r="E21" i="1"/>
  <c r="D21" i="1"/>
  <c r="AA20" i="1"/>
  <c r="Z20" i="1"/>
  <c r="AB20" i="1" s="1"/>
  <c r="R20" i="1"/>
  <c r="P20" i="1"/>
  <c r="K20" i="1"/>
  <c r="J20" i="1"/>
  <c r="E20" i="1"/>
  <c r="D20" i="1"/>
  <c r="AA19" i="1"/>
  <c r="Z19" i="1"/>
  <c r="AB19" i="1" s="1"/>
  <c r="R19" i="1"/>
  <c r="P19" i="1"/>
  <c r="K19" i="1"/>
  <c r="J19" i="1"/>
  <c r="E19" i="1"/>
  <c r="D19" i="1"/>
  <c r="AA18" i="1"/>
  <c r="Z18" i="1"/>
  <c r="AB18" i="1" s="1"/>
  <c r="R18" i="1"/>
  <c r="P18" i="1"/>
  <c r="K18" i="1"/>
  <c r="J18" i="1"/>
  <c r="E18" i="1"/>
  <c r="D18" i="1"/>
  <c r="AA17" i="1"/>
  <c r="Z17" i="1"/>
  <c r="AB17" i="1" s="1"/>
  <c r="R17" i="1"/>
  <c r="P17" i="1"/>
  <c r="K17" i="1"/>
  <c r="J17" i="1"/>
  <c r="E17" i="1"/>
  <c r="D17" i="1"/>
  <c r="AA16" i="1"/>
  <c r="Z16" i="1"/>
  <c r="AB16" i="1" s="1"/>
  <c r="R16" i="1"/>
  <c r="P16" i="1"/>
  <c r="K16" i="1"/>
  <c r="J16" i="1"/>
  <c r="E16" i="1"/>
  <c r="D16" i="1"/>
  <c r="AA15" i="1"/>
  <c r="Z15" i="1"/>
  <c r="AB15" i="1" s="1"/>
  <c r="R15" i="1"/>
  <c r="P15" i="1"/>
  <c r="K15" i="1"/>
  <c r="J15" i="1"/>
  <c r="E15" i="1"/>
  <c r="D15" i="1"/>
  <c r="AA14" i="1"/>
  <c r="Z14" i="1"/>
  <c r="AB14" i="1" s="1"/>
  <c r="R14" i="1"/>
  <c r="P14" i="1"/>
  <c r="K14" i="1"/>
  <c r="J14" i="1"/>
  <c r="E14" i="1"/>
  <c r="D14" i="1"/>
  <c r="AA13" i="1"/>
  <c r="Z13" i="1"/>
  <c r="AB13" i="1" s="1"/>
  <c r="R13" i="1"/>
  <c r="P13" i="1"/>
  <c r="K13" i="1"/>
  <c r="J13" i="1"/>
  <c r="E13" i="1"/>
  <c r="D13" i="1"/>
  <c r="AA12" i="1"/>
  <c r="Z12" i="1"/>
  <c r="AB12" i="1" s="1"/>
  <c r="R12" i="1"/>
  <c r="P12" i="1"/>
  <c r="K12" i="1"/>
  <c r="J12" i="1"/>
  <c r="E12" i="1"/>
  <c r="D12" i="1"/>
  <c r="AA11" i="1"/>
  <c r="Z11" i="1"/>
  <c r="AB11" i="1" s="1"/>
  <c r="R11" i="1"/>
  <c r="P11" i="1"/>
  <c r="K11" i="1"/>
  <c r="J11" i="1"/>
  <c r="E11" i="1"/>
  <c r="D11" i="1"/>
  <c r="AA10" i="1"/>
  <c r="Z10" i="1"/>
  <c r="AB10" i="1" s="1"/>
  <c r="R10" i="1"/>
  <c r="P10" i="1"/>
  <c r="K10" i="1"/>
  <c r="J10" i="1"/>
  <c r="E10" i="1"/>
  <c r="D10" i="1"/>
  <c r="AA9" i="1"/>
  <c r="Z9" i="1"/>
  <c r="AB9" i="1" s="1"/>
  <c r="R9" i="1"/>
  <c r="P9" i="1"/>
  <c r="K9" i="1"/>
  <c r="J9" i="1"/>
  <c r="E9" i="1"/>
  <c r="D9" i="1"/>
  <c r="AA8" i="1"/>
  <c r="Z8" i="1"/>
  <c r="AB8" i="1" s="1"/>
  <c r="R8" i="1"/>
  <c r="P8" i="1"/>
  <c r="K8" i="1"/>
  <c r="J8" i="1"/>
  <c r="E8" i="1"/>
  <c r="D8" i="1"/>
  <c r="AA7" i="1"/>
  <c r="Z7" i="1"/>
  <c r="AB7" i="1" s="1"/>
  <c r="R7" i="1"/>
  <c r="P7" i="1"/>
  <c r="K7" i="1"/>
  <c r="J7" i="1"/>
  <c r="E7" i="1"/>
  <c r="D7" i="1"/>
  <c r="AA6" i="1"/>
  <c r="Z6" i="1"/>
  <c r="AB6" i="1" s="1"/>
  <c r="R6" i="1"/>
  <c r="P6" i="1"/>
  <c r="K6" i="1"/>
  <c r="J6" i="1"/>
  <c r="E6" i="1"/>
  <c r="D6" i="1"/>
  <c r="AA5" i="1"/>
  <c r="Z5" i="1"/>
  <c r="AB5" i="1" s="1"/>
  <c r="R5" i="1"/>
  <c r="P5" i="1"/>
  <c r="K5" i="1"/>
  <c r="J5" i="1"/>
  <c r="E5" i="1"/>
  <c r="D5" i="1"/>
  <c r="AA4" i="1"/>
  <c r="Z4" i="1"/>
  <c r="AB4" i="1" s="1"/>
  <c r="R4" i="1"/>
  <c r="P4" i="1"/>
  <c r="L4" i="1"/>
  <c r="K4" i="1"/>
  <c r="J4" i="1"/>
  <c r="E4" i="1"/>
  <c r="D4" i="1"/>
  <c r="AA3" i="1"/>
  <c r="Z3" i="1"/>
  <c r="AB3" i="1" s="1"/>
  <c r="R3" i="1"/>
  <c r="P3" i="1"/>
  <c r="K3" i="1"/>
  <c r="J3" i="1"/>
  <c r="E3" i="1"/>
  <c r="D3" i="1"/>
  <c r="AA2" i="1"/>
  <c r="Z2" i="1"/>
  <c r="AB2" i="1" s="1"/>
  <c r="R2" i="1"/>
  <c r="P2" i="1"/>
  <c r="K2" i="1"/>
  <c r="J2" i="1"/>
  <c r="E2" i="1"/>
  <c r="D2" i="1"/>
  <c r="AB558" i="1" l="1"/>
  <c r="AB618" i="1"/>
  <c r="AB497" i="1"/>
  <c r="AB510" i="1"/>
  <c r="AB582" i="1"/>
  <c r="AB606" i="1"/>
  <c r="AB654" i="1"/>
  <c r="AB546" i="1"/>
  <c r="AB591" i="1"/>
  <c r="AB608" i="1"/>
  <c r="AB615" i="1"/>
  <c r="AB632" i="1"/>
  <c r="AB639" i="1"/>
  <c r="AB748" i="1"/>
  <c r="AB764" i="1"/>
  <c r="AB780" i="1"/>
  <c r="AB995" i="1"/>
  <c r="AB1074" i="1"/>
  <c r="AB1125" i="1"/>
  <c r="AB600" i="1"/>
  <c r="AB607" i="1"/>
  <c r="AB624" i="1"/>
  <c r="AB631" i="1"/>
  <c r="AB648" i="1"/>
  <c r="AB672" i="1"/>
  <c r="AB696" i="1"/>
  <c r="AB720" i="1"/>
  <c r="AB744" i="1"/>
  <c r="AB760" i="1"/>
  <c r="AB925" i="1"/>
  <c r="AB978" i="1"/>
  <c r="AB1021" i="1"/>
  <c r="AB496" i="1"/>
  <c r="AB984" i="1"/>
  <c r="AB1004" i="1"/>
  <c r="AB603" i="1"/>
  <c r="AB620" i="1"/>
  <c r="AB627" i="1"/>
  <c r="AB644" i="1"/>
  <c r="AB651" i="1"/>
  <c r="AB668" i="1"/>
  <c r="AB692" i="1"/>
  <c r="AB716" i="1"/>
  <c r="AB799" i="1"/>
  <c r="AB815" i="1"/>
  <c r="AB831" i="1"/>
  <c r="AB847" i="1"/>
  <c r="AB863" i="1"/>
  <c r="AB879" i="1"/>
  <c r="AB895" i="1"/>
  <c r="AB911" i="1"/>
  <c r="AB756" i="1"/>
  <c r="AB772" i="1"/>
  <c r="AB788" i="1"/>
  <c r="AB947" i="1"/>
  <c r="AB1113" i="1"/>
  <c r="AB1137" i="1"/>
  <c r="AB1109" i="1"/>
  <c r="AB1133" i="1"/>
  <c r="AB547" i="1"/>
  <c r="AB564" i="1"/>
  <c r="AB571" i="1"/>
  <c r="AB588" i="1"/>
  <c r="AB595" i="1"/>
  <c r="AB612" i="1"/>
  <c r="AB619" i="1"/>
  <c r="AB636" i="1"/>
  <c r="AB643" i="1"/>
  <c r="AB660" i="1"/>
  <c r="AB684" i="1"/>
  <c r="AB708" i="1"/>
  <c r="AB930" i="1"/>
  <c r="AB973" i="1"/>
  <c r="AB936" i="1"/>
  <c r="AB956" i="1"/>
  <c r="AB1032" i="1"/>
  <c r="AB1105" i="1"/>
  <c r="AB1129" i="1"/>
  <c r="AB917" i="1"/>
  <c r="AB1013" i="1"/>
  <c r="AB1061" i="1"/>
  <c r="AB961" i="1"/>
  <c r="AB1009" i="1"/>
  <c r="AB1187" i="1"/>
  <c r="AB1053" i="1"/>
  <c r="AB1183" i="1"/>
  <c r="AB1231" i="1"/>
  <c r="AB1328" i="1"/>
  <c r="AB1097" i="1"/>
  <c r="AB949" i="1"/>
  <c r="AB997" i="1"/>
  <c r="AB1045" i="1"/>
  <c r="AB1093" i="1"/>
  <c r="AB1175" i="1"/>
  <c r="AB1223" i="1"/>
  <c r="AB1271" i="1"/>
  <c r="AB1320" i="1"/>
  <c r="AB945" i="1"/>
  <c r="AB993" i="1"/>
  <c r="AB1041" i="1"/>
  <c r="AB1089" i="1"/>
  <c r="AB1171" i="1"/>
  <c r="AB1219" i="1"/>
  <c r="AB1267" i="1"/>
  <c r="AB1316" i="1"/>
  <c r="AB937" i="1"/>
  <c r="AB985" i="1"/>
  <c r="AB1033" i="1"/>
  <c r="AB1081" i="1"/>
  <c r="AB1308" i="1"/>
  <c r="AB1356" i="1"/>
  <c r="AB933" i="1"/>
  <c r="AB981" i="1"/>
  <c r="AB1029" i="1"/>
  <c r="AB1077" i="1"/>
  <c r="AB1159" i="1"/>
  <c r="AB1207" i="1"/>
  <c r="AB1255" i="1"/>
  <c r="AB1304" i="1"/>
  <c r="AB1352" i="1"/>
  <c r="AB929" i="1"/>
  <c r="AB977" i="1"/>
  <c r="AB1025" i="1"/>
  <c r="AB1073" i="1"/>
  <c r="AB1155" i="1"/>
  <c r="AB1203" i="1"/>
  <c r="AB1251" i="1"/>
  <c r="AB1300" i="1"/>
  <c r="AB1348" i="1"/>
</calcChain>
</file>

<file path=xl/sharedStrings.xml><?xml version="1.0" encoding="utf-8"?>
<sst xmlns="http://schemas.openxmlformats.org/spreadsheetml/2006/main" count="39395" uniqueCount="4032">
  <si>
    <t>Row ID</t>
  </si>
  <si>
    <t>Order ID</t>
  </si>
  <si>
    <t>Order Date</t>
  </si>
  <si>
    <t>Month</t>
  </si>
  <si>
    <t>Qtr</t>
  </si>
  <si>
    <t>Ship Date</t>
  </si>
  <si>
    <t>Ship Mode</t>
  </si>
  <si>
    <t>Customer ID</t>
  </si>
  <si>
    <t>Customer Name</t>
  </si>
  <si>
    <t>First Name</t>
  </si>
  <si>
    <t>Second Name</t>
  </si>
  <si>
    <t>Segment</t>
  </si>
  <si>
    <t>Country</t>
  </si>
  <si>
    <t>City</t>
  </si>
  <si>
    <t>State</t>
  </si>
  <si>
    <t>Postal Code</t>
  </si>
  <si>
    <t>Region</t>
  </si>
  <si>
    <t>Product ID</t>
  </si>
  <si>
    <t>Category</t>
  </si>
  <si>
    <t>Sales</t>
  </si>
  <si>
    <t>Quantity</t>
  </si>
  <si>
    <t>Cost</t>
  </si>
  <si>
    <t>Total Sales</t>
  </si>
  <si>
    <t>Total Costs</t>
  </si>
  <si>
    <t>Total Profit</t>
  </si>
  <si>
    <t>CA-2017-152156</t>
  </si>
  <si>
    <t>Second Class</t>
  </si>
  <si>
    <t>CG-12520</t>
  </si>
  <si>
    <t>Claire Gute</t>
  </si>
  <si>
    <t>Consumer</t>
  </si>
  <si>
    <t>United States</t>
  </si>
  <si>
    <t>Henderson</t>
  </si>
  <si>
    <t>Kentucky</t>
  </si>
  <si>
    <t>South</t>
  </si>
  <si>
    <t>FUR-BO-10001798</t>
  </si>
  <si>
    <t>Furniture</t>
  </si>
  <si>
    <t>FUR-CH-10000454</t>
  </si>
  <si>
    <t>CA-2017-138688</t>
  </si>
  <si>
    <t>16/06/2017</t>
  </si>
  <si>
    <t>DV-13045</t>
  </si>
  <si>
    <t>Darrin Van Huff</t>
  </si>
  <si>
    <t>Corporate</t>
  </si>
  <si>
    <t>Los Angeles</t>
  </si>
  <si>
    <t>california</t>
  </si>
  <si>
    <t>West</t>
  </si>
  <si>
    <t>OFF-LA-10000240</t>
  </si>
  <si>
    <t>Office Supplies</t>
  </si>
  <si>
    <t>US-2016-108966</t>
  </si>
  <si>
    <t>18/10/2016</t>
  </si>
  <si>
    <t>Standard Class</t>
  </si>
  <si>
    <t>SO-20335</t>
  </si>
  <si>
    <t>Sean O'Donnell</t>
  </si>
  <si>
    <t>Fort Lauderdale</t>
  </si>
  <si>
    <t>florida</t>
  </si>
  <si>
    <t>FUR-TA-10000577</t>
  </si>
  <si>
    <t>OFF-ST-10000760</t>
  </si>
  <si>
    <t>CA-2015-115812</t>
  </si>
  <si>
    <t>14/06/2015</t>
  </si>
  <si>
    <t>BH-11710</t>
  </si>
  <si>
    <t>Brosina Hoffman</t>
  </si>
  <si>
    <t>los angeles</t>
  </si>
  <si>
    <t>FUR-FU-10001487</t>
  </si>
  <si>
    <t>OFF-AR-10002833</t>
  </si>
  <si>
    <t>TEC-PH-10002275</t>
  </si>
  <si>
    <t>Technology</t>
  </si>
  <si>
    <t>OFF-BI-10003910</t>
  </si>
  <si>
    <t>OFF-AP-10002892</t>
  </si>
  <si>
    <t>FUR-TA-10001539</t>
  </si>
  <si>
    <t>California</t>
  </si>
  <si>
    <t>TEC-PH-10002033</t>
  </si>
  <si>
    <t>CA-2018-114412</t>
  </si>
  <si>
    <t>20/04/2018</t>
  </si>
  <si>
    <t>AA-10480</t>
  </si>
  <si>
    <t>Andrew Allen</t>
  </si>
  <si>
    <t>Concord</t>
  </si>
  <si>
    <t>North Carolina</t>
  </si>
  <si>
    <t>OFF-PA-10002365</t>
  </si>
  <si>
    <t>CA-2017-161389</t>
  </si>
  <si>
    <t>IM-15070</t>
  </si>
  <si>
    <t>Irene Maddox</t>
  </si>
  <si>
    <t>Seattle</t>
  </si>
  <si>
    <t>Washington</t>
  </si>
  <si>
    <t>OFF-BI-10003656</t>
  </si>
  <si>
    <t>US-2016-118983</t>
  </si>
  <si>
    <t>26/11/2016</t>
  </si>
  <si>
    <t>HP-14815</t>
  </si>
  <si>
    <t>Harold Pawlan</t>
  </si>
  <si>
    <t>Home Office</t>
  </si>
  <si>
    <t>Fort Worth</t>
  </si>
  <si>
    <t>Texas</t>
  </si>
  <si>
    <t>Central</t>
  </si>
  <si>
    <t>OFF-AP-10002311</t>
  </si>
  <si>
    <t>OFF-BI-10000756</t>
  </si>
  <si>
    <t>CA-2015-105893</t>
  </si>
  <si>
    <t>18/11/2015</t>
  </si>
  <si>
    <t>PK-19075</t>
  </si>
  <si>
    <t>Pete Kriz</t>
  </si>
  <si>
    <t>Madison</t>
  </si>
  <si>
    <t>Wisconsin</t>
  </si>
  <si>
    <t>OFF-ST-10004186</t>
  </si>
  <si>
    <t>CA-2015-167164</t>
  </si>
  <si>
    <t>15/05/2015</t>
  </si>
  <si>
    <t>AG-10270</t>
  </si>
  <si>
    <t>Alejandro Grove</t>
  </si>
  <si>
    <t>West Jordan</t>
  </si>
  <si>
    <t>Utah</t>
  </si>
  <si>
    <t>OFF-ST-10000107</t>
  </si>
  <si>
    <t>CA-2015-143336</t>
  </si>
  <si>
    <t>ZD-21925</t>
  </si>
  <si>
    <t>Zuschuss Donatelli</t>
  </si>
  <si>
    <t>San Francisco</t>
  </si>
  <si>
    <t>OFF-AR-10003056</t>
  </si>
  <si>
    <t>TEC-PH-10001949</t>
  </si>
  <si>
    <t>OFF-BI-10002215</t>
  </si>
  <si>
    <t>CA-2017-137330</t>
  </si>
  <si>
    <t>13/12/2017</t>
  </si>
  <si>
    <t>KB-16585</t>
  </si>
  <si>
    <t>Ken Black</t>
  </si>
  <si>
    <t>Fremont</t>
  </si>
  <si>
    <t>Nebraska</t>
  </si>
  <si>
    <t>OFF-AR-10000246</t>
  </si>
  <si>
    <t>OFF-AP-10001492</t>
  </si>
  <si>
    <t>US-2018-156909</t>
  </si>
  <si>
    <t>18/07/2018</t>
  </si>
  <si>
    <t>SF-20065</t>
  </si>
  <si>
    <t>Sandra Flanagan</t>
  </si>
  <si>
    <t>Philadelphia</t>
  </si>
  <si>
    <t>Pennsylvania</t>
  </si>
  <si>
    <t>East</t>
  </si>
  <si>
    <t>FUR-CH-10002774</t>
  </si>
  <si>
    <t>CA-2016-106320</t>
  </si>
  <si>
    <t>30/09/2016</t>
  </si>
  <si>
    <t>EB-13870</t>
  </si>
  <si>
    <t>Emily Burns</t>
  </si>
  <si>
    <t>Orem</t>
  </si>
  <si>
    <t>CA-2017-121755</t>
  </si>
  <si>
    <t>20/01/2017</t>
  </si>
  <si>
    <t>EH-13945</t>
  </si>
  <si>
    <t>Eric Hoffmann</t>
  </si>
  <si>
    <t>OFF-BI-10001634</t>
  </si>
  <si>
    <t>TEC-AC-10003027</t>
  </si>
  <si>
    <t>US-2016-150630</t>
  </si>
  <si>
    <t>21/09/2016</t>
  </si>
  <si>
    <t>TB-21520</t>
  </si>
  <si>
    <t>Tracy Blumstein</t>
  </si>
  <si>
    <t>pennsylvania</t>
  </si>
  <si>
    <t>FUR-BO-10004834</t>
  </si>
  <si>
    <t>PhilaDelphia</t>
  </si>
  <si>
    <t>PennSylvania</t>
  </si>
  <si>
    <t>OFF-BI-10000474</t>
  </si>
  <si>
    <t>FUR-FU-10004848</t>
  </si>
  <si>
    <t>OFF-EN-10001509</t>
  </si>
  <si>
    <t>OFF-AR-10004042</t>
  </si>
  <si>
    <t>OFF-BI-10001525</t>
  </si>
  <si>
    <t>OFF-AR-10001683</t>
  </si>
  <si>
    <t>CA-2018-107727</t>
  </si>
  <si>
    <t>23/10/2018</t>
  </si>
  <si>
    <t>MA-17560</t>
  </si>
  <si>
    <t>Matt Abelman</t>
  </si>
  <si>
    <t>houston</t>
  </si>
  <si>
    <t>OFF-PA-10000249</t>
  </si>
  <si>
    <t>CA-2017-117590</t>
  </si>
  <si>
    <t>First Class</t>
  </si>
  <si>
    <t>GH-14485</t>
  </si>
  <si>
    <t>Gene Hale</t>
  </si>
  <si>
    <t>Richardson</t>
  </si>
  <si>
    <t>TEC-PH-10004977</t>
  </si>
  <si>
    <t>FUR-FU-10003664</t>
  </si>
  <si>
    <t>CA-2016-117415</t>
  </si>
  <si>
    <t>31/12/2016</t>
  </si>
  <si>
    <t>SN-20710</t>
  </si>
  <si>
    <t>Steve Nguyen</t>
  </si>
  <si>
    <t>Houston</t>
  </si>
  <si>
    <t>OFF-EN-10002986</t>
  </si>
  <si>
    <t>FUR-BO-10002545</t>
  </si>
  <si>
    <t>FUR-CH-10004218</t>
  </si>
  <si>
    <t>TEC-PH-10000486</t>
  </si>
  <si>
    <t>CA-2018-120999</t>
  </si>
  <si>
    <t>15/09/2018</t>
  </si>
  <si>
    <t>LC-16930</t>
  </si>
  <si>
    <t>Linda Cazamias</t>
  </si>
  <si>
    <t>Naperville</t>
  </si>
  <si>
    <t>Illinois</t>
  </si>
  <si>
    <t>TEC-PH-10004093</t>
  </si>
  <si>
    <t>CA-2017-101343</t>
  </si>
  <si>
    <t>22/07/2017</t>
  </si>
  <si>
    <t>RA-19885</t>
  </si>
  <si>
    <t>Ruben Ausman</t>
  </si>
  <si>
    <t>OFF-ST-10003479</t>
  </si>
  <si>
    <t>CA-2018-139619</t>
  </si>
  <si>
    <t>23/09/2018</t>
  </si>
  <si>
    <t>ES-14080</t>
  </si>
  <si>
    <t>Erin Smith</t>
  </si>
  <si>
    <t>Melbourne</t>
  </si>
  <si>
    <t>Florida</t>
  </si>
  <si>
    <t>OFF-ST-10003282</t>
  </si>
  <si>
    <t>CA-2017-118255</t>
  </si>
  <si>
    <t>13/03/2017</t>
  </si>
  <si>
    <t>ON-18715</t>
  </si>
  <si>
    <t>Odella Nelson</t>
  </si>
  <si>
    <t>Eagan</t>
  </si>
  <si>
    <t>Minnesota</t>
  </si>
  <si>
    <t>TEC-AC-10000171</t>
  </si>
  <si>
    <t>OFF-BI-10003291</t>
  </si>
  <si>
    <t>CA-2015-146703</t>
  </si>
  <si>
    <t>25/10/2015</t>
  </si>
  <si>
    <t>PO-18865</t>
  </si>
  <si>
    <t>Patrick O'Donnell</t>
  </si>
  <si>
    <t>Westland</t>
  </si>
  <si>
    <t>Michigan</t>
  </si>
  <si>
    <t>OFF-ST-10001713</t>
  </si>
  <si>
    <t>CA-2017-169194</t>
  </si>
  <si>
    <t>25/06/2017</t>
  </si>
  <si>
    <t>LH-16900</t>
  </si>
  <si>
    <t>Lena Hernandez</t>
  </si>
  <si>
    <t>Dover</t>
  </si>
  <si>
    <t>Delaware</t>
  </si>
  <si>
    <t>TEC-AC-10002167</t>
  </si>
  <si>
    <t>TEC-PH-10003988</t>
  </si>
  <si>
    <t>CA-2016-115742</t>
  </si>
  <si>
    <t>22/04/2016</t>
  </si>
  <si>
    <t>DP-13000</t>
  </si>
  <si>
    <t>Darren Powers</t>
  </si>
  <si>
    <t>New Albany</t>
  </si>
  <si>
    <t>Indiana</t>
  </si>
  <si>
    <t>OFF-BI-10004410</t>
  </si>
  <si>
    <t>OFF-LA-10002762</t>
  </si>
  <si>
    <t>FUR-FU-10001706</t>
  </si>
  <si>
    <t>FUR-CH-10003061</t>
  </si>
  <si>
    <t>CA-2017-105816</t>
  </si>
  <si>
    <t>17/12/2017</t>
  </si>
  <si>
    <t>JM-15265</t>
  </si>
  <si>
    <t>Janet Molinari</t>
  </si>
  <si>
    <t>New York City</t>
  </si>
  <si>
    <t>New York</t>
  </si>
  <si>
    <t>OFF-FA-10000304</t>
  </si>
  <si>
    <t>TEC-PH-10002447</t>
  </si>
  <si>
    <t>CA-2017-111682</t>
  </si>
  <si>
    <t>18/06/2017</t>
  </si>
  <si>
    <t>TB-21055</t>
  </si>
  <si>
    <t>Ted Butterfield</t>
  </si>
  <si>
    <t>Troy</t>
  </si>
  <si>
    <t>OFF-ST-10000604</t>
  </si>
  <si>
    <t>OFF-PA-10001569</t>
  </si>
  <si>
    <t>FUR-CH-10003968</t>
  </si>
  <si>
    <t>OFF-PA-10000587</t>
  </si>
  <si>
    <t>OFF-BI-10001460</t>
  </si>
  <si>
    <t>OFF-AR-10001868</t>
  </si>
  <si>
    <t>CA-2016-135545</t>
  </si>
  <si>
    <t>30/11/2016</t>
  </si>
  <si>
    <t>KM-16720</t>
  </si>
  <si>
    <t>Kunst Miller</t>
  </si>
  <si>
    <t>TEC-AC-10004633</t>
  </si>
  <si>
    <t>OFF-BI-10001078</t>
  </si>
  <si>
    <t>OFF-PA-10003892</t>
  </si>
  <si>
    <t>FUR-FU-10000397</t>
  </si>
  <si>
    <t>US-2016-164175</t>
  </si>
  <si>
    <t>PS-18970</t>
  </si>
  <si>
    <t>Paul Stevenson</t>
  </si>
  <si>
    <t>Chicago</t>
  </si>
  <si>
    <t>FUR-CH-10001146</t>
  </si>
  <si>
    <t>CA-2015-106376</t>
  </si>
  <si>
    <t>BS-11590</t>
  </si>
  <si>
    <t>Brendan Sweed</t>
  </si>
  <si>
    <t>Gilbert</t>
  </si>
  <si>
    <t>Arizona</t>
  </si>
  <si>
    <t>OFF-AR-10002671</t>
  </si>
  <si>
    <t>TEC-PH-10002726</t>
  </si>
  <si>
    <t>CA-2017-119823</t>
  </si>
  <si>
    <t>KD-16270</t>
  </si>
  <si>
    <t>Karen Daniels</t>
  </si>
  <si>
    <t>Springfield</t>
  </si>
  <si>
    <t>Virginia</t>
  </si>
  <si>
    <t>OFF-PA-10000482</t>
  </si>
  <si>
    <t>CA-2017-106075</t>
  </si>
  <si>
    <t>23/09/2017</t>
  </si>
  <si>
    <t>HM-14980</t>
  </si>
  <si>
    <t>Henry MacAllister</t>
  </si>
  <si>
    <t>OFF-BI-10004654</t>
  </si>
  <si>
    <t>CA-2018-114440</t>
  </si>
  <si>
    <t>17/09/2018</t>
  </si>
  <si>
    <t>Jackson</t>
  </si>
  <si>
    <t>OFF-PA-10004675</t>
  </si>
  <si>
    <t>US-2016-134026</t>
  </si>
  <si>
    <t>JE-15745</t>
  </si>
  <si>
    <t>Joel Eaton</t>
  </si>
  <si>
    <t>Memphis</t>
  </si>
  <si>
    <t>Tennessee</t>
  </si>
  <si>
    <t>FUR-CH-10000513</t>
  </si>
  <si>
    <t>FUR-FU-10003708</t>
  </si>
  <si>
    <t>OFF-ST-10004123</t>
  </si>
  <si>
    <t>US-2018-118038</t>
  </si>
  <si>
    <t>KB-16600</t>
  </si>
  <si>
    <t>Ken Brennan</t>
  </si>
  <si>
    <t>OFF-BI-10004182</t>
  </si>
  <si>
    <t>FUR-FU-10000260</t>
  </si>
  <si>
    <t>OFF-ST-10000615</t>
  </si>
  <si>
    <t>US-2015-147606</t>
  </si>
  <si>
    <t>FUR-FU-10003194</t>
  </si>
  <si>
    <t>CA-2017-127208</t>
  </si>
  <si>
    <t>15/06/2017</t>
  </si>
  <si>
    <t>SC-20770</t>
  </si>
  <si>
    <t>Stewart Carmichael</t>
  </si>
  <si>
    <t>Decatur</t>
  </si>
  <si>
    <t>Alabama</t>
  </si>
  <si>
    <t>OFF-AP-10002118</t>
  </si>
  <si>
    <t>OFF-BI-10002309</t>
  </si>
  <si>
    <t>CA-2015-139451</t>
  </si>
  <si>
    <t>16/10/2015</t>
  </si>
  <si>
    <t>DN-13690</t>
  </si>
  <si>
    <t>Duane Noonan</t>
  </si>
  <si>
    <t>OFF-AR-10002053</t>
  </si>
  <si>
    <t>OFF-ST-10002370</t>
  </si>
  <si>
    <t>CA-2016-149734</t>
  </si>
  <si>
    <t>JC-16105</t>
  </si>
  <si>
    <t>Julie Creighton</t>
  </si>
  <si>
    <t>Durham</t>
  </si>
  <si>
    <t>OFF-EN-10000927</t>
  </si>
  <si>
    <t>US-2018-119662</t>
  </si>
  <si>
    <t>16/11/2018</t>
  </si>
  <si>
    <t>CS-12400</t>
  </si>
  <si>
    <t>Christopher Schild</t>
  </si>
  <si>
    <t>OFF-ST-10003656</t>
  </si>
  <si>
    <t>CA-2018-140088</t>
  </si>
  <si>
    <t>30/05/2018</t>
  </si>
  <si>
    <t>Columbia</t>
  </si>
  <si>
    <t>South Carolina</t>
  </si>
  <si>
    <t>FUR-CH-10000863</t>
  </si>
  <si>
    <t>CA-2018-155558</t>
  </si>
  <si>
    <t>PG-18895</t>
  </si>
  <si>
    <t>Paul Gonzalez</t>
  </si>
  <si>
    <t>Rochester</t>
  </si>
  <si>
    <t>TEC-AC-10001998</t>
  </si>
  <si>
    <t>OFF-LA-10000134</t>
  </si>
  <si>
    <t>CA-2017-159695</t>
  </si>
  <si>
    <t>GM-14455</t>
  </si>
  <si>
    <t>Gary Mitchum</t>
  </si>
  <si>
    <t>OFF-ST-10003442</t>
  </si>
  <si>
    <t>CA-2017-109806</t>
  </si>
  <si>
    <t>22/09/2017</t>
  </si>
  <si>
    <t>JS-15685</t>
  </si>
  <si>
    <t>Jim Sink</t>
  </si>
  <si>
    <t>OFF-AR-10004930</t>
  </si>
  <si>
    <t>OFF-PA-10000304</t>
  </si>
  <si>
    <t>CA-2016-149587</t>
  </si>
  <si>
    <t>KB-16315</t>
  </si>
  <si>
    <t>Karl Braun</t>
  </si>
  <si>
    <t>Minneapolis</t>
  </si>
  <si>
    <t>OFF-PA-10003177</t>
  </si>
  <si>
    <t>FUR-FU-10003799</t>
  </si>
  <si>
    <t>OFF-BI-10002852</t>
  </si>
  <si>
    <t>US-2018-109484</t>
  </si>
  <si>
    <t>RB-19705</t>
  </si>
  <si>
    <t>Roger Barcio</t>
  </si>
  <si>
    <t>Portland</t>
  </si>
  <si>
    <t>Oregon</t>
  </si>
  <si>
    <t>OFF-BI-10004738</t>
  </si>
  <si>
    <t>CA-2018-161018</t>
  </si>
  <si>
    <t>PN-18775</t>
  </si>
  <si>
    <t>Parhena Norris</t>
  </si>
  <si>
    <t>FUR-FU-10000629</t>
  </si>
  <si>
    <t>CA-2018-157833</t>
  </si>
  <si>
    <t>20/06/2018</t>
  </si>
  <si>
    <t>KD-16345</t>
  </si>
  <si>
    <t>Katherine Ducich</t>
  </si>
  <si>
    <t>OFF-BI-10001721</t>
  </si>
  <si>
    <t>CA-2017-149223</t>
  </si>
  <si>
    <t>ER-13855</t>
  </si>
  <si>
    <t>Elpida Rittenbach</t>
  </si>
  <si>
    <t>Saint Paul</t>
  </si>
  <si>
    <t>OFF-AP-10000358</t>
  </si>
  <si>
    <t>CA-2017-158568</t>
  </si>
  <si>
    <t>RB-19465</t>
  </si>
  <si>
    <t>Rick Bensley</t>
  </si>
  <si>
    <t>OFF-PA-10003256</t>
  </si>
  <si>
    <t>TEC-AC-10001767</t>
  </si>
  <si>
    <t>OFF-BI-10002609</t>
  </si>
  <si>
    <t>CA-2017-129903</t>
  </si>
  <si>
    <t>GZ-14470</t>
  </si>
  <si>
    <t>Gary Zandusky</t>
  </si>
  <si>
    <t>OFF-PA-10004040</t>
  </si>
  <si>
    <t>US-2016-156867</t>
  </si>
  <si>
    <t>17/11/2016</t>
  </si>
  <si>
    <t>LC-16870</t>
  </si>
  <si>
    <t>Lena Cacioppo</t>
  </si>
  <si>
    <t>Aurora</t>
  </si>
  <si>
    <t>Colorado</t>
  </si>
  <si>
    <t>TEC-AC-10001552</t>
  </si>
  <si>
    <t>FUR-FU-10004006</t>
  </si>
  <si>
    <t>OFF-BI-10002794</t>
  </si>
  <si>
    <t>CA-2018-119004</t>
  </si>
  <si>
    <t>28/11/2018</t>
  </si>
  <si>
    <t>JM-15250</t>
  </si>
  <si>
    <t>Janet Martin</t>
  </si>
  <si>
    <t>Charlotte</t>
  </si>
  <si>
    <t>TEC-AC-10003499</t>
  </si>
  <si>
    <t>TEC-PH-10002844</t>
  </si>
  <si>
    <t>OFF-AR-10000390</t>
  </si>
  <si>
    <t>CA-2016-129476</t>
  </si>
  <si>
    <t>20/10/2016</t>
  </si>
  <si>
    <t>PA-19060</t>
  </si>
  <si>
    <t>Pete Armstrong</t>
  </si>
  <si>
    <t>Orland Park</t>
  </si>
  <si>
    <t>TEC-AC-10000844</t>
  </si>
  <si>
    <t>CA-2018-146780</t>
  </si>
  <si>
    <t>30/12/2018</t>
  </si>
  <si>
    <t>CV-12805</t>
  </si>
  <si>
    <t>Cynthia Voltz</t>
  </si>
  <si>
    <t>FUR-FU-10001934</t>
  </si>
  <si>
    <t>CA-2017-128867</t>
  </si>
  <si>
    <t>CL-12565</t>
  </si>
  <si>
    <t>Clay Ludtke</t>
  </si>
  <si>
    <t>Urbandale</t>
  </si>
  <si>
    <t>Iowa</t>
  </si>
  <si>
    <t>OFF-AR-10000380</t>
  </si>
  <si>
    <t>OFF-BI-10003981</t>
  </si>
  <si>
    <t>CA-2015-115259</t>
  </si>
  <si>
    <t>27/08/2015</t>
  </si>
  <si>
    <t>RC-19960</t>
  </si>
  <si>
    <t>Ryan Crowe</t>
  </si>
  <si>
    <t>Columbus</t>
  </si>
  <si>
    <t>Ohio</t>
  </si>
  <si>
    <t>OFF-FA-10000621</t>
  </si>
  <si>
    <t>OFF-EN-10002600</t>
  </si>
  <si>
    <t>OFF-PA-10004965</t>
  </si>
  <si>
    <t>OFF-EN-10002504</t>
  </si>
  <si>
    <t>CA-2016-110457</t>
  </si>
  <si>
    <t>DK-13090</t>
  </si>
  <si>
    <t>Dave Kipp</t>
  </si>
  <si>
    <t>FUR-TA-10001768</t>
  </si>
  <si>
    <t>US-2016-136476</t>
  </si>
  <si>
    <t>GG-14650</t>
  </si>
  <si>
    <t>Greg Guthrie</t>
  </si>
  <si>
    <t>Bristol</t>
  </si>
  <si>
    <t>OFF-BI-10003650</t>
  </si>
  <si>
    <t>CA-2017-103730</t>
  </si>
  <si>
    <t>SC-20725</t>
  </si>
  <si>
    <t>Steven Cartwright</t>
  </si>
  <si>
    <t>Wilmington</t>
  </si>
  <si>
    <t>FUR-FU-10002157</t>
  </si>
  <si>
    <t>OFF-ST-10000777</t>
  </si>
  <si>
    <t>OFF-EN-10002500</t>
  </si>
  <si>
    <t>TEC-PH-10003875</t>
  </si>
  <si>
    <t>US-2015-152030</t>
  </si>
  <si>
    <t>28/12/2015</t>
  </si>
  <si>
    <t>AD-10180</t>
  </si>
  <si>
    <t>Alan Dominguez</t>
  </si>
  <si>
    <t>FUR-CH-10004063</t>
  </si>
  <si>
    <t>US-2015-134614</t>
  </si>
  <si>
    <t>25/09/2015</t>
  </si>
  <si>
    <t>PF-19165</t>
  </si>
  <si>
    <t>Philip Fox</t>
  </si>
  <si>
    <t>Bloomington</t>
  </si>
  <si>
    <t>FUR-TA-10004534</t>
  </si>
  <si>
    <t>US-2018-107272</t>
  </si>
  <si>
    <t>TS-21610</t>
  </si>
  <si>
    <t>Troy Staebel</t>
  </si>
  <si>
    <t>Phoenix</t>
  </si>
  <si>
    <t>OFF-BI-10003274</t>
  </si>
  <si>
    <t>OFF-ST-10002974</t>
  </si>
  <si>
    <t>US-2017-125969</t>
  </si>
  <si>
    <t>LS-16975</t>
  </si>
  <si>
    <t>Lindsay Shagiari</t>
  </si>
  <si>
    <t>FUR-FU-10003773</t>
  </si>
  <si>
    <t>US-2018-164147</t>
  </si>
  <si>
    <t>DW-13585</t>
  </si>
  <si>
    <t>Dorothy Wardle</t>
  </si>
  <si>
    <t>TEC-PH-10002293</t>
  </si>
  <si>
    <t>OFF-PA-10002377</t>
  </si>
  <si>
    <t>OFF-FA-10002780</t>
  </si>
  <si>
    <t>CA-2017-145583</t>
  </si>
  <si>
    <t>19/10/2017</t>
  </si>
  <si>
    <t>LC-16885</t>
  </si>
  <si>
    <t>Lena Creighton</t>
  </si>
  <si>
    <t>Roseville</t>
  </si>
  <si>
    <t>OFF-PA-10001804</t>
  </si>
  <si>
    <t>OFF-PA-10001736</t>
  </si>
  <si>
    <t>OFF-AR-10001149</t>
  </si>
  <si>
    <t>OFF-FA-10002988</t>
  </si>
  <si>
    <t>OFF-BI-10004781</t>
  </si>
  <si>
    <t>OFF-SU-10001218</t>
  </si>
  <si>
    <t>CA-2017-110366</t>
  </si>
  <si>
    <t>JD-15895</t>
  </si>
  <si>
    <t>Jonathan Doherty</t>
  </si>
  <si>
    <t>CA-2018-106180</t>
  </si>
  <si>
    <t>SH-19975</t>
  </si>
  <si>
    <t>Sally Hughsby</t>
  </si>
  <si>
    <t>OFF-AR-10000940</t>
  </si>
  <si>
    <t>OFF-EN-10004030</t>
  </si>
  <si>
    <t>OFF-PA-10004327</t>
  </si>
  <si>
    <t>CA-2018-155376</t>
  </si>
  <si>
    <t>27/12/2018</t>
  </si>
  <si>
    <t>SG-20080</t>
  </si>
  <si>
    <t>Sandra Glassco</t>
  </si>
  <si>
    <t>Independence</t>
  </si>
  <si>
    <t>Missouri</t>
  </si>
  <si>
    <t>OFF-AP-10001058</t>
  </si>
  <si>
    <t>CA-2016-110744</t>
  </si>
  <si>
    <t>HA-14920</t>
  </si>
  <si>
    <t>Helen Andreada</t>
  </si>
  <si>
    <t>Pasadena</t>
  </si>
  <si>
    <t>CA-2015-110072</t>
  </si>
  <si>
    <t>28/10/2015</t>
  </si>
  <si>
    <t>MG-17680</t>
  </si>
  <si>
    <t>Maureen Gastineau</t>
  </si>
  <si>
    <t>Newark</t>
  </si>
  <si>
    <t>FUR-FU-10000521</t>
  </si>
  <si>
    <t>CA-2017-114489</t>
  </si>
  <si>
    <t>JE-16165</t>
  </si>
  <si>
    <t>Justin Ellison</t>
  </si>
  <si>
    <t>Franklin</t>
  </si>
  <si>
    <t>TEC-PH-10000215</t>
  </si>
  <si>
    <t>TEC-PH-10001448</t>
  </si>
  <si>
    <t>OFF-BI-10002735</t>
  </si>
  <si>
    <t>CA-2017-158834</t>
  </si>
  <si>
    <t>16/03/2017</t>
  </si>
  <si>
    <t>TW-21025</t>
  </si>
  <si>
    <t>Tamara Willingham</t>
  </si>
  <si>
    <t>Scottsdale</t>
  </si>
  <si>
    <t>OFF-AP-10000326</t>
  </si>
  <si>
    <t>TEC-PH-10001254</t>
  </si>
  <si>
    <t>CA-2016-124919</t>
  </si>
  <si>
    <t>SP-20650</t>
  </si>
  <si>
    <t>Stephanie Phelps</t>
  </si>
  <si>
    <t>San Jose</t>
  </si>
  <si>
    <t>OFF-PA-10001950</t>
  </si>
  <si>
    <t>OFF-PA-10002254</t>
  </si>
  <si>
    <t>OFF-ST-10001590</t>
  </si>
  <si>
    <t>CA-2016-118948</t>
  </si>
  <si>
    <t>NK-18490</t>
  </si>
  <si>
    <t>Neil Knudson</t>
  </si>
  <si>
    <t>OFF-AR-10001547</t>
  </si>
  <si>
    <t>CA-2015-104269</t>
  </si>
  <si>
    <t>DB-13060</t>
  </si>
  <si>
    <t>Dave Brooks</t>
  </si>
  <si>
    <t>CA-2017-114104</t>
  </si>
  <si>
    <t>24/11/2017</t>
  </si>
  <si>
    <t>NP-18670</t>
  </si>
  <si>
    <t>Nora Paige</t>
  </si>
  <si>
    <t>Edmond</t>
  </si>
  <si>
    <t>Oklahoma</t>
  </si>
  <si>
    <t>OFF-LA-10002475</t>
  </si>
  <si>
    <t>TEC-PH-10004536</t>
  </si>
  <si>
    <t>CA-2017-162733</t>
  </si>
  <si>
    <t>TT-21070</t>
  </si>
  <si>
    <t>Ted Trevino</t>
  </si>
  <si>
    <t>OFF-PA-10002751</t>
  </si>
  <si>
    <t>CA-2016-119697</t>
  </si>
  <si>
    <t>EM-13960</t>
  </si>
  <si>
    <t>Eric Murdock</t>
  </si>
  <si>
    <t>TEC-AC-10003657</t>
  </si>
  <si>
    <t>CA-2017-154508</t>
  </si>
  <si>
    <t>20/11/2017</t>
  </si>
  <si>
    <t>RD-19900</t>
  </si>
  <si>
    <t>Ruben Dartt</t>
  </si>
  <si>
    <t>Carlsbad</t>
  </si>
  <si>
    <t>New Mexico</t>
  </si>
  <si>
    <t>OFF-EN-10001990</t>
  </si>
  <si>
    <t>CA-2017-113817</t>
  </si>
  <si>
    <t>MJ-17740</t>
  </si>
  <si>
    <t>Max Jones</t>
  </si>
  <si>
    <t>OFF-BI-10004002</t>
  </si>
  <si>
    <t>CA-2015-139892</t>
  </si>
  <si>
    <t>BM-11140</t>
  </si>
  <si>
    <t>Becky Martin</t>
  </si>
  <si>
    <t>San Antonio</t>
  </si>
  <si>
    <t>OFF-AR-10004441</t>
  </si>
  <si>
    <t>TEC-MA-10000822</t>
  </si>
  <si>
    <t>OFF-ST-10000991</t>
  </si>
  <si>
    <t>FUR-CH-10004287</t>
  </si>
  <si>
    <t>OFF-AR-10002656</t>
  </si>
  <si>
    <t>OFF-AP-10002518</t>
  </si>
  <si>
    <t>TEC-PH-10003931</t>
  </si>
  <si>
    <t>CA-2015-118962</t>
  </si>
  <si>
    <t>CS-12130</t>
  </si>
  <si>
    <t>Chad Sievert</t>
  </si>
  <si>
    <t>OFF-PA-10000659</t>
  </si>
  <si>
    <t>OFF-PA-10001144</t>
  </si>
  <si>
    <t>FUR-CH-10003817</t>
  </si>
  <si>
    <t>US-2015-100853</t>
  </si>
  <si>
    <t>19/09/2015</t>
  </si>
  <si>
    <t>JB-15400</t>
  </si>
  <si>
    <t>Jennifer Braxton</t>
  </si>
  <si>
    <t>OFF-AP-10000891</t>
  </si>
  <si>
    <t>OFF-LA-10003148</t>
  </si>
  <si>
    <t>US-2018-152366</t>
  </si>
  <si>
    <t>25/04/2018</t>
  </si>
  <si>
    <t>SJ-20500</t>
  </si>
  <si>
    <t>Shirley Jackson</t>
  </si>
  <si>
    <t>OFF-AP-10002684</t>
  </si>
  <si>
    <t>US-2016-101511</t>
  </si>
  <si>
    <t>23/11/2016</t>
  </si>
  <si>
    <t>FUR-CH-10004698</t>
  </si>
  <si>
    <t>OFF-SU-10002189</t>
  </si>
  <si>
    <t>CA-2016-137225</t>
  </si>
  <si>
    <t>19/12/2016</t>
  </si>
  <si>
    <t>JK-15640</t>
  </si>
  <si>
    <t>Jim Kriz</t>
  </si>
  <si>
    <t>OFF-AR-10001940</t>
  </si>
  <si>
    <t>CA-2015-166191</t>
  </si>
  <si>
    <t>DK-13150</t>
  </si>
  <si>
    <t>David Kendrick</t>
  </si>
  <si>
    <t>OFF-ST-10003455</t>
  </si>
  <si>
    <t>TEC-AC-10004659</t>
  </si>
  <si>
    <t>CA-2015-158274</t>
  </si>
  <si>
    <t>24/11/2015</t>
  </si>
  <si>
    <t>RM-19675</t>
  </si>
  <si>
    <t>Robert Marley</t>
  </si>
  <si>
    <t>Monroe</t>
  </si>
  <si>
    <t>Louisiana</t>
  </si>
  <si>
    <t>TEC-PH-10003273</t>
  </si>
  <si>
    <t>TEC-PH-10004896</t>
  </si>
  <si>
    <t>TEC-AC-10002345</t>
  </si>
  <si>
    <t>CA-2017-105018</t>
  </si>
  <si>
    <t>SK-19990</t>
  </si>
  <si>
    <t>Sally Knutson</t>
  </si>
  <si>
    <t>Fairfield</t>
  </si>
  <si>
    <t>Connecticut</t>
  </si>
  <si>
    <t>OFF-BI-10001890</t>
  </si>
  <si>
    <t>CA-2015-123260</t>
  </si>
  <si>
    <t>30/08/2015</t>
  </si>
  <si>
    <t>FM-14290</t>
  </si>
  <si>
    <t>Frank Merwin</t>
  </si>
  <si>
    <t>TEC-AC-10002323</t>
  </si>
  <si>
    <t>CA-2017-157000</t>
  </si>
  <si>
    <t>AM-10360</t>
  </si>
  <si>
    <t>Alice McCarthy</t>
  </si>
  <si>
    <t>Grand Prairie</t>
  </si>
  <si>
    <t>OFF-ST-10001328</t>
  </si>
  <si>
    <t>CA-2016-102281</t>
  </si>
  <si>
    <t>14/10/2016</t>
  </si>
  <si>
    <t>MP-17470</t>
  </si>
  <si>
    <t>Mark Packer</t>
  </si>
  <si>
    <t>FUR-BO-10002613</t>
  </si>
  <si>
    <t>TEC-PH-10001552</t>
  </si>
  <si>
    <t>OFF-PA-10000061</t>
  </si>
  <si>
    <t>OFF-AR-10003514</t>
  </si>
  <si>
    <t>CA-2016-131457</t>
  </si>
  <si>
    <t>MZ-17515</t>
  </si>
  <si>
    <t>Mary Zewe</t>
  </si>
  <si>
    <t>Redlands</t>
  </si>
  <si>
    <t>CA-2015-140004</t>
  </si>
  <si>
    <t>25/03/2015</t>
  </si>
  <si>
    <t>CB-12025</t>
  </si>
  <si>
    <t>Cassandra Brandow</t>
  </si>
  <si>
    <t>Hamilton</t>
  </si>
  <si>
    <t>OFF-AR-10004685</t>
  </si>
  <si>
    <t>OFF-AR-10004027</t>
  </si>
  <si>
    <t>CA-2018-107720</t>
  </si>
  <si>
    <t>13/11/2018</t>
  </si>
  <si>
    <t>VM-21685</t>
  </si>
  <si>
    <t>Valerie Mitchum</t>
  </si>
  <si>
    <t>Westfield</t>
  </si>
  <si>
    <t>New Jersey</t>
  </si>
  <si>
    <t>OFF-ST-10001414</t>
  </si>
  <si>
    <t>US-2018-124303</t>
  </si>
  <si>
    <t>13/07/2018</t>
  </si>
  <si>
    <t>FH-14365</t>
  </si>
  <si>
    <t>Fred Hopkins</t>
  </si>
  <si>
    <t>OFF-BI-10000343</t>
  </si>
  <si>
    <t>OFF-PA-10002749</t>
  </si>
  <si>
    <t>CA-2018-105074</t>
  </si>
  <si>
    <t>29/06/2018</t>
  </si>
  <si>
    <t>MB-17305</t>
  </si>
  <si>
    <t>Maria Bertelson</t>
  </si>
  <si>
    <t>Akron</t>
  </si>
  <si>
    <t>OFF-PA-10002666</t>
  </si>
  <si>
    <t>CA-2015-133690</t>
  </si>
  <si>
    <t>BS-11755</t>
  </si>
  <si>
    <t>Bruce Stewart</t>
  </si>
  <si>
    <t>Denver</t>
  </si>
  <si>
    <t>FUR-TA-10004289</t>
  </si>
  <si>
    <t>OFF-AP-10003622</t>
  </si>
  <si>
    <t>US-2018-116701</t>
  </si>
  <si>
    <t>21/12/2018</t>
  </si>
  <si>
    <t>LC-17140</t>
  </si>
  <si>
    <t>Logan Currie</t>
  </si>
  <si>
    <t>Dallas</t>
  </si>
  <si>
    <t>OFF-AP-10003217</t>
  </si>
  <si>
    <t>CA-2018-126382</t>
  </si>
  <si>
    <t>HK-14890</t>
  </si>
  <si>
    <t>Heather Kirkland</t>
  </si>
  <si>
    <t>FUR-FU-10002960</t>
  </si>
  <si>
    <t>CA-2018-108329</t>
  </si>
  <si>
    <t>14/12/2018</t>
  </si>
  <si>
    <t>LE-16810</t>
  </si>
  <si>
    <t>Laurel Elliston</t>
  </si>
  <si>
    <t>Whittier</t>
  </si>
  <si>
    <t>TEC-PH-10001918</t>
  </si>
  <si>
    <t>CA-2018-135860</t>
  </si>
  <si>
    <t>JH-15985</t>
  </si>
  <si>
    <t>Joseph Holt</t>
  </si>
  <si>
    <t>Saginaw</t>
  </si>
  <si>
    <t>OFF-ST-10000642</t>
  </si>
  <si>
    <t>TEC-PH-10001700</t>
  </si>
  <si>
    <t>OFF-FA-10000134</t>
  </si>
  <si>
    <t>OFF-ST-10001522</t>
  </si>
  <si>
    <t>CA-2016-101007</t>
  </si>
  <si>
    <t>13/02/2016</t>
  </si>
  <si>
    <t>MS-17980</t>
  </si>
  <si>
    <t>Michael Stewart</t>
  </si>
  <si>
    <t>TEC-AC-10001266</t>
  </si>
  <si>
    <t>CA-2016-146262</t>
  </si>
  <si>
    <t>VW-21775</t>
  </si>
  <si>
    <t>Victoria Wilson</t>
  </si>
  <si>
    <t>Medina</t>
  </si>
  <si>
    <t>OFF-LA-10004544</t>
  </si>
  <si>
    <t>FUR-BO-10004695</t>
  </si>
  <si>
    <t>TEC-MA-10000864</t>
  </si>
  <si>
    <t>TEC-AC-10000109</t>
  </si>
  <si>
    <t>CA-2017-130162</t>
  </si>
  <si>
    <t>JH-15910</t>
  </si>
  <si>
    <t>Jonathan Howell</t>
  </si>
  <si>
    <t>TEC-PH-10002563</t>
  </si>
  <si>
    <t>CA-2016-169397</t>
  </si>
  <si>
    <t>27/12/2016</t>
  </si>
  <si>
    <t>JB-15925</t>
  </si>
  <si>
    <t>Joni Blumstein</t>
  </si>
  <si>
    <t>Dublin</t>
  </si>
  <si>
    <t>OFF-FA-10000585</t>
  </si>
  <si>
    <t>OFF-PA-10004000</t>
  </si>
  <si>
    <t>FUR-FU-10000087</t>
  </si>
  <si>
    <t>TEC-MA-10001148</t>
  </si>
  <si>
    <t>OFF-AR-10001958</t>
  </si>
  <si>
    <t>CA-2016-163055</t>
  </si>
  <si>
    <t>16/08/2016</t>
  </si>
  <si>
    <t>DS-13180</t>
  </si>
  <si>
    <t>David Smith</t>
  </si>
  <si>
    <t>Detroit</t>
  </si>
  <si>
    <t>OFF-AR-10001026</t>
  </si>
  <si>
    <t>FUR-TA-10003748</t>
  </si>
  <si>
    <t>OFF-ST-10002485</t>
  </si>
  <si>
    <t>US-2016-145436</t>
  </si>
  <si>
    <t>VD-21670</t>
  </si>
  <si>
    <t>Valerie Dominguez</t>
  </si>
  <si>
    <t>FUR-CH-10004860</t>
  </si>
  <si>
    <t>FUR-CH-10004477</t>
  </si>
  <si>
    <t>US-2015-156216</t>
  </si>
  <si>
    <t>17/09/2015</t>
  </si>
  <si>
    <t>EA-14035</t>
  </si>
  <si>
    <t>Erin Ashbrook</t>
  </si>
  <si>
    <t>OFF-BI-10001679</t>
  </si>
  <si>
    <t>US-2018-100930</t>
  </si>
  <si>
    <t>Tampa</t>
  </si>
  <si>
    <t>FUR-TA-10001705</t>
  </si>
  <si>
    <t>FUR-TA-10003473</t>
  </si>
  <si>
    <t>FUR-FU-10004017</t>
  </si>
  <si>
    <t>TEC-AC-10003832</t>
  </si>
  <si>
    <t>CA-2018-160514</t>
  </si>
  <si>
    <t>DB-13120</t>
  </si>
  <si>
    <t>David Bremer</t>
  </si>
  <si>
    <t>Santa Clara</t>
  </si>
  <si>
    <t>OFF-PA-10002479</t>
  </si>
  <si>
    <t>CA-2017-157749</t>
  </si>
  <si>
    <t>KL-16645</t>
  </si>
  <si>
    <t>Ken Lonsdale</t>
  </si>
  <si>
    <t>OFF-PA-10003349</t>
  </si>
  <si>
    <t>FUR-FU-10000576</t>
  </si>
  <si>
    <t>FUR-FU-10004351</t>
  </si>
  <si>
    <t>TEC-PH-10000011</t>
  </si>
  <si>
    <t>FUR-TA-10002607</t>
  </si>
  <si>
    <t>FUR-FU-10002505</t>
  </si>
  <si>
    <t>CA-2015-131926</t>
  </si>
  <si>
    <t>DW-13480</t>
  </si>
  <si>
    <t>Dianna Wilson</t>
  </si>
  <si>
    <t>Lakeville</t>
  </si>
  <si>
    <t>OFF-ST-10002276</t>
  </si>
  <si>
    <t>OFF-PA-10004082</t>
  </si>
  <si>
    <t>OFF-AP-10002945</t>
  </si>
  <si>
    <t>CA-2017-154739</t>
  </si>
  <si>
    <t>15/12/2017</t>
  </si>
  <si>
    <t>LH-17155</t>
  </si>
  <si>
    <t>Logan Haushalter</t>
  </si>
  <si>
    <t>FUR-CH-10002965</t>
  </si>
  <si>
    <t>CA-2017-145625</t>
  </si>
  <si>
    <t>17/09/2017</t>
  </si>
  <si>
    <t>KC-16540</t>
  </si>
  <si>
    <t>Kelly Collister</t>
  </si>
  <si>
    <t>San Diego</t>
  </si>
  <si>
    <t>OFF-PA-10004569</t>
  </si>
  <si>
    <t>CA-2017-146941</t>
  </si>
  <si>
    <t>DL-13315</t>
  </si>
  <si>
    <t>Delfina Latchford</t>
  </si>
  <si>
    <t>OFF-ST-10001228</t>
  </si>
  <si>
    <t>OFF-EN-10003296</t>
  </si>
  <si>
    <t>US-2016-159982</t>
  </si>
  <si>
    <t>DR-12880</t>
  </si>
  <si>
    <t>Dan Reichenbach</t>
  </si>
  <si>
    <t>OFF-ST-10004804</t>
  </si>
  <si>
    <t>TEC-PH-10001580</t>
  </si>
  <si>
    <t>CA-2018-163139</t>
  </si>
  <si>
    <t>CC-12670</t>
  </si>
  <si>
    <t>Craig Carreira</t>
  </si>
  <si>
    <t>TEC-AC-10000290</t>
  </si>
  <si>
    <t>OFF-ST-10002790</t>
  </si>
  <si>
    <t>OFF-BI-10003460</t>
  </si>
  <si>
    <t>US-2018-155299</t>
  </si>
  <si>
    <t>Dl-13600</t>
  </si>
  <si>
    <t>Dorris liebe</t>
  </si>
  <si>
    <t>OFF-AP-10002203</t>
  </si>
  <si>
    <t>US-2015-106992</t>
  </si>
  <si>
    <t>21/09/2015</t>
  </si>
  <si>
    <t>SB-20290</t>
  </si>
  <si>
    <t>Sean Braxton</t>
  </si>
  <si>
    <t>TEC-MA-10003353</t>
  </si>
  <si>
    <t>CA-2017-125318</t>
  </si>
  <si>
    <t>13/06/2017</t>
  </si>
  <si>
    <t>RC-19825</t>
  </si>
  <si>
    <t>Roy Collins</t>
  </si>
  <si>
    <t>TEC-PH-10001433</t>
  </si>
  <si>
    <t>CA-2016-155040</t>
  </si>
  <si>
    <t>15/11/2016</t>
  </si>
  <si>
    <t>AH-10210</t>
  </si>
  <si>
    <t>Alan Hwang</t>
  </si>
  <si>
    <t>Brentwood</t>
  </si>
  <si>
    <t>TEC-AC-10004469</t>
  </si>
  <si>
    <t>CA-2018-136826</t>
  </si>
  <si>
    <t>CB-12535</t>
  </si>
  <si>
    <t>Claudia Bergmann</t>
  </si>
  <si>
    <t>Chapel Hill</t>
  </si>
  <si>
    <t>OFF-AR-10003602</t>
  </si>
  <si>
    <t>CA-2017-111010</t>
  </si>
  <si>
    <t>28/01/2017</t>
  </si>
  <si>
    <t>Morristown</t>
  </si>
  <si>
    <t>OFF-FA-10003472</t>
  </si>
  <si>
    <t>US-2018-145366</t>
  </si>
  <si>
    <t>13/12/2018</t>
  </si>
  <si>
    <t>CA-12310</t>
  </si>
  <si>
    <t>Christine Abelman</t>
  </si>
  <si>
    <t>Cincinnati</t>
  </si>
  <si>
    <t>OFF-ST-10004180</t>
  </si>
  <si>
    <t>OFF-EN-10004386</t>
  </si>
  <si>
    <t>CA-2018-163979</t>
  </si>
  <si>
    <t>KH-16690</t>
  </si>
  <si>
    <t>Kristen Hastings</t>
  </si>
  <si>
    <t>OFF-ST-10003208</t>
  </si>
  <si>
    <t>CA-2016-155334</t>
  </si>
  <si>
    <t>31/07/2016</t>
  </si>
  <si>
    <t>TEC-AC-10003628</t>
  </si>
  <si>
    <t>FUR-FU-10003274</t>
  </si>
  <si>
    <t>OFF-BI-10002557</t>
  </si>
  <si>
    <t>CA-2018-118136</t>
  </si>
  <si>
    <t>BB-10990</t>
  </si>
  <si>
    <t>Barry Blumstein</t>
  </si>
  <si>
    <t>Inglewood</t>
  </si>
  <si>
    <t>OFF-PA-10002615</t>
  </si>
  <si>
    <t>OFF-AR-10001427</t>
  </si>
  <si>
    <t>CA-2018-132976</t>
  </si>
  <si>
    <t>17/10/2018</t>
  </si>
  <si>
    <t>AG-10495</t>
  </si>
  <si>
    <t>Andrew Gjertsen</t>
  </si>
  <si>
    <t>OFF-PA-10000673</t>
  </si>
  <si>
    <t>OFF-PA-10004470</t>
  </si>
  <si>
    <t>OFF-ST-10000876</t>
  </si>
  <si>
    <t>OFF-LA-10002043</t>
  </si>
  <si>
    <t>US-2016-161991</t>
  </si>
  <si>
    <t>28/09/2016</t>
  </si>
  <si>
    <t>OFF-BI-10004967</t>
  </si>
  <si>
    <t>TEC-PH-10001760</t>
  </si>
  <si>
    <t>CA-2016-130890</t>
  </si>
  <si>
    <t>JO-15280</t>
  </si>
  <si>
    <t>Jas O'Carroll</t>
  </si>
  <si>
    <t>FUR-TA-10002903</t>
  </si>
  <si>
    <t>CA-2016-130883</t>
  </si>
  <si>
    <t>OFF-PA-10000474</t>
  </si>
  <si>
    <t>TEC-AC-10001956</t>
  </si>
  <si>
    <t>OFF-PA-10004100</t>
  </si>
  <si>
    <t>CA-2017-112697</t>
  </si>
  <si>
    <t>20/12/2017</t>
  </si>
  <si>
    <t>AH-10195</t>
  </si>
  <si>
    <t>Alan Haines</t>
  </si>
  <si>
    <t>Tamarac</t>
  </si>
  <si>
    <t>OFF-BI-10000778</t>
  </si>
  <si>
    <t>OFF-SU-10000646</t>
  </si>
  <si>
    <t>CA-2017-110772</t>
  </si>
  <si>
    <t>NZ-18565</t>
  </si>
  <si>
    <t>Nick Zandusky</t>
  </si>
  <si>
    <t>OFF-FA-10002983</t>
  </si>
  <si>
    <t>OFF-LA-10004689</t>
  </si>
  <si>
    <t>TEC-AC-10002001</t>
  </si>
  <si>
    <t>FUR-BO-10004709</t>
  </si>
  <si>
    <t>CA-2015-111451</t>
  </si>
  <si>
    <t>KL-16555</t>
  </si>
  <si>
    <t>Kelly Lampkin</t>
  </si>
  <si>
    <t>Colorado Springs</t>
  </si>
  <si>
    <t>FUR-FU-10004091</t>
  </si>
  <si>
    <t>FUR-CH-10001891</t>
  </si>
  <si>
    <t>FUR-FU-10002918</t>
  </si>
  <si>
    <t>OFF-BI-10004593</t>
  </si>
  <si>
    <t>OFF-FA-10004854</t>
  </si>
  <si>
    <t>CA-2017-142545</t>
  </si>
  <si>
    <t>Belleville</t>
  </si>
  <si>
    <t>OFF-PA-10002105</t>
  </si>
  <si>
    <t>OFF-ST-10002756</t>
  </si>
  <si>
    <t>OFF-PA-10004243</t>
  </si>
  <si>
    <t>FUR-FU-10001861</t>
  </si>
  <si>
    <t>OFF-BI-10002706</t>
  </si>
  <si>
    <t>US-2018-152380</t>
  </si>
  <si>
    <t>23/11/2018</t>
  </si>
  <si>
    <t>FUR-TA-10002533</t>
  </si>
  <si>
    <t>CA-2016-144253</t>
  </si>
  <si>
    <t>AS-10225</t>
  </si>
  <si>
    <t>Alan Schoenberger</t>
  </si>
  <si>
    <t>FUR-FU-10002671</t>
  </si>
  <si>
    <t>CA-2015-130960</t>
  </si>
  <si>
    <t>Taylor</t>
  </si>
  <si>
    <t>OFF-AR-10003651</t>
  </si>
  <si>
    <t>CA-2015-111003</t>
  </si>
  <si>
    <t>CR-12625</t>
  </si>
  <si>
    <t>Corey Roper</t>
  </si>
  <si>
    <t>Lakewood</t>
  </si>
  <si>
    <t>OFF-BI-10001072</t>
  </si>
  <si>
    <t>OFF-AR-10002135</t>
  </si>
  <si>
    <t>CA-2018-126774</t>
  </si>
  <si>
    <t>17/04/2018</t>
  </si>
  <si>
    <t>SH-20395</t>
  </si>
  <si>
    <t>Shahid Hopkins</t>
  </si>
  <si>
    <t>Arlington</t>
  </si>
  <si>
    <t>OFF-AR-10002804</t>
  </si>
  <si>
    <t>CA-2017-142902</t>
  </si>
  <si>
    <t>14/09/2017</t>
  </si>
  <si>
    <t>BP-11185</t>
  </si>
  <si>
    <t>Ben Peterman</t>
  </si>
  <si>
    <t>Arvada</t>
  </si>
  <si>
    <t>FUR-FU-10001918</t>
  </si>
  <si>
    <t>FUR-CH-10004086</t>
  </si>
  <si>
    <t>FUR-FU-10001756</t>
  </si>
  <si>
    <t>OFF-LA-10000634</t>
  </si>
  <si>
    <t>CA-2015-120887</t>
  </si>
  <si>
    <t>TS-21205</t>
  </si>
  <si>
    <t>Thomas Seio</t>
  </si>
  <si>
    <t>Hackensack</t>
  </si>
  <si>
    <t>FUR-FU-10001588</t>
  </si>
  <si>
    <t>CA-2015-167850</t>
  </si>
  <si>
    <t>16/08/2015</t>
  </si>
  <si>
    <t>AG-10525</t>
  </si>
  <si>
    <t>Andy Gerbode</t>
  </si>
  <si>
    <t>Saint Petersburg</t>
  </si>
  <si>
    <t>TEC-PH-10002398</t>
  </si>
  <si>
    <t>OFF-PA-10001937</t>
  </si>
  <si>
    <t>CA-2015-164259</t>
  </si>
  <si>
    <t>30/12/2015</t>
  </si>
  <si>
    <t>SP-20860</t>
  </si>
  <si>
    <t>Sung Pak</t>
  </si>
  <si>
    <t>OFF-AR-10003373</t>
  </si>
  <si>
    <t>CA-2015-164973</t>
  </si>
  <si>
    <t>NM-18445</t>
  </si>
  <si>
    <t>Nathan Mautz</t>
  </si>
  <si>
    <t>FUR-CH-10002602</t>
  </si>
  <si>
    <t>TEC-MA-10002927</t>
  </si>
  <si>
    <t>TEC-AC-10000892</t>
  </si>
  <si>
    <t>CA-2015-156601</t>
  </si>
  <si>
    <t>24/09/2015</t>
  </si>
  <si>
    <t>FA-14230</t>
  </si>
  <si>
    <t>Frank Atkinson</t>
  </si>
  <si>
    <t>Long Beach</t>
  </si>
  <si>
    <t>OFF-FA-10000624</t>
  </si>
  <si>
    <t>CA-2017-162138</t>
  </si>
  <si>
    <t>27/04/2017</t>
  </si>
  <si>
    <t>GK-14620</t>
  </si>
  <si>
    <t>Grace Kelly</t>
  </si>
  <si>
    <t>Hesperia</t>
  </si>
  <si>
    <t>TEC-AC-10001908</t>
  </si>
  <si>
    <t>CA-2018-153339</t>
  </si>
  <si>
    <t>DJ-13510</t>
  </si>
  <si>
    <t>Don Jones</t>
  </si>
  <si>
    <t>Murfreesboro</t>
  </si>
  <si>
    <t>FUR-FU-10001967</t>
  </si>
  <si>
    <t>US-2017-141544</t>
  </si>
  <si>
    <t>PO-18850</t>
  </si>
  <si>
    <t>Patrick O'Brill</t>
  </si>
  <si>
    <t>TEC-PH-10003645</t>
  </si>
  <si>
    <t>OFF-ST-10000675</t>
  </si>
  <si>
    <t>FUR-CH-10003312</t>
  </si>
  <si>
    <t>OFF-LA-10001074</t>
  </si>
  <si>
    <t>OFF-BI-10001524</t>
  </si>
  <si>
    <t>US-2017-150147</t>
  </si>
  <si>
    <t>29/04/2017</t>
  </si>
  <si>
    <t>JL-15850</t>
  </si>
  <si>
    <t>John Lucas</t>
  </si>
  <si>
    <t>TEC-PH-10004614</t>
  </si>
  <si>
    <t>OFF-BI-10001153</t>
  </si>
  <si>
    <t>OFF-BI-10001982</t>
  </si>
  <si>
    <t>CA-2016-137946</t>
  </si>
  <si>
    <t>DB-13615</t>
  </si>
  <si>
    <t>Doug Bickford</t>
  </si>
  <si>
    <t>OFF-BI-10001922</t>
  </si>
  <si>
    <t>TEC-CO-10001449</t>
  </si>
  <si>
    <t>OFF-BI-10004140</t>
  </si>
  <si>
    <t>CA-2015-129924</t>
  </si>
  <si>
    <t>17/07/2015</t>
  </si>
  <si>
    <t>AC-10420</t>
  </si>
  <si>
    <t>Alyssa Crouse</t>
  </si>
  <si>
    <t>OFF-BI-10003314</t>
  </si>
  <si>
    <t>FUR-TA-10004575</t>
  </si>
  <si>
    <t>CA-2016-128167</t>
  </si>
  <si>
    <t>26/06/2016</t>
  </si>
  <si>
    <t>Layton</t>
  </si>
  <si>
    <t>OFF-FA-10000490</t>
  </si>
  <si>
    <t>CA-2015-122336</t>
  </si>
  <si>
    <t>17/04/2015</t>
  </si>
  <si>
    <t>OFF-AR-10000122</t>
  </si>
  <si>
    <t>TEC-PH-10000702</t>
  </si>
  <si>
    <t>US-2016-120712</t>
  </si>
  <si>
    <t>24/12/2016</t>
  </si>
  <si>
    <t>Austin</t>
  </si>
  <si>
    <t>CA-2018-169901</t>
  </si>
  <si>
    <t>19/06/2018</t>
  </si>
  <si>
    <t>CC-12550</t>
  </si>
  <si>
    <t>Clay Cheatham</t>
  </si>
  <si>
    <t>CA-2018-134306</t>
  </si>
  <si>
    <t>TD-20995</t>
  </si>
  <si>
    <t>Tamara Dahlen</t>
  </si>
  <si>
    <t>Lowell</t>
  </si>
  <si>
    <t>Massachusetts</t>
  </si>
  <si>
    <t>OFF-AR-10001374</t>
  </si>
  <si>
    <t>CA-2017-129714</t>
  </si>
  <si>
    <t>AB-10060</t>
  </si>
  <si>
    <t>Adam Bellavance</t>
  </si>
  <si>
    <t>OFF-PA-10001970</t>
  </si>
  <si>
    <t>OFF-BI-10002160</t>
  </si>
  <si>
    <t>OFF-BI-10004995</t>
  </si>
  <si>
    <t>CA-2017-138520</t>
  </si>
  <si>
    <t>13/04/2017</t>
  </si>
  <si>
    <t>JL-15505</t>
  </si>
  <si>
    <t>Jeremy Lonsdale</t>
  </si>
  <si>
    <t>FUR-BO-10002268</t>
  </si>
  <si>
    <t>OFF-EN-10001137</t>
  </si>
  <si>
    <t>OFF-AR-10002399</t>
  </si>
  <si>
    <t>OFF-PA-10002713</t>
  </si>
  <si>
    <t>CA-2017-130001</t>
  </si>
  <si>
    <t>28/04/2017</t>
  </si>
  <si>
    <t>CA-2018-155698</t>
  </si>
  <si>
    <t>VB-21745</t>
  </si>
  <si>
    <t>Victoria Brennan</t>
  </si>
  <si>
    <t>Georgia</t>
  </si>
  <si>
    <t>OFF-AP-10001124</t>
  </si>
  <si>
    <t>OFF-LA-10001158</t>
  </si>
  <si>
    <t>CA-2018-144904</t>
  </si>
  <si>
    <t>KW-16435</t>
  </si>
  <si>
    <t>Katrina Willman</t>
  </si>
  <si>
    <t>FUR-CH-10000785</t>
  </si>
  <si>
    <t>OFF-AR-10003732</t>
  </si>
  <si>
    <t>FUR-FU-10000023</t>
  </si>
  <si>
    <t>CA-2015-123344</t>
  </si>
  <si>
    <t>29/09/2015</t>
  </si>
  <si>
    <t>JD-16060</t>
  </si>
  <si>
    <t>Julia Dunbar</t>
  </si>
  <si>
    <t>CA-2017-155516</t>
  </si>
  <si>
    <t>21/10/2017</t>
  </si>
  <si>
    <t>Same Day</t>
  </si>
  <si>
    <t>MK-17905</t>
  </si>
  <si>
    <t>Michael Kennedy</t>
  </si>
  <si>
    <t>Manchester</t>
  </si>
  <si>
    <t>OFF-BI-10002412</t>
  </si>
  <si>
    <t>OFF-SU-10001225</t>
  </si>
  <si>
    <t>OFF-ST-10002406</t>
  </si>
  <si>
    <t>CA-2018-104745</t>
  </si>
  <si>
    <t>GT-14755</t>
  </si>
  <si>
    <t>Guy Thornton</t>
  </si>
  <si>
    <t>Harlingen</t>
  </si>
  <si>
    <t>OFF-PA-10002036</t>
  </si>
  <si>
    <t>OFF-ST-10002205</t>
  </si>
  <si>
    <t>US-2015-119137</t>
  </si>
  <si>
    <t>27/07/2015</t>
  </si>
  <si>
    <t>AG-10900</t>
  </si>
  <si>
    <t>Arthur Gainer</t>
  </si>
  <si>
    <t>Tucson</t>
  </si>
  <si>
    <t>TEC-AC-10003911</t>
  </si>
  <si>
    <t>OFF-AR-10000658</t>
  </si>
  <si>
    <t>TEC-AC-10002076</t>
  </si>
  <si>
    <t>US-2017-134656</t>
  </si>
  <si>
    <t>MM-18280</t>
  </si>
  <si>
    <t>Muhammed MacIntyre</t>
  </si>
  <si>
    <t>Quincy</t>
  </si>
  <si>
    <t>OFF-PA-10003039</t>
  </si>
  <si>
    <t>US-2018-134481</t>
  </si>
  <si>
    <t>AR-10405</t>
  </si>
  <si>
    <t>Allen Rosenblatt</t>
  </si>
  <si>
    <t>FUR-TA-10004915</t>
  </si>
  <si>
    <t>CA-2016-130792</t>
  </si>
  <si>
    <t>RA-19915</t>
  </si>
  <si>
    <t>Russell Applegate</t>
  </si>
  <si>
    <t>OFF-AP-10000696</t>
  </si>
  <si>
    <t>OFF-ST-10003327</t>
  </si>
  <si>
    <t>OFF-BI-10000309</t>
  </si>
  <si>
    <t>CA-2017-134775</t>
  </si>
  <si>
    <t>29/10/2017</t>
  </si>
  <si>
    <t>AS-10285</t>
  </si>
  <si>
    <t>Alejandro Savely</t>
  </si>
  <si>
    <t>OFF-PA-10004734</t>
  </si>
  <si>
    <t>OFF-BI-10002225</t>
  </si>
  <si>
    <t>CA-2016-125395</t>
  </si>
  <si>
    <t>29/06/2016</t>
  </si>
  <si>
    <t>LA-16780</t>
  </si>
  <si>
    <t>Laura Armstrong</t>
  </si>
  <si>
    <t>TEC-AC-10004708</t>
  </si>
  <si>
    <t>US-2016-168935</t>
  </si>
  <si>
    <t>DO-13435</t>
  </si>
  <si>
    <t>Denny Ordway</t>
  </si>
  <si>
    <t>Pembroke Pines</t>
  </si>
  <si>
    <t>FUR-TA-10000617</t>
  </si>
  <si>
    <t>TEC-AC-10002335</t>
  </si>
  <si>
    <t>CA-2016-122756</t>
  </si>
  <si>
    <t>DK-13225</t>
  </si>
  <si>
    <t>Dean Katz</t>
  </si>
  <si>
    <t>TEC-MA-10001681</t>
  </si>
  <si>
    <t>FUR-FU-10001935</t>
  </si>
  <si>
    <t>CA-2015-115973</t>
  </si>
  <si>
    <t>26/11/2015</t>
  </si>
  <si>
    <t>NG-18430</t>
  </si>
  <si>
    <t>Nathan Gelder</t>
  </si>
  <si>
    <t>OFF-AR-10004757</t>
  </si>
  <si>
    <t>CA-2018-101798</t>
  </si>
  <si>
    <t>15/12/2018</t>
  </si>
  <si>
    <t>MV-18190</t>
  </si>
  <si>
    <t>Mike Vittorini</t>
  </si>
  <si>
    <t>OFF-BI-10000050</t>
  </si>
  <si>
    <t>US-2015-135972</t>
  </si>
  <si>
    <t>23/09/2015</t>
  </si>
  <si>
    <t>JG-15115</t>
  </si>
  <si>
    <t>Jack Garza</t>
  </si>
  <si>
    <t>Des Moines</t>
  </si>
  <si>
    <t>TEC-PH-10003012</t>
  </si>
  <si>
    <t>TEC-CO-10002313</t>
  </si>
  <si>
    <t>US-2015-134971</t>
  </si>
  <si>
    <t>BP-11095</t>
  </si>
  <si>
    <t>Bart Pistole</t>
  </si>
  <si>
    <t>Peoria</t>
  </si>
  <si>
    <t>OFF-BI-10003982</t>
  </si>
  <si>
    <t>CA-2018-102946</t>
  </si>
  <si>
    <t>VP-21730</t>
  </si>
  <si>
    <t>Victor Preis</t>
  </si>
  <si>
    <t>Las Vegas</t>
  </si>
  <si>
    <t>Nevada</t>
  </si>
  <si>
    <t>OFF-BI-10004492</t>
  </si>
  <si>
    <t>CA-2018-165603</t>
  </si>
  <si>
    <t>19/10/2018</t>
  </si>
  <si>
    <t>SS-20140</t>
  </si>
  <si>
    <t>Saphhira Shifley</t>
  </si>
  <si>
    <t>Warwick</t>
  </si>
  <si>
    <t>Rhode Island</t>
  </si>
  <si>
    <t>OFF-ST-10000798</t>
  </si>
  <si>
    <t>OFF-PA-10002552</t>
  </si>
  <si>
    <t>CA-2016-122259</t>
  </si>
  <si>
    <t>OFF-SU-10002573</t>
  </si>
  <si>
    <t>CA-2017-108987</t>
  </si>
  <si>
    <t>AG-10675</t>
  </si>
  <si>
    <t>Anna Gayman</t>
  </si>
  <si>
    <t>OFF-ST-10001580</t>
  </si>
  <si>
    <t>OFF-ST-10000934</t>
  </si>
  <si>
    <t>TEC-AC-10000158</t>
  </si>
  <si>
    <t>CA-2015-113166</t>
  </si>
  <si>
    <t>26/12/2015</t>
  </si>
  <si>
    <t>LF-17185</t>
  </si>
  <si>
    <t>Luke Foster</t>
  </si>
  <si>
    <t>Miami</t>
  </si>
  <si>
    <t>OFF-PA-10001947</t>
  </si>
  <si>
    <t>CA-2015-155208</t>
  </si>
  <si>
    <t>20/04/2015</t>
  </si>
  <si>
    <t>OFF-AR-10003478</t>
  </si>
  <si>
    <t>CA-2018-117933</t>
  </si>
  <si>
    <t>29/12/2018</t>
  </si>
  <si>
    <t>RF-19840</t>
  </si>
  <si>
    <t>Roy Französisch</t>
  </si>
  <si>
    <t>OFF-AP-10004249</t>
  </si>
  <si>
    <t>CA-2018-117457</t>
  </si>
  <si>
    <t>KH-16510</t>
  </si>
  <si>
    <t>Keith Herrera</t>
  </si>
  <si>
    <t>TEC-CO-10004115</t>
  </si>
  <si>
    <t>OFF-PA-10003724</t>
  </si>
  <si>
    <t>FUR-TA-10002041</t>
  </si>
  <si>
    <t>OFF-PA-10002893</t>
  </si>
  <si>
    <t>OFF-LA-10003766</t>
  </si>
  <si>
    <t>FUR-BO-10001972</t>
  </si>
  <si>
    <t>FUR-CH-10003956</t>
  </si>
  <si>
    <t>CA-2018-142636</t>
  </si>
  <si>
    <t>KC-16675</t>
  </si>
  <si>
    <t>Kimberly Carter</t>
  </si>
  <si>
    <t>OFF-PA-10000157</t>
  </si>
  <si>
    <t>CA-2018-122105</t>
  </si>
  <si>
    <t>28/06/2018</t>
  </si>
  <si>
    <t>CJ-12010</t>
  </si>
  <si>
    <t>Caroline Jumper</t>
  </si>
  <si>
    <t>Huntington Beach</t>
  </si>
  <si>
    <t>OFF-AR-10004344</t>
  </si>
  <si>
    <t>CA-2017-148796</t>
  </si>
  <si>
    <t>18/04/2017</t>
  </si>
  <si>
    <t>PB-19150</t>
  </si>
  <si>
    <t>Philip Brown</t>
  </si>
  <si>
    <t>FUR-CH-10004886</t>
  </si>
  <si>
    <t>CA-2018-154816</t>
  </si>
  <si>
    <t>Richmond</t>
  </si>
  <si>
    <t>OFF-PA-10003845</t>
  </si>
  <si>
    <t>CA-2018-110478</t>
  </si>
  <si>
    <t>OFF-AR-10001573</t>
  </si>
  <si>
    <t>OFF-EN-10000483</t>
  </si>
  <si>
    <t>CA-2015-142048</t>
  </si>
  <si>
    <t>25/06/2015</t>
  </si>
  <si>
    <t>Louisville</t>
  </si>
  <si>
    <t>TEC-AC-10004114</t>
  </si>
  <si>
    <t>CA-2018-125388</t>
  </si>
  <si>
    <t>MP-17965</t>
  </si>
  <si>
    <t>Michael Paige</t>
  </si>
  <si>
    <t>Lawrence</t>
  </si>
  <si>
    <t>FUR-FU-10004712</t>
  </si>
  <si>
    <t>OFF-ST-10000918</t>
  </si>
  <si>
    <t>CA-2018-155705</t>
  </si>
  <si>
    <t>23/08/2018</t>
  </si>
  <si>
    <t>NF-18385</t>
  </si>
  <si>
    <t>Natalie Fritzler</t>
  </si>
  <si>
    <t>Mississippi</t>
  </si>
  <si>
    <t>FUR-CH-10000015</t>
  </si>
  <si>
    <t>CA-2018-149160</t>
  </si>
  <si>
    <t>26/11/2018</t>
  </si>
  <si>
    <t>Canton</t>
  </si>
  <si>
    <t>FUR-FU-10003347</t>
  </si>
  <si>
    <t>OFF-BI-10001543</t>
  </si>
  <si>
    <t>CA-2015-101476</t>
  </si>
  <si>
    <t>13/09/2015</t>
  </si>
  <si>
    <t>SD-20485</t>
  </si>
  <si>
    <t>Shirley Daniels</t>
  </si>
  <si>
    <t>New Rochelle</t>
  </si>
  <si>
    <t>TEC-MA-10000029</t>
  </si>
  <si>
    <t>CA-2018-152275</t>
  </si>
  <si>
    <t>KH-16630</t>
  </si>
  <si>
    <t>Ken Heidel</t>
  </si>
  <si>
    <t>OFF-AR-10000369</t>
  </si>
  <si>
    <t>US-2017-123750</t>
  </si>
  <si>
    <t>21/04/2017</t>
  </si>
  <si>
    <t>RB-19795</t>
  </si>
  <si>
    <t>Ross Baird</t>
  </si>
  <si>
    <t>Gastonia</t>
  </si>
  <si>
    <t>OFF-BI-10004584</t>
  </si>
  <si>
    <t>OFF-ST-10000617</t>
  </si>
  <si>
    <t>CA-2017-127369</t>
  </si>
  <si>
    <t>OFF-ST-10003306</t>
  </si>
  <si>
    <t>US-2015-150574</t>
  </si>
  <si>
    <t>25/12/2015</t>
  </si>
  <si>
    <t>MK-18160</t>
  </si>
  <si>
    <t>Mike Kennedy</t>
  </si>
  <si>
    <t>Jacksonville</t>
  </si>
  <si>
    <t>OFF-BI-10000773</t>
  </si>
  <si>
    <t>TEC-AC-10002600</t>
  </si>
  <si>
    <t>CA-2017-147375</t>
  </si>
  <si>
    <t>14/06/2017</t>
  </si>
  <si>
    <t>PO-19180</t>
  </si>
  <si>
    <t>Philisse Overcash</t>
  </si>
  <si>
    <t>TEC-MA-10002937</t>
  </si>
  <si>
    <t>CA-2018-130043</t>
  </si>
  <si>
    <t>19/09/2018</t>
  </si>
  <si>
    <t>BB-11545</t>
  </si>
  <si>
    <t>Brenda Bowman</t>
  </si>
  <si>
    <t>OFF-PA-10002230</t>
  </si>
  <si>
    <t>CA-2018-157252</t>
  </si>
  <si>
    <t>23/01/2018</t>
  </si>
  <si>
    <t>FUR-CH-10003396</t>
  </si>
  <si>
    <t>CA-2017-115756</t>
  </si>
  <si>
    <t>FUR-FU-10000246</t>
  </si>
  <si>
    <t>OFF-ST-10000060</t>
  </si>
  <si>
    <t>OFF-ST-10003058</t>
  </si>
  <si>
    <t>OFF-PA-10002222</t>
  </si>
  <si>
    <t>FUR-CH-10002372</t>
  </si>
  <si>
    <t>OFF-LA-10001317</t>
  </si>
  <si>
    <t>CA-2018-154214</t>
  </si>
  <si>
    <t>25/03/2018</t>
  </si>
  <si>
    <t>TB-21595</t>
  </si>
  <si>
    <t>Troy Blackwell</t>
  </si>
  <si>
    <t>FUR-FU-10000206</t>
  </si>
  <si>
    <t>CA-2017-166674</t>
  </si>
  <si>
    <t>RB-19360</t>
  </si>
  <si>
    <t>Raymond Buch</t>
  </si>
  <si>
    <t>Auburn</t>
  </si>
  <si>
    <t>OFF-AR-10000588</t>
  </si>
  <si>
    <t>OFF-ST-10001469</t>
  </si>
  <si>
    <t>OFF-AR-10001953</t>
  </si>
  <si>
    <t>OFF-AR-10003156</t>
  </si>
  <si>
    <t>OFF-AR-10004974</t>
  </si>
  <si>
    <t>TEC-PH-10002365</t>
  </si>
  <si>
    <t>CA-2018-147277</t>
  </si>
  <si>
    <t>24/10/2018</t>
  </si>
  <si>
    <t>EB-13705</t>
  </si>
  <si>
    <t>Ed Braxton</t>
  </si>
  <si>
    <t>OFF-ST-10000142</t>
  </si>
  <si>
    <t>CA-2017-100153</t>
  </si>
  <si>
    <t>Norman</t>
  </si>
  <si>
    <t>TEC-AC-10001772</t>
  </si>
  <si>
    <t>US-2015-110674</t>
  </si>
  <si>
    <t>18/02/2015</t>
  </si>
  <si>
    <t>SC-20095</t>
  </si>
  <si>
    <t>Sanjit Chand</t>
  </si>
  <si>
    <t>FUR-CH-10000225</t>
  </si>
  <si>
    <t>US-2017-157945</t>
  </si>
  <si>
    <t>FUR-CH-10002331</t>
  </si>
  <si>
    <t>OFF-EN-10001415</t>
  </si>
  <si>
    <t>CA-2016-109638</t>
  </si>
  <si>
    <t>22/12/2016</t>
  </si>
  <si>
    <t>OFF-AP-10002472</t>
  </si>
  <si>
    <t>TEC-AC-10004571</t>
  </si>
  <si>
    <t>OFF-BI-10001098</t>
  </si>
  <si>
    <t>CA-2017-109869</t>
  </si>
  <si>
    <t>TN-21040</t>
  </si>
  <si>
    <t>Tanja Norvell</t>
  </si>
  <si>
    <t>FUR-TA-10001889</t>
  </si>
  <si>
    <t>OFF-BI-10000315</t>
  </si>
  <si>
    <t>OFF-SU-10003505</t>
  </si>
  <si>
    <t>OFF-AP-10002578</t>
  </si>
  <si>
    <t>US-2016-101399</t>
  </si>
  <si>
    <t>24/01/2016</t>
  </si>
  <si>
    <t>JS-15940</t>
  </si>
  <si>
    <t>Joni Sundaresam</t>
  </si>
  <si>
    <t>Park Ridge</t>
  </si>
  <si>
    <t>CA-2018-154907</t>
  </si>
  <si>
    <t>Amarillo</t>
  </si>
  <si>
    <t>FUR-BO-10002824</t>
  </si>
  <si>
    <t>US-2017-100419</t>
  </si>
  <si>
    <t>OFF-BI-10002194</t>
  </si>
  <si>
    <t>CA-2016-154144</t>
  </si>
  <si>
    <t>MH-17785</t>
  </si>
  <si>
    <t>Maya Herman</t>
  </si>
  <si>
    <t>Lindenhurst</t>
  </si>
  <si>
    <t>OFF-PA-10004071</t>
  </si>
  <si>
    <t>CA-2015-144666</t>
  </si>
  <si>
    <t>JP-15520</t>
  </si>
  <si>
    <t>Jeremy Pistek</t>
  </si>
  <si>
    <t>OFF-ST-10002743</t>
  </si>
  <si>
    <t>FUR-BO-10001601</t>
  </si>
  <si>
    <t>TEC-PH-10002680</t>
  </si>
  <si>
    <t>OFF-ST-10001321</t>
  </si>
  <si>
    <t>OFF-PA-10001509</t>
  </si>
  <si>
    <t>OFF-PA-10003465</t>
  </si>
  <si>
    <t>CA-2017-103891</t>
  </si>
  <si>
    <t>19/07/2017</t>
  </si>
  <si>
    <t>TEC-PH-10000149</t>
  </si>
  <si>
    <t>CA-2017-152632</t>
  </si>
  <si>
    <t>JE-15475</t>
  </si>
  <si>
    <t>Jeremy Ellison</t>
  </si>
  <si>
    <t>CA-2017-100790</t>
  </si>
  <si>
    <t>JG-15805</t>
  </si>
  <si>
    <t>John Grady</t>
  </si>
  <si>
    <t>OFF-AR-10003045</t>
  </si>
  <si>
    <t>OFF-ST-10000689</t>
  </si>
  <si>
    <t>CA-2015-134677</t>
  </si>
  <si>
    <t>XP-21865</t>
  </si>
  <si>
    <t>Xylona Preis</t>
  </si>
  <si>
    <t>TEC-AC-10001445</t>
  </si>
  <si>
    <t>CA-2015-127691</t>
  </si>
  <si>
    <t>EM-14065</t>
  </si>
  <si>
    <t>Erin Mull</t>
  </si>
  <si>
    <t>TEC-AC-10002567</t>
  </si>
  <si>
    <t>CA-2018-140963</t>
  </si>
  <si>
    <t>13/06/2018</t>
  </si>
  <si>
    <t>MT-18070</t>
  </si>
  <si>
    <t>Michelle Tran</t>
  </si>
  <si>
    <t>OFF-LA-10003923</t>
  </si>
  <si>
    <t>FUR-BO-10001337</t>
  </si>
  <si>
    <t>TEC-PH-10001924</t>
  </si>
  <si>
    <t>CA-2015-154627</t>
  </si>
  <si>
    <t>31/10/2015</t>
  </si>
  <si>
    <t>SA-20830</t>
  </si>
  <si>
    <t>Sue Ann Reed</t>
  </si>
  <si>
    <t>TEC-PH-10001363</t>
  </si>
  <si>
    <t>CA-2015-133753</t>
  </si>
  <si>
    <t>13/06/2015</t>
  </si>
  <si>
    <t>CW-11905</t>
  </si>
  <si>
    <t>Carl Weiss</t>
  </si>
  <si>
    <t>Huntsville</t>
  </si>
  <si>
    <t>TEC-PH-10000376</t>
  </si>
  <si>
    <t>TEC-AC-10000303</t>
  </si>
  <si>
    <t>CA-2015-113362</t>
  </si>
  <si>
    <t>AJ-10960</t>
  </si>
  <si>
    <t>Astrea Jones</t>
  </si>
  <si>
    <t>OFF-ST-10001809</t>
  </si>
  <si>
    <t>OFF-EN-10003845</t>
  </si>
  <si>
    <t>CA-2017-169166</t>
  </si>
  <si>
    <t>14/05/2017</t>
  </si>
  <si>
    <t>SS-20590</t>
  </si>
  <si>
    <t>Sonia Sunley</t>
  </si>
  <si>
    <t>TEC-AC-10000991</t>
  </si>
  <si>
    <t>US-2017-120929</t>
  </si>
  <si>
    <t>21/03/2017</t>
  </si>
  <si>
    <t>RO-19780</t>
  </si>
  <si>
    <t>Rose O'Brian</t>
  </si>
  <si>
    <t>FUR-TA-10001857</t>
  </si>
  <si>
    <t>CA-2016-134782</t>
  </si>
  <si>
    <t>MD-17350</t>
  </si>
  <si>
    <t>Maribeth Dona</t>
  </si>
  <si>
    <t>Fayetteville</t>
  </si>
  <si>
    <t>Arkansas</t>
  </si>
  <si>
    <t>OFF-EN-10001434</t>
  </si>
  <si>
    <t>CA-2017-126158</t>
  </si>
  <si>
    <t>31/07/2017</t>
  </si>
  <si>
    <t>Costa Mesa</t>
  </si>
  <si>
    <t>OFF-BI-10002498</t>
  </si>
  <si>
    <t>FUR-FU-10004864</t>
  </si>
  <si>
    <t>FUR-FU-10000073</t>
  </si>
  <si>
    <t>US-2017-105578</t>
  </si>
  <si>
    <t>MY-17380</t>
  </si>
  <si>
    <t>Maribeth Yedwab</t>
  </si>
  <si>
    <t>Parker</t>
  </si>
  <si>
    <t>OFF-BI-10001670</t>
  </si>
  <si>
    <t>OFF-BI-10001658</t>
  </si>
  <si>
    <t>FUR-CH-10001215</t>
  </si>
  <si>
    <t>OFF-BI-10000831</t>
  </si>
  <si>
    <t>OFF-PA-10000357</t>
  </si>
  <si>
    <t>CA-2018-134978</t>
  </si>
  <si>
    <t>15/11/2018</t>
  </si>
  <si>
    <t>CA-2016-145352</t>
  </si>
  <si>
    <t>22/03/2016</t>
  </si>
  <si>
    <t>CM-12385</t>
  </si>
  <si>
    <t>Christopher Martinez</t>
  </si>
  <si>
    <t>Atlanta</t>
  </si>
  <si>
    <t>OFF-AR-10001662</t>
  </si>
  <si>
    <t>OFF-AR-10003856</t>
  </si>
  <si>
    <t>OFF-BI-10003527</t>
  </si>
  <si>
    <t>CA-2018-135307</t>
  </si>
  <si>
    <t>27/11/2018</t>
  </si>
  <si>
    <t>LS-17245</t>
  </si>
  <si>
    <t>Lynn Smith</t>
  </si>
  <si>
    <t>Gladstone</t>
  </si>
  <si>
    <t>FUR-FU-10001290</t>
  </si>
  <si>
    <t>TEC-AC-10002399</t>
  </si>
  <si>
    <t>CA-2017-106341</t>
  </si>
  <si>
    <t>23/10/2017</t>
  </si>
  <si>
    <t>CA-2018-163405</t>
  </si>
  <si>
    <t>25/12/2018</t>
  </si>
  <si>
    <t>BN-11515</t>
  </si>
  <si>
    <t>Bradley Nguyen</t>
  </si>
  <si>
    <t>OFF-AR-10003811</t>
  </si>
  <si>
    <t>OFF-AR-10001246</t>
  </si>
  <si>
    <t>CA-2018-127432</t>
  </si>
  <si>
    <t>27/01/2018</t>
  </si>
  <si>
    <t>Great Falls</t>
  </si>
  <si>
    <t>Montana</t>
  </si>
  <si>
    <t>TEC-CO-10003236</t>
  </si>
  <si>
    <t>OFF-ST-10004507</t>
  </si>
  <si>
    <t>OFF-PA-10001667</t>
  </si>
  <si>
    <t>OFF-ST-10004459</t>
  </si>
  <si>
    <t>CA-2016-157812</t>
  </si>
  <si>
    <t>26/03/2016</t>
  </si>
  <si>
    <t>DB-13210</t>
  </si>
  <si>
    <t>Dean Braden</t>
  </si>
  <si>
    <t>OFF-ST-10000736</t>
  </si>
  <si>
    <t>OFF-BI-10000285</t>
  </si>
  <si>
    <t>CA-2018-145142</t>
  </si>
  <si>
    <t>25/01/2018</t>
  </si>
  <si>
    <t>MC-17605</t>
  </si>
  <si>
    <t>Matt Connell</t>
  </si>
  <si>
    <t>US-2017-139486</t>
  </si>
  <si>
    <t>23/05/2017</t>
  </si>
  <si>
    <t>TEC-PH-10003555</t>
  </si>
  <si>
    <t>CA-2016-158792</t>
  </si>
  <si>
    <t>BD-11605</t>
  </si>
  <si>
    <t>Brian Dahlen</t>
  </si>
  <si>
    <t>OFF-FA-10002815</t>
  </si>
  <si>
    <t>CA-2018-113558</t>
  </si>
  <si>
    <t>26/10/2018</t>
  </si>
  <si>
    <t>PH-18790</t>
  </si>
  <si>
    <t>Patricia Hirasaki</t>
  </si>
  <si>
    <t>Lakeland</t>
  </si>
  <si>
    <t>FUR-CH-10003379</t>
  </si>
  <si>
    <t>US-2016-138303</t>
  </si>
  <si>
    <t>MG-18145</t>
  </si>
  <si>
    <t>Mike Gockenbach</t>
  </si>
  <si>
    <t>OFF-ST-10004963</t>
  </si>
  <si>
    <t>OFF-SU-10002881</t>
  </si>
  <si>
    <t>OFF-EN-10001335</t>
  </si>
  <si>
    <t>CA-2016-102848</t>
  </si>
  <si>
    <t>KB-16240</t>
  </si>
  <si>
    <t>Karen Bern</t>
  </si>
  <si>
    <t>FUR-CH-10000595</t>
  </si>
  <si>
    <t>US-2018-129441</t>
  </si>
  <si>
    <t>JC-15340</t>
  </si>
  <si>
    <t>Jasper Cacioppo</t>
  </si>
  <si>
    <t>FUR-FU-10000448</t>
  </si>
  <si>
    <t>CA-2017-168753</t>
  </si>
  <si>
    <t>RL-19615</t>
  </si>
  <si>
    <t>Rob Lucas</t>
  </si>
  <si>
    <t>Montgomery</t>
  </si>
  <si>
    <t>TEC-PH-10000984</t>
  </si>
  <si>
    <t>CA-2017-126613</t>
  </si>
  <si>
    <t>16/07/2017</t>
  </si>
  <si>
    <t>AA-10375</t>
  </si>
  <si>
    <t>Allen Armold</t>
  </si>
  <si>
    <t>Mesa</t>
  </si>
  <si>
    <t>OFF-ST-10001325</t>
  </si>
  <si>
    <t>US-2018-122637</t>
  </si>
  <si>
    <t>EP-13915</t>
  </si>
  <si>
    <t>Emily Phan</t>
  </si>
  <si>
    <t>OFF-BI-10002429</t>
  </si>
  <si>
    <t>CA-2016-147851</t>
  </si>
  <si>
    <t>OFF-BI-10004528</t>
  </si>
  <si>
    <t>CA-2016-134894</t>
  </si>
  <si>
    <t>DK-12985</t>
  </si>
  <si>
    <t>Darren Koutras</t>
  </si>
  <si>
    <t>OFF-AP-10001271</t>
  </si>
  <si>
    <t>FUR-CH-10002647</t>
  </si>
  <si>
    <t>CA-2015-140795</t>
  </si>
  <si>
    <t>BD-11500</t>
  </si>
  <si>
    <t>Bradley Drucker</t>
  </si>
  <si>
    <t>Green Bay</t>
  </si>
  <si>
    <t>TEC-AC-10001432</t>
  </si>
  <si>
    <t>CA-2017-136924</t>
  </si>
  <si>
    <t>17/07/2017</t>
  </si>
  <si>
    <t>TEC-PH-10002262</t>
  </si>
  <si>
    <t>US-2016-120161</t>
  </si>
  <si>
    <t>23/12/2016</t>
  </si>
  <si>
    <t>LM-17065</t>
  </si>
  <si>
    <t>Liz MacKendrick</t>
  </si>
  <si>
    <t>CA-2015-103849</t>
  </si>
  <si>
    <t>16/05/2015</t>
  </si>
  <si>
    <t>TEC-AC-10001465</t>
  </si>
  <si>
    <t>TEC-PH-10002597</t>
  </si>
  <si>
    <t>FUR-FU-10000723</t>
  </si>
  <si>
    <t>CA-2018-162929</t>
  </si>
  <si>
    <t>22/11/2018</t>
  </si>
  <si>
    <t>AS-10135</t>
  </si>
  <si>
    <t>Adrian Shami</t>
  </si>
  <si>
    <t>OFF-BI-10000404</t>
  </si>
  <si>
    <t>OFF-PA-10002986</t>
  </si>
  <si>
    <t>CA-2016-113173</t>
  </si>
  <si>
    <t>OFF-SU-10001935</t>
  </si>
  <si>
    <t>CA-2017-136406</t>
  </si>
  <si>
    <t>17/04/2017</t>
  </si>
  <si>
    <t>BD-11320</t>
  </si>
  <si>
    <t>Bill Donatelli</t>
  </si>
  <si>
    <t>FUR-CH-10002024</t>
  </si>
  <si>
    <t>CA-2018-112774</t>
  </si>
  <si>
    <t>FUR-FU-10003039</t>
  </si>
  <si>
    <t>CA-2018-101945</t>
  </si>
  <si>
    <t>GT-14710</t>
  </si>
  <si>
    <t>Greg Tran</t>
  </si>
  <si>
    <t>OFF-FA-10004248</t>
  </si>
  <si>
    <t>CA-2018-100650</t>
  </si>
  <si>
    <t>Anaheim</t>
  </si>
  <si>
    <t>OFF-ST-10001780</t>
  </si>
  <si>
    <t>CA-2015-155852</t>
  </si>
  <si>
    <t>AJ-10945</t>
  </si>
  <si>
    <t>Ashley Jarboe</t>
  </si>
  <si>
    <t>OFF-AR-10003560</t>
  </si>
  <si>
    <t>CA-2017-113243</t>
  </si>
  <si>
    <t>OT-18730</t>
  </si>
  <si>
    <t>Olvera Toch</t>
  </si>
  <si>
    <t>OFF-LA-10001297</t>
  </si>
  <si>
    <t>FUR-TA-10004256</t>
  </si>
  <si>
    <t>OFF-PA-10003441</t>
  </si>
  <si>
    <t>CA-2018-118731</t>
  </si>
  <si>
    <t>LP-17080</t>
  </si>
  <si>
    <t>Liz Pelletier</t>
  </si>
  <si>
    <t>OFF-BI-10000069</t>
  </si>
  <si>
    <t>CA-2015-145576</t>
  </si>
  <si>
    <t>18/09/2015</t>
  </si>
  <si>
    <t>CA-12775</t>
  </si>
  <si>
    <t>Cynthia Arntzen</t>
  </si>
  <si>
    <t>OFF-AP-10003914</t>
  </si>
  <si>
    <t>FUR-FU-10004020</t>
  </si>
  <si>
    <t>CA-2016-130736</t>
  </si>
  <si>
    <t>JF-15490</t>
  </si>
  <si>
    <t>Jeremy Farry</t>
  </si>
  <si>
    <t>OFF-FA-10003467</t>
  </si>
  <si>
    <t>CA-2018-137099</t>
  </si>
  <si>
    <t>FP-14320</t>
  </si>
  <si>
    <t>Frank Preis</t>
  </si>
  <si>
    <t>TEC-PH-10002496</t>
  </si>
  <si>
    <t>CA-2018-156951</t>
  </si>
  <si>
    <t>EB-13840</t>
  </si>
  <si>
    <t>Ellis Ballard</t>
  </si>
  <si>
    <t>OFF-PA-10004530</t>
  </si>
  <si>
    <t>OFF-BI-10001107</t>
  </si>
  <si>
    <t>OFF-PA-10004451</t>
  </si>
  <si>
    <t>FUR-CH-10004997</t>
  </si>
  <si>
    <t>CA-2018-164826</t>
  </si>
  <si>
    <t>JF-15415</t>
  </si>
  <si>
    <t>Jennifer Ferguson</t>
  </si>
  <si>
    <t>TEC-PH-10000347</t>
  </si>
  <si>
    <t>CA-2017-127250</t>
  </si>
  <si>
    <t>SF-20200</t>
  </si>
  <si>
    <t>Sarah Foster</t>
  </si>
  <si>
    <t>Marysville</t>
  </si>
  <si>
    <t>OFF-AR-10003394</t>
  </si>
  <si>
    <t>CA-2016-149713</t>
  </si>
  <si>
    <t>22/09/2016</t>
  </si>
  <si>
    <t>TG-21640</t>
  </si>
  <si>
    <t>Trudy Glocke</t>
  </si>
  <si>
    <t>OFF-PA-10001450</t>
  </si>
  <si>
    <t>OFF-SU-10001574</t>
  </si>
  <si>
    <t>CA-2018-118640</t>
  </si>
  <si>
    <t>26/07/2018</t>
  </si>
  <si>
    <t>CS-11950</t>
  </si>
  <si>
    <t>Carlos Soltero</t>
  </si>
  <si>
    <t>FUR-FU-10001475</t>
  </si>
  <si>
    <t>CA-2016-132906</t>
  </si>
  <si>
    <t>14/09/2016</t>
  </si>
  <si>
    <t>CC-12145</t>
  </si>
  <si>
    <t>Charles Crestani</t>
  </si>
  <si>
    <t>OFF-SU-10004498</t>
  </si>
  <si>
    <t>CA-2018-145233</t>
  </si>
  <si>
    <t>DV-13465</t>
  </si>
  <si>
    <t>Dianna Vittorini</t>
  </si>
  <si>
    <t>TEC-PH-10000586</t>
  </si>
  <si>
    <t>OFF-BI-10002764</t>
  </si>
  <si>
    <t>CA-2016-128139</t>
  </si>
  <si>
    <t>BD-11725</t>
  </si>
  <si>
    <t>Bruce Degenhardt</t>
  </si>
  <si>
    <t>OFF-LA-10003930</t>
  </si>
  <si>
    <t>US-2017-156986</t>
  </si>
  <si>
    <t>24/03/2017</t>
  </si>
  <si>
    <t>ZC-21910</t>
  </si>
  <si>
    <t>Zuschuss Carroll</t>
  </si>
  <si>
    <t>Salem</t>
  </si>
  <si>
    <t>TEC-PH-10003800</t>
  </si>
  <si>
    <t>OFF-PA-10002005</t>
  </si>
  <si>
    <t>OFF-PA-10004101</t>
  </si>
  <si>
    <t>CA-2015-135405</t>
  </si>
  <si>
    <t>13/01/2015</t>
  </si>
  <si>
    <t>MS-17830</t>
  </si>
  <si>
    <t>Melanie Seite</t>
  </si>
  <si>
    <t>Laredo</t>
  </si>
  <si>
    <t>OFF-AR-10004078</t>
  </si>
  <si>
    <t>CA-2015-131450</t>
  </si>
  <si>
    <t>15/08/2015</t>
  </si>
  <si>
    <t>LR-16915</t>
  </si>
  <si>
    <t>Lena Radford</t>
  </si>
  <si>
    <t>OFF-AP-10004708</t>
  </si>
  <si>
    <t>FUR-FU-10001979</t>
  </si>
  <si>
    <t>CA-2017-120180</t>
  </si>
  <si>
    <t>TP-21130</t>
  </si>
  <si>
    <t>Theone Pippenger</t>
  </si>
  <si>
    <t>OFF-SU-10004115</t>
  </si>
  <si>
    <t>US-2017-100720</t>
  </si>
  <si>
    <t>21/07/2017</t>
  </si>
  <si>
    <t>CK-12205</t>
  </si>
  <si>
    <t>Chloris Kastensmidt</t>
  </si>
  <si>
    <t>TEC-PH-10001425</t>
  </si>
  <si>
    <t>TEC-PH-10003963</t>
  </si>
  <si>
    <t>CA-2015-149958</t>
  </si>
  <si>
    <t>19/03/2015</t>
  </si>
  <si>
    <t>AS-10240</t>
  </si>
  <si>
    <t>Alan Shonely</t>
  </si>
  <si>
    <t>OFF-ST-10001490</t>
  </si>
  <si>
    <t>OFF-PA-10002120</t>
  </si>
  <si>
    <t>US-2015-105767</t>
  </si>
  <si>
    <t>27/05/2015</t>
  </si>
  <si>
    <t>AR-10510</t>
  </si>
  <si>
    <t>Andrew Roberts</t>
  </si>
  <si>
    <t>OFF-BI-10000848</t>
  </si>
  <si>
    <t>TEC-PH-10003092</t>
  </si>
  <si>
    <t>CA-2017-161816</t>
  </si>
  <si>
    <t>NB-18655</t>
  </si>
  <si>
    <t>Nona Balk</t>
  </si>
  <si>
    <t>OFF-LA-10004345</t>
  </si>
  <si>
    <t>CA-2017-121223</t>
  </si>
  <si>
    <t>13/09/2017</t>
  </si>
  <si>
    <t>GD-14590</t>
  </si>
  <si>
    <t>Giulietta Dortch</t>
  </si>
  <si>
    <t>OFF-PA-10001204</t>
  </si>
  <si>
    <t>TEC-PH-10004667</t>
  </si>
  <si>
    <t>CA-2018-138611</t>
  </si>
  <si>
    <t>17/11/2018</t>
  </si>
  <si>
    <t>CK-12595</t>
  </si>
  <si>
    <t>Clytie Kelty</t>
  </si>
  <si>
    <t>Grove City</t>
  </si>
  <si>
    <t>OFF-BI-10002949</t>
  </si>
  <si>
    <t>CA-2018-117947</t>
  </si>
  <si>
    <t>NG-18355</t>
  </si>
  <si>
    <t>Nat Gilpin</t>
  </si>
  <si>
    <t>FUR-FU-10003849</t>
  </si>
  <si>
    <t>FUR-FU-10000010</t>
  </si>
  <si>
    <t>OFF-BI-10002824</t>
  </si>
  <si>
    <t>TEC-PH-10002538</t>
  </si>
  <si>
    <t>US-2015-111171</t>
  </si>
  <si>
    <t>31/12/2015</t>
  </si>
  <si>
    <t>CA-12265</t>
  </si>
  <si>
    <t>Christina Anderson</t>
  </si>
  <si>
    <t>OFF-BI-10002103</t>
  </si>
  <si>
    <t>CA-2016-138009</t>
  </si>
  <si>
    <t>SF-20965</t>
  </si>
  <si>
    <t>Sylvia Foulston</t>
  </si>
  <si>
    <t>Dearborn</t>
  </si>
  <si>
    <t>FUR-CH-10004853</t>
  </si>
  <si>
    <t>OFF-AP-10000179</t>
  </si>
  <si>
    <t>OFF-ST-10001272</t>
  </si>
  <si>
    <t>CA-2018-163020</t>
  </si>
  <si>
    <t>MO-17800</t>
  </si>
  <si>
    <t>Meg O'Connel</t>
  </si>
  <si>
    <t>FUR-FU-10000221</t>
  </si>
  <si>
    <t>CA-2018-153787</t>
  </si>
  <si>
    <t>23/05/2018</t>
  </si>
  <si>
    <t>AT-10735</t>
  </si>
  <si>
    <t>Annie Thurman</t>
  </si>
  <si>
    <t>OFF-AP-10001563</t>
  </si>
  <si>
    <t>CA-2018-133431</t>
  </si>
  <si>
    <t>OFF-BI-10000605</t>
  </si>
  <si>
    <t>US-2017-135720</t>
  </si>
  <si>
    <t>FM-14380</t>
  </si>
  <si>
    <t>Fred McMath</t>
  </si>
  <si>
    <t>OFF-ST-10001963</t>
  </si>
  <si>
    <t>TEC-AC-10001267</t>
  </si>
  <si>
    <t>TEC-PH-10002103</t>
  </si>
  <si>
    <t>CA-2018-144694</t>
  </si>
  <si>
    <t>26/09/2018</t>
  </si>
  <si>
    <t>TEC-AC-10002857</t>
  </si>
  <si>
    <t>CA-2016-168004</t>
  </si>
  <si>
    <t>DJ-13420</t>
  </si>
  <si>
    <t>Denny Joy</t>
  </si>
  <si>
    <t>Warner Robins</t>
  </si>
  <si>
    <t>FUR-CH-10001482</t>
  </si>
  <si>
    <t>US-2017-123470</t>
  </si>
  <si>
    <t>21/08/2017</t>
  </si>
  <si>
    <t>ME-17725</t>
  </si>
  <si>
    <t>Max Engle</t>
  </si>
  <si>
    <t>OFF-BI-10001989</t>
  </si>
  <si>
    <t>OFF-AP-10003287</t>
  </si>
  <si>
    <t>CA-2017-115917</t>
  </si>
  <si>
    <t>25/05/2017</t>
  </si>
  <si>
    <t>Vallejo</t>
  </si>
  <si>
    <t>OFF-BI-10004728</t>
  </si>
  <si>
    <t>CA-2017-147067</t>
  </si>
  <si>
    <t>22/12/2017</t>
  </si>
  <si>
    <t>JD-16150</t>
  </si>
  <si>
    <t>Justin Deggeller</t>
  </si>
  <si>
    <t>FUR-FU-10000732</t>
  </si>
  <si>
    <t>CA-2018-167913</t>
  </si>
  <si>
    <t>JL-15835</t>
  </si>
  <si>
    <t>John Lee</t>
  </si>
  <si>
    <t>Mission Viejo</t>
  </si>
  <si>
    <t>OFF-ST-10000585</t>
  </si>
  <si>
    <t>OFF-LA-10002787</t>
  </si>
  <si>
    <t>CA-2018-106103</t>
  </si>
  <si>
    <t>15/06/2018</t>
  </si>
  <si>
    <t>SC-20305</t>
  </si>
  <si>
    <t>Sean Christensen</t>
  </si>
  <si>
    <t>Rochester Hills</t>
  </si>
  <si>
    <t>US-2018-127719</t>
  </si>
  <si>
    <t>25/07/2018</t>
  </si>
  <si>
    <t>Plainfield</t>
  </si>
  <si>
    <t>OFF-PA-10001934</t>
  </si>
  <si>
    <t>CA-2018-126221</t>
  </si>
  <si>
    <t>CC-12430</t>
  </si>
  <si>
    <t>Chuck Clark</t>
  </si>
  <si>
    <t>OFF-AP-10002457</t>
  </si>
  <si>
    <t>CA-2017-103947</t>
  </si>
  <si>
    <t>Sierra Vista</t>
  </si>
  <si>
    <t>OFF-FA-10003112</t>
  </si>
  <si>
    <t>OFF-AP-10002350</t>
  </si>
  <si>
    <t>CA-2017-160745</t>
  </si>
  <si>
    <t>16/12/2017</t>
  </si>
  <si>
    <t>AR-10825</t>
  </si>
  <si>
    <t>Anthony Rawles</t>
  </si>
  <si>
    <t>Vancouver</t>
  </si>
  <si>
    <t>TEC-AC-10001142</t>
  </si>
  <si>
    <t>CA-2017-132661</t>
  </si>
  <si>
    <t>SR-20740</t>
  </si>
  <si>
    <t>Steven Roelle</t>
  </si>
  <si>
    <t>CA-2018-140844</t>
  </si>
  <si>
    <t>23/06/2018</t>
  </si>
  <si>
    <t>TEC-AC-10001101</t>
  </si>
  <si>
    <t>CA-2017-137239</t>
  </si>
  <si>
    <t>28/08/2017</t>
  </si>
  <si>
    <t>CR-12730</t>
  </si>
  <si>
    <t>Craig Reiter</t>
  </si>
  <si>
    <t>OFF-AP-10002439</t>
  </si>
  <si>
    <t>OFF-BI-10002827</t>
  </si>
  <si>
    <t>OFF-EN-10002230</t>
  </si>
  <si>
    <t>US-2017-156097</t>
  </si>
  <si>
    <t>19/09/2017</t>
  </si>
  <si>
    <t>EH-14125</t>
  </si>
  <si>
    <t>Eugene Hildebrand</t>
  </si>
  <si>
    <t>CA-2016-146563</t>
  </si>
  <si>
    <t>28/08/2016</t>
  </si>
  <si>
    <t>OFF-ST-10001511</t>
  </si>
  <si>
    <t>CA-2017-123666</t>
  </si>
  <si>
    <t>30/03/2017</t>
  </si>
  <si>
    <t>SP-20545</t>
  </si>
  <si>
    <t>Sibella Parks</t>
  </si>
  <si>
    <t>CA-2017-143308</t>
  </si>
  <si>
    <t>CA-2018-132682</t>
  </si>
  <si>
    <t>TH-21235</t>
  </si>
  <si>
    <t>Tiffany House</t>
  </si>
  <si>
    <t>OFF-SU-10004231</t>
  </si>
  <si>
    <t>TEC-PH-10004042</t>
  </si>
  <si>
    <t>CA-2015-156314</t>
  </si>
  <si>
    <t>RP-19390</t>
  </si>
  <si>
    <t>Resi Pölking</t>
  </si>
  <si>
    <t>Cleveland</t>
  </si>
  <si>
    <t>FUR-FU-10003096</t>
  </si>
  <si>
    <t>US-2018-106663</t>
  </si>
  <si>
    <t>FUR-FU-10002759</t>
  </si>
  <si>
    <t>FUR-TA-10000688</t>
  </si>
  <si>
    <t>CA-2018-111178</t>
  </si>
  <si>
    <t>22/06/2018</t>
  </si>
  <si>
    <t>OFF-AR-10001954</t>
  </si>
  <si>
    <t>CA-2018-130351</t>
  </si>
  <si>
    <t>RB-19570</t>
  </si>
  <si>
    <t>Rob Beeghly</t>
  </si>
  <si>
    <t>OFF-AP-10004532</t>
  </si>
  <si>
    <t>OFF-PA-10002137</t>
  </si>
  <si>
    <t>US-2018-119438</t>
  </si>
  <si>
    <t>23/03/2018</t>
  </si>
  <si>
    <t>CD-11980</t>
  </si>
  <si>
    <t>Carol Darley</t>
  </si>
  <si>
    <t>Tyler</t>
  </si>
  <si>
    <t>OFF-AP-10000804</t>
  </si>
  <si>
    <t>TEC-AC-10003614</t>
  </si>
  <si>
    <t>FUR-FU-10003553</t>
  </si>
  <si>
    <t>OFF-BI-10004632</t>
  </si>
  <si>
    <t>CA-2017-164511</t>
  </si>
  <si>
    <t>DJ-13630</t>
  </si>
  <si>
    <t>Doug Jacobs</t>
  </si>
  <si>
    <t>OFF-BI-10003305</t>
  </si>
  <si>
    <t>OFF-ST-10002583</t>
  </si>
  <si>
    <t>US-2018-168116</t>
  </si>
  <si>
    <t>GT-14635</t>
  </si>
  <si>
    <t>Grant Thornton</t>
  </si>
  <si>
    <t>Burlington</t>
  </si>
  <si>
    <t>TEC-MA-10004125</t>
  </si>
  <si>
    <t>CA-2015-157784</t>
  </si>
  <si>
    <t>MC-17845</t>
  </si>
  <si>
    <t>Michael Chen</t>
  </si>
  <si>
    <t>OFF-LA-10001934</t>
  </si>
  <si>
    <t>CA-2018-161480</t>
  </si>
  <si>
    <t>RA-19285</t>
  </si>
  <si>
    <t>Ralph Arnett</t>
  </si>
  <si>
    <t>FUR-BO-10004015</t>
  </si>
  <si>
    <t>US-2015-117135</t>
  </si>
  <si>
    <t>23/06/2015</t>
  </si>
  <si>
    <t>NP-18325</t>
  </si>
  <si>
    <t>Naresj Patel</t>
  </si>
  <si>
    <t>Waynesboro</t>
  </si>
  <si>
    <t>FUR-FU-10004071</t>
  </si>
  <si>
    <t>OFF-ST-10002444</t>
  </si>
  <si>
    <t>CA-2016-131534</t>
  </si>
  <si>
    <t>AB-10165</t>
  </si>
  <si>
    <t>Alan Barnes</t>
  </si>
  <si>
    <t>TEC-AC-10002253</t>
  </si>
  <si>
    <t>OFF-PA-10000743</t>
  </si>
  <si>
    <t>CA-2016-119291</t>
  </si>
  <si>
    <t>17/05/2016</t>
  </si>
  <si>
    <t>JO-15550</t>
  </si>
  <si>
    <t>Jesus Ocampo</t>
  </si>
  <si>
    <t>Chester</t>
  </si>
  <si>
    <t>OFF-LA-10002312</t>
  </si>
  <si>
    <t>OFF-LA-10003510</t>
  </si>
  <si>
    <t>OFF-AR-10001118</t>
  </si>
  <si>
    <t>OFF-BI-10001575</t>
  </si>
  <si>
    <t>CA-2018-114552</t>
  </si>
  <si>
    <t>CA-2017-163755</t>
  </si>
  <si>
    <t>FUR-FU-10003394</t>
  </si>
  <si>
    <t>CA-2016-142027</t>
  </si>
  <si>
    <t>14/04/2016</t>
  </si>
  <si>
    <t>JK-15370</t>
  </si>
  <si>
    <t>Jay Kimmel</t>
  </si>
  <si>
    <t>FUR-TA-10002774</t>
  </si>
  <si>
    <t>CA-2015-138527</t>
  </si>
  <si>
    <t>BN-11470</t>
  </si>
  <si>
    <t>Brad Norvell</t>
  </si>
  <si>
    <t>Cary</t>
  </si>
  <si>
    <t>OFF-PA-10001800</t>
  </si>
  <si>
    <t>OFF-AP-10001469</t>
  </si>
  <si>
    <t>CA-2015-112158</t>
  </si>
  <si>
    <t>DP-13165</t>
  </si>
  <si>
    <t>David Philippe</t>
  </si>
  <si>
    <t>FUR-BO-10003272</t>
  </si>
  <si>
    <t>CA-2015-113887</t>
  </si>
  <si>
    <t>TH-21550</t>
  </si>
  <si>
    <t>Tracy Hopkins</t>
  </si>
  <si>
    <t>CA-2018-146136</t>
  </si>
  <si>
    <t>AP-10915</t>
  </si>
  <si>
    <t>Arthur Prichep</t>
  </si>
  <si>
    <t>Palm Coast</t>
  </si>
  <si>
    <t>OFF-EN-10001219</t>
  </si>
  <si>
    <t>US-2018-100048</t>
  </si>
  <si>
    <t>24/05/2018</t>
  </si>
  <si>
    <t>RS-19765</t>
  </si>
  <si>
    <t>Roland Schwarz</t>
  </si>
  <si>
    <t>Mount Vernon</t>
  </si>
  <si>
    <t>OFF-AP-10001154</t>
  </si>
  <si>
    <t>TEC-AC-10001606</t>
  </si>
  <si>
    <t>CA-2015-153150</t>
  </si>
  <si>
    <t>OFF-BI-10003355</t>
  </si>
  <si>
    <t>CA-2015-130092</t>
  </si>
  <si>
    <t>14/01/2015</t>
  </si>
  <si>
    <t>SV-20365</t>
  </si>
  <si>
    <t>Seth Vernon</t>
  </si>
  <si>
    <t>CA-2018-108910</t>
  </si>
  <si>
    <t>29/09/2018</t>
  </si>
  <si>
    <t>FUR-FU-10002253</t>
  </si>
  <si>
    <t>CA-2015-104472</t>
  </si>
  <si>
    <t>CK-12325</t>
  </si>
  <si>
    <t>Christine Kargatis</t>
  </si>
  <si>
    <t>CA-2017-112942</t>
  </si>
  <si>
    <t>18/02/2017</t>
  </si>
  <si>
    <t>RD-19810</t>
  </si>
  <si>
    <t>Ross DeVincentis</t>
  </si>
  <si>
    <t>OFF-PA-10004092</t>
  </si>
  <si>
    <t>CA-2017-142335</t>
  </si>
  <si>
    <t>19/12/2017</t>
  </si>
  <si>
    <t>FUR-TA-10000198</t>
  </si>
  <si>
    <t>OFF-ST-10000036</t>
  </si>
  <si>
    <t>CA-2015-117429</t>
  </si>
  <si>
    <t>13/10/2015</t>
  </si>
  <si>
    <t>MR-17545</t>
  </si>
  <si>
    <t>Mathew Reese</t>
  </si>
  <si>
    <t>FUR-FU-10000222</t>
  </si>
  <si>
    <t>CA-2017-114713</t>
  </si>
  <si>
    <t>SC-20695</t>
  </si>
  <si>
    <t>Steve Chapman</t>
  </si>
  <si>
    <t>Hialeah</t>
  </si>
  <si>
    <t>OFF-SU-10004664</t>
  </si>
  <si>
    <t>CA-2018-144113</t>
  </si>
  <si>
    <t>20/09/2018</t>
  </si>
  <si>
    <t>JF-15355</t>
  </si>
  <si>
    <t>Jay Fein</t>
  </si>
  <si>
    <t>OFF-EN-10001141</t>
  </si>
  <si>
    <t>TEC-PH-10002170</t>
  </si>
  <si>
    <t>US-2017-150861</t>
  </si>
  <si>
    <t>EG-13900</t>
  </si>
  <si>
    <t>Emily Grady</t>
  </si>
  <si>
    <t>Oceanside</t>
  </si>
  <si>
    <t>OFF-PA-10001954</t>
  </si>
  <si>
    <t>FUR-TA-10002228</t>
  </si>
  <si>
    <t>OFF-ST-10004634</t>
  </si>
  <si>
    <t>CA-2018-131954</t>
  </si>
  <si>
    <t>DS-13030</t>
  </si>
  <si>
    <t>Darrin Sayre</t>
  </si>
  <si>
    <t>TEC-AC-10003610</t>
  </si>
  <si>
    <t>FUR-BO-10001619</t>
  </si>
  <si>
    <t>OFF-BI-10000138</t>
  </si>
  <si>
    <t>CA-2015-132500</t>
  </si>
  <si>
    <t>TEC-AC-10001383</t>
  </si>
  <si>
    <t>CA-2015-112326</t>
  </si>
  <si>
    <t>PO-19195</t>
  </si>
  <si>
    <t>Phillina Ober</t>
  </si>
  <si>
    <t>OFF-LA-10003223</t>
  </si>
  <si>
    <t>OFF-BI-10004094</t>
  </si>
  <si>
    <t>US-2017-146710</t>
  </si>
  <si>
    <t>SS-20875</t>
  </si>
  <si>
    <t>Sung Shariari</t>
  </si>
  <si>
    <t>OFF-PA-10004971</t>
  </si>
  <si>
    <t>OFF-SU-10004261</t>
  </si>
  <si>
    <t>CA-2015-124429</t>
  </si>
  <si>
    <t>CA-2017-150889</t>
  </si>
  <si>
    <t>22/03/2017</t>
  </si>
  <si>
    <t>PB-19105</t>
  </si>
  <si>
    <t>Peter Bühler</t>
  </si>
  <si>
    <t>Evanston</t>
  </si>
  <si>
    <t>TEC-PH-10000004</t>
  </si>
  <si>
    <t>CA-2018-126074</t>
  </si>
  <si>
    <t>RF-19735</t>
  </si>
  <si>
    <t>Roland Fjeld</t>
  </si>
  <si>
    <t>Trenton</t>
  </si>
  <si>
    <t>OFF-BI-10003638</t>
  </si>
  <si>
    <t>FUR-FU-10003577</t>
  </si>
  <si>
    <t>OFF-BI-10000546</t>
  </si>
  <si>
    <t>CA-2017-110499</t>
  </si>
  <si>
    <t>YC-21895</t>
  </si>
  <si>
    <t>Yoseph Carroll</t>
  </si>
  <si>
    <t>TEC-CO-10002095</t>
  </si>
  <si>
    <t>CA-2016-135272</t>
  </si>
  <si>
    <t>CA-2017-140928</t>
  </si>
  <si>
    <t>FUR-TA-10001095</t>
  </si>
  <si>
    <t>CA-2015-106803</t>
  </si>
  <si>
    <t>DC-13285</t>
  </si>
  <si>
    <t>Debra Catini</t>
  </si>
  <si>
    <t>Cottage Grove</t>
  </si>
  <si>
    <t>CA-2018-117240</t>
  </si>
  <si>
    <t>28/07/2018</t>
  </si>
  <si>
    <t>CP-12340</t>
  </si>
  <si>
    <t>Christine Phan</t>
  </si>
  <si>
    <t>CA-2018-133333</t>
  </si>
  <si>
    <t>22/09/2018</t>
  </si>
  <si>
    <t>BF-11020</t>
  </si>
  <si>
    <t>Barry Französisch</t>
  </si>
  <si>
    <t>CA-2016-112319</t>
  </si>
  <si>
    <t>CA-2018-126046</t>
  </si>
  <si>
    <t>OFF-LA-10004484</t>
  </si>
  <si>
    <t>CA-2016-114923</t>
  </si>
  <si>
    <t>LH-17020</t>
  </si>
  <si>
    <t>Lisa Hazard</t>
  </si>
  <si>
    <t>CA-2015-162775</t>
  </si>
  <si>
    <t>15/01/2015</t>
  </si>
  <si>
    <t>CS-12250</t>
  </si>
  <si>
    <t>Chris Selesnick</t>
  </si>
  <si>
    <t>Bossier City</t>
  </si>
  <si>
    <t>OFF-EN-10001532</t>
  </si>
  <si>
    <t>TEC-AC-10003174</t>
  </si>
  <si>
    <t>OFF-BI-10004187</t>
  </si>
  <si>
    <t>OFF-ST-10000025</t>
  </si>
  <si>
    <t>CA-2015-106810</t>
  </si>
  <si>
    <t>20/05/2015</t>
  </si>
  <si>
    <t>AJ-10795</t>
  </si>
  <si>
    <t>Anthony Johnson</t>
  </si>
  <si>
    <t>FUR-FU-10004306</t>
  </si>
  <si>
    <t>CA-2017-157245</t>
  </si>
  <si>
    <t>24/05/2017</t>
  </si>
  <si>
    <t>FUR-CH-10003746</t>
  </si>
  <si>
    <t>CA-2018-104220</t>
  </si>
  <si>
    <t>BV-11245</t>
  </si>
  <si>
    <t>Benjamin Venier</t>
  </si>
  <si>
    <t>OFF-BI-10001036</t>
  </si>
  <si>
    <t>OFF-BI-10000301</t>
  </si>
  <si>
    <t>OFF-AR-10004648</t>
  </si>
  <si>
    <t>FUR-FU-10002597</t>
  </si>
  <si>
    <t>CA-2015-165974</t>
  </si>
  <si>
    <t>DL-12865</t>
  </si>
  <si>
    <t>Dan Lawera</t>
  </si>
  <si>
    <t>OFF-AR-10003405</t>
  </si>
  <si>
    <t>CA-2016-144267</t>
  </si>
  <si>
    <t>23/08/2016</t>
  </si>
  <si>
    <t>FUR-CH-10002335</t>
  </si>
  <si>
    <t>OFF-PA-10003657</t>
  </si>
  <si>
    <t>US-2016-157014</t>
  </si>
  <si>
    <t>BM-11785</t>
  </si>
  <si>
    <t>Bryan Mills</t>
  </si>
  <si>
    <t>FUR-BO-10004409</t>
  </si>
  <si>
    <t>TEC-AC-10000057</t>
  </si>
  <si>
    <t>CA-2016-154921</t>
  </si>
  <si>
    <t>28/05/2016</t>
  </si>
  <si>
    <t>OFF-EN-10000056</t>
  </si>
  <si>
    <t>CA-2018-129567</t>
  </si>
  <si>
    <t>21/03/2018</t>
  </si>
  <si>
    <t>Lancaster</t>
  </si>
  <si>
    <t>OFF-BI-10000014</t>
  </si>
  <si>
    <t>CA-2016-154620</t>
  </si>
  <si>
    <t>16/12/2016</t>
  </si>
  <si>
    <t>LT-17110</t>
  </si>
  <si>
    <t>Liz Thompson</t>
  </si>
  <si>
    <t>FUR-CH-10004675</t>
  </si>
  <si>
    <t>CA-2016-115938</t>
  </si>
  <si>
    <t>30/06/2016</t>
  </si>
  <si>
    <t>OFF-BI-10001132</t>
  </si>
  <si>
    <t>FUR-CH-10003199</t>
  </si>
  <si>
    <t>CA-2017-105256</t>
  </si>
  <si>
    <t>20/05/2017</t>
  </si>
  <si>
    <t>JK-15730</t>
  </si>
  <si>
    <t>Joe Kamberova</t>
  </si>
  <si>
    <t>Asheville</t>
  </si>
  <si>
    <t>TEC-PH-10001530</t>
  </si>
  <si>
    <t>CA-2015-156433</t>
  </si>
  <si>
    <t>26/09/2015</t>
  </si>
  <si>
    <t>ES-14020</t>
  </si>
  <si>
    <t>Erica Smith</t>
  </si>
  <si>
    <t>OFF-LA-10001569</t>
  </si>
  <si>
    <t>CA-2018-151428</t>
  </si>
  <si>
    <t>RH-19495</t>
  </si>
  <si>
    <t>Rick Hansen</t>
  </si>
  <si>
    <t>CA-2016-124653</t>
  </si>
  <si>
    <t>26/12/2016</t>
  </si>
  <si>
    <t>OFF-PA-10000176</t>
  </si>
  <si>
    <t>OFF-LA-10002271</t>
  </si>
  <si>
    <t>CA-2016-101910</t>
  </si>
  <si>
    <t>CD-11920</t>
  </si>
  <si>
    <t>Carlos Daly</t>
  </si>
  <si>
    <t>Lake Elsinore</t>
  </si>
  <si>
    <t>CA-2018-105809</t>
  </si>
  <si>
    <t>23/02/2018</t>
  </si>
  <si>
    <t>HW-14935</t>
  </si>
  <si>
    <t>Helen Wasserman</t>
  </si>
  <si>
    <t>FUR-FU-10004090</t>
  </si>
  <si>
    <t>CA-2017-136133</t>
  </si>
  <si>
    <t>23/08/2017</t>
  </si>
  <si>
    <t>OFF-AP-10000576</t>
  </si>
  <si>
    <t>CA-2017-115504</t>
  </si>
  <si>
    <t>17/03/2017</t>
  </si>
  <si>
    <t>MC-18130</t>
  </si>
  <si>
    <t>Mike Caudle</t>
  </si>
  <si>
    <t>OFF-PA-10003953</t>
  </si>
  <si>
    <t>CA-2018-135783</t>
  </si>
  <si>
    <t>24/04/2018</t>
  </si>
  <si>
    <t>GM-14440</t>
  </si>
  <si>
    <t>Gary McGarr</t>
  </si>
  <si>
    <t>FUR-FU-10000794</t>
  </si>
  <si>
    <t>CA-2015-134313</t>
  </si>
  <si>
    <t>OFF-AR-10001897</t>
  </si>
  <si>
    <t>TEC-PH-10001795</t>
  </si>
  <si>
    <t>CA-2016-140921</t>
  </si>
  <si>
    <t>Omaha</t>
  </si>
  <si>
    <t>TEC-AC-10004901</t>
  </si>
  <si>
    <t>CA-2015-151995</t>
  </si>
  <si>
    <t>15/10/2015</t>
  </si>
  <si>
    <t>Edmonds</t>
  </si>
  <si>
    <t>OFF-AR-10003190</t>
  </si>
  <si>
    <t>OFF-AP-10000240</t>
  </si>
  <si>
    <t>CA-2018-143686</t>
  </si>
  <si>
    <t>14/05/2018</t>
  </si>
  <si>
    <t>PJ-19015</t>
  </si>
  <si>
    <t>Pauline Johnson</t>
  </si>
  <si>
    <t>Santa Ana</t>
  </si>
  <si>
    <t>TEC-AC-10001838</t>
  </si>
  <si>
    <t>CA-2016-106565</t>
  </si>
  <si>
    <t>23/03/2016</t>
  </si>
  <si>
    <t>BW-11110</t>
  </si>
  <si>
    <t>Bart Watters</t>
  </si>
  <si>
    <t>Milwaukee</t>
  </si>
  <si>
    <t>CA-2017-149370</t>
  </si>
  <si>
    <t>OFF-PA-10003651</t>
  </si>
  <si>
    <t>CA-2015-140858</t>
  </si>
  <si>
    <t>OFF-BI-10003094</t>
  </si>
  <si>
    <t>FUR-CH-10001394</t>
  </si>
  <si>
    <t>OFF-BI-10004230</t>
  </si>
  <si>
    <t>OFF-PA-10003395</t>
  </si>
  <si>
    <t>CA-2018-101434</t>
  </si>
  <si>
    <t>27/06/2018</t>
  </si>
  <si>
    <t>TR-21325</t>
  </si>
  <si>
    <t>Toby Ritter</t>
  </si>
  <si>
    <t>TEC-AC-10002402</t>
  </si>
  <si>
    <t>US-2015-102071</t>
  </si>
  <si>
    <t>PG-18820</t>
  </si>
  <si>
    <t>Patrick Gardner</t>
  </si>
  <si>
    <t>TEC-AC-10003441</t>
  </si>
  <si>
    <t>CA-2018-126956</t>
  </si>
  <si>
    <t>28/08/2018</t>
  </si>
  <si>
    <t>OFF-FA-10002280</t>
  </si>
  <si>
    <t>OFF-SU-10000381</t>
  </si>
  <si>
    <t>OFF-EN-10004459</t>
  </si>
  <si>
    <t>CA-2018-129462</t>
  </si>
  <si>
    <t>21/06/2018</t>
  </si>
  <si>
    <t>Florence</t>
  </si>
  <si>
    <t>FUR-CH-10000665</t>
  </si>
  <si>
    <t>OFF-AP-10003884</t>
  </si>
  <si>
    <t>TEC-PH-10001557</t>
  </si>
  <si>
    <t>TEC-PH-10002085</t>
  </si>
  <si>
    <t>CA-2017-165316</t>
  </si>
  <si>
    <t>27/07/2017</t>
  </si>
  <si>
    <t>OFF-AR-10002956</t>
  </si>
  <si>
    <t>OFF-AP-10003266</t>
  </si>
  <si>
    <t>TEC-MA-10004002</t>
  </si>
  <si>
    <t>US-2015-115987</t>
  </si>
  <si>
    <t>OFF-BI-10001071</t>
  </si>
  <si>
    <t>US-2018-156083</t>
  </si>
  <si>
    <t>JL-15175</t>
  </si>
  <si>
    <t>James Lanier</t>
  </si>
  <si>
    <t>OFF-PA-10001560</t>
  </si>
  <si>
    <t>US-2017-137547</t>
  </si>
  <si>
    <t>CA-2016-100454</t>
  </si>
  <si>
    <t>25/11/2016</t>
  </si>
  <si>
    <t>BM-11650</t>
  </si>
  <si>
    <t>Brian Moss</t>
  </si>
  <si>
    <t>OFF-AR-10002578</t>
  </si>
  <si>
    <t>FUR-BO-10001519</t>
  </si>
  <si>
    <t>CA-2017-161669</t>
  </si>
  <si>
    <t>EM-14095</t>
  </si>
  <si>
    <t>Eudokia Martin</t>
  </si>
  <si>
    <t>OFF-BI-10001294</t>
  </si>
  <si>
    <t>OFF-BI-10001636</t>
  </si>
  <si>
    <t>OFF-SU-10002503</t>
  </si>
  <si>
    <t>OFF-LA-10004093</t>
  </si>
  <si>
    <t>CA-2016-114300</t>
  </si>
  <si>
    <t>17/10/2016</t>
  </si>
  <si>
    <t>AF-10885</t>
  </si>
  <si>
    <t>Art Foster</t>
  </si>
  <si>
    <t>CA-2018-107503</t>
  </si>
  <si>
    <t>GA-14725</t>
  </si>
  <si>
    <t>Guy Armstrong</t>
  </si>
  <si>
    <t>Lorain</t>
  </si>
  <si>
    <t>FUR-FU-10003878</t>
  </si>
  <si>
    <t>CA-2015-107755</t>
  </si>
  <si>
    <t>CK-12760</t>
  </si>
  <si>
    <t>Cyma Kinney</t>
  </si>
  <si>
    <t>Linden</t>
  </si>
  <si>
    <t>TEC-AC-10000710</t>
  </si>
  <si>
    <t>CA-2017-152534</t>
  </si>
  <si>
    <t>DP-13105</t>
  </si>
  <si>
    <t>Dave Poirier</t>
  </si>
  <si>
    <t>Salinas</t>
  </si>
  <si>
    <t>OFF-AR-10002335</t>
  </si>
  <si>
    <t>OFF-PA-10001870</t>
  </si>
  <si>
    <t>CA-2017-113747</t>
  </si>
  <si>
    <t>CA-2017-123274</t>
  </si>
  <si>
    <t>24/02/2017</t>
  </si>
  <si>
    <t>CA-2015-125612</t>
  </si>
  <si>
    <t>BK-11260</t>
  </si>
  <si>
    <t>Berenike Kampe</t>
  </si>
  <si>
    <t>OFF-PA-10001019</t>
  </si>
  <si>
    <t>OFF-SU-10002537</t>
  </si>
  <si>
    <t>OFF-ST-10003221</t>
  </si>
  <si>
    <t>CA-2018-161984</t>
  </si>
  <si>
    <t>15/04/2018</t>
  </si>
  <si>
    <t>SJ-20125</t>
  </si>
  <si>
    <t>Sanjit Jacobs</t>
  </si>
  <si>
    <t>New Brunswick</t>
  </si>
  <si>
    <t>CA-2015-133851</t>
  </si>
  <si>
    <t>16/06/2015</t>
  </si>
  <si>
    <t>CM-12445</t>
  </si>
  <si>
    <t>Chuck Magee</t>
  </si>
  <si>
    <t>OFF-AR-10003752</t>
  </si>
  <si>
    <t>CA-2017-134474</t>
  </si>
  <si>
    <t>TEC-AC-10001714</t>
  </si>
  <si>
    <t>OFF-AR-10003958</t>
  </si>
  <si>
    <t>TEC-PH-10002923</t>
  </si>
  <si>
    <t>CA-2015-149020</t>
  </si>
  <si>
    <t>AJ-10780</t>
  </si>
  <si>
    <t>Anthony Jacobs</t>
  </si>
  <si>
    <t>OFF-LA-10004272</t>
  </si>
  <si>
    <t>FUR-FU-10000965</t>
  </si>
  <si>
    <t>CA-2017-134362</t>
  </si>
  <si>
    <t>LS-16945</t>
  </si>
  <si>
    <t>Linda Southworth</t>
  </si>
  <si>
    <t>OFF-LA-10004853</t>
  </si>
  <si>
    <t>CA-2015-136742</t>
  </si>
  <si>
    <t>GP-14740</t>
  </si>
  <si>
    <t>Guy Phonely</t>
  </si>
  <si>
    <t>OFF-BI-10003719</t>
  </si>
  <si>
    <t>CA-2017-158099</t>
  </si>
  <si>
    <t>PK-18910</t>
  </si>
  <si>
    <t>Paul Knutson</t>
  </si>
  <si>
    <t>OFF-BI-10000545</t>
  </si>
  <si>
    <t>CA-2016-131128</t>
  </si>
  <si>
    <t>New Hampshire</t>
  </si>
  <si>
    <t>OFF-PA-10003591</t>
  </si>
  <si>
    <t>CA-2015-148488</t>
  </si>
  <si>
    <t>15/12/2015</t>
  </si>
  <si>
    <t>SM-20005</t>
  </si>
  <si>
    <t>Sally Matthias</t>
  </si>
  <si>
    <t>CA-2018-114636</t>
  </si>
  <si>
    <t>29/08/2018</t>
  </si>
  <si>
    <t>OFF-PA-10001790</t>
  </si>
  <si>
    <t>CA-2017-116736</t>
  </si>
  <si>
    <t>21/01/2017</t>
  </si>
  <si>
    <t>TEC-AC-10002049</t>
  </si>
  <si>
    <t>US-2015-158638</t>
  </si>
  <si>
    <t>AG-10765</t>
  </si>
  <si>
    <t>Anthony Garverick</t>
  </si>
  <si>
    <t>OFF-BI-10003712</t>
  </si>
  <si>
    <t>CA-2018-111689</t>
  </si>
  <si>
    <t>OFF-BI-10003984</t>
  </si>
  <si>
    <t>CA-2016-129098</t>
  </si>
  <si>
    <t>13/10/2016</t>
  </si>
  <si>
    <t>US-2018-123463</t>
  </si>
  <si>
    <t>23/12/2018</t>
  </si>
  <si>
    <t>CA-2017-165148</t>
  </si>
  <si>
    <t>24/10/2017</t>
  </si>
  <si>
    <t>PM-19135</t>
  </si>
  <si>
    <t>Peter McVee</t>
  </si>
  <si>
    <t>CA-2015-134061</t>
  </si>
  <si>
    <t>LL-16840</t>
  </si>
  <si>
    <t>Lauren Leatherbury</t>
  </si>
  <si>
    <t>FUR-FU-10001424</t>
  </si>
  <si>
    <t>CA-2016-143602</t>
  </si>
  <si>
    <t>28/04/2016</t>
  </si>
  <si>
    <t>JS-15595</t>
  </si>
  <si>
    <t>Jill Stevenson</t>
  </si>
  <si>
    <t>OFF-BI-10002071</t>
  </si>
  <si>
    <t>CA-2018-115364</t>
  </si>
  <si>
    <t>OFF-ST-10002486</t>
  </si>
  <si>
    <t>CA-2018-150707</t>
  </si>
  <si>
    <t>EL-13735</t>
  </si>
  <si>
    <t>Ed Ludwig</t>
  </si>
  <si>
    <t>Maryland</t>
  </si>
  <si>
    <t>CA-2015-104976</t>
  </si>
  <si>
    <t>16/12/2015</t>
  </si>
  <si>
    <t>CA-2018-132934</t>
  </si>
  <si>
    <t>26/06/2018</t>
  </si>
  <si>
    <t>TEC-AC-10000927</t>
  </si>
  <si>
    <t>CA-2018-133256</t>
  </si>
  <si>
    <t>OFF-PA-10001622</t>
  </si>
  <si>
    <t>OFF-AR-10003158</t>
  </si>
  <si>
    <t>TEC-PH-10002660</t>
  </si>
  <si>
    <t>CA-2017-105494</t>
  </si>
  <si>
    <t>PC-18745</t>
  </si>
  <si>
    <t>Pamela Coakley</t>
  </si>
  <si>
    <t>OFF-BI-10003364</t>
  </si>
  <si>
    <t>CA-2017-140634</t>
  </si>
  <si>
    <t>HL-15040</t>
  </si>
  <si>
    <t>Hunter Lopez</t>
  </si>
  <si>
    <t>OFF-EN-10001099</t>
  </si>
  <si>
    <t>CA-2015-144407</t>
  </si>
  <si>
    <t>15/09/2015</t>
  </si>
  <si>
    <t>MS-17365</t>
  </si>
  <si>
    <t>Maribeth Schnelling</t>
  </si>
  <si>
    <t>CA-2018-160983</t>
  </si>
  <si>
    <t>31/10/2018</t>
  </si>
  <si>
    <t>GB-14530</t>
  </si>
  <si>
    <t>George Bell</t>
  </si>
  <si>
    <t>OFF-PA-10002250</t>
  </si>
  <si>
    <t>US-2017-114622</t>
  </si>
  <si>
    <t>JR-16210</t>
  </si>
  <si>
    <t>Justin Ritter</t>
  </si>
  <si>
    <t>OFF-BI-10004716</t>
  </si>
  <si>
    <t>CA-2018-150959</t>
  </si>
  <si>
    <t>Garland</t>
  </si>
  <si>
    <t>OFF-LA-10001045</t>
  </si>
  <si>
    <t>OFF-BI-10001510</t>
  </si>
  <si>
    <t>CA-2018-132353</t>
  </si>
  <si>
    <t>CA-2017-130477</t>
  </si>
  <si>
    <t>OFF-PA-10002947</t>
  </si>
  <si>
    <t>OFF-PA-10000019</t>
  </si>
  <si>
    <t>CA-2018-143259</t>
  </si>
  <si>
    <t>FUR-BO-10003441</t>
  </si>
  <si>
    <t>TEC-PH-10004774</t>
  </si>
  <si>
    <t>OFF-BI-10003684</t>
  </si>
  <si>
    <t>CA-2018-137596</t>
  </si>
  <si>
    <t>BE-11335</t>
  </si>
  <si>
    <t>Bill Eplett</t>
  </si>
  <si>
    <t>TEC-PH-10001494</t>
  </si>
  <si>
    <t>TEC-AC-10004666</t>
  </si>
  <si>
    <t>OFF-ST-10003816</t>
  </si>
  <si>
    <t>CA-2016-133627</t>
  </si>
  <si>
    <t>SC-20050</t>
  </si>
  <si>
    <t>Sample Company A</t>
  </si>
  <si>
    <t>Norwich</t>
  </si>
  <si>
    <t>CA-2018-102519</t>
  </si>
  <si>
    <t>29/11/2018</t>
  </si>
  <si>
    <t>US-2015-141215</t>
  </si>
  <si>
    <t>21/06/2015</t>
  </si>
  <si>
    <t>FUR-TA-10001520</t>
  </si>
  <si>
    <t>CA-2017-165218</t>
  </si>
  <si>
    <t>RW-19630</t>
  </si>
  <si>
    <t>Rob Williams</t>
  </si>
  <si>
    <t>OFF-ST-10001558</t>
  </si>
  <si>
    <t>CA-2015-138296</t>
  </si>
  <si>
    <t>Alexandria</t>
  </si>
  <si>
    <t>CA-2016-111164</t>
  </si>
  <si>
    <t>15/04/2016</t>
  </si>
  <si>
    <t>SE-20110</t>
  </si>
  <si>
    <t>Sanjit Engle</t>
  </si>
  <si>
    <t>TEC-AC-10002473</t>
  </si>
  <si>
    <t>TEC-PH-10004531</t>
  </si>
  <si>
    <t>OFF-AP-10004487</t>
  </si>
  <si>
    <t>CA-2017-149797</t>
  </si>
  <si>
    <t>20/09/2017</t>
  </si>
  <si>
    <t>AH-10075</t>
  </si>
  <si>
    <t>Adam Hart</t>
  </si>
  <si>
    <t>CA-2015-132962</t>
  </si>
  <si>
    <t>16/09/2015</t>
  </si>
  <si>
    <t>JM-15535</t>
  </si>
  <si>
    <t>Jessica Myrick</t>
  </si>
  <si>
    <t>OFF-PA-10003543</t>
  </si>
  <si>
    <t>TEC-AC-10004353</t>
  </si>
  <si>
    <t>CA-2016-115091</t>
  </si>
  <si>
    <t>JJ-15760</t>
  </si>
  <si>
    <t>Joel Jenkins</t>
  </si>
  <si>
    <t>CA-2018-144932</t>
  </si>
  <si>
    <t>Toledo</t>
  </si>
  <si>
    <t>OFF-AR-10001468</t>
  </si>
  <si>
    <t>CA-2018-114216</t>
  </si>
  <si>
    <t>RK-19300</t>
  </si>
  <si>
    <t>Ralph Kennedy</t>
  </si>
  <si>
    <t>OFF-PA-10002195</t>
  </si>
  <si>
    <t>CA-2017-140081</t>
  </si>
  <si>
    <t>24/06/2017</t>
  </si>
  <si>
    <t>CG-12040</t>
  </si>
  <si>
    <t>Catherine Glotzbach</t>
  </si>
  <si>
    <t>OFF-PA-10001745</t>
  </si>
  <si>
    <t>OFF-BI-10004826</t>
  </si>
  <si>
    <t>US-2018-111745</t>
  </si>
  <si>
    <t>Farmington</t>
  </si>
  <si>
    <t>CA-2016-148250</t>
  </si>
  <si>
    <t>17/12/2016</t>
  </si>
  <si>
    <t>RP-19270</t>
  </si>
  <si>
    <t>Rachel Payne</t>
  </si>
  <si>
    <t>Riverside</t>
  </si>
  <si>
    <t>OFF-PA-10000289</t>
  </si>
  <si>
    <t>OFF-AP-10003040</t>
  </si>
  <si>
    <t>CA-2017-105760</t>
  </si>
  <si>
    <t>20/06/2017</t>
  </si>
  <si>
    <t>KC-16255</t>
  </si>
  <si>
    <t>Karen Carlisle</t>
  </si>
  <si>
    <t>OFF-PA-10000350</t>
  </si>
  <si>
    <t>CA-2017-142958</t>
  </si>
  <si>
    <t>Torrance</t>
  </si>
  <si>
    <t>OFF-BI-10001759</t>
  </si>
  <si>
    <t>CA-2016-120880</t>
  </si>
  <si>
    <t>OFF-ST-10001496</t>
  </si>
  <si>
    <t>OFF-BI-10002931</t>
  </si>
  <si>
    <t>US-2016-140200</t>
  </si>
  <si>
    <t>28/07/2016</t>
  </si>
  <si>
    <t>FUR-TA-10002356</t>
  </si>
  <si>
    <t>US-2018-110576</t>
  </si>
  <si>
    <t>FUR-FU-10003601</t>
  </si>
  <si>
    <t>FUR-TA-10004154</t>
  </si>
  <si>
    <t>OFF-PA-10000788</t>
  </si>
  <si>
    <t>CA-2018-131156</t>
  </si>
  <si>
    <t>KH-16360</t>
  </si>
  <si>
    <t>Katherine Hughes</t>
  </si>
  <si>
    <t>FUR-FU-10001940</t>
  </si>
  <si>
    <t>CA-2018-136539</t>
  </si>
  <si>
    <t>GH-14665</t>
  </si>
  <si>
    <t>Greg Hansen</t>
  </si>
  <si>
    <t>Round Rock</t>
  </si>
  <si>
    <t>CA-2018-119305</t>
  </si>
  <si>
    <t>SW-20275</t>
  </si>
  <si>
    <t>Scott Williamson</t>
  </si>
  <si>
    <t>CA-2018-102414</t>
  </si>
  <si>
    <t>18/05/2018</t>
  </si>
  <si>
    <t>JA-15970</t>
  </si>
  <si>
    <t>Joseph Airdo</t>
  </si>
  <si>
    <t>OFF-BI-10004465</t>
  </si>
  <si>
    <t>OFF-PA-10002333</t>
  </si>
  <si>
    <t>CA-2016-112571</t>
  </si>
  <si>
    <t>DL-12925</t>
  </si>
  <si>
    <t>Daniel Lacy</t>
  </si>
  <si>
    <t>FUR-FU-10004188</t>
  </si>
  <si>
    <t>CA-2018-152142</t>
  </si>
  <si>
    <t>19/11/2018</t>
  </si>
  <si>
    <t>LW-16990</t>
  </si>
  <si>
    <t>Lindsay Williams</t>
  </si>
  <si>
    <t>CA-2016-160059</t>
  </si>
  <si>
    <t>TB-21190</t>
  </si>
  <si>
    <t>Thomas Brumley</t>
  </si>
  <si>
    <t>OFF-BI-10000145</t>
  </si>
  <si>
    <t>CA-2017-120859</t>
  </si>
  <si>
    <t>CA-2015-127488</t>
  </si>
  <si>
    <t>Boca Raton</t>
  </si>
  <si>
    <t>OFF-LA-10001613</t>
  </si>
  <si>
    <t>CA-2018-135279</t>
  </si>
  <si>
    <t>BS-11800</t>
  </si>
  <si>
    <t>Bryan Spruell</t>
  </si>
  <si>
    <t>OFF-LA-10004055</t>
  </si>
  <si>
    <t>OFF-PA-10004621</t>
  </si>
  <si>
    <t>OFF-PA-10001281</t>
  </si>
  <si>
    <t>OFF-ST-10001097</t>
  </si>
  <si>
    <t>CA-2015-115791</t>
  </si>
  <si>
    <t>18/01/2015</t>
  </si>
  <si>
    <t>FUR-FU-10001095</t>
  </si>
  <si>
    <t>US-2018-103247</t>
  </si>
  <si>
    <t>US-2018-100209</t>
  </si>
  <si>
    <t>15/07/2018</t>
  </si>
  <si>
    <t>OFF-BI-10002012</t>
  </si>
  <si>
    <t>CA-2018-159366</t>
  </si>
  <si>
    <t>CA-2017-145499</t>
  </si>
  <si>
    <t>31/05/2017</t>
  </si>
  <si>
    <t>RW-19690</t>
  </si>
  <si>
    <t>Robert Waldorf</t>
  </si>
  <si>
    <t>CA-2016-157035</t>
  </si>
  <si>
    <t>OFF-PA-10004156</t>
  </si>
  <si>
    <t>CA-2017-144939</t>
  </si>
  <si>
    <t>CA-2015-163419</t>
  </si>
  <si>
    <t>14/11/2015</t>
  </si>
  <si>
    <t>TZ-21580</t>
  </si>
  <si>
    <t>Tracy Zic</t>
  </si>
  <si>
    <t>OFF-AR-10000034</t>
  </si>
  <si>
    <t>TEC-PH-10000560</t>
  </si>
  <si>
    <t>CA-2018-100314</t>
  </si>
  <si>
    <t>AS-10630</t>
  </si>
  <si>
    <t>Ann Steele</t>
  </si>
  <si>
    <t>OFF-EN-10000461</t>
  </si>
  <si>
    <t>TEC-MA-10003066</t>
  </si>
  <si>
    <t>CA-2016-146829</t>
  </si>
  <si>
    <t>TS-21340</t>
  </si>
  <si>
    <t>Toby Swindell</t>
  </si>
  <si>
    <t>OFF-BI-10004022</t>
  </si>
  <si>
    <t>CA-2018-167899</t>
  </si>
  <si>
    <t>26/05/2018</t>
  </si>
  <si>
    <t>OFF-AR-10001988</t>
  </si>
  <si>
    <t>CA-2016-153549</t>
  </si>
  <si>
    <t>31/03/2016</t>
  </si>
  <si>
    <t>SL-20155</t>
  </si>
  <si>
    <t>Sara Luxemburg</t>
  </si>
  <si>
    <t>CA-2017-110023</t>
  </si>
  <si>
    <t>CA-2017-105585</t>
  </si>
  <si>
    <t>27/08/2017</t>
  </si>
  <si>
    <t>OFF-PA-10003625</t>
  </si>
  <si>
    <t>CA-2015-117639</t>
  </si>
  <si>
    <t>25/05/2015</t>
  </si>
  <si>
    <t>MW-18235</t>
  </si>
  <si>
    <t>Mitch Willingham</t>
  </si>
  <si>
    <t>Virginia Beach</t>
  </si>
  <si>
    <t>OFF-BI-10003925</t>
  </si>
  <si>
    <t>CA-2016-162537</t>
  </si>
  <si>
    <t>RD-19585</t>
  </si>
  <si>
    <t>Rob Dowd</t>
  </si>
  <si>
    <t>OFF-EN-10003862</t>
  </si>
  <si>
    <t>OFF-ST-10004258</t>
  </si>
  <si>
    <t>FUR-FU-10002885</t>
  </si>
  <si>
    <t>CA-2017-155488</t>
  </si>
  <si>
    <t>17/11/2017</t>
  </si>
  <si>
    <t>CA-2016-124891</t>
  </si>
  <si>
    <t>TEC-AC-10003033</t>
  </si>
  <si>
    <t>CA-2016-126445</t>
  </si>
  <si>
    <t>31/08/2016</t>
  </si>
  <si>
    <t>RA-19945</t>
  </si>
  <si>
    <t>Ryan Akin</t>
  </si>
  <si>
    <t>Murrieta</t>
  </si>
  <si>
    <t>OFF-ST-10000046</t>
  </si>
  <si>
    <t>CA-2016-111199</t>
  </si>
  <si>
    <t>CA-2016-105312</t>
  </si>
  <si>
    <t>MT-17815</t>
  </si>
  <si>
    <t>Meg Tillman</t>
  </si>
  <si>
    <t>OFF-BI-10002049</t>
  </si>
  <si>
    <t>US-2018-106705</t>
  </si>
  <si>
    <t>CA-2018-135034</t>
  </si>
  <si>
    <t>CA-2015-158540</t>
  </si>
  <si>
    <t>VG-21790</t>
  </si>
  <si>
    <t>Vivek Gonzalez</t>
  </si>
  <si>
    <t>FUR-FU-10001602</t>
  </si>
  <si>
    <t>CA-2018-118437</t>
  </si>
  <si>
    <t>Olympia</t>
  </si>
  <si>
    <t>OFF-ST-10003722</t>
  </si>
  <si>
    <t>US-2016-126214</t>
  </si>
  <si>
    <t>JS-15880</t>
  </si>
  <si>
    <t>John Stevenson</t>
  </si>
  <si>
    <t>TEC-AC-10003198</t>
  </si>
  <si>
    <t>CA-2016-133025</t>
  </si>
  <si>
    <t>19/09/2016</t>
  </si>
  <si>
    <t>CA-2016-108665</t>
  </si>
  <si>
    <t>KM-16225</t>
  </si>
  <si>
    <t>Kalyca Meade</t>
  </si>
  <si>
    <t>FUR-FU-10002191</t>
  </si>
  <si>
    <t>TEC-PH-10004188</t>
  </si>
  <si>
    <t>OFF-ST-10001526</t>
  </si>
  <si>
    <t>CA-2016-124450</t>
  </si>
  <si>
    <t>District of Columbia</t>
  </si>
  <si>
    <t>OFF-AR-10001166</t>
  </si>
  <si>
    <t>FUR-CH-10000309</t>
  </si>
  <si>
    <t>TEC-MA-10004212</t>
  </si>
  <si>
    <t>CA-2016-167269</t>
  </si>
  <si>
    <t>20/06/2016</t>
  </si>
  <si>
    <t>OFF-EN-10003072</t>
  </si>
  <si>
    <t>CA-2018-106964</t>
  </si>
  <si>
    <t>20/12/2018</t>
  </si>
  <si>
    <t>HR-14770</t>
  </si>
  <si>
    <t>Hallie Redmond</t>
  </si>
  <si>
    <t>OFF-BI-10000320</t>
  </si>
  <si>
    <t>CA-2017-126529</t>
  </si>
  <si>
    <t>13/01/2017</t>
  </si>
  <si>
    <t>DE-13255</t>
  </si>
  <si>
    <t>Deanra Eno</t>
  </si>
  <si>
    <t>OFF-PA-10001166</t>
  </si>
  <si>
    <t>OFF-PA-10003656</t>
  </si>
  <si>
    <t>TEC-PH-10000148</t>
  </si>
  <si>
    <t>CA-2015-163552</t>
  </si>
  <si>
    <t>15/07/2015</t>
  </si>
  <si>
    <t>TEC-PH-10003885</t>
  </si>
  <si>
    <t>OFF-LA-10001175</t>
  </si>
  <si>
    <t>CA-2017-109820</t>
  </si>
  <si>
    <t>22/11/2017</t>
  </si>
  <si>
    <t>AG-10390</t>
  </si>
  <si>
    <t>Allen Goldenen</t>
  </si>
  <si>
    <t>OFF-PA-10000955</t>
  </si>
  <si>
    <t>CA-2017-113061</t>
  </si>
  <si>
    <t>26/04/2017</t>
  </si>
  <si>
    <t>Jefferson City</t>
  </si>
  <si>
    <t>FUR-FU-10003975</t>
  </si>
  <si>
    <t>CA-2016-127418</t>
  </si>
  <si>
    <t>14/06/2016</t>
  </si>
  <si>
    <t>JJ-15445</t>
  </si>
  <si>
    <t>Jennifer Jackson</t>
  </si>
  <si>
    <t>OFF-BI-10003707</t>
  </si>
  <si>
    <t>CA-2018-121818</t>
  </si>
  <si>
    <t>21/11/2018</t>
  </si>
  <si>
    <t>JH-15430</t>
  </si>
  <si>
    <t>Jennifer Halladay</t>
  </si>
  <si>
    <t>OFF-AR-10000203</t>
  </si>
  <si>
    <t>OFF-AR-10004790</t>
  </si>
  <si>
    <t>CA-2017-127670</t>
  </si>
  <si>
    <t>RD-19660</t>
  </si>
  <si>
    <t>Robert Dilbeck</t>
  </si>
  <si>
    <t>Saint Peters</t>
  </si>
  <si>
    <t>CA-2017-102981</t>
  </si>
  <si>
    <t>MO-17500</t>
  </si>
  <si>
    <t>Mary O'Rourke</t>
  </si>
  <si>
    <t>TEC-AC-10004761</t>
  </si>
  <si>
    <t>FUR-BO-10001811</t>
  </si>
  <si>
    <t>CA-2018-115651</t>
  </si>
  <si>
    <t>NS-18640</t>
  </si>
  <si>
    <t>Noel Staavos</t>
  </si>
  <si>
    <t>OFF-AR-10001130</t>
  </si>
  <si>
    <t>OFF-AP-10000055</t>
  </si>
  <si>
    <t>CA-2018-152702</t>
  </si>
  <si>
    <t>16/10/2018</t>
  </si>
  <si>
    <t>Rockford</t>
  </si>
  <si>
    <t>FUR-CH-10002304</t>
  </si>
  <si>
    <t>CA-2017-169103</t>
  </si>
  <si>
    <t>CA-2015-139192</t>
  </si>
  <si>
    <t>US-2016-153500</t>
  </si>
  <si>
    <t>DG-13300</t>
  </si>
  <si>
    <t>Deirdre Greer</t>
  </si>
  <si>
    <t>FUR-FU-10000293</t>
  </si>
  <si>
    <t>OFF-PA-10001307</t>
  </si>
  <si>
    <t>FUR-FU-10004460</t>
  </si>
  <si>
    <t>CA-2016-110667</t>
  </si>
  <si>
    <t>NF-18595</t>
  </si>
  <si>
    <t>Nicole Fjeld</t>
  </si>
  <si>
    <t>OFF-AR-10000716</t>
  </si>
  <si>
    <t>FUR-FU-10004622</t>
  </si>
  <si>
    <t>OFF-BI-10003529</t>
  </si>
  <si>
    <t>CA-2018-167150</t>
  </si>
  <si>
    <t>17/12/2018</t>
  </si>
  <si>
    <t>OFF-BI-10001097</t>
  </si>
  <si>
    <t>OFF-BI-10001597</t>
  </si>
  <si>
    <t>CA-2017-105284</t>
  </si>
  <si>
    <t>MG-17650</t>
  </si>
  <si>
    <t>Matthew Grinstein</t>
  </si>
  <si>
    <t>OFF-FA-10001754</t>
  </si>
  <si>
    <t>US-2016-125374</t>
  </si>
  <si>
    <t>29/03/2016</t>
  </si>
  <si>
    <t>CA-2016-161263</t>
  </si>
  <si>
    <t>21/04/2016</t>
  </si>
  <si>
    <t>TS-21160</t>
  </si>
  <si>
    <t>Theresa Swint</t>
  </si>
  <si>
    <t>OFF-FA-10004838</t>
  </si>
  <si>
    <t>TEC-PH-10002115</t>
  </si>
  <si>
    <t>OFF-FA-10003059</t>
  </si>
  <si>
    <t>OFF-BI-10004330</t>
  </si>
  <si>
    <t>CA-2017-157686</t>
  </si>
  <si>
    <t>BD-11620</t>
  </si>
  <si>
    <t>Brian DeCherney</t>
  </si>
  <si>
    <t>US-2018-139955</t>
  </si>
  <si>
    <t>30/09/2018</t>
  </si>
  <si>
    <t>CM-12160</t>
  </si>
  <si>
    <t>Charles McCrossin</t>
  </si>
  <si>
    <t>Brownsville</t>
  </si>
  <si>
    <t>US-2016-150161</t>
  </si>
  <si>
    <t>29/07/2016</t>
  </si>
  <si>
    <t>CA-2016-144652</t>
  </si>
  <si>
    <t>SN-20560</t>
  </si>
  <si>
    <t>Skye Norling</t>
  </si>
  <si>
    <t>CA-2017-152814</t>
  </si>
  <si>
    <t>EH-14005</t>
  </si>
  <si>
    <t>Erica Hernandez</t>
  </si>
  <si>
    <t>CA-2018-106943</t>
  </si>
  <si>
    <t>FO-14305</t>
  </si>
  <si>
    <t>Frank Olsen</t>
  </si>
  <si>
    <t>OFF-BI-10003669</t>
  </si>
  <si>
    <t>CA-2017-134348</t>
  </si>
  <si>
    <t>19/11/2017</t>
  </si>
  <si>
    <t>MS-17710</t>
  </si>
  <si>
    <t>Maurice Satty</t>
  </si>
  <si>
    <t>OFF-BI-10003727</t>
  </si>
  <si>
    <t>TEC-AC-10003447</t>
  </si>
  <si>
    <t>CA-2017-161781</t>
  </si>
  <si>
    <t>30/09/2017</t>
  </si>
  <si>
    <t>CC-12100</t>
  </si>
  <si>
    <t>Chad Cunningham</t>
  </si>
  <si>
    <t>OFF-AR-10000255</t>
  </si>
  <si>
    <t>CA-2018-132521</t>
  </si>
  <si>
    <t>25/09/2018</t>
  </si>
  <si>
    <t>DW-13540</t>
  </si>
  <si>
    <t>Don Weiss</t>
  </si>
  <si>
    <t>OFF-AP-10002191</t>
  </si>
  <si>
    <t>CA-2016-110016</t>
  </si>
  <si>
    <t>BT-11395</t>
  </si>
  <si>
    <t>Bill Tyler</t>
  </si>
  <si>
    <t>OFF-PA-10000349</t>
  </si>
  <si>
    <t>FUR-CH-10002880</t>
  </si>
  <si>
    <t>US-2017-143819</t>
  </si>
  <si>
    <t>Yonkers</t>
  </si>
  <si>
    <t>OFF-PA-10003127</t>
  </si>
  <si>
    <t>TEC-MA-10003979</t>
  </si>
  <si>
    <t>CA-2017-167584</t>
  </si>
  <si>
    <t>OFF-PA-10000029</t>
  </si>
  <si>
    <t>CA-2017-166163</t>
  </si>
  <si>
    <t>20/08/2017</t>
  </si>
  <si>
    <t>CY-12745</t>
  </si>
  <si>
    <t>Craig Yedwab</t>
  </si>
  <si>
    <t>Oakland</t>
  </si>
  <si>
    <t>OFF-LA-10000452</t>
  </si>
  <si>
    <t>CA-2018-158407</t>
  </si>
  <si>
    <t>TEC-PH-10001819</t>
  </si>
  <si>
    <t>CA-2016-143490</t>
  </si>
  <si>
    <t>13/12/2016</t>
  </si>
  <si>
    <t>OFF-AR-10002952</t>
  </si>
  <si>
    <t>TEC-PH-10000576</t>
  </si>
  <si>
    <t>CA-2016-165085</t>
  </si>
  <si>
    <t>BT-11485</t>
  </si>
  <si>
    <t>Brad Thomas</t>
  </si>
  <si>
    <t>Clinton</t>
  </si>
  <si>
    <t>OFF-PA-10000605</t>
  </si>
  <si>
    <t>CA-2018-160423</t>
  </si>
  <si>
    <t>26/01/2018</t>
  </si>
  <si>
    <t>PS-19045</t>
  </si>
  <si>
    <t>Penelope Sewall</t>
  </si>
  <si>
    <t>OFF-ST-10004340</t>
  </si>
  <si>
    <t>OFF-BI-10004001</t>
  </si>
  <si>
    <t>CA-2015-159338</t>
  </si>
  <si>
    <t>28/06/2015</t>
  </si>
  <si>
    <t>FUR-TA-10004147</t>
  </si>
  <si>
    <t>CA-2017-107216</t>
  </si>
  <si>
    <t>17/06/2017</t>
  </si>
  <si>
    <t>PV-18985</t>
  </si>
  <si>
    <t>Paul Van Hugh</t>
  </si>
  <si>
    <t>OFF-AR-10001545</t>
  </si>
  <si>
    <t>TEC-AC-10001013</t>
  </si>
  <si>
    <t>OFF-AR-10002255</t>
  </si>
  <si>
    <t>US-2018-145863</t>
  </si>
  <si>
    <t>27/04/2018</t>
  </si>
  <si>
    <t>CA-2017-112340</t>
  </si>
  <si>
    <t>27/10/2017</t>
  </si>
  <si>
    <t>NM-18520</t>
  </si>
  <si>
    <t>Neoma Murray</t>
  </si>
  <si>
    <t>OFF-PA-10001892</t>
  </si>
  <si>
    <t>US-2017-110156</t>
  </si>
  <si>
    <t>OFF-BI-10003676</t>
  </si>
  <si>
    <t>OFF-FA-10003495</t>
  </si>
  <si>
    <t>OFF-EN-10003798</t>
  </si>
  <si>
    <t>TEC-PH-10003589</t>
  </si>
  <si>
    <t>OFF-PA-10004735</t>
  </si>
  <si>
    <t>CA-2018-140585</t>
  </si>
  <si>
    <t>Encinitas</t>
  </si>
  <si>
    <t>FUR-BO-10002206</t>
  </si>
  <si>
    <t>CA-2017-144855</t>
  </si>
  <si>
    <t>24/07/2017</t>
  </si>
  <si>
    <t>DL-13495</t>
  </si>
  <si>
    <t>Dionis Lloyd</t>
  </si>
  <si>
    <t>CA-2016-142755</t>
  </si>
  <si>
    <t>CS-12355</t>
  </si>
  <si>
    <t>Christine Sundaresam</t>
  </si>
  <si>
    <t>Roswell</t>
  </si>
  <si>
    <t>OFF-PA-10000141</t>
  </si>
  <si>
    <t>US-2015-147627</t>
  </si>
  <si>
    <t>26/01/2015</t>
  </si>
  <si>
    <t>Jonesboro</t>
  </si>
  <si>
    <t>TEC-PH-10001061</t>
  </si>
  <si>
    <t>OFF-AR-10002375</t>
  </si>
  <si>
    <t>OFF-EN-10001539</t>
  </si>
  <si>
    <t>CA-2016-105970</t>
  </si>
  <si>
    <t>CA-2017-112102</t>
  </si>
  <si>
    <t>16/04/2017</t>
  </si>
  <si>
    <t>FUR-TA-10004086</t>
  </si>
  <si>
    <t>OFF-PA-10000100</t>
  </si>
  <si>
    <t>US-2017-114776</t>
  </si>
  <si>
    <t>Antioch</t>
  </si>
  <si>
    <t>US-2017-134908</t>
  </si>
  <si>
    <t>OFF-LA-10000973</t>
  </si>
  <si>
    <t>US-2017-148803</t>
  </si>
  <si>
    <t>Homestead</t>
  </si>
  <si>
    <t>OFF-ST-10001476</t>
  </si>
  <si>
    <t>CA-2017-152170</t>
  </si>
  <si>
    <t>15/11/2017</t>
  </si>
  <si>
    <t>FH-14275</t>
  </si>
  <si>
    <t>Frank Hawley</t>
  </si>
  <si>
    <t>La Porte</t>
  </si>
  <si>
    <t>OFF-EN-10002831</t>
  </si>
  <si>
    <t>OFF-PA-10001763</t>
  </si>
  <si>
    <t>OFF-BI-10002072</t>
  </si>
  <si>
    <t>CA-2015-146969</t>
  </si>
  <si>
    <t>OFF-FA-10001561</t>
  </si>
  <si>
    <t>TEC-MA-10004241</t>
  </si>
  <si>
    <t>CA-2016-112452</t>
  </si>
  <si>
    <t>NC-18340</t>
  </si>
  <si>
    <t>Nat Carroll</t>
  </si>
  <si>
    <t>Lansing</t>
  </si>
  <si>
    <t>OFF-AP-10003849</t>
  </si>
  <si>
    <t>OFF-FA-10000735</t>
  </si>
  <si>
    <t>OFF-BI-10003350</t>
  </si>
  <si>
    <t>TEC-PH-10000307</t>
  </si>
  <si>
    <t>TEC-CO-10004202</t>
  </si>
  <si>
    <t>CA-2016-113971</t>
  </si>
  <si>
    <t>14/05/2016</t>
  </si>
  <si>
    <t>Cuyahoga Falls</t>
  </si>
  <si>
    <t>FUR-FU-10001852</t>
  </si>
  <si>
    <t>CA-2017-160395</t>
  </si>
  <si>
    <t>Reno</t>
  </si>
  <si>
    <t>OFF-AR-10003759</t>
  </si>
  <si>
    <t>CA-2015-136567</t>
  </si>
  <si>
    <t>21/12/2015</t>
  </si>
  <si>
    <t>Harrisonburg</t>
  </si>
  <si>
    <t>OFF-ST-10004337</t>
  </si>
  <si>
    <t>FUR-TA-10001932</t>
  </si>
  <si>
    <t>CA-2017-149314</t>
  </si>
  <si>
    <t>FUR-CH-10002126</t>
  </si>
  <si>
    <t>CA-2018-147039</t>
  </si>
  <si>
    <t>AA-10315</t>
  </si>
  <si>
    <t>Alex Avila</t>
  </si>
  <si>
    <t>CA-2015-126522</t>
  </si>
  <si>
    <t>LT-16765</t>
  </si>
  <si>
    <t>Larry Tron</t>
  </si>
  <si>
    <t>Escondido</t>
  </si>
  <si>
    <t>CA-2015-127964</t>
  </si>
  <si>
    <t>AP-10720</t>
  </si>
  <si>
    <t>Anne Pryor</t>
  </si>
  <si>
    <t>TEC-PH-10004700</t>
  </si>
  <si>
    <t>OFF-BI-10003429</t>
  </si>
  <si>
    <t>CA-2015-117709</t>
  </si>
  <si>
    <t>PM-18940</t>
  </si>
  <si>
    <t>Paul MacIntyre</t>
  </si>
  <si>
    <t>CA-2016-125416</t>
  </si>
  <si>
    <t>CA-2018-145226</t>
  </si>
  <si>
    <t>FUR-FU-10004952</t>
  </si>
  <si>
    <t>OFF-PA-10003172</t>
  </si>
  <si>
    <t>OFF-ST-10002352</t>
  </si>
  <si>
    <t>US-2015-100279</t>
  </si>
  <si>
    <t>14/03/2015</t>
  </si>
  <si>
    <t>Royal Oak</t>
  </si>
  <si>
    <t>OFF-PA-10002259</t>
  </si>
  <si>
    <t>CA-2015-158064</t>
  </si>
  <si>
    <t>25/04/2015</t>
  </si>
  <si>
    <t>OFF-BI-10002976</t>
  </si>
  <si>
    <t>US-2016-104430</t>
  </si>
  <si>
    <t>26/10/2016</t>
  </si>
  <si>
    <t>CA-2016-132080</t>
  </si>
  <si>
    <t>25/08/2016</t>
  </si>
  <si>
    <t>OFF-BI-10003694</t>
  </si>
  <si>
    <t>CA-2017-161207</t>
  </si>
  <si>
    <t>CA-2015-120243</t>
  </si>
  <si>
    <t>AT-10435</t>
  </si>
  <si>
    <t>Alyssa Tate</t>
  </si>
  <si>
    <t>OFF-LA-10004425</t>
  </si>
  <si>
    <t>CA-2017-113621</t>
  </si>
  <si>
    <t>Rockville</t>
  </si>
  <si>
    <t>FUR-CH-10001270</t>
  </si>
  <si>
    <t>CA-2017-168081</t>
  </si>
  <si>
    <t>CA-12055</t>
  </si>
  <si>
    <t>Cathy Armstrong</t>
  </si>
  <si>
    <t>CA-2015-128146</t>
  </si>
  <si>
    <t>TEC-PH-10004539</t>
  </si>
  <si>
    <t>OFF-AR-10001919</t>
  </si>
  <si>
    <t>CA-2018-138779</t>
  </si>
  <si>
    <t>15/01/2018</t>
  </si>
  <si>
    <t>TEC-PH-10003655</t>
  </si>
  <si>
    <t>CA-2015-127131</t>
  </si>
  <si>
    <t>30/11/2015</t>
  </si>
  <si>
    <t>HR-14830</t>
  </si>
  <si>
    <t>Harold Ryan</t>
  </si>
  <si>
    <t>OFF-BI-10004656</t>
  </si>
  <si>
    <t>OFF-ST-10002344</t>
  </si>
  <si>
    <t>CA-2018-117212</t>
  </si>
  <si>
    <t>28/02/2018</t>
  </si>
  <si>
    <t>BT-11530</t>
  </si>
  <si>
    <t>Bradley Talbott</t>
  </si>
  <si>
    <t>TEC-PH-10004447</t>
  </si>
  <si>
    <t>FUR-CH-10003973</t>
  </si>
  <si>
    <t>OFF-PA-10000682</t>
  </si>
  <si>
    <t>US-2016-130519</t>
  </si>
  <si>
    <t>15/09/2016</t>
  </si>
  <si>
    <t>Coral Springs</t>
  </si>
  <si>
    <t>FUR-FU-10002268</t>
  </si>
  <si>
    <t>CA-2017-130946</t>
  </si>
  <si>
    <t>TEC-AC-10001990</t>
  </si>
  <si>
    <t>FUR-CH-10004540</t>
  </si>
  <si>
    <t>CA-2017-114727</t>
  </si>
  <si>
    <t>OFF-ST-10002292</t>
  </si>
  <si>
    <t>CA-2018-133235</t>
  </si>
  <si>
    <t>LH-16750</t>
  </si>
  <si>
    <t>Larry Hughes</t>
  </si>
  <si>
    <t>CA-2017-137050</t>
  </si>
  <si>
    <t>18/07/2017</t>
  </si>
  <si>
    <t>SW-20755</t>
  </si>
  <si>
    <t>Steven Ward</t>
  </si>
  <si>
    <t>OFF-AR-10004999</t>
  </si>
  <si>
    <t>OFF-BI-10001031</t>
  </si>
  <si>
    <t>US-2018-118087</t>
  </si>
  <si>
    <t>13/09/2018</t>
  </si>
  <si>
    <t>SP-20620</t>
  </si>
  <si>
    <t>Stefania Perrino</t>
  </si>
  <si>
    <t>OFF-BI-10002432</t>
  </si>
  <si>
    <t>FUR-FU-10001867</t>
  </si>
  <si>
    <t>TEC-PH-10002200</t>
  </si>
  <si>
    <t>CA-2015-110184</t>
  </si>
  <si>
    <t>16/07/2015</t>
  </si>
  <si>
    <t>BF-11170</t>
  </si>
  <si>
    <t>Ben Ferrer</t>
  </si>
  <si>
    <t>TEC-PH-10000439</t>
  </si>
  <si>
    <t>CA-2017-126004</t>
  </si>
  <si>
    <t>OFF-PA-10001685</t>
  </si>
  <si>
    <t>OFF-ST-10001418</t>
  </si>
  <si>
    <t>OFF-ST-10000676</t>
  </si>
  <si>
    <t>CA-2018-100013</t>
  </si>
  <si>
    <t>OFF-AR-10001022</t>
  </si>
  <si>
    <t>CA-2016-132570</t>
  </si>
  <si>
    <t>KT-16480</t>
  </si>
  <si>
    <t>Kean Thornton</t>
  </si>
  <si>
    <t>Buffalo</t>
  </si>
  <si>
    <t>OFF-EN-10003055</t>
  </si>
  <si>
    <t>CA-2017-153682</t>
  </si>
  <si>
    <t>BG-11695</t>
  </si>
  <si>
    <t>Brooke Gillingham</t>
  </si>
  <si>
    <t>TEC-CO-10001046</t>
  </si>
  <si>
    <t>CA-2017-144344</t>
  </si>
  <si>
    <t>28/10/2017</t>
  </si>
  <si>
    <t>Boynton Beach</t>
  </si>
  <si>
    <t>FUR-FU-10000076</t>
  </si>
  <si>
    <t>FUR-FU-10003268</t>
  </si>
  <si>
    <t>CA-2015-127012</t>
  </si>
  <si>
    <t>GM-14680</t>
  </si>
  <si>
    <t>Greg Matthias</t>
  </si>
  <si>
    <t>FUR-FU-10003691</t>
  </si>
  <si>
    <t>OFF-AR-10003903</t>
  </si>
  <si>
    <t>CA-2017-128727</t>
  </si>
  <si>
    <t>TEC-PH-10003442</t>
  </si>
  <si>
    <t>US-2017-162859</t>
  </si>
  <si>
    <t>22/02/2017</t>
  </si>
  <si>
    <t>OFF-BI-10004519</t>
  </si>
  <si>
    <t>CA-2018-133641</t>
  </si>
  <si>
    <t>21/05/2018</t>
  </si>
  <si>
    <t>EJ-14155</t>
  </si>
  <si>
    <t>Eva Jacobs</t>
  </si>
  <si>
    <t>Gulfport</t>
  </si>
  <si>
    <t>OFF-EN-10004955</t>
  </si>
  <si>
    <t>CA-2015-168494</t>
  </si>
  <si>
    <t>14/12/2015</t>
  </si>
  <si>
    <t>NP-18700</t>
  </si>
  <si>
    <t>Nora Preis</t>
  </si>
  <si>
    <t>Fresno</t>
  </si>
  <si>
    <t>FUR-TA-10004619</t>
  </si>
  <si>
    <t>FUR-BO-10004467</t>
  </si>
  <si>
    <t>CA-2018-115602</t>
  </si>
  <si>
    <t>24/12/2018</t>
  </si>
  <si>
    <t>OFF-AR-10002280</t>
  </si>
  <si>
    <t>FUR-CH-10001708</t>
  </si>
  <si>
    <t>OFF-AR-10000462</t>
  </si>
  <si>
    <t>CA-2016-154956</t>
  </si>
  <si>
    <t>TEC-PH-10004165</t>
  </si>
  <si>
    <t>CA-2018-144638</t>
  </si>
  <si>
    <t>14/03/2018</t>
  </si>
  <si>
    <t>MH-18115</t>
  </si>
  <si>
    <t>Mick Hernandez</t>
  </si>
  <si>
    <t>FUR-FU-10003724</t>
  </si>
  <si>
    <t>FUR-FU-10003535</t>
  </si>
  <si>
    <t>US-2017-168620</t>
  </si>
  <si>
    <t>28/12/2017</t>
  </si>
  <si>
    <t>OFF-ST-10003716</t>
  </si>
  <si>
    <t>CA-2018-117079</t>
  </si>
  <si>
    <t>27/10/2018</t>
  </si>
  <si>
    <t>JR-15700</t>
  </si>
  <si>
    <t>Jocasta Rupert</t>
  </si>
  <si>
    <t>TEC-PH-10004586</t>
  </si>
  <si>
    <t>US-2017-144393</t>
  </si>
  <si>
    <t>SM-20950</t>
  </si>
  <si>
    <t>Suzanne McNair</t>
  </si>
  <si>
    <t>Greenville</t>
  </si>
  <si>
    <t>OFF-BI-10004236</t>
  </si>
  <si>
    <t>CA-2018-105053</t>
  </si>
  <si>
    <t>CA-2017-155992</t>
  </si>
  <si>
    <t>CC-12220</t>
  </si>
  <si>
    <t>Chris Cortes</t>
  </si>
  <si>
    <t>CA-2018-110380</t>
  </si>
  <si>
    <t>PF-19225</t>
  </si>
  <si>
    <t>Phillip Flathmann</t>
  </si>
  <si>
    <t>OFF-AR-10000422</t>
  </si>
  <si>
    <t>US-2015-167738</t>
  </si>
  <si>
    <t>29/12/2015</t>
  </si>
  <si>
    <t>CA-2018-121412</t>
  </si>
  <si>
    <t>27/09/2018</t>
  </si>
  <si>
    <t>CA-2018-100426</t>
  </si>
  <si>
    <t>DC-12850</t>
  </si>
  <si>
    <t>Dan Campbell</t>
  </si>
  <si>
    <t>OFF-PA-10002870</t>
  </si>
  <si>
    <t>US-2017-103646</t>
  </si>
  <si>
    <t>OFF-ST-10000563</t>
  </si>
  <si>
    <t>OFF-BI-10002854</t>
  </si>
  <si>
    <t>CA-2017-119186</t>
  </si>
  <si>
    <t>26/05/2017</t>
  </si>
  <si>
    <t>FUR-CH-10001973</t>
  </si>
  <si>
    <t>TEC-AC-10000580</t>
  </si>
  <si>
    <t>CA-2017-148698</t>
  </si>
  <si>
    <t>BD-11770</t>
  </si>
  <si>
    <t>Bryan Davis</t>
  </si>
  <si>
    <t>OFF-AR-10004022</t>
  </si>
  <si>
    <t>CA-2015-163293</t>
  </si>
  <si>
    <t>Macon</t>
  </si>
  <si>
    <t>TEC-AC-10004209</t>
  </si>
  <si>
    <t>TEC-AC-10000023</t>
  </si>
  <si>
    <t>CA-2017-160815</t>
  </si>
  <si>
    <t>Cedar Rapids</t>
  </si>
  <si>
    <t>TEC-PH-10003505</t>
  </si>
  <si>
    <t>CA-2018-122154</t>
  </si>
  <si>
    <t>OFF-LA-10000121</t>
  </si>
  <si>
    <t>OFF-BI-10002026</t>
  </si>
  <si>
    <t>OFF-PA-10000994</t>
  </si>
  <si>
    <t>US-2016-149692</t>
  </si>
  <si>
    <t>OFF-BI-10002813</t>
  </si>
  <si>
    <t>CA-2017-119445</t>
  </si>
  <si>
    <t>GM-14500</t>
  </si>
  <si>
    <t>Gene McClure</t>
  </si>
  <si>
    <t>Providence</t>
  </si>
  <si>
    <t>CA-2016-124268</t>
  </si>
  <si>
    <t>OFF-AR-10004817</t>
  </si>
  <si>
    <t>CA-2017-154711</t>
  </si>
  <si>
    <t>26/11/2017</t>
  </si>
  <si>
    <t>TB-21355</t>
  </si>
  <si>
    <t>Todd Boyes</t>
  </si>
  <si>
    <t>OFF-AR-10001860</t>
  </si>
  <si>
    <t>CA-2017-163384</t>
  </si>
  <si>
    <t>OFF-BI-10004970</t>
  </si>
  <si>
    <t>CA-2016-101707</t>
  </si>
  <si>
    <t>OFF-PA-10002968</t>
  </si>
  <si>
    <t>CA-2016-138898</t>
  </si>
  <si>
    <t>29/05/2016</t>
  </si>
  <si>
    <t>JH-16180</t>
  </si>
  <si>
    <t>Justin Hirsh</t>
  </si>
  <si>
    <t>Pueblo</t>
  </si>
  <si>
    <t>CA-2018-115427</t>
  </si>
  <si>
    <t>EB-13975</t>
  </si>
  <si>
    <t>Erica Bern</t>
  </si>
  <si>
    <t>CA-2017-134425</t>
  </si>
  <si>
    <t>QJ-19255</t>
  </si>
  <si>
    <t>Quincy Jones</t>
  </si>
  <si>
    <t>CA-2016-121391</t>
  </si>
  <si>
    <t>CA-2017-137043</t>
  </si>
  <si>
    <t>25/12/2017</t>
  </si>
  <si>
    <t>CA-2016-115847</t>
  </si>
  <si>
    <t>24/09/2016</t>
  </si>
  <si>
    <t>TC-21535</t>
  </si>
  <si>
    <t>Tracy Collins</t>
  </si>
  <si>
    <t>FUR-BO-10003433</t>
  </si>
  <si>
    <t>US-2018-126179</t>
  </si>
  <si>
    <t>CS-12460</t>
  </si>
  <si>
    <t>Chuck Sachs</t>
  </si>
  <si>
    <t>FUR-FU-10002554</t>
  </si>
  <si>
    <t>CA-2017-101966</t>
  </si>
  <si>
    <t>TEC-PH-10003437</t>
  </si>
  <si>
    <t>CA-2017-141397</t>
  </si>
  <si>
    <t>21/06/2017</t>
  </si>
  <si>
    <t>OFF-AP-10003971</t>
  </si>
  <si>
    <t>FUR-CH-10003846</t>
  </si>
  <si>
    <t>CA-2017-141082</t>
  </si>
  <si>
    <t>OFF-LA-10001404</t>
  </si>
  <si>
    <t>OFF-LA-10001474</t>
  </si>
  <si>
    <t>US-2017-134488</t>
  </si>
  <si>
    <t>CA-2017-145919</t>
  </si>
  <si>
    <t>23/12/2017</t>
  </si>
  <si>
    <t>HG-14965</t>
  </si>
  <si>
    <t>Henry Goldwyn</t>
  </si>
  <si>
    <t>OFF-PA-10003072</t>
  </si>
  <si>
    <t>FUR-FU-10004960</t>
  </si>
  <si>
    <t>CA-2018-157651</t>
  </si>
  <si>
    <t>TEC-AC-10003116</t>
  </si>
  <si>
    <t>CA-2015-160773</t>
  </si>
  <si>
    <t>LW-16825</t>
  </si>
  <si>
    <t>Laurel Workman</t>
  </si>
  <si>
    <t>Deltona</t>
  </si>
  <si>
    <t>CA-2018-167703</t>
  </si>
  <si>
    <t>MC-17575</t>
  </si>
  <si>
    <t>Matt Collins</t>
  </si>
  <si>
    <t>CA-2018-121804</t>
  </si>
  <si>
    <t>LP-17095</t>
  </si>
  <si>
    <t>Liz Preis</t>
  </si>
  <si>
    <t>Murray</t>
  </si>
  <si>
    <t>OFF-AP-10004859</t>
  </si>
  <si>
    <t>CA-2018-162635</t>
  </si>
  <si>
    <t>EB-14170</t>
  </si>
  <si>
    <t>Evan Bailliet</t>
  </si>
  <si>
    <t>OFF-PA-10002659</t>
  </si>
  <si>
    <t>CA-2015-107153</t>
  </si>
  <si>
    <t>GZ-14545</t>
  </si>
  <si>
    <t>George Zrebassa</t>
  </si>
  <si>
    <t>US-2015-117058</t>
  </si>
  <si>
    <t>30/05/2015</t>
  </si>
  <si>
    <t>OFF-BI-10004139</t>
  </si>
  <si>
    <t>CA-2016-120439</t>
  </si>
  <si>
    <t>18/06/2016</t>
  </si>
  <si>
    <t>CA-2017-128258</t>
  </si>
  <si>
    <t>CP-12085</t>
  </si>
  <si>
    <t>Cathy Prescott</t>
  </si>
  <si>
    <t>CA-2018-106033</t>
  </si>
  <si>
    <t>18/10/2018</t>
  </si>
  <si>
    <t>FG-14260</t>
  </si>
  <si>
    <t>Frank Gastineau</t>
  </si>
  <si>
    <t>OFF-AR-10002818</t>
  </si>
  <si>
    <t>CA-2017-142762</t>
  </si>
  <si>
    <t>27/05/2017</t>
  </si>
  <si>
    <t>LD-17005</t>
  </si>
  <si>
    <t>Lisa DeCherney</t>
  </si>
  <si>
    <t>CA-2018-127705</t>
  </si>
  <si>
    <t>AB-10255</t>
  </si>
  <si>
    <t>Alejandro Ballentine</t>
  </si>
  <si>
    <t>CA-2015-122567</t>
  </si>
  <si>
    <t>21/02/2015</t>
  </si>
  <si>
    <t>MN-17935</t>
  </si>
  <si>
    <t>Michael Nguyen</t>
  </si>
  <si>
    <t>OFF-AP-10001303</t>
  </si>
  <si>
    <t>CA-2015-121664</t>
  </si>
  <si>
    <t>CA-2017-122133</t>
  </si>
  <si>
    <t>JR-15670</t>
  </si>
  <si>
    <t>Jim Radford</t>
  </si>
  <si>
    <t>Middletown</t>
  </si>
  <si>
    <t>OFF-ST-10002574</t>
  </si>
  <si>
    <t>US-2018-123281</t>
  </si>
  <si>
    <t>JF-15190</t>
  </si>
  <si>
    <t>Jamie Frazer</t>
  </si>
  <si>
    <t>CA-2018-100524</t>
  </si>
  <si>
    <t>CM-12115</t>
  </si>
  <si>
    <t>Chad McGuire</t>
  </si>
  <si>
    <t>FUR-FU-10004018</t>
  </si>
  <si>
    <t>TEC-PH-10002549</t>
  </si>
  <si>
    <t>OFF-PA-10004911</t>
  </si>
  <si>
    <t>CA-2018-113481</t>
  </si>
  <si>
    <t>AS-10045</t>
  </si>
  <si>
    <t>Aaron Smayling</t>
  </si>
  <si>
    <t>TEC-MA-10002178</t>
  </si>
  <si>
    <t>CA-2016-131758</t>
  </si>
  <si>
    <t>Freeport</t>
  </si>
  <si>
    <t>OFF-AR-10000411</t>
  </si>
  <si>
    <t>OFF-LA-10000262</t>
  </si>
  <si>
    <t>CA-2015-118339</t>
  </si>
  <si>
    <t>24/03/2015</t>
  </si>
  <si>
    <t>OFF-PA-10000466</t>
  </si>
  <si>
    <t>OFF-AR-10003829</t>
  </si>
  <si>
    <t>OFF-BI-10001758</t>
  </si>
  <si>
    <t>OFF-BI-10000136</t>
  </si>
  <si>
    <t>CA-2015-153976</t>
  </si>
  <si>
    <t>BP-11290</t>
  </si>
  <si>
    <t>Beth Paige</t>
  </si>
  <si>
    <t>CA-2017-162901</t>
  </si>
  <si>
    <t>31/03/2017</t>
  </si>
  <si>
    <t>OFF-ST-10000649</t>
  </si>
  <si>
    <t>CA-2018-162978</t>
  </si>
  <si>
    <t>US-2015-160444</t>
  </si>
  <si>
    <t>CA-2017-145247</t>
  </si>
  <si>
    <t>ND-18370</t>
  </si>
  <si>
    <t>Natalie DeCherney</t>
  </si>
  <si>
    <t>OFF-PA-10003641</t>
  </si>
  <si>
    <t>CA-2018-160045</t>
  </si>
  <si>
    <t>LB-16735</t>
  </si>
  <si>
    <t>Larry Blacks</t>
  </si>
  <si>
    <t>US-2015-151925</t>
  </si>
  <si>
    <t>KT-16465</t>
  </si>
  <si>
    <t>Kean Takahito</t>
  </si>
  <si>
    <t>FUR-CH-10002961</t>
  </si>
  <si>
    <t>CA-2018-125199</t>
  </si>
  <si>
    <t>25/10/2018</t>
  </si>
  <si>
    <t>HM-14860</t>
  </si>
  <si>
    <t>Harry Marie</t>
  </si>
  <si>
    <t>OFF-PA-10004041</t>
  </si>
  <si>
    <t>TEC-PH-10001336</t>
  </si>
  <si>
    <t>US-2018-155425</t>
  </si>
  <si>
    <t>AB-10600</t>
  </si>
  <si>
    <t>Ann Blume</t>
  </si>
  <si>
    <t>TEC-MA-10003183</t>
  </si>
  <si>
    <t>TEC-AC-10001314</t>
  </si>
  <si>
    <t>CA-2018-133249</t>
  </si>
  <si>
    <t>SZ-20035</t>
  </si>
  <si>
    <t>Sam Zeldin</t>
  </si>
  <si>
    <t>Pico Rivera</t>
  </si>
  <si>
    <t>US-2016-103471</t>
  </si>
  <si>
    <t>28/12/2016</t>
  </si>
  <si>
    <t>CA-2018-136672</t>
  </si>
  <si>
    <t>MG-17890</t>
  </si>
  <si>
    <t>Michael Granlund</t>
  </si>
  <si>
    <t>TEC-AC-10004510</t>
  </si>
  <si>
    <t>US-2015-157021</t>
  </si>
  <si>
    <t>OFF-BI-10000042</t>
  </si>
  <si>
    <t>CA-2016-120362</t>
  </si>
  <si>
    <t>Provo</t>
  </si>
  <si>
    <t>FUR-TA-10003008</t>
  </si>
  <si>
    <t>CA-2015-126361</t>
  </si>
  <si>
    <t>Pleasant Grove</t>
  </si>
  <si>
    <t>OFF-AP-10003590</t>
  </si>
  <si>
    <t>OFF-PA-10000806</t>
  </si>
  <si>
    <t>OFF-AR-10000896</t>
  </si>
  <si>
    <t>TEC-PH-10002310</t>
  </si>
  <si>
    <t>OFF-ST-10002289</t>
  </si>
  <si>
    <t>US-2017-100566</t>
  </si>
  <si>
    <t>JK-16120</t>
  </si>
  <si>
    <t>Julie Kriz</t>
  </si>
  <si>
    <t>US-2017-108504</t>
  </si>
  <si>
    <t>PP-18955</t>
  </si>
  <si>
    <t>Paul Prost</t>
  </si>
  <si>
    <t>Smyrna</t>
  </si>
  <si>
    <t>OFF-PA-10001289</t>
  </si>
  <si>
    <t>OFF-FA-10000053</t>
  </si>
  <si>
    <t>OFF-EN-10003001</t>
  </si>
  <si>
    <t>CA-2018-124828</t>
  </si>
  <si>
    <t>YS-21880</t>
  </si>
  <si>
    <t>Yana Sorensen</t>
  </si>
  <si>
    <t>US-2018-117247</t>
  </si>
  <si>
    <t>14/10/2018</t>
  </si>
  <si>
    <t>FUR-TA-10002958</t>
  </si>
  <si>
    <t>FUR-TA-10001676</t>
  </si>
  <si>
    <t>CA-2017-124485</t>
  </si>
  <si>
    <t>OFF-BI-10000822</t>
  </si>
  <si>
    <t>OFF-PA-10004888</t>
  </si>
  <si>
    <t>CA-2017-159212</t>
  </si>
  <si>
    <t>KM-16375</t>
  </si>
  <si>
    <t>Katherine Murray</t>
  </si>
  <si>
    <t>US-2017-161396</t>
  </si>
  <si>
    <t>25/04/2017</t>
  </si>
  <si>
    <t>FUR-TA-10002622</t>
  </si>
  <si>
    <t>OFF-PA-10000418</t>
  </si>
  <si>
    <t>US-2015-118486</t>
  </si>
  <si>
    <t>FUR-TA-10001039</t>
  </si>
  <si>
    <t>CA-2017-130407</t>
  </si>
  <si>
    <t>OFF-AR-10002240</t>
  </si>
  <si>
    <t>US-2017-122245</t>
  </si>
  <si>
    <t>AB-10105</t>
  </si>
  <si>
    <t>Adrian Barton</t>
  </si>
  <si>
    <t>CA-2018-105144</t>
  </si>
  <si>
    <t>CA-2017-136329</t>
  </si>
  <si>
    <t>13/07/2017</t>
  </si>
  <si>
    <t>CA-2015-146640</t>
  </si>
  <si>
    <t>HA-14905</t>
  </si>
  <si>
    <t>Helen Abelman</t>
  </si>
  <si>
    <t>OFF-BI-10002867</t>
  </si>
  <si>
    <t>CA-2018-115994</t>
  </si>
  <si>
    <t>31/01/2018</t>
  </si>
  <si>
    <t>BT-11305</t>
  </si>
  <si>
    <t>Beth Thompson</t>
  </si>
  <si>
    <t>FUR-FU-10003976</t>
  </si>
  <si>
    <t>CA-2016-126697</t>
  </si>
  <si>
    <t>SV-20815</t>
  </si>
  <si>
    <t>Stuart Van</t>
  </si>
  <si>
    <t>TEC-PH-10002922</t>
  </si>
  <si>
    <t>CA-2016-124800</t>
  </si>
  <si>
    <t>RW-19540</t>
  </si>
  <si>
    <t>Rick Wilson</t>
  </si>
  <si>
    <t>OFF-PA-10000501</t>
  </si>
  <si>
    <t>OFF-AP-10004980</t>
  </si>
  <si>
    <t>TEC-PH-10001750</t>
  </si>
  <si>
    <t>US-2016-164448</t>
  </si>
  <si>
    <t>DK-12835</t>
  </si>
  <si>
    <t>Damala Kotsonis</t>
  </si>
  <si>
    <t>OFF-BI-10003708</t>
  </si>
  <si>
    <t>CA-2018-122700</t>
  </si>
  <si>
    <t>30/11/2018</t>
  </si>
  <si>
    <t>CA-2015-120768</t>
  </si>
  <si>
    <t>OFF-BI-10001191</t>
  </si>
  <si>
    <t>US-2017-153129</t>
  </si>
  <si>
    <t>30/12/2017</t>
  </si>
  <si>
    <t>OFF-PA-10003673</t>
  </si>
  <si>
    <t>CA-2018-106852</t>
  </si>
  <si>
    <t>ST-20530</t>
  </si>
  <si>
    <t>Shui Tom</t>
  </si>
  <si>
    <t>Parma</t>
  </si>
  <si>
    <t>OFF-PA-10001639</t>
  </si>
  <si>
    <t>CA-2016-139731</t>
  </si>
  <si>
    <t>15/10/2016</t>
  </si>
  <si>
    <t>TEC-AC-10004975</t>
  </si>
  <si>
    <t>CA-2018-122735</t>
  </si>
  <si>
    <t>OFF-BI-10004364</t>
  </si>
  <si>
    <t>OFF-PA-10001712</t>
  </si>
  <si>
    <t>CA-2018-128160</t>
  </si>
  <si>
    <t>MM-17920</t>
  </si>
  <si>
    <t>Michael Moore</t>
  </si>
  <si>
    <t>CA-2018-117695</t>
  </si>
  <si>
    <t>PW-19030</t>
  </si>
  <si>
    <t>Pauline Webber</t>
  </si>
  <si>
    <t>CA-2016-166135</t>
  </si>
  <si>
    <t>SC-20440</t>
  </si>
  <si>
    <t>Shaun Chance</t>
  </si>
  <si>
    <t>CA-2017-133725</t>
  </si>
  <si>
    <t>28/05/2017</t>
  </si>
  <si>
    <t>CA-2018-102337</t>
  </si>
  <si>
    <t>16/06/2018</t>
  </si>
  <si>
    <t>FUR-CH-10004289</t>
  </si>
  <si>
    <t>TEC-PH-10002564</t>
  </si>
  <si>
    <t>US-2015-112564</t>
  </si>
  <si>
    <t>24/04/2015</t>
  </si>
  <si>
    <t>OFF-BI-10004876</t>
  </si>
  <si>
    <t>CA-2016-145821</t>
  </si>
  <si>
    <t>TEC-PH-10004348</t>
  </si>
  <si>
    <t>US-2016-160150</t>
  </si>
  <si>
    <t>20/07/2016</t>
  </si>
  <si>
    <t>TS-21085</t>
  </si>
  <si>
    <t>Thais Sissman</t>
  </si>
  <si>
    <t>OFF-BI-10004352</t>
  </si>
  <si>
    <t>CA-2017-133711</t>
  </si>
  <si>
    <t>29/11/2017</t>
  </si>
  <si>
    <t>MC-17425</t>
  </si>
  <si>
    <t>Mark Cousins</t>
  </si>
  <si>
    <t>Mobile</t>
  </si>
  <si>
    <t>OFF-BI-10000666</t>
  </si>
  <si>
    <t>TEC-MA-10000010</t>
  </si>
  <si>
    <t>CA-2018-148474</t>
  </si>
  <si>
    <t>ME-17320</t>
  </si>
  <si>
    <t>Maria Etezadi</t>
  </si>
  <si>
    <t>OFF-BI-10000977</t>
  </si>
  <si>
    <t>FUR-TA-10002530</t>
  </si>
  <si>
    <t>CA-2016-111297</t>
  </si>
  <si>
    <t>21/08/2016</t>
  </si>
  <si>
    <t>New Bedford</t>
  </si>
  <si>
    <t>CA-2017-123722</t>
  </si>
  <si>
    <t>NH-18610</t>
  </si>
  <si>
    <t>Nicole Hansen</t>
  </si>
  <si>
    <t>Irving</t>
  </si>
  <si>
    <t>CA-2015-155271</t>
  </si>
  <si>
    <t>FUR-FU-10001473</t>
  </si>
  <si>
    <t>CA-2016-119907</t>
  </si>
  <si>
    <t>OFF-BI-10001765</t>
  </si>
  <si>
    <t>US-2017-128902</t>
  </si>
  <si>
    <t>15/03/2017</t>
  </si>
  <si>
    <t>MB-18085</t>
  </si>
  <si>
    <t>Mick Brown</t>
  </si>
  <si>
    <t>Vineland</t>
  </si>
  <si>
    <t>CA-2017-152289</t>
  </si>
  <si>
    <t>US-2017-104794</t>
  </si>
  <si>
    <t>KD-16495</t>
  </si>
  <si>
    <t>Keith Dawkins</t>
  </si>
  <si>
    <t>CA-2015-151708</t>
  </si>
  <si>
    <t>14/08/2015</t>
  </si>
  <si>
    <t>Glendale</t>
  </si>
  <si>
    <t>CA-2016-100769</t>
  </si>
  <si>
    <t>16/05/2016</t>
  </si>
  <si>
    <t>CA-2018-139199</t>
  </si>
  <si>
    <t>FUR-CH-10000847</t>
  </si>
  <si>
    <t>OFF-PA-10001293</t>
  </si>
  <si>
    <t>US-2016-161466</t>
  </si>
  <si>
    <t>27/09/2016</t>
  </si>
  <si>
    <t>OFF-AR-10000634</t>
  </si>
  <si>
    <t>CA-2018-164959</t>
  </si>
  <si>
    <t>KN-16390</t>
  </si>
  <si>
    <t>Katherine Nockton</t>
  </si>
  <si>
    <t>US-2016-105676</t>
  </si>
  <si>
    <t>FUR-FU-10004270</t>
  </si>
  <si>
    <t>CA-2017-113138</t>
  </si>
  <si>
    <t>25/11/2017</t>
  </si>
  <si>
    <t>NP-18685</t>
  </si>
  <si>
    <t>Nora Pelletier</t>
  </si>
  <si>
    <t>Niagara Falls</t>
  </si>
  <si>
    <t>OFF-AR-10003770</t>
  </si>
  <si>
    <t>US-2018-104955</t>
  </si>
  <si>
    <t>24/03/2018</t>
  </si>
  <si>
    <t>OFF-LA-10003121</t>
  </si>
  <si>
    <t>CA-2017-121958</t>
  </si>
  <si>
    <t>CS-12505</t>
  </si>
  <si>
    <t>Cindy Stewart</t>
  </si>
  <si>
    <t>Thomasville</t>
  </si>
  <si>
    <t>CA-2018-121468</t>
  </si>
  <si>
    <t>20/11/2018</t>
  </si>
  <si>
    <t>Westminster</t>
  </si>
  <si>
    <t>US-2017-108455</t>
  </si>
  <si>
    <t>OFF-PA-10002262</t>
  </si>
  <si>
    <t>OFF-PA-10002464</t>
  </si>
  <si>
    <t>OFF-ST-10002214</t>
  </si>
  <si>
    <t>CA-2018-101210</t>
  </si>
  <si>
    <t>OFF-PA-10000130</t>
  </si>
  <si>
    <t>US-2017-108098</t>
  </si>
  <si>
    <t>18/10/2017</t>
  </si>
  <si>
    <t>TEC-AC-10000865</t>
  </si>
  <si>
    <t>CA-2015-119032</t>
  </si>
  <si>
    <t>MS-17770</t>
  </si>
  <si>
    <t>Maxwell Schwartz</t>
  </si>
  <si>
    <t>OFF-FA-10003021</t>
  </si>
  <si>
    <t>CA-2016-140410</t>
  </si>
  <si>
    <t>CM-12655</t>
  </si>
  <si>
    <t>Corinna Mitchell</t>
  </si>
  <si>
    <t>TEC-PH-10003580</t>
  </si>
  <si>
    <t>TEC-AC-10001109</t>
  </si>
  <si>
    <t>CA-2015-136280</t>
  </si>
  <si>
    <t>Co-12640</t>
  </si>
  <si>
    <t>Corey Lock</t>
  </si>
  <si>
    <t>Corey</t>
  </si>
  <si>
    <t>Lock</t>
  </si>
  <si>
    <t>CA-2018-151911</t>
  </si>
  <si>
    <t>CA-2018-166436</t>
  </si>
  <si>
    <t>TS-21370</t>
  </si>
  <si>
    <t>Todd Sumrall</t>
  </si>
  <si>
    <t>OFF-PA-10001838</t>
  </si>
  <si>
    <t>CA-2018-139661</t>
  </si>
  <si>
    <t>JW-15220</t>
  </si>
  <si>
    <t>Jane Waco</t>
  </si>
  <si>
    <t>CA-2015-123925</t>
  </si>
  <si>
    <t>19/12/2015</t>
  </si>
  <si>
    <t>CA-2018-152485</t>
  </si>
  <si>
    <t>JD-15790</t>
  </si>
  <si>
    <t>John Dryer</t>
  </si>
  <si>
    <t>Coppell</t>
  </si>
  <si>
    <t>OFF-ST-10004950</t>
  </si>
  <si>
    <t>CA-2017-141586</t>
  </si>
  <si>
    <t>20/10/2017</t>
  </si>
  <si>
    <t>CA-2018-130386</t>
  </si>
  <si>
    <t>18/11/2018</t>
  </si>
  <si>
    <t xml:space="preserve">Year </t>
  </si>
  <si>
    <t>Aug</t>
  </si>
  <si>
    <t>Qtr 3</t>
  </si>
  <si>
    <t>Claire</t>
  </si>
  <si>
    <t>Gute</t>
  </si>
  <si>
    <t>Dec</t>
  </si>
  <si>
    <t>Qtr 4</t>
  </si>
  <si>
    <t>Darrin</t>
  </si>
  <si>
    <t>Van</t>
  </si>
  <si>
    <t>Huff</t>
  </si>
  <si>
    <t>Nov</t>
  </si>
  <si>
    <t>Sean</t>
  </si>
  <si>
    <t>O'Donnell</t>
  </si>
  <si>
    <t>Sep</t>
  </si>
  <si>
    <t>Brosina</t>
  </si>
  <si>
    <t>Hoffman</t>
  </si>
  <si>
    <t>Apr</t>
  </si>
  <si>
    <t>Qtr 2</t>
  </si>
  <si>
    <t>Andrew</t>
  </si>
  <si>
    <t>Allen</t>
  </si>
  <si>
    <t>May</t>
  </si>
  <si>
    <t>Irene</t>
  </si>
  <si>
    <t>Maddox</t>
  </si>
  <si>
    <t>Harold</t>
  </si>
  <si>
    <t>Pawlan</t>
  </si>
  <si>
    <t>Pete</t>
  </si>
  <si>
    <t>Kriz</t>
  </si>
  <si>
    <t>Alejandro</t>
  </si>
  <si>
    <t>Grove</t>
  </si>
  <si>
    <t>Zuschuss</t>
  </si>
  <si>
    <t>Donatelli</t>
  </si>
  <si>
    <t>Ken</t>
  </si>
  <si>
    <t>Black</t>
  </si>
  <si>
    <t>Jul</t>
  </si>
  <si>
    <t>Sandra</t>
  </si>
  <si>
    <t>Flanagan</t>
  </si>
  <si>
    <t>Emily</t>
  </si>
  <si>
    <t>Burns</t>
  </si>
  <si>
    <t>Jan</t>
  </si>
  <si>
    <t>Qtr 1</t>
  </si>
  <si>
    <t>Eric</t>
  </si>
  <si>
    <t>Hoffmann</t>
  </si>
  <si>
    <t>Tracy</t>
  </si>
  <si>
    <t>Blumstein</t>
  </si>
  <si>
    <t>Oct</t>
  </si>
  <si>
    <t>Matt</t>
  </si>
  <si>
    <t>Abelman</t>
  </si>
  <si>
    <t>Gene</t>
  </si>
  <si>
    <t>Hale</t>
  </si>
  <si>
    <t>Steve</t>
  </si>
  <si>
    <t>Nguyen</t>
  </si>
  <si>
    <t>Linda</t>
  </si>
  <si>
    <t>Cazamias</t>
  </si>
  <si>
    <t>Ruben</t>
  </si>
  <si>
    <t>Ausman</t>
  </si>
  <si>
    <t>Erin</t>
  </si>
  <si>
    <t>Smith</t>
  </si>
  <si>
    <t>Odella</t>
  </si>
  <si>
    <t>Nelson</t>
  </si>
  <si>
    <t>Patrick</t>
  </si>
  <si>
    <t>Jun</t>
  </si>
  <si>
    <t>Lena</t>
  </si>
  <si>
    <t>Hernandez</t>
  </si>
  <si>
    <t>Darren</t>
  </si>
  <si>
    <t>Powers</t>
  </si>
  <si>
    <t>Janet</t>
  </si>
  <si>
    <t>Molinari</t>
  </si>
  <si>
    <t>Ted</t>
  </si>
  <si>
    <t>Butterfield</t>
  </si>
  <si>
    <t>Kunst</t>
  </si>
  <si>
    <t>Miller</t>
  </si>
  <si>
    <t>Paul</t>
  </si>
  <si>
    <t>Stevenson</t>
  </si>
  <si>
    <t>Brendan</t>
  </si>
  <si>
    <t>Sweed</t>
  </si>
  <si>
    <t>Karen</t>
  </si>
  <si>
    <t>Daniels</t>
  </si>
  <si>
    <t>Henry</t>
  </si>
  <si>
    <t>MacAllister</t>
  </si>
  <si>
    <t>Joel</t>
  </si>
  <si>
    <t>Eaton</t>
  </si>
  <si>
    <t>Brennan</t>
  </si>
  <si>
    <t>Stewart</t>
  </si>
  <si>
    <t>Carmichael</t>
  </si>
  <si>
    <t>Duane</t>
  </si>
  <si>
    <t>Noonan</t>
  </si>
  <si>
    <t>Mar</t>
  </si>
  <si>
    <t>Julie</t>
  </si>
  <si>
    <t>Creighton</t>
  </si>
  <si>
    <t>Christopher</t>
  </si>
  <si>
    <t>Schild</t>
  </si>
  <si>
    <t>Gonzalez</t>
  </si>
  <si>
    <t>Gary</t>
  </si>
  <si>
    <t>Mitchum</t>
  </si>
  <si>
    <t>Jim</t>
  </si>
  <si>
    <t>Sink</t>
  </si>
  <si>
    <t>Karl</t>
  </si>
  <si>
    <t>Braun</t>
  </si>
  <si>
    <t>Roger</t>
  </si>
  <si>
    <t>Barcio</t>
  </si>
  <si>
    <t>Parhena</t>
  </si>
  <si>
    <t>Norris</t>
  </si>
  <si>
    <t>Katherine</t>
  </si>
  <si>
    <t>Ducich</t>
  </si>
  <si>
    <t>Elpida</t>
  </si>
  <si>
    <t>Rittenbach</t>
  </si>
  <si>
    <t>Rick</t>
  </si>
  <si>
    <t>Bensley</t>
  </si>
  <si>
    <t>Zandusky</t>
  </si>
  <si>
    <t>Cacioppo</t>
  </si>
  <si>
    <t>Martin</t>
  </si>
  <si>
    <t>Armstrong</t>
  </si>
  <si>
    <t>Cynthia</t>
  </si>
  <si>
    <t>Voltz</t>
  </si>
  <si>
    <t>Clay</t>
  </si>
  <si>
    <t>Ludtke</t>
  </si>
  <si>
    <t>Ryan</t>
  </si>
  <si>
    <t>Crowe</t>
  </si>
  <si>
    <t>Feb</t>
  </si>
  <si>
    <t>Dave</t>
  </si>
  <si>
    <t>Kipp</t>
  </si>
  <si>
    <t>Greg</t>
  </si>
  <si>
    <t>Guthrie</t>
  </si>
  <si>
    <t>Steven</t>
  </si>
  <si>
    <t>Cartwright</t>
  </si>
  <si>
    <t>Alan</t>
  </si>
  <si>
    <t>Dominguez</t>
  </si>
  <si>
    <t>Philip</t>
  </si>
  <si>
    <t>Fox</t>
  </si>
  <si>
    <t>Staebel</t>
  </si>
  <si>
    <t>Lindsay</t>
  </si>
  <si>
    <t>Shagiari</t>
  </si>
  <si>
    <t>Dorothy</t>
  </si>
  <si>
    <t>Wardle</t>
  </si>
  <si>
    <t>Jonathan</t>
  </si>
  <si>
    <t>Doherty</t>
  </si>
  <si>
    <t>Sally</t>
  </si>
  <si>
    <t>Hughsby</t>
  </si>
  <si>
    <t>Glassco</t>
  </si>
  <si>
    <t>Helen</t>
  </si>
  <si>
    <t>Andreada</t>
  </si>
  <si>
    <t>Maureen</t>
  </si>
  <si>
    <t>Gastineau</t>
  </si>
  <si>
    <t>Justin</t>
  </si>
  <si>
    <t>Ellison</t>
  </si>
  <si>
    <t>Tamara</t>
  </si>
  <si>
    <t>Willingham</t>
  </si>
  <si>
    <t>Stephanie</t>
  </si>
  <si>
    <t>Phelps</t>
  </si>
  <si>
    <t>Neil</t>
  </si>
  <si>
    <t>Knudson</t>
  </si>
  <si>
    <t>Brooks</t>
  </si>
  <si>
    <t>Nora</t>
  </si>
  <si>
    <t>Paige</t>
  </si>
  <si>
    <t>Trevino</t>
  </si>
  <si>
    <t>Murdock</t>
  </si>
  <si>
    <t>Dartt</t>
  </si>
  <si>
    <t>Max</t>
  </si>
  <si>
    <t>Jones</t>
  </si>
  <si>
    <t>Becky</t>
  </si>
  <si>
    <t>Chad</t>
  </si>
  <si>
    <t>Sievert</t>
  </si>
  <si>
    <t>Jennifer</t>
  </si>
  <si>
    <t>Braxton</t>
  </si>
  <si>
    <t>Shirley</t>
  </si>
  <si>
    <t>David</t>
  </si>
  <si>
    <t>Kendrick</t>
  </si>
  <si>
    <t>Robert</t>
  </si>
  <si>
    <t>Marley</t>
  </si>
  <si>
    <t>Knutson</t>
  </si>
  <si>
    <t>Frank</t>
  </si>
  <si>
    <t>Merwin</t>
  </si>
  <si>
    <t>Alice</t>
  </si>
  <si>
    <t>McCarthy</t>
  </si>
  <si>
    <t>Mark</t>
  </si>
  <si>
    <t>Packer</t>
  </si>
  <si>
    <t>Mary</t>
  </si>
  <si>
    <t>Zewe</t>
  </si>
  <si>
    <t>Cassandra</t>
  </si>
  <si>
    <t>Brandow</t>
  </si>
  <si>
    <t>Valerie</t>
  </si>
  <si>
    <t>Fred</t>
  </si>
  <si>
    <t>Hopkins</t>
  </si>
  <si>
    <t>Maria</t>
  </si>
  <si>
    <t>Bertelson</t>
  </si>
  <si>
    <t>Bruce</t>
  </si>
  <si>
    <t>Logan</t>
  </si>
  <si>
    <t>Currie</t>
  </si>
  <si>
    <t>Heather</t>
  </si>
  <si>
    <t>Kirkland</t>
  </si>
  <si>
    <t>Laurel</t>
  </si>
  <si>
    <t>Elliston</t>
  </si>
  <si>
    <t>Joseph</t>
  </si>
  <si>
    <t>Holt</t>
  </si>
  <si>
    <t>Michael</t>
  </si>
  <si>
    <t>Victoria</t>
  </si>
  <si>
    <t>Wilson</t>
  </si>
  <si>
    <t>Howell</t>
  </si>
  <si>
    <t>Joni</t>
  </si>
  <si>
    <t>Ashbrook</t>
  </si>
  <si>
    <t>Bremer</t>
  </si>
  <si>
    <t>Lonsdale</t>
  </si>
  <si>
    <t>Dianna</t>
  </si>
  <si>
    <t>Haushalter</t>
  </si>
  <si>
    <t>Kelly</t>
  </si>
  <si>
    <t>Collister</t>
  </si>
  <si>
    <t>Delfina</t>
  </si>
  <si>
    <t>Latchford</t>
  </si>
  <si>
    <t>Dan</t>
  </si>
  <si>
    <t>Reichenbach</t>
  </si>
  <si>
    <t>Craig</t>
  </si>
  <si>
    <t>Carreira</t>
  </si>
  <si>
    <t>Dorris</t>
  </si>
  <si>
    <t>liebe</t>
  </si>
  <si>
    <t>Roy</t>
  </si>
  <si>
    <t>Collins</t>
  </si>
  <si>
    <t>Hwang</t>
  </si>
  <si>
    <t>Claudia</t>
  </si>
  <si>
    <t>Bergmann</t>
  </si>
  <si>
    <t>Christine</t>
  </si>
  <si>
    <t>Kristen</t>
  </si>
  <si>
    <t>Hastings</t>
  </si>
  <si>
    <t>Barry</t>
  </si>
  <si>
    <t>Gjertsen</t>
  </si>
  <si>
    <t>Jas</t>
  </si>
  <si>
    <t>O'Carroll</t>
  </si>
  <si>
    <t>Haines</t>
  </si>
  <si>
    <t>Nick</t>
  </si>
  <si>
    <t>Lampkin</t>
  </si>
  <si>
    <t>Schoenberger</t>
  </si>
  <si>
    <t>Roper</t>
  </si>
  <si>
    <t>Shahid</t>
  </si>
  <si>
    <t>Ben</t>
  </si>
  <si>
    <t>Peterman</t>
  </si>
  <si>
    <t>Thomas</t>
  </si>
  <si>
    <t>Seio</t>
  </si>
  <si>
    <t>Andy</t>
  </si>
  <si>
    <t>Gerbode</t>
  </si>
  <si>
    <t>Sung</t>
  </si>
  <si>
    <t>Pak</t>
  </si>
  <si>
    <t>Nathan</t>
  </si>
  <si>
    <t>Mautz</t>
  </si>
  <si>
    <t>Atkinson</t>
  </si>
  <si>
    <t>Grace</t>
  </si>
  <si>
    <t>Don</t>
  </si>
  <si>
    <t>O'Brill</t>
  </si>
  <si>
    <t>John</t>
  </si>
  <si>
    <t>Lucas</t>
  </si>
  <si>
    <t>Doug</t>
  </si>
  <si>
    <t>Bickford</t>
  </si>
  <si>
    <t>Alyssa</t>
  </si>
  <si>
    <t>Crouse</t>
  </si>
  <si>
    <t>Cheatham</t>
  </si>
  <si>
    <t>Dahlen</t>
  </si>
  <si>
    <t>Adam</t>
  </si>
  <si>
    <t>Bellavance</t>
  </si>
  <si>
    <t>Jeremy</t>
  </si>
  <si>
    <t>Katrina</t>
  </si>
  <si>
    <t>Willman</t>
  </si>
  <si>
    <t>Julia</t>
  </si>
  <si>
    <t>Dunbar</t>
  </si>
  <si>
    <t>Kennedy</t>
  </si>
  <si>
    <t>Guy</t>
  </si>
  <si>
    <t>Thornton</t>
  </si>
  <si>
    <t>Arthur</t>
  </si>
  <si>
    <t>Gainer</t>
  </si>
  <si>
    <t>Muhammed</t>
  </si>
  <si>
    <t>MacIntyre</t>
  </si>
  <si>
    <t>Rosenblatt</t>
  </si>
  <si>
    <t>Russell</t>
  </si>
  <si>
    <t>Applegate</t>
  </si>
  <si>
    <t>Savely</t>
  </si>
  <si>
    <t>Laura</t>
  </si>
  <si>
    <t>Denny</t>
  </si>
  <si>
    <t>Ordway</t>
  </si>
  <si>
    <t>Dean</t>
  </si>
  <si>
    <t>Katz</t>
  </si>
  <si>
    <t>Gelder</t>
  </si>
  <si>
    <t>Mike</t>
  </si>
  <si>
    <t>Vittorini</t>
  </si>
  <si>
    <t>Jack</t>
  </si>
  <si>
    <t>Garza</t>
  </si>
  <si>
    <t>Bart</t>
  </si>
  <si>
    <t>Pistole</t>
  </si>
  <si>
    <t>Victor</t>
  </si>
  <si>
    <t>Preis</t>
  </si>
  <si>
    <t>Saphhira</t>
  </si>
  <si>
    <t>Shifley</t>
  </si>
  <si>
    <t>Anna</t>
  </si>
  <si>
    <t>Gayman</t>
  </si>
  <si>
    <t>Luke</t>
  </si>
  <si>
    <t>Foster</t>
  </si>
  <si>
    <t>Französisch</t>
  </si>
  <si>
    <t>Keith</t>
  </si>
  <si>
    <t>Herrera</t>
  </si>
  <si>
    <t>Kimberly</t>
  </si>
  <si>
    <t>Carter</t>
  </si>
  <si>
    <t>Caroline</t>
  </si>
  <si>
    <t>Jumper</t>
  </si>
  <si>
    <t>Brown</t>
  </si>
  <si>
    <t>Natalie</t>
  </si>
  <si>
    <t>Fritzler</t>
  </si>
  <si>
    <t>Heidel</t>
  </si>
  <si>
    <t>Ross</t>
  </si>
  <si>
    <t>Baird</t>
  </si>
  <si>
    <t>Philisse</t>
  </si>
  <si>
    <t>Overcash</t>
  </si>
  <si>
    <t>Brenda</t>
  </si>
  <si>
    <t>Bowman</t>
  </si>
  <si>
    <t>Blackwell</t>
  </si>
  <si>
    <t>Raymond</t>
  </si>
  <si>
    <t>Buch</t>
  </si>
  <si>
    <t>Ed</t>
  </si>
  <si>
    <t>Sanjit</t>
  </si>
  <si>
    <t>Chand</t>
  </si>
  <si>
    <t>Tanja</t>
  </si>
  <si>
    <t>Norvell</t>
  </si>
  <si>
    <t>Sundaresam</t>
  </si>
  <si>
    <t>Maya</t>
  </si>
  <si>
    <t>Herman</t>
  </si>
  <si>
    <t>Pistek</t>
  </si>
  <si>
    <t>Grady</t>
  </si>
  <si>
    <t>Xylona</t>
  </si>
  <si>
    <t>Mull</t>
  </si>
  <si>
    <t>Michelle</t>
  </si>
  <si>
    <t>Tran</t>
  </si>
  <si>
    <t>Sue</t>
  </si>
  <si>
    <t>Ann</t>
  </si>
  <si>
    <t>Reed</t>
  </si>
  <si>
    <t>Carl</t>
  </si>
  <si>
    <t>Weiss</t>
  </si>
  <si>
    <t>Astrea</t>
  </si>
  <si>
    <t>Sonia</t>
  </si>
  <si>
    <t>Sunley</t>
  </si>
  <si>
    <t>Rose</t>
  </si>
  <si>
    <t>O'Brian</t>
  </si>
  <si>
    <t>Maribeth</t>
  </si>
  <si>
    <t>Dona</t>
  </si>
  <si>
    <t>Yedwab</t>
  </si>
  <si>
    <t>Martinez</t>
  </si>
  <si>
    <t>Lynn</t>
  </si>
  <si>
    <t>Bradley</t>
  </si>
  <si>
    <t>Braden</t>
  </si>
  <si>
    <t>Connell</t>
  </si>
  <si>
    <t>Brian</t>
  </si>
  <si>
    <t>Patricia</t>
  </si>
  <si>
    <t>Hirasaki</t>
  </si>
  <si>
    <t>Gockenbach</t>
  </si>
  <si>
    <t>Bern</t>
  </si>
  <si>
    <t>Jasper</t>
  </si>
  <si>
    <t>Rob</t>
  </si>
  <si>
    <t>Armold</t>
  </si>
  <si>
    <t>Phan</t>
  </si>
  <si>
    <t>Koutras</t>
  </si>
  <si>
    <t>Drucker</t>
  </si>
  <si>
    <t>Liz</t>
  </si>
  <si>
    <t>MacKendrick</t>
  </si>
  <si>
    <t>Adrian</t>
  </si>
  <si>
    <t>Shami</t>
  </si>
  <si>
    <t>Bill</t>
  </si>
  <si>
    <t>Ashley</t>
  </si>
  <si>
    <t>Jarboe</t>
  </si>
  <si>
    <t>Olvera</t>
  </si>
  <si>
    <t>Toch</t>
  </si>
  <si>
    <t>Pelletier</t>
  </si>
  <si>
    <t>Arntzen</t>
  </si>
  <si>
    <t>Farry</t>
  </si>
  <si>
    <t>Ellis</t>
  </si>
  <si>
    <t>Ballard</t>
  </si>
  <si>
    <t>Ferguson</t>
  </si>
  <si>
    <t>Sarah</t>
  </si>
  <si>
    <t>Trudy</t>
  </si>
  <si>
    <t>Glocke</t>
  </si>
  <si>
    <t>Carlos</t>
  </si>
  <si>
    <t>Soltero</t>
  </si>
  <si>
    <t>Charles</t>
  </si>
  <si>
    <t>Crestani</t>
  </si>
  <si>
    <t>Degenhardt</t>
  </si>
  <si>
    <t>Carroll</t>
  </si>
  <si>
    <t>Melanie</t>
  </si>
  <si>
    <t>Seite</t>
  </si>
  <si>
    <t>Radford</t>
  </si>
  <si>
    <t>Theone</t>
  </si>
  <si>
    <t>Pippenger</t>
  </si>
  <si>
    <t>Chloris</t>
  </si>
  <si>
    <t>Kastensmidt</t>
  </si>
  <si>
    <t>Shonely</t>
  </si>
  <si>
    <t>Roberts</t>
  </si>
  <si>
    <t>Nona</t>
  </si>
  <si>
    <t>Balk</t>
  </si>
  <si>
    <t>Giulietta</t>
  </si>
  <si>
    <t>Dortch</t>
  </si>
  <si>
    <t>Clytie</t>
  </si>
  <si>
    <t>Kelty</t>
  </si>
  <si>
    <t>Nat</t>
  </si>
  <si>
    <t>Gilpin</t>
  </si>
  <si>
    <t>Christina</t>
  </si>
  <si>
    <t>Anderson</t>
  </si>
  <si>
    <t>Sylvia</t>
  </si>
  <si>
    <t>Foulston</t>
  </si>
  <si>
    <t>Meg</t>
  </si>
  <si>
    <t>O'Connel</t>
  </si>
  <si>
    <t>Annie</t>
  </si>
  <si>
    <t>Thurman</t>
  </si>
  <si>
    <t>McMath</t>
  </si>
  <si>
    <t>Joy</t>
  </si>
  <si>
    <t>Engle</t>
  </si>
  <si>
    <t>Deggeller</t>
  </si>
  <si>
    <t>Lee</t>
  </si>
  <si>
    <t>Christensen</t>
  </si>
  <si>
    <t>Chuck</t>
  </si>
  <si>
    <t>Clark</t>
  </si>
  <si>
    <t>Anthony</t>
  </si>
  <si>
    <t>Rawles</t>
  </si>
  <si>
    <t>Roelle</t>
  </si>
  <si>
    <t>Reiter</t>
  </si>
  <si>
    <t>Eugene</t>
  </si>
  <si>
    <t>Hildebrand</t>
  </si>
  <si>
    <t>Sibella</t>
  </si>
  <si>
    <t>Parks</t>
  </si>
  <si>
    <t>Tiffany</t>
  </si>
  <si>
    <t>House</t>
  </si>
  <si>
    <t>Resi</t>
  </si>
  <si>
    <t>Pölking</t>
  </si>
  <si>
    <t>Beeghly</t>
  </si>
  <si>
    <t>Carol</t>
  </si>
  <si>
    <t>Darley</t>
  </si>
  <si>
    <t>Jacobs</t>
  </si>
  <si>
    <t>Grant</t>
  </si>
  <si>
    <t>Chen</t>
  </si>
  <si>
    <t>Ralph</t>
  </si>
  <si>
    <t>Arnett</t>
  </si>
  <si>
    <t>Naresj</t>
  </si>
  <si>
    <t>Patel</t>
  </si>
  <si>
    <t>Barnes</t>
  </si>
  <si>
    <t>Jesus</t>
  </si>
  <si>
    <t>Ocampo</t>
  </si>
  <si>
    <t>Jay</t>
  </si>
  <si>
    <t>Kimmel</t>
  </si>
  <si>
    <t>Brad</t>
  </si>
  <si>
    <t>Philippe</t>
  </si>
  <si>
    <t>Prichep</t>
  </si>
  <si>
    <t>Roland</t>
  </si>
  <si>
    <t>Schwarz</t>
  </si>
  <si>
    <t>Seth</t>
  </si>
  <si>
    <t>Vernon</t>
  </si>
  <si>
    <t>Kargatis</t>
  </si>
  <si>
    <t>DeVincentis</t>
  </si>
  <si>
    <t>Mathew</t>
  </si>
  <si>
    <t>Reese</t>
  </si>
  <si>
    <t>Chapman</t>
  </si>
  <si>
    <t>Fein</t>
  </si>
  <si>
    <t>Sayre</t>
  </si>
  <si>
    <t>Phillina</t>
  </si>
  <si>
    <t>Ober</t>
  </si>
  <si>
    <t>Shariari</t>
  </si>
  <si>
    <t>Peter</t>
  </si>
  <si>
    <t>Bühler</t>
  </si>
  <si>
    <t>Fjeld</t>
  </si>
  <si>
    <t>Yoseph</t>
  </si>
  <si>
    <t>Debra</t>
  </si>
  <si>
    <t>Catini</t>
  </si>
  <si>
    <t>Lisa</t>
  </si>
  <si>
    <t>Hazard</t>
  </si>
  <si>
    <t>Chris</t>
  </si>
  <si>
    <t>Selesnick</t>
  </si>
  <si>
    <t>Johnson</t>
  </si>
  <si>
    <t>Benjamin</t>
  </si>
  <si>
    <t>Venier</t>
  </si>
  <si>
    <t>Lawera</t>
  </si>
  <si>
    <t>Bryan</t>
  </si>
  <si>
    <t>Mills</t>
  </si>
  <si>
    <t>Thompson</t>
  </si>
  <si>
    <t>Joe</t>
  </si>
  <si>
    <t>Kamberova</t>
  </si>
  <si>
    <t>Erica</t>
  </si>
  <si>
    <t>Hansen</t>
  </si>
  <si>
    <t>Daly</t>
  </si>
  <si>
    <t>Wasserman</t>
  </si>
  <si>
    <t>Caudle</t>
  </si>
  <si>
    <t>McGarr</t>
  </si>
  <si>
    <t>Pauline</t>
  </si>
  <si>
    <t>Watters</t>
  </si>
  <si>
    <t>Toby</t>
  </si>
  <si>
    <t>Ritter</t>
  </si>
  <si>
    <t>Gardner</t>
  </si>
  <si>
    <t>James</t>
  </si>
  <si>
    <t>Lanier</t>
  </si>
  <si>
    <t>Moss</t>
  </si>
  <si>
    <t>Eudokia</t>
  </si>
  <si>
    <t>Art</t>
  </si>
  <si>
    <t>Cyma</t>
  </si>
  <si>
    <t>Kinney</t>
  </si>
  <si>
    <t>Poirier</t>
  </si>
  <si>
    <t>Berenike</t>
  </si>
  <si>
    <t>Kampe</t>
  </si>
  <si>
    <t>Magee</t>
  </si>
  <si>
    <t>Southworth</t>
  </si>
  <si>
    <t>Phonely</t>
  </si>
  <si>
    <t>Matthias</t>
  </si>
  <si>
    <t>Garverick</t>
  </si>
  <si>
    <t>McVee</t>
  </si>
  <si>
    <t>Lauren</t>
  </si>
  <si>
    <t>Leatherbury</t>
  </si>
  <si>
    <t>Jill</t>
  </si>
  <si>
    <t>Ludwig</t>
  </si>
  <si>
    <t>Pamela</t>
  </si>
  <si>
    <t>Coakley</t>
  </si>
  <si>
    <t>Hunter</t>
  </si>
  <si>
    <t>Lopez</t>
  </si>
  <si>
    <t>Schnelling</t>
  </si>
  <si>
    <t>George</t>
  </si>
  <si>
    <t>Bell</t>
  </si>
  <si>
    <t>Eplett</t>
  </si>
  <si>
    <t>Sample</t>
  </si>
  <si>
    <t>Company</t>
  </si>
  <si>
    <t>A</t>
  </si>
  <si>
    <t>Williams</t>
  </si>
  <si>
    <t>Hart</t>
  </si>
  <si>
    <t>Jessica</t>
  </si>
  <si>
    <t>Myrick</t>
  </si>
  <si>
    <t>Jenkins</t>
  </si>
  <si>
    <t>Catherine</t>
  </si>
  <si>
    <t>Glotzbach</t>
  </si>
  <si>
    <t>Rachel</t>
  </si>
  <si>
    <t>Payne</t>
  </si>
  <si>
    <t>Carlisle</t>
  </si>
  <si>
    <t>Hughes</t>
  </si>
  <si>
    <t>Scott</t>
  </si>
  <si>
    <t>Williamson</t>
  </si>
  <si>
    <t>Airdo</t>
  </si>
  <si>
    <t>Daniel</t>
  </si>
  <si>
    <t>Lacy</t>
  </si>
  <si>
    <t>Brumley</t>
  </si>
  <si>
    <t>Spruell</t>
  </si>
  <si>
    <t>Waldorf</t>
  </si>
  <si>
    <t>Zic</t>
  </si>
  <si>
    <t>Steele</t>
  </si>
  <si>
    <t>Swindell</t>
  </si>
  <si>
    <t>Sara</t>
  </si>
  <si>
    <t>Luxemburg</t>
  </si>
  <si>
    <t>Mitch</t>
  </si>
  <si>
    <t>Dowd</t>
  </si>
  <si>
    <t>Akin</t>
  </si>
  <si>
    <t>Tillman</t>
  </si>
  <si>
    <t>Vivek</t>
  </si>
  <si>
    <t>Kalyca</t>
  </si>
  <si>
    <t>Meade</t>
  </si>
  <si>
    <t>District Of Columbia</t>
  </si>
  <si>
    <t>Hallie</t>
  </si>
  <si>
    <t>Redmond</t>
  </si>
  <si>
    <t>Deanra</t>
  </si>
  <si>
    <t>Eno</t>
  </si>
  <si>
    <t>Goldenen</t>
  </si>
  <si>
    <t>Halladay</t>
  </si>
  <si>
    <t>Dilbeck</t>
  </si>
  <si>
    <t>O'Rourke</t>
  </si>
  <si>
    <t>Noel</t>
  </si>
  <si>
    <t>Staavos</t>
  </si>
  <si>
    <t>Deirdre</t>
  </si>
  <si>
    <t>Greer</t>
  </si>
  <si>
    <t>Nicole</t>
  </si>
  <si>
    <t>Matthew</t>
  </si>
  <si>
    <t>Grinstein</t>
  </si>
  <si>
    <t>Theresa</t>
  </si>
  <si>
    <t>Swint</t>
  </si>
  <si>
    <t>DeCherney</t>
  </si>
  <si>
    <t>McCrossin</t>
  </si>
  <si>
    <t>Skye</t>
  </si>
  <si>
    <t>Norling</t>
  </si>
  <si>
    <t>Olsen</t>
  </si>
  <si>
    <t>Maurice</t>
  </si>
  <si>
    <t>Satty</t>
  </si>
  <si>
    <t>Cunningham</t>
  </si>
  <si>
    <t>Penelope</t>
  </si>
  <si>
    <t>Sewall</t>
  </si>
  <si>
    <t>Hugh</t>
  </si>
  <si>
    <t>Neoma</t>
  </si>
  <si>
    <t>Dionis</t>
  </si>
  <si>
    <t>Lloyd</t>
  </si>
  <si>
    <t>Hawley</t>
  </si>
  <si>
    <t>Alex</t>
  </si>
  <si>
    <t>Avila</t>
  </si>
  <si>
    <t>Larry</t>
  </si>
  <si>
    <t>Tron</t>
  </si>
  <si>
    <t>Anne</t>
  </si>
  <si>
    <t>Pryor</t>
  </si>
  <si>
    <t>Tate</t>
  </si>
  <si>
    <t>Cathy</t>
  </si>
  <si>
    <t>Talbott</t>
  </si>
  <si>
    <t>Ward</t>
  </si>
  <si>
    <t>Stefania</t>
  </si>
  <si>
    <t>Perrino</t>
  </si>
  <si>
    <t>Ferrer</t>
  </si>
  <si>
    <t>Kean</t>
  </si>
  <si>
    <t>Brooke</t>
  </si>
  <si>
    <t>Gillingham</t>
  </si>
  <si>
    <t>Eva</t>
  </si>
  <si>
    <t>Mick</t>
  </si>
  <si>
    <t>Jocasta</t>
  </si>
  <si>
    <t>Rupert</t>
  </si>
  <si>
    <t>Suzanne</t>
  </si>
  <si>
    <t>McNair</t>
  </si>
  <si>
    <t>Cortes</t>
  </si>
  <si>
    <t>Phillip</t>
  </si>
  <si>
    <t>Flathmann</t>
  </si>
  <si>
    <t>Campbell</t>
  </si>
  <si>
    <t>Davis</t>
  </si>
  <si>
    <t>McClure</t>
  </si>
  <si>
    <t>Todd</t>
  </si>
  <si>
    <t>Boyes</t>
  </si>
  <si>
    <t>Hirsh</t>
  </si>
  <si>
    <t>Sachs</t>
  </si>
  <si>
    <t>Goldwyn</t>
  </si>
  <si>
    <t>Workman</t>
  </si>
  <si>
    <t>Evan</t>
  </si>
  <si>
    <t>Bailliet</t>
  </si>
  <si>
    <t>Zrebassa</t>
  </si>
  <si>
    <t>Prescott</t>
  </si>
  <si>
    <t>Ballentine</t>
  </si>
  <si>
    <t>Jamie</t>
  </si>
  <si>
    <t>Frazer</t>
  </si>
  <si>
    <t>McGuire</t>
  </si>
  <si>
    <t>Aaron</t>
  </si>
  <si>
    <t>Smayling</t>
  </si>
  <si>
    <t>Beth</t>
  </si>
  <si>
    <t>Blacks</t>
  </si>
  <si>
    <t>Takahito</t>
  </si>
  <si>
    <t>Harry</t>
  </si>
  <si>
    <t>Marie</t>
  </si>
  <si>
    <t>Blume</t>
  </si>
  <si>
    <t>Sam</t>
  </si>
  <si>
    <t>Zeldin</t>
  </si>
  <si>
    <t>Granlund</t>
  </si>
  <si>
    <t>Prost</t>
  </si>
  <si>
    <t>Yana</t>
  </si>
  <si>
    <t>Sorensen</t>
  </si>
  <si>
    <t>Barton</t>
  </si>
  <si>
    <t>Stuart</t>
  </si>
  <si>
    <t>Damala</t>
  </si>
  <si>
    <t>Kotsonis</t>
  </si>
  <si>
    <t>Shui</t>
  </si>
  <si>
    <t>Tom</t>
  </si>
  <si>
    <t>Moore</t>
  </si>
  <si>
    <t>Webber</t>
  </si>
  <si>
    <t>Shaun</t>
  </si>
  <si>
    <t>Chance</t>
  </si>
  <si>
    <t>Thais</t>
  </si>
  <si>
    <t>Sissman</t>
  </si>
  <si>
    <t>Cousins</t>
  </si>
  <si>
    <t>Etezadi</t>
  </si>
  <si>
    <t>Dawkins</t>
  </si>
  <si>
    <t>Nockton</t>
  </si>
  <si>
    <t>Cindy</t>
  </si>
  <si>
    <t>Maxwell</t>
  </si>
  <si>
    <t>Schwartz</t>
  </si>
  <si>
    <t>Corinna</t>
  </si>
  <si>
    <t>Mitchell</t>
  </si>
  <si>
    <t>Sumrall</t>
  </si>
  <si>
    <t>Jane</t>
  </si>
  <si>
    <t>Waco</t>
  </si>
  <si>
    <t>Dryer</t>
  </si>
  <si>
    <t>1. Retrieve the total sales for each category in the dataset.</t>
  </si>
  <si>
    <t>2. Find the top 5 customers based on their total profit.</t>
  </si>
  <si>
    <t>3.  Calculate the average quantity sold for each customer segment.</t>
  </si>
  <si>
    <t>4. Retrieve details of orders shipped using the "Second Class" ship mode.</t>
  </si>
  <si>
    <t>5.  Get the total sales and profit for each region.</t>
  </si>
  <si>
    <t>6. Find orders where the profit is greater than 500.</t>
  </si>
  <si>
    <t>There were none so I did sales instead.</t>
  </si>
  <si>
    <t>1. List the distinct states present in the dataset.</t>
  </si>
  <si>
    <t xml:space="preserve">Could not get this to work </t>
  </si>
  <si>
    <t>8. Identify the top 3 selling products based on quantity sold.</t>
  </si>
  <si>
    <t>9. Retrieve details of orders shipped to California.</t>
  </si>
  <si>
    <t>10. Get the total sales and cost for the "Furniture" category.</t>
  </si>
  <si>
    <t>Global Superstore</t>
  </si>
  <si>
    <t xml:space="preserve">Total Sales </t>
  </si>
  <si>
    <t>Sales Dashboard - United States - 2015 - 2018</t>
  </si>
  <si>
    <t>Sales by Qtr</t>
  </si>
  <si>
    <t>Sales by State as %</t>
  </si>
  <si>
    <t>Total Profit by Year</t>
  </si>
  <si>
    <t>Profit by Region</t>
  </si>
  <si>
    <t>Profit by Category</t>
  </si>
  <si>
    <t>SUM of Total Profit</t>
  </si>
  <si>
    <t>Grand Total</t>
  </si>
  <si>
    <t>SUM of Total Sales</t>
  </si>
  <si>
    <t>Columns</t>
  </si>
  <si>
    <t>Rows</t>
  </si>
  <si>
    <t>Values</t>
  </si>
  <si>
    <t>SUM of Total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</si>
</sst>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quot;/&quot;d&quot;/&quot;yyyy"/>
    <numFmt numFmtId="165" formatCode="m/d/yyyy"/>
    <numFmt numFmtId="166" formatCode="\$#,##0.00"/>
    <numFmt numFmtId="167" formatCode="[$$]#,##0.00"/>
  </numFmts>
  <fonts count="11">
    <font>
      <sz val="10"/>
      <color rgb="FF000000"/>
      <name val="Arial"/>
      <scheme val="minor"/>
    </font>
    <font>
      <sz val="10"/>
      <color theme="1"/>
      <name val="Arial"/>
      <scheme val="minor"/>
    </font>
    <font>
      <sz val="9"/>
      <color rgb="FF000000"/>
      <name val="&quot;Google Sans Mono&quot;"/>
    </font>
    <font>
      <sz val="14"/>
      <color theme="1"/>
      <name val="Calibri"/>
    </font>
    <font>
      <sz val="11"/>
      <color rgb="FF000000"/>
      <name val="&quot;Söhne Mono&quot;"/>
    </font>
    <font>
      <b/>
      <sz val="13"/>
      <color theme="1"/>
      <name val="Arial"/>
      <scheme val="minor"/>
    </font>
    <font>
      <sz val="10"/>
      <name val="Arial"/>
    </font>
    <font>
      <b/>
      <sz val="11"/>
      <color theme="1"/>
      <name val="Arial"/>
      <scheme val="minor"/>
    </font>
    <font>
      <b/>
      <sz val="10"/>
      <color theme="1"/>
      <name val="Arial"/>
      <scheme val="minor"/>
    </font>
    <font>
      <sz val="9"/>
      <color theme="1"/>
      <name val="Arial"/>
      <scheme val="minor"/>
    </font>
    <font>
      <sz val="2"/>
      <color theme="1"/>
      <name val="Arial"/>
      <scheme val="minor"/>
    </font>
  </fonts>
  <fills count="5">
    <fill>
      <patternFill patternType="none"/>
    </fill>
    <fill>
      <patternFill patternType="gray125"/>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s>
  <borders count="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9">
    <xf numFmtId="0" fontId="0" fillId="0" borderId="0" xfId="0"/>
    <xf numFmtId="0" fontId="1" fillId="0" borderId="0" xfId="0" applyFont="1"/>
    <xf numFmtId="164" fontId="1" fillId="0" borderId="0" xfId="0" applyNumberFormat="1" applyFont="1" applyAlignment="1">
      <alignment horizontal="right"/>
    </xf>
    <xf numFmtId="0" fontId="1" fillId="0" borderId="0" xfId="0" applyFont="1" applyAlignment="1">
      <alignment horizontal="right"/>
    </xf>
    <xf numFmtId="0" fontId="1" fillId="0" borderId="0" xfId="0" applyFont="1" applyAlignment="1">
      <alignment horizontal="left"/>
    </xf>
    <xf numFmtId="165" fontId="1" fillId="0" borderId="0" xfId="0" applyNumberFormat="1" applyFont="1" applyAlignment="1">
      <alignment horizontal="right"/>
    </xf>
    <xf numFmtId="165" fontId="2" fillId="2" borderId="0" xfId="0" applyNumberFormat="1" applyFont="1" applyFill="1"/>
    <xf numFmtId="166" fontId="1" fillId="0" borderId="0" xfId="0" applyNumberFormat="1" applyFont="1"/>
    <xf numFmtId="164" fontId="1" fillId="0" borderId="0" xfId="0" applyNumberFormat="1" applyFont="1"/>
    <xf numFmtId="167" fontId="1" fillId="0" borderId="0" xfId="0" applyNumberFormat="1" applyFont="1"/>
    <xf numFmtId="49" fontId="1" fillId="0" borderId="0" xfId="0" applyNumberFormat="1" applyFont="1"/>
    <xf numFmtId="165" fontId="1" fillId="0" borderId="0" xfId="0" applyNumberFormat="1" applyFont="1"/>
    <xf numFmtId="4" fontId="1" fillId="0" borderId="0" xfId="0" applyNumberFormat="1" applyFont="1"/>
    <xf numFmtId="0" fontId="3" fillId="0" borderId="0" xfId="0" applyFont="1"/>
    <xf numFmtId="0" fontId="2" fillId="2" borderId="0" xfId="0" applyFont="1" applyFill="1"/>
    <xf numFmtId="2" fontId="1" fillId="0" borderId="0" xfId="0" applyNumberFormat="1" applyFont="1"/>
    <xf numFmtId="0" fontId="4" fillId="2" borderId="0" xfId="0" applyFont="1" applyFill="1" applyAlignment="1">
      <alignment horizontal="left"/>
    </xf>
    <xf numFmtId="0" fontId="1" fillId="3" borderId="0" xfId="0" applyFont="1" applyFill="1"/>
    <xf numFmtId="4" fontId="7" fillId="4" borderId="3" xfId="0" applyNumberFormat="1" applyFont="1" applyFill="1" applyBorder="1" applyAlignment="1">
      <alignment horizontal="center"/>
    </xf>
    <xf numFmtId="167" fontId="8" fillId="3" borderId="3" xfId="0" applyNumberFormat="1" applyFont="1" applyFill="1" applyBorder="1" applyAlignment="1">
      <alignment horizontal="center"/>
    </xf>
    <xf numFmtId="0" fontId="9" fillId="3" borderId="0" xfId="0" applyFont="1" applyFill="1"/>
    <xf numFmtId="0" fontId="10" fillId="3" borderId="0" xfId="0" applyFont="1" applyFill="1"/>
    <xf numFmtId="167" fontId="1" fillId="3" borderId="0" xfId="0" applyNumberFormat="1" applyFont="1" applyFill="1"/>
    <xf numFmtId="4" fontId="1" fillId="3" borderId="0" xfId="0" applyNumberFormat="1" applyFont="1" applyFill="1"/>
    <xf numFmtId="49" fontId="1" fillId="3" borderId="0" xfId="0" applyNumberFormat="1" applyFont="1" applyFill="1"/>
    <xf numFmtId="4" fontId="5" fillId="4" borderId="1" xfId="0" applyNumberFormat="1" applyFont="1" applyFill="1" applyBorder="1" applyAlignment="1">
      <alignment horizontal="center"/>
    </xf>
    <xf numFmtId="0" fontId="6" fillId="0" borderId="2" xfId="0" applyFont="1" applyBorder="1"/>
    <xf numFmtId="0" fontId="6" fillId="0" borderId="4" xfId="0" applyFont="1" applyBorder="1"/>
    <xf numFmtId="4" fontId="7" fillId="4"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col"/>
        <c:grouping val="clustered"/>
        <c:varyColors val="1"/>
        <c:ser>
          <c:idx val="0"/>
          <c:order val="0"/>
          <c:spPr>
            <a:solidFill>
              <a:schemeClr val="accent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BarType val="both"/>
            <c:errValType val="percentage"/>
            <c:noEndCap val="0"/>
            <c:val val="10"/>
          </c:errBars>
          <c:cat>
            <c:strRef>
              <c:f>'Dashboard '!$D$51:$D$54</c:f>
              <c:strCache>
                <c:ptCount val="4"/>
                <c:pt idx="0">
                  <c:v>Qtr 1</c:v>
                </c:pt>
                <c:pt idx="1">
                  <c:v>Qtr 2</c:v>
                </c:pt>
                <c:pt idx="2">
                  <c:v>Qtr 3</c:v>
                </c:pt>
                <c:pt idx="3">
                  <c:v>Qtr 4</c:v>
                </c:pt>
              </c:strCache>
            </c:strRef>
          </c:cat>
          <c:val>
            <c:numRef>
              <c:f>'Dashboard '!$E$51:$E$54</c:f>
              <c:numCache>
                <c:formatCode>[$$]#,##0.00</c:formatCode>
                <c:ptCount val="4"/>
                <c:pt idx="0">
                  <c:v>302698.89460000006</c:v>
                </c:pt>
                <c:pt idx="1">
                  <c:v>366489.62900000007</c:v>
                </c:pt>
                <c:pt idx="2">
                  <c:v>581456.71070000064</c:v>
                </c:pt>
                <c:pt idx="3">
                  <c:v>506383.76050000062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442-46DA-AFBB-561FE7AB7EE5}"/>
            </c:ext>
          </c:extLst>
        </c:ser>
        <c:dLbls>
          <c:showLegendKey val="0"/>
          <c:showVal val="0"/>
          <c:showCatName val="0"/>
          <c:showSerName val="0"/>
          <c:showPercent val="0"/>
          <c:showBubbleSize val="0"/>
        </c:dLbls>
        <c:gapWidth val="150"/>
        <c:axId val="816888257"/>
        <c:axId val="1833430056"/>
      </c:barChart>
      <c:catAx>
        <c:axId val="816888257"/>
        <c:scaling>
          <c:orientation val="minMax"/>
        </c:scaling>
        <c:delete val="0"/>
        <c:axPos val="b"/>
        <c:title>
          <c:tx>
            <c:rich>
              <a:bodyPr/>
              <a:lstStyle/>
              <a:p>
                <a:pPr lvl="0">
                  <a:defRPr sz="1400"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833430056"/>
        <c:crosses val="autoZero"/>
        <c:auto val="1"/>
        <c:lblAlgn val="ctr"/>
        <c:lblOffset val="100"/>
        <c:noMultiLvlLbl val="1"/>
      </c:catAx>
      <c:valAx>
        <c:axId val="1833430056"/>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1688825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spPr>
    <a:solidFill>
      <a:srgbClr val="C9DAF8"/>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pieChart>
        <c:varyColors val="1"/>
        <c:ser>
          <c:idx val="0"/>
          <c:order val="0"/>
          <c:tx>
            <c:strRef>
              <c:f>'Dashboard '!$H$50</c:f>
              <c:strCache>
                <c:ptCount val="1"/>
                <c:pt idx="0">
                  <c:v>SUM of Total Sales</c:v>
                </c:pt>
              </c:strCache>
            </c:strRef>
          </c:tx>
          <c:dPt>
            <c:idx val="0"/>
            <c:bubble3D val="0"/>
            <c:spPr>
              <a:solidFill>
                <a:srgbClr val="4285F4"/>
              </a:solidFill>
            </c:spPr>
            <c:extLst>
              <c:ext xmlns:c16="http://schemas.microsoft.com/office/drawing/2014/chart" uri="{C3380CC4-5D6E-409C-BE32-E72D297353CC}">
                <c16:uniqueId val="{00000001-9020-448D-8BE1-A273082F788D}"/>
              </c:ext>
            </c:extLst>
          </c:dPt>
          <c:dPt>
            <c:idx val="1"/>
            <c:bubble3D val="0"/>
            <c:spPr>
              <a:solidFill>
                <a:srgbClr val="EA4335"/>
              </a:solidFill>
            </c:spPr>
            <c:extLst>
              <c:ext xmlns:c16="http://schemas.microsoft.com/office/drawing/2014/chart" uri="{C3380CC4-5D6E-409C-BE32-E72D297353CC}">
                <c16:uniqueId val="{00000003-9020-448D-8BE1-A273082F788D}"/>
              </c:ext>
            </c:extLst>
          </c:dPt>
          <c:dPt>
            <c:idx val="2"/>
            <c:bubble3D val="0"/>
            <c:spPr>
              <a:solidFill>
                <a:srgbClr val="FBBC04"/>
              </a:solidFill>
            </c:spPr>
            <c:extLst>
              <c:ext xmlns:c16="http://schemas.microsoft.com/office/drawing/2014/chart" uri="{C3380CC4-5D6E-409C-BE32-E72D297353CC}">
                <c16:uniqueId val="{00000005-9020-448D-8BE1-A273082F788D}"/>
              </c:ext>
            </c:extLst>
          </c:dPt>
          <c:dPt>
            <c:idx val="3"/>
            <c:bubble3D val="0"/>
            <c:spPr>
              <a:solidFill>
                <a:srgbClr val="34A853"/>
              </a:solidFill>
            </c:spPr>
            <c:extLst>
              <c:ext xmlns:c16="http://schemas.microsoft.com/office/drawing/2014/chart" uri="{C3380CC4-5D6E-409C-BE32-E72D297353CC}">
                <c16:uniqueId val="{00000007-9020-448D-8BE1-A273082F788D}"/>
              </c:ext>
            </c:extLst>
          </c:dPt>
          <c:dPt>
            <c:idx val="4"/>
            <c:bubble3D val="0"/>
            <c:spPr>
              <a:solidFill>
                <a:srgbClr val="FF6D01"/>
              </a:solidFill>
            </c:spPr>
            <c:extLst>
              <c:ext xmlns:c16="http://schemas.microsoft.com/office/drawing/2014/chart" uri="{C3380CC4-5D6E-409C-BE32-E72D297353CC}">
                <c16:uniqueId val="{00000009-9020-448D-8BE1-A273082F788D}"/>
              </c:ext>
            </c:extLst>
          </c:dPt>
          <c:dPt>
            <c:idx val="5"/>
            <c:bubble3D val="0"/>
            <c:spPr>
              <a:solidFill>
                <a:srgbClr val="46BDC6"/>
              </a:solidFill>
            </c:spPr>
            <c:extLst>
              <c:ext xmlns:c16="http://schemas.microsoft.com/office/drawing/2014/chart" uri="{C3380CC4-5D6E-409C-BE32-E72D297353CC}">
                <c16:uniqueId val="{0000000B-9020-448D-8BE1-A273082F788D}"/>
              </c:ext>
            </c:extLst>
          </c:dPt>
          <c:dPt>
            <c:idx val="6"/>
            <c:bubble3D val="0"/>
            <c:spPr>
              <a:solidFill>
                <a:srgbClr val="7BAAF7"/>
              </a:solidFill>
            </c:spPr>
            <c:extLst>
              <c:ext xmlns:c16="http://schemas.microsoft.com/office/drawing/2014/chart" uri="{C3380CC4-5D6E-409C-BE32-E72D297353CC}">
                <c16:uniqueId val="{0000000D-9020-448D-8BE1-A273082F788D}"/>
              </c:ext>
            </c:extLst>
          </c:dPt>
          <c:dPt>
            <c:idx val="7"/>
            <c:bubble3D val="0"/>
            <c:spPr>
              <a:solidFill>
                <a:srgbClr val="F07B72"/>
              </a:solidFill>
            </c:spPr>
            <c:extLst>
              <c:ext xmlns:c16="http://schemas.microsoft.com/office/drawing/2014/chart" uri="{C3380CC4-5D6E-409C-BE32-E72D297353CC}">
                <c16:uniqueId val="{0000000F-9020-448D-8BE1-A273082F788D}"/>
              </c:ext>
            </c:extLst>
          </c:dPt>
          <c:dPt>
            <c:idx val="8"/>
            <c:bubble3D val="0"/>
            <c:spPr>
              <a:solidFill>
                <a:srgbClr val="FCD04F"/>
              </a:solidFill>
            </c:spPr>
            <c:extLst>
              <c:ext xmlns:c16="http://schemas.microsoft.com/office/drawing/2014/chart" uri="{C3380CC4-5D6E-409C-BE32-E72D297353CC}">
                <c16:uniqueId val="{00000011-9020-448D-8BE1-A273082F788D}"/>
              </c:ext>
            </c:extLst>
          </c:dPt>
          <c:dPt>
            <c:idx val="9"/>
            <c:bubble3D val="0"/>
            <c:spPr>
              <a:solidFill>
                <a:srgbClr val="71C287"/>
              </a:solidFill>
            </c:spPr>
            <c:extLst>
              <c:ext xmlns:c16="http://schemas.microsoft.com/office/drawing/2014/chart" uri="{C3380CC4-5D6E-409C-BE32-E72D297353CC}">
                <c16:uniqueId val="{00000013-9020-448D-8BE1-A273082F788D}"/>
              </c:ext>
            </c:extLst>
          </c:dPt>
          <c:dPt>
            <c:idx val="10"/>
            <c:bubble3D val="0"/>
            <c:spPr>
              <a:solidFill>
                <a:srgbClr val="FF994D"/>
              </a:solidFill>
            </c:spPr>
            <c:extLst>
              <c:ext xmlns:c16="http://schemas.microsoft.com/office/drawing/2014/chart" uri="{C3380CC4-5D6E-409C-BE32-E72D297353CC}">
                <c16:uniqueId val="{00000015-9020-448D-8BE1-A273082F788D}"/>
              </c:ext>
            </c:extLst>
          </c:dPt>
          <c:dPt>
            <c:idx val="11"/>
            <c:bubble3D val="0"/>
            <c:spPr>
              <a:solidFill>
                <a:srgbClr val="7ED1D7"/>
              </a:solidFill>
            </c:spPr>
            <c:extLst>
              <c:ext xmlns:c16="http://schemas.microsoft.com/office/drawing/2014/chart" uri="{C3380CC4-5D6E-409C-BE32-E72D297353CC}">
                <c16:uniqueId val="{00000017-9020-448D-8BE1-A273082F788D}"/>
              </c:ext>
            </c:extLst>
          </c:dPt>
          <c:dPt>
            <c:idx val="12"/>
            <c:bubble3D val="0"/>
            <c:spPr>
              <a:solidFill>
                <a:srgbClr val="B3CEFB"/>
              </a:solidFill>
            </c:spPr>
            <c:extLst>
              <c:ext xmlns:c16="http://schemas.microsoft.com/office/drawing/2014/chart" uri="{C3380CC4-5D6E-409C-BE32-E72D297353CC}">
                <c16:uniqueId val="{00000019-9020-448D-8BE1-A273082F788D}"/>
              </c:ext>
            </c:extLst>
          </c:dPt>
          <c:dPt>
            <c:idx val="13"/>
            <c:bubble3D val="0"/>
            <c:spPr>
              <a:solidFill>
                <a:srgbClr val="F7B4AE"/>
              </a:solidFill>
            </c:spPr>
            <c:extLst>
              <c:ext xmlns:c16="http://schemas.microsoft.com/office/drawing/2014/chart" uri="{C3380CC4-5D6E-409C-BE32-E72D297353CC}">
                <c16:uniqueId val="{0000001B-9020-448D-8BE1-A273082F788D}"/>
              </c:ext>
            </c:extLst>
          </c:dPt>
          <c:dPt>
            <c:idx val="14"/>
            <c:bubble3D val="0"/>
            <c:spPr>
              <a:solidFill>
                <a:srgbClr val="FDE49B"/>
              </a:solidFill>
            </c:spPr>
            <c:extLst>
              <c:ext xmlns:c16="http://schemas.microsoft.com/office/drawing/2014/chart" uri="{C3380CC4-5D6E-409C-BE32-E72D297353CC}">
                <c16:uniqueId val="{0000001D-9020-448D-8BE1-A273082F788D}"/>
              </c:ext>
            </c:extLst>
          </c:dPt>
          <c:dPt>
            <c:idx val="15"/>
            <c:bubble3D val="0"/>
            <c:spPr>
              <a:solidFill>
                <a:srgbClr val="AEDCBA"/>
              </a:solidFill>
            </c:spPr>
            <c:extLst>
              <c:ext xmlns:c16="http://schemas.microsoft.com/office/drawing/2014/chart" uri="{C3380CC4-5D6E-409C-BE32-E72D297353CC}">
                <c16:uniqueId val="{0000001F-9020-448D-8BE1-A273082F788D}"/>
              </c:ext>
            </c:extLst>
          </c:dPt>
          <c:dPt>
            <c:idx val="16"/>
            <c:bubble3D val="0"/>
            <c:spPr>
              <a:solidFill>
                <a:srgbClr val="FFC599"/>
              </a:solidFill>
            </c:spPr>
            <c:extLst>
              <c:ext xmlns:c16="http://schemas.microsoft.com/office/drawing/2014/chart" uri="{C3380CC4-5D6E-409C-BE32-E72D297353CC}">
                <c16:uniqueId val="{00000021-9020-448D-8BE1-A273082F788D}"/>
              </c:ext>
            </c:extLst>
          </c:dPt>
          <c:dPt>
            <c:idx val="17"/>
            <c:bubble3D val="0"/>
            <c:spPr>
              <a:solidFill>
                <a:srgbClr val="B5E5E8"/>
              </a:solidFill>
            </c:spPr>
            <c:extLst>
              <c:ext xmlns:c16="http://schemas.microsoft.com/office/drawing/2014/chart" uri="{C3380CC4-5D6E-409C-BE32-E72D297353CC}">
                <c16:uniqueId val="{00000023-9020-448D-8BE1-A273082F788D}"/>
              </c:ext>
            </c:extLst>
          </c:dPt>
          <c:dPt>
            <c:idx val="18"/>
            <c:bubble3D val="0"/>
            <c:spPr>
              <a:solidFill>
                <a:srgbClr val="ECF3FE"/>
              </a:solidFill>
            </c:spPr>
            <c:extLst>
              <c:ext xmlns:c16="http://schemas.microsoft.com/office/drawing/2014/chart" uri="{C3380CC4-5D6E-409C-BE32-E72D297353CC}">
                <c16:uniqueId val="{00000025-9020-448D-8BE1-A273082F788D}"/>
              </c:ext>
            </c:extLst>
          </c:dPt>
          <c:dPt>
            <c:idx val="19"/>
            <c:bubble3D val="0"/>
            <c:spPr>
              <a:solidFill>
                <a:srgbClr val="FDECEB"/>
              </a:solidFill>
            </c:spPr>
            <c:extLst>
              <c:ext xmlns:c16="http://schemas.microsoft.com/office/drawing/2014/chart" uri="{C3380CC4-5D6E-409C-BE32-E72D297353CC}">
                <c16:uniqueId val="{00000027-9020-448D-8BE1-A273082F788D}"/>
              </c:ext>
            </c:extLst>
          </c:dPt>
          <c:dPt>
            <c:idx val="20"/>
            <c:bubble3D val="0"/>
            <c:spPr>
              <a:solidFill>
                <a:srgbClr val="FFF8E6"/>
              </a:solidFill>
            </c:spPr>
            <c:extLst>
              <c:ext xmlns:c16="http://schemas.microsoft.com/office/drawing/2014/chart" uri="{C3380CC4-5D6E-409C-BE32-E72D297353CC}">
                <c16:uniqueId val="{00000029-9020-448D-8BE1-A273082F788D}"/>
              </c:ext>
            </c:extLst>
          </c:dPt>
          <c:dPt>
            <c:idx val="21"/>
            <c:bubble3D val="0"/>
            <c:spPr>
              <a:solidFill>
                <a:srgbClr val="EBF6EE"/>
              </a:solidFill>
            </c:spPr>
            <c:extLst>
              <c:ext xmlns:c16="http://schemas.microsoft.com/office/drawing/2014/chart" uri="{C3380CC4-5D6E-409C-BE32-E72D297353CC}">
                <c16:uniqueId val="{0000002B-9020-448D-8BE1-A273082F788D}"/>
              </c:ext>
            </c:extLst>
          </c:dPt>
          <c:dPt>
            <c:idx val="22"/>
            <c:bubble3D val="0"/>
            <c:spPr>
              <a:solidFill>
                <a:srgbClr val="FFF0E6"/>
              </a:solidFill>
            </c:spPr>
            <c:extLst>
              <c:ext xmlns:c16="http://schemas.microsoft.com/office/drawing/2014/chart" uri="{C3380CC4-5D6E-409C-BE32-E72D297353CC}">
                <c16:uniqueId val="{0000002D-9020-448D-8BE1-A273082F788D}"/>
              </c:ext>
            </c:extLst>
          </c:dPt>
          <c:dPt>
            <c:idx val="23"/>
            <c:bubble3D val="0"/>
            <c:extLst>
              <c:ext xmlns:c16="http://schemas.microsoft.com/office/drawing/2014/chart" uri="{C3380CC4-5D6E-409C-BE32-E72D297353CC}">
                <c16:uniqueId val="{0000002E-9020-448D-8BE1-A273082F788D}"/>
              </c:ext>
            </c:extLst>
          </c:dPt>
          <c:dPt>
            <c:idx val="24"/>
            <c:bubble3D val="0"/>
            <c:extLst>
              <c:ext xmlns:c16="http://schemas.microsoft.com/office/drawing/2014/chart" uri="{C3380CC4-5D6E-409C-BE32-E72D297353CC}">
                <c16:uniqueId val="{0000002F-9020-448D-8BE1-A273082F788D}"/>
              </c:ext>
            </c:extLst>
          </c:dPt>
          <c:dPt>
            <c:idx val="25"/>
            <c:bubble3D val="0"/>
            <c:extLst>
              <c:ext xmlns:c16="http://schemas.microsoft.com/office/drawing/2014/chart" uri="{C3380CC4-5D6E-409C-BE32-E72D297353CC}">
                <c16:uniqueId val="{00000030-9020-448D-8BE1-A273082F788D}"/>
              </c:ext>
            </c:extLst>
          </c:dPt>
          <c:dPt>
            <c:idx val="26"/>
            <c:bubble3D val="0"/>
            <c:extLst>
              <c:ext xmlns:c16="http://schemas.microsoft.com/office/drawing/2014/chart" uri="{C3380CC4-5D6E-409C-BE32-E72D297353CC}">
                <c16:uniqueId val="{00000031-9020-448D-8BE1-A273082F788D}"/>
              </c:ext>
            </c:extLst>
          </c:dPt>
          <c:dPt>
            <c:idx val="27"/>
            <c:bubble3D val="0"/>
            <c:extLst>
              <c:ext xmlns:c16="http://schemas.microsoft.com/office/drawing/2014/chart" uri="{C3380CC4-5D6E-409C-BE32-E72D297353CC}">
                <c16:uniqueId val="{00000032-9020-448D-8BE1-A273082F788D}"/>
              </c:ext>
            </c:extLst>
          </c:dPt>
          <c:dPt>
            <c:idx val="28"/>
            <c:bubble3D val="0"/>
            <c:extLst>
              <c:ext xmlns:c16="http://schemas.microsoft.com/office/drawing/2014/chart" uri="{C3380CC4-5D6E-409C-BE32-E72D297353CC}">
                <c16:uniqueId val="{00000033-9020-448D-8BE1-A273082F788D}"/>
              </c:ext>
            </c:extLst>
          </c:dPt>
          <c:dPt>
            <c:idx val="29"/>
            <c:bubble3D val="0"/>
            <c:extLst>
              <c:ext xmlns:c16="http://schemas.microsoft.com/office/drawing/2014/chart" uri="{C3380CC4-5D6E-409C-BE32-E72D297353CC}">
                <c16:uniqueId val="{00000034-9020-448D-8BE1-A273082F788D}"/>
              </c:ext>
            </c:extLst>
          </c:dPt>
          <c:dPt>
            <c:idx val="30"/>
            <c:bubble3D val="0"/>
            <c:extLst>
              <c:ext xmlns:c16="http://schemas.microsoft.com/office/drawing/2014/chart" uri="{C3380CC4-5D6E-409C-BE32-E72D297353CC}">
                <c16:uniqueId val="{00000035-9020-448D-8BE1-A273082F788D}"/>
              </c:ext>
            </c:extLst>
          </c:dPt>
          <c:dPt>
            <c:idx val="31"/>
            <c:bubble3D val="0"/>
            <c:extLst>
              <c:ext xmlns:c16="http://schemas.microsoft.com/office/drawing/2014/chart" uri="{C3380CC4-5D6E-409C-BE32-E72D297353CC}">
                <c16:uniqueId val="{00000036-9020-448D-8BE1-A273082F788D}"/>
              </c:ext>
            </c:extLst>
          </c:dPt>
          <c:dPt>
            <c:idx val="32"/>
            <c:bubble3D val="0"/>
            <c:extLst>
              <c:ext xmlns:c16="http://schemas.microsoft.com/office/drawing/2014/chart" uri="{C3380CC4-5D6E-409C-BE32-E72D297353CC}">
                <c16:uniqueId val="{00000037-9020-448D-8BE1-A273082F788D}"/>
              </c:ext>
            </c:extLst>
          </c:dPt>
          <c:dPt>
            <c:idx val="33"/>
            <c:bubble3D val="0"/>
            <c:extLst>
              <c:ext xmlns:c16="http://schemas.microsoft.com/office/drawing/2014/chart" uri="{C3380CC4-5D6E-409C-BE32-E72D297353CC}">
                <c16:uniqueId val="{00000038-9020-448D-8BE1-A273082F788D}"/>
              </c:ext>
            </c:extLst>
          </c:dPt>
          <c:dPt>
            <c:idx val="34"/>
            <c:bubble3D val="0"/>
            <c:extLst>
              <c:ext xmlns:c16="http://schemas.microsoft.com/office/drawing/2014/chart" uri="{C3380CC4-5D6E-409C-BE32-E72D297353CC}">
                <c16:uniqueId val="{00000039-9020-448D-8BE1-A273082F788D}"/>
              </c:ext>
            </c:extLst>
          </c:dPt>
          <c:dPt>
            <c:idx val="35"/>
            <c:bubble3D val="0"/>
            <c:extLst>
              <c:ext xmlns:c16="http://schemas.microsoft.com/office/drawing/2014/chart" uri="{C3380CC4-5D6E-409C-BE32-E72D297353CC}">
                <c16:uniqueId val="{0000003A-9020-448D-8BE1-A273082F788D}"/>
              </c:ext>
            </c:extLst>
          </c:dPt>
          <c:dPt>
            <c:idx val="36"/>
            <c:bubble3D val="0"/>
            <c:extLst>
              <c:ext xmlns:c16="http://schemas.microsoft.com/office/drawing/2014/chart" uri="{C3380CC4-5D6E-409C-BE32-E72D297353CC}">
                <c16:uniqueId val="{0000003B-9020-448D-8BE1-A273082F788D}"/>
              </c:ext>
            </c:extLst>
          </c:dPt>
          <c:dPt>
            <c:idx val="37"/>
            <c:bubble3D val="0"/>
            <c:extLst>
              <c:ext xmlns:c16="http://schemas.microsoft.com/office/drawing/2014/chart" uri="{C3380CC4-5D6E-409C-BE32-E72D297353CC}">
                <c16:uniqueId val="{0000003C-9020-448D-8BE1-A273082F788D}"/>
              </c:ext>
            </c:extLst>
          </c:dPt>
          <c:dPt>
            <c:idx val="38"/>
            <c:bubble3D val="0"/>
            <c:extLst>
              <c:ext xmlns:c16="http://schemas.microsoft.com/office/drawing/2014/chart" uri="{C3380CC4-5D6E-409C-BE32-E72D297353CC}">
                <c16:uniqueId val="{0000003D-9020-448D-8BE1-A273082F788D}"/>
              </c:ext>
            </c:extLst>
          </c:dPt>
          <c:dPt>
            <c:idx val="39"/>
            <c:bubble3D val="0"/>
            <c:extLst>
              <c:ext xmlns:c16="http://schemas.microsoft.com/office/drawing/2014/chart" uri="{C3380CC4-5D6E-409C-BE32-E72D297353CC}">
                <c16:uniqueId val="{0000003E-9020-448D-8BE1-A273082F788D}"/>
              </c:ext>
            </c:extLst>
          </c:dPt>
          <c:dPt>
            <c:idx val="40"/>
            <c:bubble3D val="0"/>
            <c:extLst>
              <c:ext xmlns:c16="http://schemas.microsoft.com/office/drawing/2014/chart" uri="{C3380CC4-5D6E-409C-BE32-E72D297353CC}">
                <c16:uniqueId val="{0000003F-9020-448D-8BE1-A273082F788D}"/>
              </c:ext>
            </c:extLst>
          </c:dPt>
          <c:cat>
            <c:strRef>
              <c:f>'Dashboard '!$G$51:$G$91</c:f>
              <c:strCache>
                <c:ptCount val="41"/>
                <c:pt idx="0">
                  <c:v>Alabama</c:v>
                </c:pt>
                <c:pt idx="1">
                  <c:v>Arizona</c:v>
                </c:pt>
                <c:pt idx="2">
                  <c:v>Arkansas</c:v>
                </c:pt>
                <c:pt idx="3">
                  <c:v>California</c:v>
                </c:pt>
                <c:pt idx="4">
                  <c:v>Colorado</c:v>
                </c:pt>
                <c:pt idx="5">
                  <c:v>Connecticut</c:v>
                </c:pt>
                <c:pt idx="6">
                  <c:v>Delaware</c:v>
                </c:pt>
                <c:pt idx="7">
                  <c:v>District Of Columbia</c:v>
                </c:pt>
                <c:pt idx="26">
                  <c:v>New Mexico</c:v>
                </c:pt>
                <c:pt idx="27">
                  <c:v>New York</c:v>
                </c:pt>
                <c:pt idx="28">
                  <c:v>North Carolina</c:v>
                </c:pt>
                <c:pt idx="29">
                  <c:v>Ohio</c:v>
                </c:pt>
                <c:pt idx="30">
                  <c:v>Oklahoma</c:v>
                </c:pt>
                <c:pt idx="31">
                  <c:v>Oregon</c:v>
                </c:pt>
                <c:pt idx="32">
                  <c:v>Pennsylvania</c:v>
                </c:pt>
                <c:pt idx="33">
                  <c:v>Rhode Island</c:v>
                </c:pt>
                <c:pt idx="34">
                  <c:v>South Carolina</c:v>
                </c:pt>
                <c:pt idx="35">
                  <c:v>Tennessee</c:v>
                </c:pt>
                <c:pt idx="36">
                  <c:v>Texas</c:v>
                </c:pt>
                <c:pt idx="37">
                  <c:v>Utah</c:v>
                </c:pt>
                <c:pt idx="38">
                  <c:v>Virginia</c:v>
                </c:pt>
                <c:pt idx="39">
                  <c:v>Washington</c:v>
                </c:pt>
                <c:pt idx="40">
                  <c:v>Wisconsin</c:v>
                </c:pt>
              </c:strCache>
            </c:strRef>
          </c:cat>
          <c:val>
            <c:numRef>
              <c:f>'Dashboard '!$H$51:$H$91</c:f>
              <c:numCache>
                <c:formatCode>[$$]#,##0.00</c:formatCode>
                <c:ptCount val="41"/>
                <c:pt idx="0">
                  <c:v>19369.14</c:v>
                </c:pt>
                <c:pt idx="1">
                  <c:v>72682.767999999982</c:v>
                </c:pt>
                <c:pt idx="2">
                  <c:v>13797.419999999998</c:v>
                </c:pt>
                <c:pt idx="3">
                  <c:v>525730.62150000024</c:v>
                </c:pt>
                <c:pt idx="4">
                  <c:v>96231.8</c:v>
                </c:pt>
                <c:pt idx="5">
                  <c:v>10799.94</c:v>
                </c:pt>
                <c:pt idx="6">
                  <c:v>564.24</c:v>
                </c:pt>
                <c:pt idx="7">
                  <c:v>5340.38</c:v>
                </c:pt>
                <c:pt idx="26">
                  <c:v>1507.1200000000001</c:v>
                </c:pt>
                <c:pt idx="27">
                  <c:v>48816.724000000024</c:v>
                </c:pt>
                <c:pt idx="28">
                  <c:v>27750.404000000006</c:v>
                </c:pt>
                <c:pt idx="29">
                  <c:v>35918.639999999992</c:v>
                </c:pt>
                <c:pt idx="30">
                  <c:v>7164.0099999999993</c:v>
                </c:pt>
                <c:pt idx="31">
                  <c:v>4969.2150000000001</c:v>
                </c:pt>
                <c:pt idx="32">
                  <c:v>21093.326000000005</c:v>
                </c:pt>
                <c:pt idx="33">
                  <c:v>294.96000000000004</c:v>
                </c:pt>
                <c:pt idx="34">
                  <c:v>977.3</c:v>
                </c:pt>
                <c:pt idx="35">
                  <c:v>5924.0280000000002</c:v>
                </c:pt>
                <c:pt idx="36">
                  <c:v>273954.48780000012</c:v>
                </c:pt>
                <c:pt idx="37">
                  <c:v>34216.015999999996</c:v>
                </c:pt>
                <c:pt idx="38">
                  <c:v>19524.399999999994</c:v>
                </c:pt>
                <c:pt idx="39">
                  <c:v>121543.59599999998</c:v>
                </c:pt>
                <c:pt idx="40">
                  <c:v>25788.899999999998</c:v>
                </c:pt>
              </c:numCache>
            </c:numRef>
          </c:val>
          <c:extLst>
            <c:ext xmlns:c16="http://schemas.microsoft.com/office/drawing/2014/chart" uri="{C3380CC4-5D6E-409C-BE32-E72D297353CC}">
              <c16:uniqueId val="{00000040-9020-448D-8BE1-A273082F788D}"/>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spPr>
    <a:solidFill>
      <a:srgbClr val="C9DAF8"/>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view3D>
      <c:rotX val="50"/>
      <c:rotY val="0"/>
      <c:rAngAx val="1"/>
    </c:view3D>
    <c:floor>
      <c:thickness val="0"/>
    </c:floor>
    <c:sideWall>
      <c:thickness val="0"/>
    </c:sideWall>
    <c:backWall>
      <c:thickness val="0"/>
    </c:backWall>
    <c:plotArea>
      <c:layout/>
      <c:pie3DChart>
        <c:varyColors val="1"/>
        <c:ser>
          <c:idx val="0"/>
          <c:order val="0"/>
          <c:dPt>
            <c:idx val="0"/>
            <c:bubble3D val="0"/>
            <c:spPr>
              <a:solidFill>
                <a:srgbClr val="4285F4"/>
              </a:solidFill>
            </c:spPr>
            <c:extLst>
              <c:ext xmlns:c16="http://schemas.microsoft.com/office/drawing/2014/chart" uri="{C3380CC4-5D6E-409C-BE32-E72D297353CC}">
                <c16:uniqueId val="{00000001-A01C-4A32-BC67-0ED1FAB0A441}"/>
              </c:ext>
            </c:extLst>
          </c:dPt>
          <c:dPt>
            <c:idx val="1"/>
            <c:bubble3D val="0"/>
            <c:spPr>
              <a:solidFill>
                <a:srgbClr val="EA4335"/>
              </a:solidFill>
            </c:spPr>
            <c:extLst>
              <c:ext xmlns:c16="http://schemas.microsoft.com/office/drawing/2014/chart" uri="{C3380CC4-5D6E-409C-BE32-E72D297353CC}">
                <c16:uniqueId val="{00000003-A01C-4A32-BC67-0ED1FAB0A441}"/>
              </c:ext>
            </c:extLst>
          </c:dPt>
          <c:dPt>
            <c:idx val="2"/>
            <c:bubble3D val="0"/>
            <c:extLst>
              <c:ext xmlns:c16="http://schemas.microsoft.com/office/drawing/2014/chart" uri="{C3380CC4-5D6E-409C-BE32-E72D297353CC}">
                <c16:uniqueId val="{00000004-A01C-4A32-BC67-0ED1FAB0A441}"/>
              </c:ext>
            </c:extLst>
          </c:dPt>
          <c:dPt>
            <c:idx val="3"/>
            <c:bubble3D val="0"/>
            <c:extLst>
              <c:ext xmlns:c16="http://schemas.microsoft.com/office/drawing/2014/chart" uri="{C3380CC4-5D6E-409C-BE32-E72D297353CC}">
                <c16:uniqueId val="{00000005-A01C-4A32-BC67-0ED1FAB0A441}"/>
              </c:ext>
            </c:extLst>
          </c:dPt>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'Dashboard '!$D$60:$D$63</c:f>
              <c:strCache>
                <c:ptCount val="2"/>
                <c:pt idx="0">
                  <c:v>Central</c:v>
                </c:pt>
                <c:pt idx="1">
                  <c:v>East</c:v>
                </c:pt>
              </c:strCache>
            </c:strRef>
          </c:cat>
          <c:val>
            <c:numRef>
              <c:f>'Dashboard '!$E$60:$E$63</c:f>
              <c:numCache>
                <c:formatCode>[$$]#,##0.00</c:formatCode>
                <c:ptCount val="4"/>
                <c:pt idx="0">
                  <c:v>1010.9138000000021</c:v>
                </c:pt>
                <c:pt idx="1">
                  <c:v>442.71599999999944</c:v>
                </c:pt>
              </c:numCache>
            </c:numRef>
          </c:val>
          <c:extLst>
            <c:ext xmlns:c16="http://schemas.microsoft.com/office/drawing/2014/chart" uri="{C3380CC4-5D6E-409C-BE32-E72D297353CC}">
              <c16:uniqueId val="{00000006-A01C-4A32-BC67-0ED1FAB0A441}"/>
            </c:ext>
          </c:extLst>
        </c:ser>
        <c:dLbls>
          <c:showLegendKey val="0"/>
          <c:showVal val="0"/>
          <c:showCatName val="0"/>
          <c:showSerName val="0"/>
          <c:showPercent val="0"/>
          <c:showBubbleSize val="0"/>
          <c:showLeaderLines val="1"/>
        </c:dLbls>
      </c:pie3D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spPr>
    <a:solidFill>
      <a:srgbClr val="C9DAF8"/>
    </a:solidFill>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lineChart>
        <c:grouping val="standard"/>
        <c:varyColors val="0"/>
        <c:ser>
          <c:idx val="0"/>
          <c:order val="0"/>
          <c:tx>
            <c:strRef>
              <c:f>'Dashboard '!$K$63</c:f>
              <c:strCache>
                <c:ptCount val="1"/>
                <c:pt idx="0">
                  <c:v>SUM of Total Profit</c:v>
                </c:pt>
              </c:strCache>
            </c:strRef>
          </c:tx>
          <c:spPr>
            <a:ln cmpd="sng">
              <a:solidFill>
                <a:srgbClr val="4285F4"/>
              </a:solidFill>
            </a:ln>
          </c:spPr>
          <c:marker>
            <c:symbol val="none"/>
          </c:marker>
          <c:cat>
            <c:numRef>
              <c:f>'Dashboard '!$J$64:$J$67</c:f>
              <c:numCache>
                <c:formatCode>@</c:formatCode>
                <c:ptCount val="4"/>
                <c:pt idx="0">
                  <c:v>2015</c:v>
                </c:pt>
                <c:pt idx="1">
                  <c:v>2016</c:v>
                </c:pt>
                <c:pt idx="2">
                  <c:v>2017</c:v>
                </c:pt>
                <c:pt idx="3">
                  <c:v>2018</c:v>
                </c:pt>
              </c:numCache>
            </c:numRef>
          </c:cat>
          <c:val>
            <c:numRef>
              <c:f>'Dashboard '!$K$64:$K$67</c:f>
              <c:numCache>
                <c:formatCode>[$$]#,##0.00</c:formatCode>
                <c:ptCount val="4"/>
                <c:pt idx="0">
                  <c:v>872.95749999999271</c:v>
                </c:pt>
                <c:pt idx="1">
                  <c:v>787.93639999999755</c:v>
                </c:pt>
                <c:pt idx="2">
                  <c:v>1099.8562000000031</c:v>
                </c:pt>
                <c:pt idx="3">
                  <c:v>1008.5547000000038</c:v>
                </c:pt>
              </c:numCache>
            </c:numRef>
          </c:val>
          <c:smooth val="0"/>
          <c:extLst>
            <c:ext xmlns:c16="http://schemas.microsoft.com/office/drawing/2014/chart" uri="{C3380CC4-5D6E-409C-BE32-E72D297353CC}">
              <c16:uniqueId val="{00000000-BF49-4C8F-9640-7A552B153549}"/>
            </c:ext>
          </c:extLst>
        </c:ser>
        <c:dLbls>
          <c:showLegendKey val="0"/>
          <c:showVal val="0"/>
          <c:showCatName val="0"/>
          <c:showSerName val="0"/>
          <c:showPercent val="0"/>
          <c:showBubbleSize val="0"/>
        </c:dLbls>
        <c:smooth val="0"/>
        <c:axId val="2027895603"/>
        <c:axId val="491779372"/>
      </c:lineChart>
      <c:catAx>
        <c:axId val="2027895603"/>
        <c:scaling>
          <c:orientation val="minMax"/>
        </c:scaling>
        <c:delete val="0"/>
        <c:axPos val="b"/>
        <c:title>
          <c:tx>
            <c:rich>
              <a:bodyPr/>
              <a:lstStyle/>
              <a:p>
                <a:pPr lvl="0">
                  <a:defRPr b="0">
                    <a:solidFill>
                      <a:srgbClr val="000000"/>
                    </a:solidFill>
                    <a:latin typeface="+mn-lt"/>
                  </a:defRPr>
                </a:pPr>
                <a:r>
                  <a:rPr lang="en-GB" b="0">
                    <a:solidFill>
                      <a:srgbClr val="000000"/>
                    </a:solidFill>
                    <a:latin typeface="+mn-lt"/>
                  </a:rPr>
                  <a:t>Year </a:t>
                </a:r>
              </a:p>
            </c:rich>
          </c:tx>
          <c:overlay val="0"/>
        </c:title>
        <c:numFmt formatCode="@" sourceLinked="1"/>
        <c:majorTickMark val="none"/>
        <c:minorTickMark val="none"/>
        <c:tickLblPos val="nextTo"/>
        <c:txPr>
          <a:bodyPr/>
          <a:lstStyle/>
          <a:p>
            <a:pPr lvl="0">
              <a:defRPr b="0">
                <a:solidFill>
                  <a:srgbClr val="000000"/>
                </a:solidFill>
                <a:latin typeface="+mn-lt"/>
              </a:defRPr>
            </a:pPr>
            <a:endParaRPr lang="en-US"/>
          </a:p>
        </c:txPr>
        <c:crossAx val="491779372"/>
        <c:crosses val="autoZero"/>
        <c:auto val="1"/>
        <c:lblAlgn val="ctr"/>
        <c:lblOffset val="100"/>
        <c:noMultiLvlLbl val="1"/>
      </c:catAx>
      <c:valAx>
        <c:axId val="4917793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SUM of Total Profit</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202789560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spPr>
    <a:solidFill>
      <a:srgbClr val="C9DAF8"/>
    </a:solidFill>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doughnutChart>
        <c:varyColors val="1"/>
        <c:ser>
          <c:idx val="0"/>
          <c:order val="0"/>
          <c:dPt>
            <c:idx val="0"/>
            <c:bubble3D val="0"/>
            <c:spPr>
              <a:solidFill>
                <a:srgbClr val="4285F4"/>
              </a:solidFill>
            </c:spPr>
            <c:extLst>
              <c:ext xmlns:c16="http://schemas.microsoft.com/office/drawing/2014/chart" uri="{C3380CC4-5D6E-409C-BE32-E72D297353CC}">
                <c16:uniqueId val="{00000001-5F55-4E6E-98F2-BB5CA5E703DD}"/>
              </c:ext>
            </c:extLst>
          </c:dPt>
          <c:dPt>
            <c:idx val="1"/>
            <c:bubble3D val="0"/>
            <c:spPr>
              <a:solidFill>
                <a:srgbClr val="EA4335"/>
              </a:solidFill>
            </c:spPr>
            <c:extLst>
              <c:ext xmlns:c16="http://schemas.microsoft.com/office/drawing/2014/chart" uri="{C3380CC4-5D6E-409C-BE32-E72D297353CC}">
                <c16:uniqueId val="{00000003-5F55-4E6E-98F2-BB5CA5E703DD}"/>
              </c:ext>
            </c:extLst>
          </c:dPt>
          <c:dPt>
            <c:idx val="2"/>
            <c:bubble3D val="0"/>
            <c:spPr>
              <a:solidFill>
                <a:srgbClr val="FBBC04"/>
              </a:solidFill>
            </c:spPr>
            <c:extLst>
              <c:ext xmlns:c16="http://schemas.microsoft.com/office/drawing/2014/chart" uri="{C3380CC4-5D6E-409C-BE32-E72D297353CC}">
                <c16:uniqueId val="{00000005-5F55-4E6E-98F2-BB5CA5E703DD}"/>
              </c:ext>
            </c:extLst>
          </c:dPt>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'Dashboard '!$K$38:$K$40</c:f>
              <c:strCache>
                <c:ptCount val="3"/>
                <c:pt idx="0">
                  <c:v>Furniture</c:v>
                </c:pt>
                <c:pt idx="1">
                  <c:v>Office Supplies</c:v>
                </c:pt>
                <c:pt idx="2">
                  <c:v>Technology</c:v>
                </c:pt>
              </c:strCache>
            </c:strRef>
          </c:cat>
          <c:val>
            <c:numRef>
              <c:f>'Dashboard '!$L$38:$L$40</c:f>
              <c:numCache>
                <c:formatCode>[$$]#,##0.00</c:formatCode>
                <c:ptCount val="3"/>
                <c:pt idx="0">
                  <c:v>811.34479999999007</c:v>
                </c:pt>
                <c:pt idx="1">
                  <c:v>2220.3829999999975</c:v>
                </c:pt>
                <c:pt idx="2">
                  <c:v>737.57700000000818</c:v>
                </c:pt>
              </c:numCache>
            </c:numRef>
          </c:val>
          <c:extLst>
            <c:ext xmlns:c16="http://schemas.microsoft.com/office/drawing/2014/chart" uri="{C3380CC4-5D6E-409C-BE32-E72D297353CC}">
              <c16:uniqueId val="{00000006-5F55-4E6E-98F2-BB5CA5E703DD}"/>
            </c:ext>
          </c:extLst>
        </c:ser>
        <c:dLbls>
          <c:showLegendKey val="0"/>
          <c:showVal val="0"/>
          <c:showCatName val="0"/>
          <c:showSerName val="0"/>
          <c:showPercent val="0"/>
          <c:showBubbleSize val="0"/>
          <c:showLeaderLines val="1"/>
        </c:dLbls>
        <c:firstSliceAng val="0"/>
        <c:holeSize val="50"/>
      </c:doughnut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spPr>
    <a:solidFill>
      <a:srgbClr val="C9DAF8"/>
    </a:solidFill>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14</xdr:col>
      <xdr:colOff>438150</xdr:colOff>
      <xdr:row>11</xdr:row>
      <xdr:rowOff>152400</xdr:rowOff>
    </xdr:from>
    <xdr:ext cx="2857500" cy="2857500"/>
    <mc:AlternateContent xmlns:mc="http://schemas.openxmlformats.org/markup-compatibility/2006" xmlns:sle15="http://schemas.microsoft.com/office/drawing/2012/slicer">
      <mc:Choice Requires="sle15">
        <xdr:graphicFrame macro="">
          <xdr:nvGraphicFramePr>
            <xdr:cNvPr id="2" name="Column16_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Column16_1"/>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22</xdr:col>
      <xdr:colOff>152400</xdr:colOff>
      <xdr:row>12</xdr:row>
      <xdr:rowOff>104775</xdr:rowOff>
    </xdr:from>
    <xdr:ext cx="2857500" cy="2857500"/>
    <mc:AlternateContent xmlns:mc="http://schemas.openxmlformats.org/markup-compatibility/2006" xmlns:sle15="http://schemas.microsoft.com/office/drawing/2012/slicer">
      <mc:Choice Requires="sle15">
        <xdr:graphicFrame macro="">
          <xdr:nvGraphicFramePr>
            <xdr:cNvPr id="3" name="Column18_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lumn18_2"/>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22</xdr:col>
      <xdr:colOff>742950</xdr:colOff>
      <xdr:row>9</xdr:row>
      <xdr:rowOff>104775</xdr:rowOff>
    </xdr:from>
    <xdr:ext cx="2857500" cy="2857500"/>
    <mc:AlternateContent xmlns:mc="http://schemas.openxmlformats.org/markup-compatibility/2006" xmlns:sle15="http://schemas.microsoft.com/office/drawing/2012/slicer">
      <mc:Choice Requires="sle15">
        <xdr:graphicFrame macro="">
          <xdr:nvGraphicFramePr>
            <xdr:cNvPr id="4" name="Column14_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Column14_3"/>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23</xdr:col>
      <xdr:colOff>857250</xdr:colOff>
      <xdr:row>5</xdr:row>
      <xdr:rowOff>95250</xdr:rowOff>
    </xdr:from>
    <xdr:ext cx="2857500" cy="2857500"/>
    <mc:AlternateContent xmlns:mc="http://schemas.openxmlformats.org/markup-compatibility/2006" xmlns:sle15="http://schemas.microsoft.com/office/drawing/2012/slicer">
      <mc:Choice Requires="sle15">
        <xdr:graphicFrame macro="">
          <xdr:nvGraphicFramePr>
            <xdr:cNvPr id="5" name="Column4_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Column4_4"/>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20</xdr:col>
      <xdr:colOff>619125</xdr:colOff>
      <xdr:row>2</xdr:row>
      <xdr:rowOff>19050</xdr:rowOff>
    </xdr:from>
    <xdr:ext cx="2857500" cy="2857500"/>
    <mc:AlternateContent xmlns:mc="http://schemas.openxmlformats.org/markup-compatibility/2006" xmlns:sle15="http://schemas.microsoft.com/office/drawing/2012/slicer">
      <mc:Choice Requires="sle15">
        <xdr:graphicFrame macro="">
          <xdr:nvGraphicFramePr>
            <xdr:cNvPr id="6" name="Column14_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Column14_5"/>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161925</xdr:colOff>
      <xdr:row>5</xdr:row>
      <xdr:rowOff>133350</xdr:rowOff>
    </xdr:from>
    <xdr:ext cx="3933825" cy="1924050"/>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4</xdr:col>
      <xdr:colOff>333375</xdr:colOff>
      <xdr:row>5</xdr:row>
      <xdr:rowOff>133350</xdr:rowOff>
    </xdr:from>
    <xdr:ext cx="5705475" cy="3562350"/>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161925</xdr:colOff>
      <xdr:row>17</xdr:row>
      <xdr:rowOff>95250</xdr:rowOff>
    </xdr:from>
    <xdr:ext cx="3933825" cy="204787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10</xdr:col>
      <xdr:colOff>200025</xdr:colOff>
      <xdr:row>5</xdr:row>
      <xdr:rowOff>76200</xdr:rowOff>
    </xdr:from>
    <xdr:ext cx="3781425" cy="204787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10</xdr:col>
      <xdr:colOff>190500</xdr:colOff>
      <xdr:row>17</xdr:row>
      <xdr:rowOff>47625</xdr:rowOff>
    </xdr:from>
    <xdr:ext cx="3857625" cy="2095500"/>
    <xdr:graphicFrame macro="">
      <xdr:nvGraphicFramePr>
        <xdr:cNvPr id="6" name="Chart 5" title="Chart">
          <a:extLst>
            <a:ext uri="{FF2B5EF4-FFF2-40B4-BE49-F238E27FC236}">
              <a16:creationId xmlns:a16="http://schemas.microsoft.com/office/drawing/2014/main" id="{00000000-0008-0000-0C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5</xdr:col>
      <xdr:colOff>495300</xdr:colOff>
      <xdr:row>26</xdr:row>
      <xdr:rowOff>19050</xdr:rowOff>
    </xdr:from>
    <xdr:ext cx="2857500" cy="2857500"/>
    <mc:AlternateContent xmlns:mc="http://schemas.openxmlformats.org/markup-compatibility/2006" xmlns:sle15="http://schemas.microsoft.com/office/drawing/2012/slicer">
      <mc:Choice Requires="sle15">
        <xdr:graphicFrame macro="">
          <xdr:nvGraphicFramePr>
            <xdr:cNvPr id="7" name="Column18_6">
              <a:extLst>
                <a:ext uri="{FF2B5EF4-FFF2-40B4-BE49-F238E27FC236}">
                  <a16:creationId xmlns:a16="http://schemas.microsoft.com/office/drawing/2014/main" id="{00000000-0008-0000-0C00-000007000000}"/>
                </a:ext>
              </a:extLst>
            </xdr:cNvPr>
            <xdr:cNvGraphicFramePr/>
          </xdr:nvGraphicFramePr>
          <xdr:xfrm>
            <a:off x="0" y="0"/>
            <a:ext cx="0" cy="0"/>
          </xdr:xfrm>
          <a:graphic>
            <a:graphicData uri="http://schemas.microsoft.com/office/drawing/2010/slicer">
              <sle:slicer xmlns:sle="http://schemas.microsoft.com/office/drawing/2010/slicer" name="Column18_6"/>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19050</xdr:colOff>
      <xdr:row>23</xdr:row>
      <xdr:rowOff>171450</xdr:rowOff>
    </xdr:from>
    <xdr:ext cx="1762125" cy="2857500"/>
    <mc:AlternateContent xmlns:mc="http://schemas.openxmlformats.org/markup-compatibility/2006" xmlns:sle15="http://schemas.microsoft.com/office/drawing/2012/slicer">
      <mc:Choice Requires="sle15">
        <xdr:graphicFrame macro="">
          <xdr:nvGraphicFramePr>
            <xdr:cNvPr id="8" name="Column4_7">
              <a:extLst>
                <a:ext uri="{FF2B5EF4-FFF2-40B4-BE49-F238E27FC236}">
                  <a16:creationId xmlns:a16="http://schemas.microsoft.com/office/drawing/2014/main" id="{00000000-0008-0000-0C00-000008000000}"/>
                </a:ext>
              </a:extLst>
            </xdr:cNvPr>
            <xdr:cNvGraphicFramePr/>
          </xdr:nvGraphicFramePr>
          <xdr:xfrm>
            <a:off x="0" y="0"/>
            <a:ext cx="0" cy="0"/>
          </xdr:xfrm>
          <a:graphic>
            <a:graphicData uri="http://schemas.microsoft.com/office/drawing/2010/slicer">
              <sle:slicer xmlns:sle="http://schemas.microsoft.com/office/drawing/2010/slicer" name="Column4_7"/>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66675</xdr:colOff>
      <xdr:row>23</xdr:row>
      <xdr:rowOff>171450</xdr:rowOff>
    </xdr:from>
    <xdr:ext cx="1762125" cy="2857500"/>
    <mc:AlternateContent xmlns:mc="http://schemas.openxmlformats.org/markup-compatibility/2006" xmlns:sle15="http://schemas.microsoft.com/office/drawing/2012/slicer">
      <mc:Choice Requires="sle15">
        <xdr:graphicFrame macro="">
          <xdr:nvGraphicFramePr>
            <xdr:cNvPr id="9" name="Column14_8">
              <a:extLst>
                <a:ext uri="{FF2B5EF4-FFF2-40B4-BE49-F238E27FC236}">
                  <a16:creationId xmlns:a16="http://schemas.microsoft.com/office/drawing/2014/main" id="{00000000-0008-0000-0C00-000009000000}"/>
                </a:ext>
              </a:extLst>
            </xdr:cNvPr>
            <xdr:cNvGraphicFramePr/>
          </xdr:nvGraphicFramePr>
          <xdr:xfrm>
            <a:off x="0" y="0"/>
            <a:ext cx="0" cy="0"/>
          </xdr:xfrm>
          <a:graphic>
            <a:graphicData uri="http://schemas.microsoft.com/office/drawing/2010/slicer">
              <sle:slicer xmlns:sle="http://schemas.microsoft.com/office/drawing/2010/slicer" name="Column14_8"/>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333375</xdr:colOff>
      <xdr:row>23</xdr:row>
      <xdr:rowOff>171450</xdr:rowOff>
    </xdr:from>
    <xdr:ext cx="1857375" cy="2857500"/>
    <mc:AlternateContent xmlns:mc="http://schemas.openxmlformats.org/markup-compatibility/2006" xmlns:sle15="http://schemas.microsoft.com/office/drawing/2012/slicer">
      <mc:Choice Requires="sle15">
        <xdr:graphicFrame macro="">
          <xdr:nvGraphicFramePr>
            <xdr:cNvPr id="10" name="Column16_9">
              <a:extLst>
                <a:ext uri="{FF2B5EF4-FFF2-40B4-BE49-F238E27FC236}">
                  <a16:creationId xmlns:a16="http://schemas.microsoft.com/office/drawing/2014/main" id="{00000000-0008-0000-0C00-00000A000000}"/>
                </a:ext>
              </a:extLst>
            </xdr:cNvPr>
            <xdr:cNvGraphicFramePr/>
          </xdr:nvGraphicFramePr>
          <xdr:xfrm>
            <a:off x="0" y="0"/>
            <a:ext cx="0" cy="0"/>
          </xdr:xfrm>
          <a:graphic>
            <a:graphicData uri="http://schemas.microsoft.com/office/drawing/2010/slicer">
              <sle:slicer xmlns:sle="http://schemas.microsoft.com/office/drawing/2010/slicer" name="Column16_9"/>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4" xr10:uid="{00000000-0013-0000-FFFF-FFFF01000000}" sourceName="Column4">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14" xr10:uid="{00000000-0013-0000-FFFF-FFFF02000000}" sourceName="Column14">
  <extLst>
    <x:ext xmlns:x15="http://schemas.microsoft.com/office/spreadsheetml/2010/11/main" uri="{2F2917AC-EB37-4324-AD4E-5DD8C200BD13}">
      <x15:tableSlicerCache tableId="1" column="1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16" xr10:uid="{00000000-0013-0000-FFFF-FFFF03000000}" sourceName="Column16">
  <extLst>
    <x:ext xmlns:x15="http://schemas.microsoft.com/office/spreadsheetml/2010/11/main" uri="{2F2917AC-EB37-4324-AD4E-5DD8C200BD13}">
      <x15:tableSlicerCache tableId="1" column="16"/>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18" xr10:uid="{00000000-0013-0000-FFFF-FFFF04000000}" sourceName="Column18">
  <extLst>
    <x:ext xmlns:x15="http://schemas.microsoft.com/office/spreadsheetml/2010/11/main" uri="{2F2917AC-EB37-4324-AD4E-5DD8C200BD13}">
      <x15:tableSlicerCache tableId="1" column="1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4_4" xr10:uid="{00000000-0014-0000-FFFF-FFFF04000000}" cache="SlicerCache_Table_1_Col_4" caption="Column4" rowHeight="247650"/>
  <slicer name="Column14_3" xr10:uid="{00000000-0014-0000-FFFF-FFFF03000000}" cache="SlicerCache_Table_1_Col_14" caption="Column14" rowHeight="247650"/>
  <slicer name="Column14_5" xr10:uid="{00000000-0014-0000-FFFF-FFFF05000000}" cache="SlicerCache_Table_1_Col_14" caption="Column14" rowHeight="247650"/>
  <slicer name="Column16_1" xr10:uid="{00000000-0014-0000-FFFF-FFFF01000000}" cache="SlicerCache_Table_1_Col_16" caption="Column16" rowHeight="247650"/>
  <slicer name="Column18_2" xr10:uid="{00000000-0014-0000-FFFF-FFFF02000000}" cache="SlicerCache_Table_1_Col_18" caption="Column18"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4_7" xr10:uid="{00000000-0014-0000-FFFF-FFFF07000000}" cache="SlicerCache_Table_1_Col_4" caption="Column4" rowHeight="247650"/>
  <slicer name="Column14_8" xr10:uid="{00000000-0014-0000-FFFF-FFFF08000000}" cache="SlicerCache_Table_1_Col_14" caption="Column14" rowHeight="247650"/>
  <slicer name="Column16_9" xr10:uid="{00000000-0014-0000-FFFF-FFFF09000000}" cache="SlicerCache_Table_1_Col_16" caption="Column16" rowHeight="247650"/>
  <slicer name="Column18_6" xr10:uid="{00000000-0014-0000-FFFF-FFFF06000000}" cache="SlicerCache_Table_1_Col_18" caption="Column18"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X1501" headerRowCount="0">
  <tableColumns count="2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s>
  <tableStyleInfo showFirstColumn="0" showLastColumn="0" showRowStripes="0"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503"/>
  <sheetViews>
    <sheetView tabSelected="1" workbookViewId="0"/>
  </sheetViews>
  <sheetFormatPr defaultColWidth="12.6640625" defaultRowHeight="15.75" customHeight="1"/>
  <cols>
    <col min="2" max="2" width="13.77734375" customWidth="1"/>
    <col min="21" max="21" width="15.33203125" customWidth="1"/>
  </cols>
  <sheetData>
    <row r="1" spans="1:28">
      <c r="A1" s="1" t="s">
        <v>0</v>
      </c>
      <c r="B1" s="1" t="s">
        <v>1</v>
      </c>
      <c r="C1" s="2" t="s">
        <v>2</v>
      </c>
      <c r="D1" s="3" t="s">
        <v>3</v>
      </c>
      <c r="E1" s="4" t="s">
        <v>4</v>
      </c>
      <c r="F1" s="5" t="s">
        <v>5</v>
      </c>
      <c r="G1" s="1" t="s">
        <v>6</v>
      </c>
      <c r="H1" s="1" t="s">
        <v>7</v>
      </c>
      <c r="I1" s="1" t="s">
        <v>8</v>
      </c>
      <c r="J1" s="1" t="s">
        <v>9</v>
      </c>
      <c r="K1" s="1" t="s">
        <v>10</v>
      </c>
      <c r="L1" s="1"/>
      <c r="M1" s="1" t="s">
        <v>11</v>
      </c>
      <c r="N1" s="1" t="s">
        <v>12</v>
      </c>
      <c r="P1" s="1" t="s">
        <v>13</v>
      </c>
      <c r="R1" s="1" t="s">
        <v>14</v>
      </c>
      <c r="S1" s="1" t="s">
        <v>15</v>
      </c>
      <c r="T1" s="1" t="s">
        <v>16</v>
      </c>
      <c r="U1" s="1" t="s">
        <v>17</v>
      </c>
      <c r="V1" s="1" t="s">
        <v>18</v>
      </c>
      <c r="W1" s="1" t="s">
        <v>19</v>
      </c>
      <c r="X1" s="1" t="s">
        <v>20</v>
      </c>
      <c r="Y1" s="1" t="s">
        <v>21</v>
      </c>
      <c r="Z1" s="1" t="s">
        <v>22</v>
      </c>
      <c r="AA1" s="1" t="s">
        <v>23</v>
      </c>
      <c r="AB1" s="1" t="s">
        <v>24</v>
      </c>
    </row>
    <row r="2" spans="1:28">
      <c r="A2" s="1">
        <v>1</v>
      </c>
      <c r="B2" s="1" t="s">
        <v>25</v>
      </c>
      <c r="C2" s="2">
        <v>42958</v>
      </c>
      <c r="D2" s="6" t="str">
        <f t="shared" ref="D2:D256" si="0">TEXT(C2,"MMM")</f>
        <v>Aug</v>
      </c>
      <c r="E2" s="6" t="str">
        <f t="shared" ref="E2:E256" si="1">"Qtr "&amp;INT((MONTH(C2)+2)/3)</f>
        <v>Qtr 3</v>
      </c>
      <c r="F2" s="5">
        <v>43050</v>
      </c>
      <c r="G2" s="1" t="s">
        <v>26</v>
      </c>
      <c r="H2" s="1" t="s">
        <v>27</v>
      </c>
      <c r="I2" s="1" t="s">
        <v>28</v>
      </c>
      <c r="J2" s="1" t="str">
        <f ca="1">IFERROR(__xludf.DUMMYFUNCTION("split(I2,"" "")"),"Claire")</f>
        <v>Claire</v>
      </c>
      <c r="K2" s="1" t="str">
        <f ca="1">IFERROR(__xludf.DUMMYFUNCTION("""COMPUTED_VALUE"""),"Gute")</f>
        <v>Gute</v>
      </c>
      <c r="L2" s="1"/>
      <c r="M2" s="1" t="s">
        <v>29</v>
      </c>
      <c r="N2" s="1" t="s">
        <v>30</v>
      </c>
      <c r="O2" s="1" t="s">
        <v>31</v>
      </c>
      <c r="P2" s="1" t="str">
        <f t="shared" ref="P2:P256" si="2">PROPER(O2)</f>
        <v>Henderson</v>
      </c>
      <c r="Q2" s="1" t="s">
        <v>32</v>
      </c>
      <c r="R2" s="1" t="str">
        <f t="shared" ref="R2:R256" si="3">PROPER(Q2)</f>
        <v>Kentucky</v>
      </c>
      <c r="S2" s="1">
        <v>42420</v>
      </c>
      <c r="T2" s="1" t="s">
        <v>33</v>
      </c>
      <c r="U2" s="1" t="s">
        <v>34</v>
      </c>
      <c r="V2" s="1" t="s">
        <v>35</v>
      </c>
      <c r="W2" s="7">
        <v>261.95999999999998</v>
      </c>
      <c r="X2" s="1">
        <v>4</v>
      </c>
      <c r="Y2" s="7">
        <v>261.26</v>
      </c>
      <c r="Z2" s="7">
        <f t="shared" ref="Z2:AA2" si="4">W2*X2</f>
        <v>1047.8399999999999</v>
      </c>
      <c r="AA2" s="7">
        <f t="shared" si="4"/>
        <v>1045.04</v>
      </c>
      <c r="AB2" s="7">
        <f t="shared" ref="AB2:AB256" si="5">Z2-AA2</f>
        <v>2.7999999999999545</v>
      </c>
    </row>
    <row r="3" spans="1:28">
      <c r="A3" s="1">
        <v>2</v>
      </c>
      <c r="B3" s="1" t="s">
        <v>25</v>
      </c>
      <c r="C3" s="2">
        <v>42958</v>
      </c>
      <c r="D3" s="6" t="str">
        <f t="shared" si="0"/>
        <v>Aug</v>
      </c>
      <c r="E3" s="6" t="str">
        <f t="shared" si="1"/>
        <v>Qtr 3</v>
      </c>
      <c r="F3" s="5">
        <v>43050</v>
      </c>
      <c r="G3" s="1" t="s">
        <v>26</v>
      </c>
      <c r="H3" s="1" t="s">
        <v>27</v>
      </c>
      <c r="I3" s="1" t="s">
        <v>28</v>
      </c>
      <c r="J3" s="1" t="str">
        <f ca="1">IFERROR(__xludf.DUMMYFUNCTION("split(I3,"" "")"),"Claire")</f>
        <v>Claire</v>
      </c>
      <c r="K3" s="1" t="str">
        <f ca="1">IFERROR(__xludf.DUMMYFUNCTION("""COMPUTED_VALUE"""),"Gute")</f>
        <v>Gute</v>
      </c>
      <c r="L3" s="1"/>
      <c r="M3" s="1" t="s">
        <v>29</v>
      </c>
      <c r="N3" s="1" t="s">
        <v>30</v>
      </c>
      <c r="O3" s="1" t="s">
        <v>31</v>
      </c>
      <c r="P3" s="1" t="str">
        <f t="shared" si="2"/>
        <v>Henderson</v>
      </c>
      <c r="Q3" s="1" t="s">
        <v>32</v>
      </c>
      <c r="R3" s="1" t="str">
        <f t="shared" si="3"/>
        <v>Kentucky</v>
      </c>
      <c r="S3" s="1">
        <v>42420</v>
      </c>
      <c r="T3" s="1" t="s">
        <v>33</v>
      </c>
      <c r="U3" s="1" t="s">
        <v>36</v>
      </c>
      <c r="V3" s="1" t="s">
        <v>35</v>
      </c>
      <c r="W3" s="7">
        <v>731.94</v>
      </c>
      <c r="X3" s="1">
        <v>4</v>
      </c>
      <c r="Y3" s="7">
        <v>731.61</v>
      </c>
      <c r="Z3" s="7">
        <f t="shared" ref="Z3:AA3" si="6">W3*X3</f>
        <v>2927.76</v>
      </c>
      <c r="AA3" s="7">
        <f t="shared" si="6"/>
        <v>2926.44</v>
      </c>
      <c r="AB3" s="7">
        <f t="shared" si="5"/>
        <v>1.3200000000001637</v>
      </c>
    </row>
    <row r="4" spans="1:28">
      <c r="A4" s="1">
        <v>3</v>
      </c>
      <c r="B4" s="1" t="s">
        <v>37</v>
      </c>
      <c r="C4" s="2">
        <v>43075</v>
      </c>
      <c r="D4" s="6" t="str">
        <f t="shared" si="0"/>
        <v>Dec</v>
      </c>
      <c r="E4" s="6" t="str">
        <f t="shared" si="1"/>
        <v>Qtr 4</v>
      </c>
      <c r="F4" s="5" t="s">
        <v>38</v>
      </c>
      <c r="G4" s="1" t="s">
        <v>26</v>
      </c>
      <c r="H4" s="1" t="s">
        <v>39</v>
      </c>
      <c r="I4" s="1" t="s">
        <v>40</v>
      </c>
      <c r="J4" s="1" t="str">
        <f ca="1">IFERROR(__xludf.DUMMYFUNCTION("split(I4,"" "")"),"Darrin")</f>
        <v>Darrin</v>
      </c>
      <c r="K4" s="1" t="str">
        <f ca="1">IFERROR(__xludf.DUMMYFUNCTION("""COMPUTED_VALUE"""),"Van")</f>
        <v>Van</v>
      </c>
      <c r="L4" s="1" t="str">
        <f ca="1">IFERROR(__xludf.DUMMYFUNCTION("""COMPUTED_VALUE"""),"Huff")</f>
        <v>Huff</v>
      </c>
      <c r="M4" s="1" t="s">
        <v>41</v>
      </c>
      <c r="N4" s="1" t="s">
        <v>30</v>
      </c>
      <c r="O4" s="1" t="s">
        <v>42</v>
      </c>
      <c r="P4" s="1" t="str">
        <f t="shared" si="2"/>
        <v>Los Angeles</v>
      </c>
      <c r="Q4" s="1" t="s">
        <v>43</v>
      </c>
      <c r="R4" s="1" t="str">
        <f t="shared" si="3"/>
        <v>California</v>
      </c>
      <c r="S4" s="1">
        <v>90036</v>
      </c>
      <c r="T4" s="1" t="s">
        <v>44</v>
      </c>
      <c r="U4" s="1" t="s">
        <v>45</v>
      </c>
      <c r="V4" s="1" t="s">
        <v>46</v>
      </c>
      <c r="W4" s="7">
        <v>14.62</v>
      </c>
      <c r="X4" s="1">
        <v>9</v>
      </c>
      <c r="Y4" s="7">
        <v>13.97</v>
      </c>
      <c r="Z4" s="7">
        <f t="shared" ref="Z4:AA4" si="7">W4*X4</f>
        <v>131.57999999999998</v>
      </c>
      <c r="AA4" s="7">
        <f t="shared" si="7"/>
        <v>125.73</v>
      </c>
      <c r="AB4" s="7">
        <f t="shared" si="5"/>
        <v>5.8499999999999801</v>
      </c>
    </row>
    <row r="5" spans="1:28">
      <c r="A5" s="1">
        <v>4</v>
      </c>
      <c r="B5" s="1" t="s">
        <v>47</v>
      </c>
      <c r="C5" s="2">
        <v>42684</v>
      </c>
      <c r="D5" s="6" t="str">
        <f t="shared" si="0"/>
        <v>Nov</v>
      </c>
      <c r="E5" s="6" t="str">
        <f t="shared" si="1"/>
        <v>Qtr 4</v>
      </c>
      <c r="F5" s="5" t="s">
        <v>48</v>
      </c>
      <c r="G5" s="1" t="s">
        <v>49</v>
      </c>
      <c r="H5" s="1" t="s">
        <v>50</v>
      </c>
      <c r="I5" s="1" t="s">
        <v>51</v>
      </c>
      <c r="J5" s="1" t="str">
        <f ca="1">IFERROR(__xludf.DUMMYFUNCTION("split(I5,"" "")"),"Sean")</f>
        <v>Sean</v>
      </c>
      <c r="K5" s="1" t="str">
        <f ca="1">IFERROR(__xludf.DUMMYFUNCTION("""COMPUTED_VALUE"""),"O'Donnell")</f>
        <v>O'Donnell</v>
      </c>
      <c r="L5" s="1"/>
      <c r="M5" s="1" t="s">
        <v>29</v>
      </c>
      <c r="N5" s="1" t="s">
        <v>30</v>
      </c>
      <c r="O5" s="1" t="s">
        <v>52</v>
      </c>
      <c r="P5" s="1" t="str">
        <f t="shared" si="2"/>
        <v>Fort Lauderdale</v>
      </c>
      <c r="Q5" s="1" t="s">
        <v>53</v>
      </c>
      <c r="R5" s="1" t="str">
        <f t="shared" si="3"/>
        <v>Florida</v>
      </c>
      <c r="S5" s="1">
        <v>33311</v>
      </c>
      <c r="T5" s="1" t="s">
        <v>33</v>
      </c>
      <c r="U5" s="1" t="s">
        <v>54</v>
      </c>
      <c r="V5" s="1" t="s">
        <v>35</v>
      </c>
      <c r="W5" s="7">
        <v>957.57749999999999</v>
      </c>
      <c r="X5" s="1">
        <v>3</v>
      </c>
      <c r="Y5" s="7">
        <v>956.9</v>
      </c>
      <c r="Z5" s="7">
        <f t="shared" ref="Z5:AA5" si="8">W5*X5</f>
        <v>2872.7325000000001</v>
      </c>
      <c r="AA5" s="7">
        <f t="shared" si="8"/>
        <v>2870.7</v>
      </c>
      <c r="AB5" s="7">
        <f t="shared" si="5"/>
        <v>2.0325000000002547</v>
      </c>
    </row>
    <row r="6" spans="1:28">
      <c r="A6" s="1">
        <v>5</v>
      </c>
      <c r="B6" s="1" t="s">
        <v>47</v>
      </c>
      <c r="C6" s="2">
        <v>42684</v>
      </c>
      <c r="D6" s="6" t="str">
        <f t="shared" si="0"/>
        <v>Nov</v>
      </c>
      <c r="E6" s="6" t="str">
        <f t="shared" si="1"/>
        <v>Qtr 4</v>
      </c>
      <c r="F6" s="5" t="s">
        <v>48</v>
      </c>
      <c r="G6" s="1" t="s">
        <v>49</v>
      </c>
      <c r="H6" s="1" t="s">
        <v>50</v>
      </c>
      <c r="I6" s="1" t="s">
        <v>51</v>
      </c>
      <c r="J6" s="1" t="str">
        <f ca="1">IFERROR(__xludf.DUMMYFUNCTION("split(I6,"" "")"),"Sean")</f>
        <v>Sean</v>
      </c>
      <c r="K6" s="1" t="str">
        <f ca="1">IFERROR(__xludf.DUMMYFUNCTION("""COMPUTED_VALUE"""),"O'Donnell")</f>
        <v>O'Donnell</v>
      </c>
      <c r="L6" s="1"/>
      <c r="M6" s="1" t="s">
        <v>29</v>
      </c>
      <c r="N6" s="1" t="s">
        <v>30</v>
      </c>
      <c r="O6" s="1" t="s">
        <v>52</v>
      </c>
      <c r="P6" s="1" t="str">
        <f t="shared" si="2"/>
        <v>Fort Lauderdale</v>
      </c>
      <c r="Q6" s="1" t="s">
        <v>53</v>
      </c>
      <c r="R6" s="1" t="str">
        <f t="shared" si="3"/>
        <v>Florida</v>
      </c>
      <c r="S6" s="1">
        <v>33311</v>
      </c>
      <c r="T6" s="1" t="s">
        <v>33</v>
      </c>
      <c r="U6" s="1" t="s">
        <v>55</v>
      </c>
      <c r="V6" s="1" t="s">
        <v>46</v>
      </c>
      <c r="W6" s="7">
        <v>22.367999999999999</v>
      </c>
      <c r="X6" s="1">
        <v>3</v>
      </c>
      <c r="Y6" s="7">
        <v>22.08</v>
      </c>
      <c r="Z6" s="7">
        <f t="shared" ref="Z6:AA6" si="9">W6*X6</f>
        <v>67.103999999999999</v>
      </c>
      <c r="AA6" s="7">
        <f t="shared" si="9"/>
        <v>66.239999999999995</v>
      </c>
      <c r="AB6" s="7">
        <f t="shared" si="5"/>
        <v>0.86400000000000432</v>
      </c>
    </row>
    <row r="7" spans="1:28">
      <c r="A7" s="1">
        <v>6</v>
      </c>
      <c r="B7" s="1" t="s">
        <v>56</v>
      </c>
      <c r="C7" s="2">
        <v>42253</v>
      </c>
      <c r="D7" s="6" t="str">
        <f t="shared" si="0"/>
        <v>Sep</v>
      </c>
      <c r="E7" s="6" t="str">
        <f t="shared" si="1"/>
        <v>Qtr 3</v>
      </c>
      <c r="F7" s="5" t="s">
        <v>57</v>
      </c>
      <c r="G7" s="1" t="s">
        <v>49</v>
      </c>
      <c r="H7" s="1" t="s">
        <v>58</v>
      </c>
      <c r="I7" s="1" t="s">
        <v>59</v>
      </c>
      <c r="J7" s="1" t="str">
        <f ca="1">IFERROR(__xludf.DUMMYFUNCTION("split(I7,"" "")"),"Brosina")</f>
        <v>Brosina</v>
      </c>
      <c r="K7" s="1" t="str">
        <f ca="1">IFERROR(__xludf.DUMMYFUNCTION("""COMPUTED_VALUE"""),"Hoffman")</f>
        <v>Hoffman</v>
      </c>
      <c r="L7" s="1"/>
      <c r="M7" s="1" t="s">
        <v>29</v>
      </c>
      <c r="N7" s="1" t="s">
        <v>30</v>
      </c>
      <c r="O7" s="1" t="s">
        <v>60</v>
      </c>
      <c r="P7" s="1" t="str">
        <f t="shared" si="2"/>
        <v>Los Angeles</v>
      </c>
      <c r="Q7" s="1" t="s">
        <v>43</v>
      </c>
      <c r="R7" s="1" t="str">
        <f t="shared" si="3"/>
        <v>California</v>
      </c>
      <c r="S7" s="1">
        <v>90032</v>
      </c>
      <c r="T7" s="1" t="s">
        <v>44</v>
      </c>
      <c r="U7" s="1" t="s">
        <v>61</v>
      </c>
      <c r="V7" s="1" t="s">
        <v>35</v>
      </c>
      <c r="W7" s="7">
        <v>48.86</v>
      </c>
      <c r="X7" s="1">
        <v>9</v>
      </c>
      <c r="Y7" s="7">
        <v>48.08</v>
      </c>
      <c r="Z7" s="7">
        <f t="shared" ref="Z7:AA7" si="10">W7*X7</f>
        <v>439.74</v>
      </c>
      <c r="AA7" s="7">
        <f t="shared" si="10"/>
        <v>432.71999999999997</v>
      </c>
      <c r="AB7" s="7">
        <f t="shared" si="5"/>
        <v>7.0200000000000387</v>
      </c>
    </row>
    <row r="8" spans="1:28">
      <c r="A8" s="1">
        <v>7</v>
      </c>
      <c r="B8" s="1" t="s">
        <v>56</v>
      </c>
      <c r="C8" s="2">
        <v>42253</v>
      </c>
      <c r="D8" s="6" t="str">
        <f t="shared" si="0"/>
        <v>Sep</v>
      </c>
      <c r="E8" s="6" t="str">
        <f t="shared" si="1"/>
        <v>Qtr 3</v>
      </c>
      <c r="F8" s="5" t="s">
        <v>57</v>
      </c>
      <c r="G8" s="1" t="s">
        <v>49</v>
      </c>
      <c r="H8" s="1" t="s">
        <v>58</v>
      </c>
      <c r="I8" s="1" t="s">
        <v>59</v>
      </c>
      <c r="J8" s="1" t="str">
        <f ca="1">IFERROR(__xludf.DUMMYFUNCTION("split(I8,"" "")"),"Brosina")</f>
        <v>Brosina</v>
      </c>
      <c r="K8" s="1" t="str">
        <f ca="1">IFERROR(__xludf.DUMMYFUNCTION("""COMPUTED_VALUE"""),"Hoffman")</f>
        <v>Hoffman</v>
      </c>
      <c r="L8" s="1"/>
      <c r="M8" s="1" t="s">
        <v>29</v>
      </c>
      <c r="N8" s="1" t="s">
        <v>30</v>
      </c>
      <c r="O8" s="1" t="s">
        <v>60</v>
      </c>
      <c r="P8" s="1" t="str">
        <f t="shared" si="2"/>
        <v>Los Angeles</v>
      </c>
      <c r="Q8" s="1" t="s">
        <v>43</v>
      </c>
      <c r="R8" s="1" t="str">
        <f t="shared" si="3"/>
        <v>California</v>
      </c>
      <c r="S8" s="1">
        <v>90032</v>
      </c>
      <c r="T8" s="1" t="s">
        <v>44</v>
      </c>
      <c r="U8" s="1" t="s">
        <v>62</v>
      </c>
      <c r="V8" s="1" t="s">
        <v>46</v>
      </c>
      <c r="W8" s="7">
        <v>7.28</v>
      </c>
      <c r="X8" s="1">
        <v>9</v>
      </c>
      <c r="Y8" s="7">
        <v>6.34</v>
      </c>
      <c r="Z8" s="7">
        <f t="shared" ref="Z8:AA8" si="11">W8*X8</f>
        <v>65.52</v>
      </c>
      <c r="AA8" s="7">
        <f t="shared" si="11"/>
        <v>57.06</v>
      </c>
      <c r="AB8" s="7">
        <f t="shared" si="5"/>
        <v>8.4599999999999937</v>
      </c>
    </row>
    <row r="9" spans="1:28">
      <c r="A9" s="1">
        <v>8</v>
      </c>
      <c r="B9" s="1" t="s">
        <v>56</v>
      </c>
      <c r="C9" s="2">
        <v>42253</v>
      </c>
      <c r="D9" s="6" t="str">
        <f t="shared" si="0"/>
        <v>Sep</v>
      </c>
      <c r="E9" s="6" t="str">
        <f t="shared" si="1"/>
        <v>Qtr 3</v>
      </c>
      <c r="F9" s="5" t="s">
        <v>57</v>
      </c>
      <c r="G9" s="1" t="s">
        <v>49</v>
      </c>
      <c r="H9" s="1" t="s">
        <v>58</v>
      </c>
      <c r="I9" s="1" t="s">
        <v>59</v>
      </c>
      <c r="J9" s="1" t="str">
        <f ca="1">IFERROR(__xludf.DUMMYFUNCTION("split(I9,"" "")"),"Brosina")</f>
        <v>Brosina</v>
      </c>
      <c r="K9" s="1" t="str">
        <f ca="1">IFERROR(__xludf.DUMMYFUNCTION("""COMPUTED_VALUE"""),"Hoffman")</f>
        <v>Hoffman</v>
      </c>
      <c r="L9" s="1"/>
      <c r="M9" s="1" t="s">
        <v>29</v>
      </c>
      <c r="N9" s="1" t="s">
        <v>30</v>
      </c>
      <c r="O9" s="1" t="s">
        <v>60</v>
      </c>
      <c r="P9" s="1" t="str">
        <f t="shared" si="2"/>
        <v>Los Angeles</v>
      </c>
      <c r="Q9" s="1" t="s">
        <v>43</v>
      </c>
      <c r="R9" s="1" t="str">
        <f t="shared" si="3"/>
        <v>California</v>
      </c>
      <c r="S9" s="1">
        <v>90032</v>
      </c>
      <c r="T9" s="1" t="s">
        <v>44</v>
      </c>
      <c r="U9" s="1" t="s">
        <v>63</v>
      </c>
      <c r="V9" s="1" t="s">
        <v>64</v>
      </c>
      <c r="W9" s="7">
        <v>907.15200000000004</v>
      </c>
      <c r="X9" s="1">
        <v>9</v>
      </c>
      <c r="Y9" s="7">
        <v>906.78</v>
      </c>
      <c r="Z9" s="7">
        <f t="shared" ref="Z9:AA9" si="12">W9*X9</f>
        <v>8164.3680000000004</v>
      </c>
      <c r="AA9" s="7">
        <f t="shared" si="12"/>
        <v>8161.0199999999995</v>
      </c>
      <c r="AB9" s="7">
        <f t="shared" si="5"/>
        <v>3.3480000000008658</v>
      </c>
    </row>
    <row r="10" spans="1:28">
      <c r="A10" s="1">
        <v>9</v>
      </c>
      <c r="B10" s="1" t="s">
        <v>56</v>
      </c>
      <c r="C10" s="2">
        <v>42253</v>
      </c>
      <c r="D10" s="6" t="str">
        <f t="shared" si="0"/>
        <v>Sep</v>
      </c>
      <c r="E10" s="6" t="str">
        <f t="shared" si="1"/>
        <v>Qtr 3</v>
      </c>
      <c r="F10" s="5" t="s">
        <v>57</v>
      </c>
      <c r="G10" s="1" t="s">
        <v>49</v>
      </c>
      <c r="H10" s="1" t="s">
        <v>58</v>
      </c>
      <c r="I10" s="1" t="s">
        <v>59</v>
      </c>
      <c r="J10" s="1" t="str">
        <f ca="1">IFERROR(__xludf.DUMMYFUNCTION("split(I10,"" "")"),"Brosina")</f>
        <v>Brosina</v>
      </c>
      <c r="K10" s="1" t="str">
        <f ca="1">IFERROR(__xludf.DUMMYFUNCTION("""COMPUTED_VALUE"""),"Hoffman")</f>
        <v>Hoffman</v>
      </c>
      <c r="L10" s="1"/>
      <c r="M10" s="1" t="s">
        <v>29</v>
      </c>
      <c r="N10" s="1" t="s">
        <v>30</v>
      </c>
      <c r="O10" s="1" t="s">
        <v>60</v>
      </c>
      <c r="P10" s="1" t="str">
        <f t="shared" si="2"/>
        <v>Los Angeles</v>
      </c>
      <c r="Q10" s="1" t="s">
        <v>43</v>
      </c>
      <c r="R10" s="1" t="str">
        <f t="shared" si="3"/>
        <v>California</v>
      </c>
      <c r="S10" s="1">
        <v>90032</v>
      </c>
      <c r="T10" s="1" t="s">
        <v>44</v>
      </c>
      <c r="U10" s="1" t="s">
        <v>65</v>
      </c>
      <c r="V10" s="1" t="s">
        <v>46</v>
      </c>
      <c r="W10" s="7">
        <v>18.504000000000001</v>
      </c>
      <c r="X10" s="1">
        <v>9</v>
      </c>
      <c r="Y10" s="7">
        <v>18.36</v>
      </c>
      <c r="Z10" s="7">
        <f t="shared" ref="Z10:AA10" si="13">W10*X10</f>
        <v>166.536</v>
      </c>
      <c r="AA10" s="7">
        <f t="shared" si="13"/>
        <v>165.24</v>
      </c>
      <c r="AB10" s="7">
        <f t="shared" si="5"/>
        <v>1.2959999999999923</v>
      </c>
    </row>
    <row r="11" spans="1:28">
      <c r="A11" s="1">
        <v>10</v>
      </c>
      <c r="B11" s="1" t="s">
        <v>56</v>
      </c>
      <c r="C11" s="2">
        <v>42253</v>
      </c>
      <c r="D11" s="6" t="str">
        <f t="shared" si="0"/>
        <v>Sep</v>
      </c>
      <c r="E11" s="6" t="str">
        <f t="shared" si="1"/>
        <v>Qtr 3</v>
      </c>
      <c r="F11" s="5" t="s">
        <v>57</v>
      </c>
      <c r="G11" s="1" t="s">
        <v>49</v>
      </c>
      <c r="H11" s="1" t="s">
        <v>58</v>
      </c>
      <c r="I11" s="1" t="s">
        <v>59</v>
      </c>
      <c r="J11" s="1" t="str">
        <f ca="1">IFERROR(__xludf.DUMMYFUNCTION("split(I11,"" "")"),"Brosina")</f>
        <v>Brosina</v>
      </c>
      <c r="K11" s="1" t="str">
        <f ca="1">IFERROR(__xludf.DUMMYFUNCTION("""COMPUTED_VALUE"""),"Hoffman")</f>
        <v>Hoffman</v>
      </c>
      <c r="L11" s="1"/>
      <c r="M11" s="1" t="s">
        <v>29</v>
      </c>
      <c r="N11" s="1" t="s">
        <v>30</v>
      </c>
      <c r="O11" s="1" t="s">
        <v>42</v>
      </c>
      <c r="P11" s="1" t="str">
        <f t="shared" si="2"/>
        <v>Los Angeles</v>
      </c>
      <c r="Q11" s="1" t="s">
        <v>43</v>
      </c>
      <c r="R11" s="1" t="str">
        <f t="shared" si="3"/>
        <v>California</v>
      </c>
      <c r="S11" s="1">
        <v>90032</v>
      </c>
      <c r="T11" s="1" t="s">
        <v>44</v>
      </c>
      <c r="U11" s="1" t="s">
        <v>66</v>
      </c>
      <c r="V11" s="1" t="s">
        <v>46</v>
      </c>
      <c r="W11" s="7">
        <v>114.9</v>
      </c>
      <c r="X11" s="1">
        <v>9</v>
      </c>
      <c r="Y11" s="7">
        <v>114.62</v>
      </c>
      <c r="Z11" s="7">
        <f t="shared" ref="Z11:AA11" si="14">W11*X11</f>
        <v>1034.1000000000001</v>
      </c>
      <c r="AA11" s="7">
        <f t="shared" si="14"/>
        <v>1031.58</v>
      </c>
      <c r="AB11" s="7">
        <f t="shared" si="5"/>
        <v>2.5200000000002092</v>
      </c>
    </row>
    <row r="12" spans="1:28">
      <c r="A12" s="1">
        <v>11</v>
      </c>
      <c r="B12" s="1" t="s">
        <v>56</v>
      </c>
      <c r="C12" s="2">
        <v>42253</v>
      </c>
      <c r="D12" s="6" t="str">
        <f t="shared" si="0"/>
        <v>Sep</v>
      </c>
      <c r="E12" s="6" t="str">
        <f t="shared" si="1"/>
        <v>Qtr 3</v>
      </c>
      <c r="F12" s="5" t="s">
        <v>57</v>
      </c>
      <c r="G12" s="1" t="s">
        <v>49</v>
      </c>
      <c r="H12" s="1" t="s">
        <v>58</v>
      </c>
      <c r="I12" s="1" t="s">
        <v>59</v>
      </c>
      <c r="J12" s="1" t="str">
        <f ca="1">IFERROR(__xludf.DUMMYFUNCTION("split(I12,"" "")"),"Brosina")</f>
        <v>Brosina</v>
      </c>
      <c r="K12" s="1" t="str">
        <f ca="1">IFERROR(__xludf.DUMMYFUNCTION("""COMPUTED_VALUE"""),"Hoffman")</f>
        <v>Hoffman</v>
      </c>
      <c r="L12" s="1"/>
      <c r="M12" s="1" t="s">
        <v>29</v>
      </c>
      <c r="N12" s="1" t="s">
        <v>30</v>
      </c>
      <c r="O12" s="1" t="s">
        <v>42</v>
      </c>
      <c r="P12" s="1" t="str">
        <f t="shared" si="2"/>
        <v>Los Angeles</v>
      </c>
      <c r="Q12" s="1" t="s">
        <v>43</v>
      </c>
      <c r="R12" s="1" t="str">
        <f t="shared" si="3"/>
        <v>California</v>
      </c>
      <c r="S12" s="1">
        <v>90032</v>
      </c>
      <c r="T12" s="1" t="s">
        <v>44</v>
      </c>
      <c r="U12" s="1" t="s">
        <v>67</v>
      </c>
      <c r="V12" s="1" t="s">
        <v>35</v>
      </c>
      <c r="W12" s="7">
        <v>1706.184</v>
      </c>
      <c r="X12" s="1">
        <v>9</v>
      </c>
      <c r="Y12" s="7">
        <v>1705.71</v>
      </c>
      <c r="Z12" s="7">
        <f t="shared" ref="Z12:AA12" si="15">W12*X12</f>
        <v>15355.655999999999</v>
      </c>
      <c r="AA12" s="7">
        <f t="shared" si="15"/>
        <v>15351.39</v>
      </c>
      <c r="AB12" s="7">
        <f t="shared" si="5"/>
        <v>4.2659999999996217</v>
      </c>
    </row>
    <row r="13" spans="1:28">
      <c r="A13" s="1">
        <v>12</v>
      </c>
      <c r="B13" s="1" t="s">
        <v>56</v>
      </c>
      <c r="C13" s="2">
        <v>42253</v>
      </c>
      <c r="D13" s="6" t="str">
        <f t="shared" si="0"/>
        <v>Sep</v>
      </c>
      <c r="E13" s="6" t="str">
        <f t="shared" si="1"/>
        <v>Qtr 3</v>
      </c>
      <c r="F13" s="5" t="s">
        <v>57</v>
      </c>
      <c r="G13" s="1" t="s">
        <v>49</v>
      </c>
      <c r="H13" s="1" t="s">
        <v>58</v>
      </c>
      <c r="I13" s="1" t="s">
        <v>59</v>
      </c>
      <c r="J13" s="1" t="str">
        <f ca="1">IFERROR(__xludf.DUMMYFUNCTION("split(I13,"" "")"),"Brosina")</f>
        <v>Brosina</v>
      </c>
      <c r="K13" s="1" t="str">
        <f ca="1">IFERROR(__xludf.DUMMYFUNCTION("""COMPUTED_VALUE"""),"Hoffman")</f>
        <v>Hoffman</v>
      </c>
      <c r="L13" s="1"/>
      <c r="M13" s="1" t="s">
        <v>29</v>
      </c>
      <c r="N13" s="1" t="s">
        <v>30</v>
      </c>
      <c r="O13" s="1" t="s">
        <v>42</v>
      </c>
      <c r="P13" s="1" t="str">
        <f t="shared" si="2"/>
        <v>Los Angeles</v>
      </c>
      <c r="Q13" s="1" t="s">
        <v>68</v>
      </c>
      <c r="R13" s="1" t="str">
        <f t="shared" si="3"/>
        <v>California</v>
      </c>
      <c r="S13" s="1">
        <v>90032</v>
      </c>
      <c r="T13" s="1" t="s">
        <v>44</v>
      </c>
      <c r="U13" s="1" t="s">
        <v>69</v>
      </c>
      <c r="V13" s="1" t="s">
        <v>64</v>
      </c>
      <c r="W13" s="7">
        <v>911.42399999999998</v>
      </c>
      <c r="X13" s="1">
        <v>9</v>
      </c>
      <c r="Y13" s="7">
        <v>911.17</v>
      </c>
      <c r="Z13" s="7">
        <f t="shared" ref="Z13:AA13" si="16">W13*X13</f>
        <v>8202.8159999999989</v>
      </c>
      <c r="AA13" s="7">
        <f t="shared" si="16"/>
        <v>8200.5299999999988</v>
      </c>
      <c r="AB13" s="7">
        <f t="shared" si="5"/>
        <v>2.2860000000000582</v>
      </c>
    </row>
    <row r="14" spans="1:28">
      <c r="A14" s="1">
        <v>13</v>
      </c>
      <c r="B14" s="1" t="s">
        <v>70</v>
      </c>
      <c r="C14" s="2">
        <v>43205</v>
      </c>
      <c r="D14" s="6" t="str">
        <f t="shared" si="0"/>
        <v>Apr</v>
      </c>
      <c r="E14" s="6" t="str">
        <f t="shared" si="1"/>
        <v>Qtr 2</v>
      </c>
      <c r="F14" s="5" t="s">
        <v>71</v>
      </c>
      <c r="G14" s="1" t="s">
        <v>49</v>
      </c>
      <c r="H14" s="1" t="s">
        <v>72</v>
      </c>
      <c r="I14" s="1" t="s">
        <v>73</v>
      </c>
      <c r="J14" s="1" t="str">
        <f ca="1">IFERROR(__xludf.DUMMYFUNCTION("split(I14,"" "")"),"Andrew")</f>
        <v>Andrew</v>
      </c>
      <c r="K14" s="1" t="str">
        <f ca="1">IFERROR(__xludf.DUMMYFUNCTION("""COMPUTED_VALUE"""),"Allen")</f>
        <v>Allen</v>
      </c>
      <c r="L14" s="1"/>
      <c r="M14" s="1" t="s">
        <v>29</v>
      </c>
      <c r="N14" s="1" t="s">
        <v>30</v>
      </c>
      <c r="O14" s="1" t="s">
        <v>74</v>
      </c>
      <c r="P14" s="1" t="str">
        <f t="shared" si="2"/>
        <v>Concord</v>
      </c>
      <c r="Q14" s="1" t="s">
        <v>75</v>
      </c>
      <c r="R14" s="1" t="str">
        <f t="shared" si="3"/>
        <v>North Carolina</v>
      </c>
      <c r="S14" s="1">
        <v>28027</v>
      </c>
      <c r="T14" s="1" t="s">
        <v>33</v>
      </c>
      <c r="U14" s="1" t="s">
        <v>76</v>
      </c>
      <c r="V14" s="1" t="s">
        <v>46</v>
      </c>
      <c r="W14" s="7">
        <v>15.552</v>
      </c>
      <c r="X14" s="1">
        <v>2</v>
      </c>
      <c r="Y14" s="7">
        <v>14.71</v>
      </c>
      <c r="Z14" s="7">
        <f t="shared" ref="Z14:AA14" si="17">W14*X14</f>
        <v>31.103999999999999</v>
      </c>
      <c r="AA14" s="7">
        <f t="shared" si="17"/>
        <v>29.42</v>
      </c>
      <c r="AB14" s="7">
        <f t="shared" si="5"/>
        <v>1.6839999999999975</v>
      </c>
    </row>
    <row r="15" spans="1:28">
      <c r="A15" s="1">
        <v>14</v>
      </c>
      <c r="B15" s="1" t="s">
        <v>77</v>
      </c>
      <c r="C15" s="2">
        <v>42867</v>
      </c>
      <c r="D15" s="6" t="str">
        <f t="shared" si="0"/>
        <v>May</v>
      </c>
      <c r="E15" s="6" t="str">
        <f t="shared" si="1"/>
        <v>Qtr 2</v>
      </c>
      <c r="F15" s="5">
        <v>43020</v>
      </c>
      <c r="G15" s="1" t="s">
        <v>49</v>
      </c>
      <c r="H15" s="1" t="s">
        <v>78</v>
      </c>
      <c r="I15" s="1" t="s">
        <v>79</v>
      </c>
      <c r="J15" s="1" t="str">
        <f ca="1">IFERROR(__xludf.DUMMYFUNCTION("split(I15,"" "")"),"Irene")</f>
        <v>Irene</v>
      </c>
      <c r="K15" s="1" t="str">
        <f ca="1">IFERROR(__xludf.DUMMYFUNCTION("""COMPUTED_VALUE"""),"Maddox")</f>
        <v>Maddox</v>
      </c>
      <c r="L15" s="1"/>
      <c r="M15" s="1" t="s">
        <v>29</v>
      </c>
      <c r="N15" s="1" t="s">
        <v>30</v>
      </c>
      <c r="O15" s="1" t="s">
        <v>80</v>
      </c>
      <c r="P15" s="1" t="str">
        <f t="shared" si="2"/>
        <v>Seattle</v>
      </c>
      <c r="Q15" s="1" t="s">
        <v>81</v>
      </c>
      <c r="R15" s="1" t="str">
        <f t="shared" si="3"/>
        <v>Washington</v>
      </c>
      <c r="S15" s="1">
        <v>98103</v>
      </c>
      <c r="T15" s="1" t="s">
        <v>44</v>
      </c>
      <c r="U15" s="1" t="s">
        <v>82</v>
      </c>
      <c r="V15" s="1" t="s">
        <v>46</v>
      </c>
      <c r="W15" s="7">
        <v>407.976</v>
      </c>
      <c r="X15" s="1">
        <v>9</v>
      </c>
      <c r="Y15" s="7">
        <v>407.54</v>
      </c>
      <c r="Z15" s="7">
        <f t="shared" ref="Z15:AA15" si="18">W15*X15</f>
        <v>3671.7840000000001</v>
      </c>
      <c r="AA15" s="7">
        <f t="shared" si="18"/>
        <v>3667.86</v>
      </c>
      <c r="AB15" s="7">
        <f t="shared" si="5"/>
        <v>3.9239999999999782</v>
      </c>
    </row>
    <row r="16" spans="1:28">
      <c r="A16" s="1">
        <v>15</v>
      </c>
      <c r="B16" s="1" t="s">
        <v>83</v>
      </c>
      <c r="C16" s="2">
        <v>42696</v>
      </c>
      <c r="D16" s="6" t="str">
        <f t="shared" si="0"/>
        <v>Nov</v>
      </c>
      <c r="E16" s="6" t="str">
        <f t="shared" si="1"/>
        <v>Qtr 4</v>
      </c>
      <c r="F16" s="5" t="s">
        <v>84</v>
      </c>
      <c r="G16" s="1" t="s">
        <v>49</v>
      </c>
      <c r="H16" s="1" t="s">
        <v>85</v>
      </c>
      <c r="I16" s="1" t="s">
        <v>86</v>
      </c>
      <c r="J16" s="1" t="str">
        <f ca="1">IFERROR(__xludf.DUMMYFUNCTION("split(I16,"" "")"),"Harold")</f>
        <v>Harold</v>
      </c>
      <c r="K16" s="1" t="str">
        <f ca="1">IFERROR(__xludf.DUMMYFUNCTION("""COMPUTED_VALUE"""),"Pawlan")</f>
        <v>Pawlan</v>
      </c>
      <c r="L16" s="1"/>
      <c r="M16" s="1" t="s">
        <v>87</v>
      </c>
      <c r="N16" s="1" t="s">
        <v>30</v>
      </c>
      <c r="O16" s="1" t="s">
        <v>88</v>
      </c>
      <c r="P16" s="1" t="str">
        <f t="shared" si="2"/>
        <v>Fort Worth</v>
      </c>
      <c r="Q16" s="1" t="s">
        <v>89</v>
      </c>
      <c r="R16" s="1" t="str">
        <f t="shared" si="3"/>
        <v>Texas</v>
      </c>
      <c r="S16" s="1">
        <v>76106</v>
      </c>
      <c r="T16" s="1" t="s">
        <v>90</v>
      </c>
      <c r="U16" s="1" t="s">
        <v>91</v>
      </c>
      <c r="V16" s="1" t="s">
        <v>46</v>
      </c>
      <c r="W16" s="7">
        <v>68.81</v>
      </c>
      <c r="X16" s="1">
        <v>7</v>
      </c>
      <c r="Y16" s="7">
        <v>67.819999999999993</v>
      </c>
      <c r="Z16" s="7">
        <f t="shared" ref="Z16:AA16" si="19">W16*X16</f>
        <v>481.67</v>
      </c>
      <c r="AA16" s="7">
        <f t="shared" si="19"/>
        <v>474.73999999999995</v>
      </c>
      <c r="AB16" s="7">
        <f t="shared" si="5"/>
        <v>6.9300000000000637</v>
      </c>
    </row>
    <row r="17" spans="1:28">
      <c r="A17" s="1">
        <v>16</v>
      </c>
      <c r="B17" s="1" t="s">
        <v>83</v>
      </c>
      <c r="C17" s="2">
        <v>42696</v>
      </c>
      <c r="D17" s="6" t="str">
        <f t="shared" si="0"/>
        <v>Nov</v>
      </c>
      <c r="E17" s="6" t="str">
        <f t="shared" si="1"/>
        <v>Qtr 4</v>
      </c>
      <c r="F17" s="5" t="s">
        <v>84</v>
      </c>
      <c r="G17" s="1" t="s">
        <v>49</v>
      </c>
      <c r="H17" s="1" t="s">
        <v>85</v>
      </c>
      <c r="I17" s="1" t="s">
        <v>86</v>
      </c>
      <c r="J17" s="1" t="str">
        <f ca="1">IFERROR(__xludf.DUMMYFUNCTION("split(I17,"" "")"),"Harold")</f>
        <v>Harold</v>
      </c>
      <c r="K17" s="1" t="str">
        <f ca="1">IFERROR(__xludf.DUMMYFUNCTION("""COMPUTED_VALUE"""),"Pawlan")</f>
        <v>Pawlan</v>
      </c>
      <c r="L17" s="1"/>
      <c r="M17" s="1" t="s">
        <v>87</v>
      </c>
      <c r="N17" s="1" t="s">
        <v>30</v>
      </c>
      <c r="O17" s="1" t="s">
        <v>88</v>
      </c>
      <c r="P17" s="1" t="str">
        <f t="shared" si="2"/>
        <v>Fort Worth</v>
      </c>
      <c r="Q17" s="1" t="s">
        <v>89</v>
      </c>
      <c r="R17" s="1" t="str">
        <f t="shared" si="3"/>
        <v>Texas</v>
      </c>
      <c r="S17" s="1">
        <v>76106</v>
      </c>
      <c r="T17" s="1" t="s">
        <v>90</v>
      </c>
      <c r="U17" s="1" t="s">
        <v>92</v>
      </c>
      <c r="V17" s="1" t="s">
        <v>46</v>
      </c>
      <c r="W17" s="7">
        <v>2.544</v>
      </c>
      <c r="X17" s="1">
        <v>7</v>
      </c>
      <c r="Y17" s="7">
        <v>1.62</v>
      </c>
      <c r="Z17" s="7">
        <f t="shared" ref="Z17:AA17" si="20">W17*X17</f>
        <v>17.808</v>
      </c>
      <c r="AA17" s="7">
        <f t="shared" si="20"/>
        <v>11.34</v>
      </c>
      <c r="AB17" s="7">
        <f t="shared" si="5"/>
        <v>6.468</v>
      </c>
    </row>
    <row r="18" spans="1:28">
      <c r="A18" s="1">
        <v>17</v>
      </c>
      <c r="B18" s="1" t="s">
        <v>93</v>
      </c>
      <c r="C18" s="2">
        <v>42319</v>
      </c>
      <c r="D18" s="6" t="str">
        <f t="shared" si="0"/>
        <v>Nov</v>
      </c>
      <c r="E18" s="6" t="str">
        <f t="shared" si="1"/>
        <v>Qtr 4</v>
      </c>
      <c r="F18" s="5" t="s">
        <v>94</v>
      </c>
      <c r="G18" s="1" t="s">
        <v>49</v>
      </c>
      <c r="H18" s="1" t="s">
        <v>95</v>
      </c>
      <c r="I18" s="1" t="s">
        <v>96</v>
      </c>
      <c r="J18" s="1" t="str">
        <f ca="1">IFERROR(__xludf.DUMMYFUNCTION("split(I18,"" "")"),"Pete")</f>
        <v>Pete</v>
      </c>
      <c r="K18" s="1" t="str">
        <f ca="1">IFERROR(__xludf.DUMMYFUNCTION("""COMPUTED_VALUE"""),"Kriz")</f>
        <v>Kriz</v>
      </c>
      <c r="L18" s="1"/>
      <c r="M18" s="1" t="s">
        <v>29</v>
      </c>
      <c r="N18" s="1" t="s">
        <v>30</v>
      </c>
      <c r="O18" s="1" t="s">
        <v>97</v>
      </c>
      <c r="P18" s="1" t="str">
        <f t="shared" si="2"/>
        <v>Madison</v>
      </c>
      <c r="Q18" s="1" t="s">
        <v>98</v>
      </c>
      <c r="R18" s="1" t="str">
        <f t="shared" si="3"/>
        <v>Wisconsin</v>
      </c>
      <c r="S18" s="1">
        <v>53711</v>
      </c>
      <c r="T18" s="1" t="s">
        <v>90</v>
      </c>
      <c r="U18" s="1" t="s">
        <v>99</v>
      </c>
      <c r="V18" s="1" t="s">
        <v>46</v>
      </c>
      <c r="W18" s="7">
        <v>665.88</v>
      </c>
      <c r="X18" s="1">
        <v>5</v>
      </c>
      <c r="Y18" s="7">
        <v>665.32</v>
      </c>
      <c r="Z18" s="7">
        <f t="shared" ref="Z18:AA18" si="21">W18*X18</f>
        <v>3329.4</v>
      </c>
      <c r="AA18" s="7">
        <f t="shared" si="21"/>
        <v>3326.6000000000004</v>
      </c>
      <c r="AB18" s="7">
        <f t="shared" si="5"/>
        <v>2.7999999999997272</v>
      </c>
    </row>
    <row r="19" spans="1:28">
      <c r="A19" s="1">
        <v>18</v>
      </c>
      <c r="B19" s="1" t="s">
        <v>100</v>
      </c>
      <c r="C19" s="2">
        <v>42137</v>
      </c>
      <c r="D19" s="6" t="str">
        <f t="shared" si="0"/>
        <v>May</v>
      </c>
      <c r="E19" s="6" t="str">
        <f t="shared" si="1"/>
        <v>Qtr 2</v>
      </c>
      <c r="F19" s="5" t="s">
        <v>101</v>
      </c>
      <c r="G19" s="1" t="s">
        <v>26</v>
      </c>
      <c r="H19" s="1" t="s">
        <v>102</v>
      </c>
      <c r="I19" s="1" t="s">
        <v>103</v>
      </c>
      <c r="J19" s="1" t="str">
        <f ca="1">IFERROR(__xludf.DUMMYFUNCTION("split(I19,"" "")"),"Alejandro")</f>
        <v>Alejandro</v>
      </c>
      <c r="K19" s="1" t="str">
        <f ca="1">IFERROR(__xludf.DUMMYFUNCTION("""COMPUTED_VALUE"""),"Grove")</f>
        <v>Grove</v>
      </c>
      <c r="L19" s="1"/>
      <c r="M19" s="1" t="s">
        <v>29</v>
      </c>
      <c r="N19" s="1" t="s">
        <v>30</v>
      </c>
      <c r="O19" s="1" t="s">
        <v>104</v>
      </c>
      <c r="P19" s="1" t="str">
        <f t="shared" si="2"/>
        <v>West Jordan</v>
      </c>
      <c r="Q19" s="1" t="s">
        <v>105</v>
      </c>
      <c r="R19" s="1" t="str">
        <f t="shared" si="3"/>
        <v>Utah</v>
      </c>
      <c r="S19" s="1">
        <v>84084</v>
      </c>
      <c r="T19" s="1" t="s">
        <v>44</v>
      </c>
      <c r="U19" s="1" t="s">
        <v>106</v>
      </c>
      <c r="V19" s="1" t="s">
        <v>46</v>
      </c>
      <c r="W19" s="7">
        <v>55.5</v>
      </c>
      <c r="X19" s="1">
        <v>8</v>
      </c>
      <c r="Y19" s="7">
        <v>54.76</v>
      </c>
      <c r="Z19" s="7">
        <f t="shared" ref="Z19:AA19" si="22">W19*X19</f>
        <v>444</v>
      </c>
      <c r="AA19" s="7">
        <f t="shared" si="22"/>
        <v>438.08</v>
      </c>
      <c r="AB19" s="7">
        <f t="shared" si="5"/>
        <v>5.9200000000000159</v>
      </c>
    </row>
    <row r="20" spans="1:28">
      <c r="A20" s="1">
        <v>19</v>
      </c>
      <c r="B20" s="1" t="s">
        <v>107</v>
      </c>
      <c r="C20" s="2">
        <v>42243</v>
      </c>
      <c r="D20" s="6" t="str">
        <f t="shared" si="0"/>
        <v>Aug</v>
      </c>
      <c r="E20" s="6" t="str">
        <f t="shared" si="1"/>
        <v>Qtr 3</v>
      </c>
      <c r="F20" s="5">
        <v>42013</v>
      </c>
      <c r="G20" s="1" t="s">
        <v>26</v>
      </c>
      <c r="H20" s="1" t="s">
        <v>108</v>
      </c>
      <c r="I20" s="1" t="s">
        <v>109</v>
      </c>
      <c r="J20" s="1" t="str">
        <f ca="1">IFERROR(__xludf.DUMMYFUNCTION("split(I20,"" "")"),"Zuschuss")</f>
        <v>Zuschuss</v>
      </c>
      <c r="K20" s="1" t="str">
        <f ca="1">IFERROR(__xludf.DUMMYFUNCTION("""COMPUTED_VALUE"""),"Donatelli")</f>
        <v>Donatelli</v>
      </c>
      <c r="L20" s="1"/>
      <c r="M20" s="1" t="s">
        <v>29</v>
      </c>
      <c r="N20" s="1" t="s">
        <v>30</v>
      </c>
      <c r="O20" s="1" t="s">
        <v>110</v>
      </c>
      <c r="P20" s="1" t="str">
        <f t="shared" si="2"/>
        <v>San Francisco</v>
      </c>
      <c r="Q20" s="1" t="s">
        <v>68</v>
      </c>
      <c r="R20" s="1" t="str">
        <f t="shared" si="3"/>
        <v>California</v>
      </c>
      <c r="S20" s="1">
        <v>94109</v>
      </c>
      <c r="T20" s="1" t="s">
        <v>44</v>
      </c>
      <c r="U20" s="1" t="s">
        <v>111</v>
      </c>
      <c r="V20" s="1" t="s">
        <v>46</v>
      </c>
      <c r="W20" s="7">
        <v>8.56</v>
      </c>
      <c r="X20" s="1">
        <v>9</v>
      </c>
      <c r="Y20" s="7">
        <v>7.72</v>
      </c>
      <c r="Z20" s="7">
        <f t="shared" ref="Z20:AA20" si="23">W20*X20</f>
        <v>77.040000000000006</v>
      </c>
      <c r="AA20" s="7">
        <f t="shared" si="23"/>
        <v>69.48</v>
      </c>
      <c r="AB20" s="7">
        <f t="shared" si="5"/>
        <v>7.5600000000000023</v>
      </c>
    </row>
    <row r="21" spans="1:28">
      <c r="A21" s="1">
        <v>20</v>
      </c>
      <c r="B21" s="1" t="s">
        <v>107</v>
      </c>
      <c r="C21" s="2">
        <v>42243</v>
      </c>
      <c r="D21" s="6" t="str">
        <f t="shared" si="0"/>
        <v>Aug</v>
      </c>
      <c r="E21" s="6" t="str">
        <f t="shared" si="1"/>
        <v>Qtr 3</v>
      </c>
      <c r="F21" s="5">
        <v>42013</v>
      </c>
      <c r="G21" s="1" t="s">
        <v>26</v>
      </c>
      <c r="H21" s="1" t="s">
        <v>108</v>
      </c>
      <c r="I21" s="1" t="s">
        <v>109</v>
      </c>
      <c r="J21" s="1" t="str">
        <f ca="1">IFERROR(__xludf.DUMMYFUNCTION("split(I21,"" "")"),"Zuschuss")</f>
        <v>Zuschuss</v>
      </c>
      <c r="K21" s="1" t="str">
        <f ca="1">IFERROR(__xludf.DUMMYFUNCTION("""COMPUTED_VALUE"""),"Donatelli")</f>
        <v>Donatelli</v>
      </c>
      <c r="L21" s="1"/>
      <c r="M21" s="1" t="s">
        <v>29</v>
      </c>
      <c r="N21" s="1" t="s">
        <v>30</v>
      </c>
      <c r="O21" s="1" t="s">
        <v>110</v>
      </c>
      <c r="P21" s="1" t="str">
        <f t="shared" si="2"/>
        <v>San Francisco</v>
      </c>
      <c r="Q21" s="1" t="s">
        <v>68</v>
      </c>
      <c r="R21" s="1" t="str">
        <f t="shared" si="3"/>
        <v>California</v>
      </c>
      <c r="S21" s="1">
        <v>94109</v>
      </c>
      <c r="T21" s="1" t="s">
        <v>44</v>
      </c>
      <c r="U21" s="1" t="s">
        <v>112</v>
      </c>
      <c r="V21" s="1" t="s">
        <v>64</v>
      </c>
      <c r="W21" s="7">
        <v>213.48</v>
      </c>
      <c r="X21" s="1">
        <v>9</v>
      </c>
      <c r="Y21" s="7">
        <v>212.79</v>
      </c>
      <c r="Z21" s="7">
        <f t="shared" ref="Z21:AA21" si="24">W21*X21</f>
        <v>1921.32</v>
      </c>
      <c r="AA21" s="7">
        <f t="shared" si="24"/>
        <v>1915.11</v>
      </c>
      <c r="AB21" s="7">
        <f t="shared" si="5"/>
        <v>6.2100000000000364</v>
      </c>
    </row>
    <row r="22" spans="1:28">
      <c r="A22" s="1">
        <v>21</v>
      </c>
      <c r="B22" s="1" t="s">
        <v>107</v>
      </c>
      <c r="C22" s="2">
        <v>42243</v>
      </c>
      <c r="D22" s="6" t="str">
        <f t="shared" si="0"/>
        <v>Aug</v>
      </c>
      <c r="E22" s="6" t="str">
        <f t="shared" si="1"/>
        <v>Qtr 3</v>
      </c>
      <c r="F22" s="5">
        <v>42013</v>
      </c>
      <c r="G22" s="1" t="s">
        <v>26</v>
      </c>
      <c r="H22" s="1" t="s">
        <v>108</v>
      </c>
      <c r="I22" s="1" t="s">
        <v>109</v>
      </c>
      <c r="J22" s="1" t="str">
        <f ca="1">IFERROR(__xludf.DUMMYFUNCTION("split(I22,"" "")"),"Zuschuss")</f>
        <v>Zuschuss</v>
      </c>
      <c r="K22" s="1" t="str">
        <f ca="1">IFERROR(__xludf.DUMMYFUNCTION("""COMPUTED_VALUE"""),"Donatelli")</f>
        <v>Donatelli</v>
      </c>
      <c r="L22" s="1"/>
      <c r="M22" s="1" t="s">
        <v>29</v>
      </c>
      <c r="N22" s="1" t="s">
        <v>30</v>
      </c>
      <c r="O22" s="1" t="s">
        <v>110</v>
      </c>
      <c r="P22" s="1" t="str">
        <f t="shared" si="2"/>
        <v>San Francisco</v>
      </c>
      <c r="Q22" s="1" t="s">
        <v>68</v>
      </c>
      <c r="R22" s="1" t="str">
        <f t="shared" si="3"/>
        <v>California</v>
      </c>
      <c r="S22" s="1">
        <v>94109</v>
      </c>
      <c r="T22" s="1" t="s">
        <v>44</v>
      </c>
      <c r="U22" s="1" t="s">
        <v>113</v>
      </c>
      <c r="V22" s="1" t="s">
        <v>46</v>
      </c>
      <c r="W22" s="7">
        <v>22.72</v>
      </c>
      <c r="X22" s="1">
        <v>9</v>
      </c>
      <c r="Y22" s="7">
        <v>22.41</v>
      </c>
      <c r="Z22" s="7">
        <f t="shared" ref="Z22:AA22" si="25">W22*X22</f>
        <v>204.48</v>
      </c>
      <c r="AA22" s="7">
        <f t="shared" si="25"/>
        <v>201.69</v>
      </c>
      <c r="AB22" s="7">
        <f t="shared" si="5"/>
        <v>2.789999999999992</v>
      </c>
    </row>
    <row r="23" spans="1:28">
      <c r="A23" s="1">
        <v>22</v>
      </c>
      <c r="B23" s="1" t="s">
        <v>114</v>
      </c>
      <c r="C23" s="2">
        <v>42990</v>
      </c>
      <c r="D23" s="6" t="str">
        <f t="shared" si="0"/>
        <v>Sep</v>
      </c>
      <c r="E23" s="6" t="str">
        <f t="shared" si="1"/>
        <v>Qtr 3</v>
      </c>
      <c r="F23" s="5" t="s">
        <v>115</v>
      </c>
      <c r="G23" s="1" t="s">
        <v>49</v>
      </c>
      <c r="H23" s="1" t="s">
        <v>116</v>
      </c>
      <c r="I23" s="1" t="s">
        <v>117</v>
      </c>
      <c r="J23" s="1" t="str">
        <f ca="1">IFERROR(__xludf.DUMMYFUNCTION("split(I23,"" "")"),"Ken")</f>
        <v>Ken</v>
      </c>
      <c r="K23" s="1" t="str">
        <f ca="1">IFERROR(__xludf.DUMMYFUNCTION("""COMPUTED_VALUE"""),"Black")</f>
        <v>Black</v>
      </c>
      <c r="L23" s="1"/>
      <c r="M23" s="1" t="s">
        <v>41</v>
      </c>
      <c r="N23" s="1" t="s">
        <v>30</v>
      </c>
      <c r="O23" s="1" t="s">
        <v>118</v>
      </c>
      <c r="P23" s="1" t="str">
        <f t="shared" si="2"/>
        <v>Fremont</v>
      </c>
      <c r="Q23" s="1" t="s">
        <v>119</v>
      </c>
      <c r="R23" s="1" t="str">
        <f t="shared" si="3"/>
        <v>Nebraska</v>
      </c>
      <c r="S23" s="1">
        <v>68025</v>
      </c>
      <c r="T23" s="1" t="s">
        <v>90</v>
      </c>
      <c r="U23" s="1" t="s">
        <v>120</v>
      </c>
      <c r="V23" s="1" t="s">
        <v>46</v>
      </c>
      <c r="W23" s="7">
        <v>19.46</v>
      </c>
      <c r="X23" s="1">
        <v>6</v>
      </c>
      <c r="Y23" s="7">
        <v>18.809999999999999</v>
      </c>
      <c r="Z23" s="7">
        <f t="shared" ref="Z23:AA23" si="26">W23*X23</f>
        <v>116.76</v>
      </c>
      <c r="AA23" s="7">
        <f t="shared" si="26"/>
        <v>112.85999999999999</v>
      </c>
      <c r="AB23" s="7">
        <f t="shared" si="5"/>
        <v>3.9000000000000199</v>
      </c>
    </row>
    <row r="24" spans="1:28">
      <c r="A24" s="1">
        <v>23</v>
      </c>
      <c r="B24" s="1" t="s">
        <v>114</v>
      </c>
      <c r="C24" s="2">
        <v>42990</v>
      </c>
      <c r="D24" s="6" t="str">
        <f t="shared" si="0"/>
        <v>Sep</v>
      </c>
      <c r="E24" s="6" t="str">
        <f t="shared" si="1"/>
        <v>Qtr 3</v>
      </c>
      <c r="F24" s="5" t="s">
        <v>115</v>
      </c>
      <c r="G24" s="1" t="s">
        <v>49</v>
      </c>
      <c r="H24" s="1" t="s">
        <v>116</v>
      </c>
      <c r="I24" s="1" t="s">
        <v>117</v>
      </c>
      <c r="J24" s="1" t="str">
        <f ca="1">IFERROR(__xludf.DUMMYFUNCTION("split(I24,"" "")"),"Ken")</f>
        <v>Ken</v>
      </c>
      <c r="K24" s="1" t="str">
        <f ca="1">IFERROR(__xludf.DUMMYFUNCTION("""COMPUTED_VALUE"""),"Black")</f>
        <v>Black</v>
      </c>
      <c r="L24" s="1"/>
      <c r="M24" s="1" t="s">
        <v>41</v>
      </c>
      <c r="N24" s="1" t="s">
        <v>30</v>
      </c>
      <c r="O24" s="1" t="s">
        <v>118</v>
      </c>
      <c r="P24" s="1" t="str">
        <f t="shared" si="2"/>
        <v>Fremont</v>
      </c>
      <c r="Q24" s="1" t="s">
        <v>119</v>
      </c>
      <c r="R24" s="1" t="str">
        <f t="shared" si="3"/>
        <v>Nebraska</v>
      </c>
      <c r="S24" s="1">
        <v>68025</v>
      </c>
      <c r="T24" s="1" t="s">
        <v>90</v>
      </c>
      <c r="U24" s="1" t="s">
        <v>121</v>
      </c>
      <c r="V24" s="1" t="s">
        <v>46</v>
      </c>
      <c r="W24" s="7">
        <v>60.34</v>
      </c>
      <c r="X24" s="1">
        <v>6</v>
      </c>
      <c r="Y24" s="7">
        <v>59.54</v>
      </c>
      <c r="Z24" s="7">
        <f t="shared" ref="Z24:AA24" si="27">W24*X24</f>
        <v>362.04</v>
      </c>
      <c r="AA24" s="7">
        <f t="shared" si="27"/>
        <v>357.24</v>
      </c>
      <c r="AB24" s="7">
        <f t="shared" si="5"/>
        <v>4.8000000000000114</v>
      </c>
    </row>
    <row r="25" spans="1:28">
      <c r="A25" s="1">
        <v>24</v>
      </c>
      <c r="B25" s="1" t="s">
        <v>122</v>
      </c>
      <c r="C25" s="2">
        <v>43297</v>
      </c>
      <c r="D25" s="6" t="str">
        <f t="shared" si="0"/>
        <v>Jul</v>
      </c>
      <c r="E25" s="6" t="str">
        <f t="shared" si="1"/>
        <v>Qtr 3</v>
      </c>
      <c r="F25" s="5" t="s">
        <v>123</v>
      </c>
      <c r="G25" s="1" t="s">
        <v>26</v>
      </c>
      <c r="H25" s="1" t="s">
        <v>124</v>
      </c>
      <c r="I25" s="1" t="s">
        <v>125</v>
      </c>
      <c r="J25" s="1" t="str">
        <f ca="1">IFERROR(__xludf.DUMMYFUNCTION("split(I25,"" "")"),"Sandra")</f>
        <v>Sandra</v>
      </c>
      <c r="K25" s="1" t="str">
        <f ca="1">IFERROR(__xludf.DUMMYFUNCTION("""COMPUTED_VALUE"""),"Flanagan")</f>
        <v>Flanagan</v>
      </c>
      <c r="L25" s="1"/>
      <c r="M25" s="1" t="s">
        <v>29</v>
      </c>
      <c r="N25" s="1" t="s">
        <v>30</v>
      </c>
      <c r="O25" s="1" t="s">
        <v>126</v>
      </c>
      <c r="P25" s="1" t="str">
        <f t="shared" si="2"/>
        <v>Philadelphia</v>
      </c>
      <c r="Q25" s="1" t="s">
        <v>127</v>
      </c>
      <c r="R25" s="1" t="str">
        <f t="shared" si="3"/>
        <v>Pennsylvania</v>
      </c>
      <c r="S25" s="1">
        <v>19140</v>
      </c>
      <c r="T25" s="1" t="s">
        <v>128</v>
      </c>
      <c r="U25" s="1" t="s">
        <v>129</v>
      </c>
      <c r="V25" s="1" t="s">
        <v>35</v>
      </c>
      <c r="W25" s="7">
        <v>71.372</v>
      </c>
      <c r="X25" s="1">
        <v>1</v>
      </c>
      <c r="Y25" s="7">
        <v>70.8</v>
      </c>
      <c r="Z25" s="7">
        <f t="shared" ref="Z25:AA25" si="28">W25*X25</f>
        <v>71.372</v>
      </c>
      <c r="AA25" s="7">
        <f t="shared" si="28"/>
        <v>70.8</v>
      </c>
      <c r="AB25" s="7">
        <f t="shared" si="5"/>
        <v>0.57200000000000273</v>
      </c>
    </row>
    <row r="26" spans="1:28">
      <c r="A26" s="1">
        <v>25</v>
      </c>
      <c r="B26" s="1" t="s">
        <v>130</v>
      </c>
      <c r="C26" s="2">
        <v>42638</v>
      </c>
      <c r="D26" s="6" t="str">
        <f t="shared" si="0"/>
        <v>Sep</v>
      </c>
      <c r="E26" s="6" t="str">
        <f t="shared" si="1"/>
        <v>Qtr 3</v>
      </c>
      <c r="F26" s="5" t="s">
        <v>131</v>
      </c>
      <c r="G26" s="1" t="s">
        <v>49</v>
      </c>
      <c r="H26" s="1" t="s">
        <v>132</v>
      </c>
      <c r="I26" s="1" t="s">
        <v>133</v>
      </c>
      <c r="J26" s="1" t="str">
        <f ca="1">IFERROR(__xludf.DUMMYFUNCTION("split(I26,"" "")"),"Emily")</f>
        <v>Emily</v>
      </c>
      <c r="K26" s="1" t="str">
        <f ca="1">IFERROR(__xludf.DUMMYFUNCTION("""COMPUTED_VALUE"""),"Burns")</f>
        <v>Burns</v>
      </c>
      <c r="L26" s="1"/>
      <c r="M26" s="1" t="s">
        <v>29</v>
      </c>
      <c r="N26" s="1" t="s">
        <v>30</v>
      </c>
      <c r="O26" s="1" t="s">
        <v>134</v>
      </c>
      <c r="P26" s="1" t="str">
        <f t="shared" si="2"/>
        <v>Orem</v>
      </c>
      <c r="Q26" s="1" t="s">
        <v>105</v>
      </c>
      <c r="R26" s="1" t="str">
        <f t="shared" si="3"/>
        <v>Utah</v>
      </c>
      <c r="S26" s="1">
        <v>84057</v>
      </c>
      <c r="T26" s="1" t="s">
        <v>44</v>
      </c>
      <c r="U26" s="1" t="s">
        <v>54</v>
      </c>
      <c r="V26" s="1" t="s">
        <v>35</v>
      </c>
      <c r="W26" s="7">
        <v>1044.6300000000001</v>
      </c>
      <c r="X26" s="1">
        <v>8</v>
      </c>
      <c r="Y26" s="7">
        <v>1044.05</v>
      </c>
      <c r="Z26" s="7">
        <f t="shared" ref="Z26:AA26" si="29">W26*X26</f>
        <v>8357.0400000000009</v>
      </c>
      <c r="AA26" s="7">
        <f t="shared" si="29"/>
        <v>8352.4</v>
      </c>
      <c r="AB26" s="7">
        <f t="shared" si="5"/>
        <v>4.6400000000012369</v>
      </c>
    </row>
    <row r="27" spans="1:28">
      <c r="A27" s="1">
        <v>26</v>
      </c>
      <c r="B27" s="1" t="s">
        <v>135</v>
      </c>
      <c r="C27" s="2">
        <v>42751</v>
      </c>
      <c r="D27" s="6" t="str">
        <f t="shared" si="0"/>
        <v>Jan</v>
      </c>
      <c r="E27" s="6" t="str">
        <f t="shared" si="1"/>
        <v>Qtr 1</v>
      </c>
      <c r="F27" s="5" t="s">
        <v>136</v>
      </c>
      <c r="G27" s="1" t="s">
        <v>26</v>
      </c>
      <c r="H27" s="1" t="s">
        <v>137</v>
      </c>
      <c r="I27" s="1" t="s">
        <v>138</v>
      </c>
      <c r="J27" s="1" t="str">
        <f ca="1">IFERROR(__xludf.DUMMYFUNCTION("split(I27,"" "")"),"Eric")</f>
        <v>Eric</v>
      </c>
      <c r="K27" s="1" t="str">
        <f ca="1">IFERROR(__xludf.DUMMYFUNCTION("""COMPUTED_VALUE"""),"Hoffmann")</f>
        <v>Hoffmann</v>
      </c>
      <c r="L27" s="1"/>
      <c r="M27" s="1" t="s">
        <v>29</v>
      </c>
      <c r="N27" s="1" t="s">
        <v>30</v>
      </c>
      <c r="O27" s="1" t="s">
        <v>42</v>
      </c>
      <c r="P27" s="1" t="str">
        <f t="shared" si="2"/>
        <v>Los Angeles</v>
      </c>
      <c r="Q27" s="1" t="s">
        <v>68</v>
      </c>
      <c r="R27" s="1" t="str">
        <f t="shared" si="3"/>
        <v>California</v>
      </c>
      <c r="S27" s="1">
        <v>90049</v>
      </c>
      <c r="T27" s="1" t="s">
        <v>44</v>
      </c>
      <c r="U27" s="1" t="s">
        <v>139</v>
      </c>
      <c r="V27" s="1" t="s">
        <v>46</v>
      </c>
      <c r="W27" s="7">
        <v>11.648</v>
      </c>
      <c r="X27" s="1">
        <v>9</v>
      </c>
      <c r="Y27" s="7">
        <v>11.39</v>
      </c>
      <c r="Z27" s="7">
        <f t="shared" ref="Z27:AA27" si="30">W27*X27</f>
        <v>104.83199999999999</v>
      </c>
      <c r="AA27" s="7">
        <f t="shared" si="30"/>
        <v>102.51</v>
      </c>
      <c r="AB27" s="7">
        <f t="shared" si="5"/>
        <v>2.3219999999999885</v>
      </c>
    </row>
    <row r="28" spans="1:28">
      <c r="A28" s="1">
        <v>27</v>
      </c>
      <c r="B28" s="1" t="s">
        <v>135</v>
      </c>
      <c r="C28" s="2">
        <v>42751</v>
      </c>
      <c r="D28" s="6" t="str">
        <f t="shared" si="0"/>
        <v>Jan</v>
      </c>
      <c r="E28" s="6" t="str">
        <f t="shared" si="1"/>
        <v>Qtr 1</v>
      </c>
      <c r="F28" s="5" t="s">
        <v>136</v>
      </c>
      <c r="G28" s="1" t="s">
        <v>26</v>
      </c>
      <c r="H28" s="1" t="s">
        <v>137</v>
      </c>
      <c r="I28" s="1" t="s">
        <v>138</v>
      </c>
      <c r="J28" s="1" t="str">
        <f ca="1">IFERROR(__xludf.DUMMYFUNCTION("split(I28,"" "")"),"Eric")</f>
        <v>Eric</v>
      </c>
      <c r="K28" s="1" t="str">
        <f ca="1">IFERROR(__xludf.DUMMYFUNCTION("""COMPUTED_VALUE"""),"Hoffmann")</f>
        <v>Hoffmann</v>
      </c>
      <c r="L28" s="1"/>
      <c r="M28" s="1" t="s">
        <v>29</v>
      </c>
      <c r="N28" s="1" t="s">
        <v>30</v>
      </c>
      <c r="O28" s="1" t="s">
        <v>42</v>
      </c>
      <c r="P28" s="1" t="str">
        <f t="shared" si="2"/>
        <v>Los Angeles</v>
      </c>
      <c r="Q28" s="1" t="s">
        <v>68</v>
      </c>
      <c r="R28" s="1" t="str">
        <f t="shared" si="3"/>
        <v>California</v>
      </c>
      <c r="S28" s="1">
        <v>90049</v>
      </c>
      <c r="T28" s="1" t="s">
        <v>44</v>
      </c>
      <c r="U28" s="1" t="s">
        <v>140</v>
      </c>
      <c r="V28" s="1" t="s">
        <v>64</v>
      </c>
      <c r="W28" s="7">
        <v>90.57</v>
      </c>
      <c r="X28" s="1">
        <v>9</v>
      </c>
      <c r="Y28" s="7">
        <v>89.64</v>
      </c>
      <c r="Z28" s="7">
        <f t="shared" ref="Z28:AA28" si="31">W28*X28</f>
        <v>815.12999999999988</v>
      </c>
      <c r="AA28" s="7">
        <f t="shared" si="31"/>
        <v>806.76</v>
      </c>
      <c r="AB28" s="7">
        <f t="shared" si="5"/>
        <v>8.3699999999998909</v>
      </c>
    </row>
    <row r="29" spans="1:28">
      <c r="A29" s="1">
        <v>28</v>
      </c>
      <c r="B29" s="1" t="s">
        <v>141</v>
      </c>
      <c r="C29" s="2">
        <v>42630</v>
      </c>
      <c r="D29" s="6" t="str">
        <f t="shared" si="0"/>
        <v>Sep</v>
      </c>
      <c r="E29" s="6" t="str">
        <f t="shared" si="1"/>
        <v>Qtr 3</v>
      </c>
      <c r="F29" s="5" t="s">
        <v>142</v>
      </c>
      <c r="G29" s="1" t="s">
        <v>49</v>
      </c>
      <c r="H29" s="1" t="s">
        <v>143</v>
      </c>
      <c r="I29" s="1" t="s">
        <v>144</v>
      </c>
      <c r="J29" s="1" t="str">
        <f ca="1">IFERROR(__xludf.DUMMYFUNCTION("split(I29,"" "")"),"Tracy")</f>
        <v>Tracy</v>
      </c>
      <c r="K29" s="1" t="str">
        <f ca="1">IFERROR(__xludf.DUMMYFUNCTION("""COMPUTED_VALUE"""),"Blumstein")</f>
        <v>Blumstein</v>
      </c>
      <c r="L29" s="1"/>
      <c r="M29" s="1" t="s">
        <v>29</v>
      </c>
      <c r="N29" s="1" t="s">
        <v>30</v>
      </c>
      <c r="O29" s="1" t="s">
        <v>126</v>
      </c>
      <c r="P29" s="1" t="str">
        <f t="shared" si="2"/>
        <v>Philadelphia</v>
      </c>
      <c r="Q29" s="1" t="s">
        <v>145</v>
      </c>
      <c r="R29" s="1" t="str">
        <f t="shared" si="3"/>
        <v>Pennsylvania</v>
      </c>
      <c r="S29" s="1">
        <v>19140</v>
      </c>
      <c r="T29" s="1" t="s">
        <v>128</v>
      </c>
      <c r="U29" s="1" t="s">
        <v>146</v>
      </c>
      <c r="V29" s="1" t="s">
        <v>35</v>
      </c>
      <c r="W29" s="7">
        <v>3083.43</v>
      </c>
      <c r="X29" s="1">
        <v>1</v>
      </c>
      <c r="Y29" s="7">
        <v>3082.52</v>
      </c>
      <c r="Z29" s="7">
        <f t="shared" ref="Z29:AA29" si="32">W29*X29</f>
        <v>3083.43</v>
      </c>
      <c r="AA29" s="7">
        <f t="shared" si="32"/>
        <v>3082.52</v>
      </c>
      <c r="AB29" s="7">
        <f t="shared" si="5"/>
        <v>0.90999999999985448</v>
      </c>
    </row>
    <row r="30" spans="1:28">
      <c r="A30" s="1">
        <v>29</v>
      </c>
      <c r="B30" s="1" t="s">
        <v>141</v>
      </c>
      <c r="C30" s="2">
        <v>42630</v>
      </c>
      <c r="D30" s="6" t="str">
        <f t="shared" si="0"/>
        <v>Sep</v>
      </c>
      <c r="E30" s="6" t="str">
        <f t="shared" si="1"/>
        <v>Qtr 3</v>
      </c>
      <c r="F30" s="5" t="s">
        <v>142</v>
      </c>
      <c r="G30" s="1" t="s">
        <v>49</v>
      </c>
      <c r="H30" s="1" t="s">
        <v>143</v>
      </c>
      <c r="I30" s="1" t="s">
        <v>144</v>
      </c>
      <c r="J30" s="1" t="str">
        <f ca="1">IFERROR(__xludf.DUMMYFUNCTION("split(I30,"" "")"),"Tracy")</f>
        <v>Tracy</v>
      </c>
      <c r="K30" s="1" t="str">
        <f ca="1">IFERROR(__xludf.DUMMYFUNCTION("""COMPUTED_VALUE"""),"Blumstein")</f>
        <v>Blumstein</v>
      </c>
      <c r="L30" s="1"/>
      <c r="M30" s="1" t="s">
        <v>29</v>
      </c>
      <c r="N30" s="1" t="s">
        <v>30</v>
      </c>
      <c r="O30" s="1" t="s">
        <v>147</v>
      </c>
      <c r="P30" s="1" t="str">
        <f t="shared" si="2"/>
        <v>Philadelphia</v>
      </c>
      <c r="Q30" s="1" t="s">
        <v>148</v>
      </c>
      <c r="R30" s="1" t="str">
        <f t="shared" si="3"/>
        <v>Pennsylvania</v>
      </c>
      <c r="S30" s="1">
        <v>19140</v>
      </c>
      <c r="T30" s="1" t="s">
        <v>128</v>
      </c>
      <c r="U30" s="1" t="s">
        <v>149</v>
      </c>
      <c r="V30" s="1" t="s">
        <v>46</v>
      </c>
      <c r="W30" s="7">
        <v>9.6180000000000003</v>
      </c>
      <c r="X30" s="1">
        <v>1</v>
      </c>
      <c r="Y30" s="7">
        <v>9.01</v>
      </c>
      <c r="Z30" s="7">
        <f t="shared" ref="Z30:AA30" si="33">W30*X30</f>
        <v>9.6180000000000003</v>
      </c>
      <c r="AA30" s="7">
        <f t="shared" si="33"/>
        <v>9.01</v>
      </c>
      <c r="AB30" s="7">
        <f t="shared" si="5"/>
        <v>0.60800000000000054</v>
      </c>
    </row>
    <row r="31" spans="1:28">
      <c r="A31" s="1">
        <v>30</v>
      </c>
      <c r="B31" s="1" t="s">
        <v>141</v>
      </c>
      <c r="C31" s="2">
        <v>42630</v>
      </c>
      <c r="D31" s="6" t="str">
        <f t="shared" si="0"/>
        <v>Sep</v>
      </c>
      <c r="E31" s="6" t="str">
        <f t="shared" si="1"/>
        <v>Qtr 3</v>
      </c>
      <c r="F31" s="5" t="s">
        <v>142</v>
      </c>
      <c r="G31" s="1" t="s">
        <v>49</v>
      </c>
      <c r="H31" s="1" t="s">
        <v>143</v>
      </c>
      <c r="I31" s="1" t="s">
        <v>144</v>
      </c>
      <c r="J31" s="1" t="str">
        <f ca="1">IFERROR(__xludf.DUMMYFUNCTION("split(I31,"" "")"),"Tracy")</f>
        <v>Tracy</v>
      </c>
      <c r="K31" s="1" t="str">
        <f ca="1">IFERROR(__xludf.DUMMYFUNCTION("""COMPUTED_VALUE"""),"Blumstein")</f>
        <v>Blumstein</v>
      </c>
      <c r="L31" s="1"/>
      <c r="M31" s="1" t="s">
        <v>29</v>
      </c>
      <c r="N31" s="1" t="s">
        <v>30</v>
      </c>
      <c r="O31" s="1" t="s">
        <v>126</v>
      </c>
      <c r="P31" s="1" t="str">
        <f t="shared" si="2"/>
        <v>Philadelphia</v>
      </c>
      <c r="Q31" s="1" t="s">
        <v>127</v>
      </c>
      <c r="R31" s="1" t="str">
        <f t="shared" si="3"/>
        <v>Pennsylvania</v>
      </c>
      <c r="S31" s="1">
        <v>19140</v>
      </c>
      <c r="T31" s="1" t="s">
        <v>128</v>
      </c>
      <c r="U31" s="1" t="s">
        <v>150</v>
      </c>
      <c r="V31" s="1" t="s">
        <v>35</v>
      </c>
      <c r="W31" s="7">
        <v>124.2</v>
      </c>
      <c r="X31" s="1">
        <v>1</v>
      </c>
      <c r="Y31" s="7">
        <v>123.99</v>
      </c>
      <c r="Z31" s="7">
        <f t="shared" ref="Z31:AA31" si="34">W31*X31</f>
        <v>124.2</v>
      </c>
      <c r="AA31" s="7">
        <f t="shared" si="34"/>
        <v>123.99</v>
      </c>
      <c r="AB31" s="7">
        <f t="shared" si="5"/>
        <v>0.21000000000000796</v>
      </c>
    </row>
    <row r="32" spans="1:28">
      <c r="A32" s="1">
        <v>31</v>
      </c>
      <c r="B32" s="1" t="s">
        <v>141</v>
      </c>
      <c r="C32" s="2">
        <v>42630</v>
      </c>
      <c r="D32" s="6" t="str">
        <f t="shared" si="0"/>
        <v>Sep</v>
      </c>
      <c r="E32" s="6" t="str">
        <f t="shared" si="1"/>
        <v>Qtr 3</v>
      </c>
      <c r="F32" s="5" t="s">
        <v>142</v>
      </c>
      <c r="G32" s="1" t="s">
        <v>49</v>
      </c>
      <c r="H32" s="1" t="s">
        <v>143</v>
      </c>
      <c r="I32" s="1" t="s">
        <v>144</v>
      </c>
      <c r="J32" s="1" t="str">
        <f ca="1">IFERROR(__xludf.DUMMYFUNCTION("split(I32,"" "")"),"Tracy")</f>
        <v>Tracy</v>
      </c>
      <c r="K32" s="1" t="str">
        <f ca="1">IFERROR(__xludf.DUMMYFUNCTION("""COMPUTED_VALUE"""),"Blumstein")</f>
        <v>Blumstein</v>
      </c>
      <c r="L32" s="1"/>
      <c r="M32" s="1" t="s">
        <v>29</v>
      </c>
      <c r="N32" s="1" t="s">
        <v>30</v>
      </c>
      <c r="O32" s="1" t="s">
        <v>126</v>
      </c>
      <c r="P32" s="1" t="str">
        <f t="shared" si="2"/>
        <v>Philadelphia</v>
      </c>
      <c r="Q32" s="1" t="s">
        <v>127</v>
      </c>
      <c r="R32" s="1" t="str">
        <f t="shared" si="3"/>
        <v>Pennsylvania</v>
      </c>
      <c r="S32" s="1">
        <v>19140</v>
      </c>
      <c r="T32" s="1" t="s">
        <v>128</v>
      </c>
      <c r="U32" s="1" t="s">
        <v>151</v>
      </c>
      <c r="V32" s="1" t="s">
        <v>46</v>
      </c>
      <c r="W32" s="7">
        <v>3.2639999999999998</v>
      </c>
      <c r="X32" s="1">
        <v>1</v>
      </c>
      <c r="Y32" s="7">
        <v>3.11</v>
      </c>
      <c r="Z32" s="7">
        <f t="shared" ref="Z32:AA32" si="35">W32*X32</f>
        <v>3.2639999999999998</v>
      </c>
      <c r="AA32" s="7">
        <f t="shared" si="35"/>
        <v>3.11</v>
      </c>
      <c r="AB32" s="7">
        <f t="shared" si="5"/>
        <v>0.15399999999999991</v>
      </c>
    </row>
    <row r="33" spans="1:28">
      <c r="A33" s="1">
        <v>32</v>
      </c>
      <c r="B33" s="1" t="s">
        <v>141</v>
      </c>
      <c r="C33" s="2">
        <v>42630</v>
      </c>
      <c r="D33" s="6" t="str">
        <f t="shared" si="0"/>
        <v>Sep</v>
      </c>
      <c r="E33" s="6" t="str">
        <f t="shared" si="1"/>
        <v>Qtr 3</v>
      </c>
      <c r="F33" s="5" t="s">
        <v>142</v>
      </c>
      <c r="G33" s="1" t="s">
        <v>49</v>
      </c>
      <c r="H33" s="1" t="s">
        <v>143</v>
      </c>
      <c r="I33" s="1" t="s">
        <v>144</v>
      </c>
      <c r="J33" s="1" t="str">
        <f ca="1">IFERROR(__xludf.DUMMYFUNCTION("split(I33,"" "")"),"Tracy")</f>
        <v>Tracy</v>
      </c>
      <c r="K33" s="1" t="str">
        <f ca="1">IFERROR(__xludf.DUMMYFUNCTION("""COMPUTED_VALUE"""),"Blumstein")</f>
        <v>Blumstein</v>
      </c>
      <c r="L33" s="1"/>
      <c r="M33" s="1" t="s">
        <v>29</v>
      </c>
      <c r="N33" s="1" t="s">
        <v>30</v>
      </c>
      <c r="O33" s="1" t="s">
        <v>126</v>
      </c>
      <c r="P33" s="1" t="str">
        <f t="shared" si="2"/>
        <v>Philadelphia</v>
      </c>
      <c r="Q33" s="1" t="s">
        <v>127</v>
      </c>
      <c r="R33" s="1" t="str">
        <f t="shared" si="3"/>
        <v>Pennsylvania</v>
      </c>
      <c r="S33" s="1">
        <v>19140</v>
      </c>
      <c r="T33" s="1" t="s">
        <v>128</v>
      </c>
      <c r="U33" s="1" t="s">
        <v>152</v>
      </c>
      <c r="V33" s="1" t="s">
        <v>46</v>
      </c>
      <c r="W33" s="7">
        <v>86.304000000000002</v>
      </c>
      <c r="X33" s="1">
        <v>1</v>
      </c>
      <c r="Y33" s="7">
        <v>85.88</v>
      </c>
      <c r="Z33" s="7">
        <f t="shared" ref="Z33:AA33" si="36">W33*X33</f>
        <v>86.304000000000002</v>
      </c>
      <c r="AA33" s="7">
        <f t="shared" si="36"/>
        <v>85.88</v>
      </c>
      <c r="AB33" s="7">
        <f t="shared" si="5"/>
        <v>0.42400000000000659</v>
      </c>
    </row>
    <row r="34" spans="1:28">
      <c r="A34" s="1">
        <v>33</v>
      </c>
      <c r="B34" s="1" t="s">
        <v>141</v>
      </c>
      <c r="C34" s="2">
        <v>42630</v>
      </c>
      <c r="D34" s="6" t="str">
        <f t="shared" si="0"/>
        <v>Sep</v>
      </c>
      <c r="E34" s="6" t="str">
        <f t="shared" si="1"/>
        <v>Qtr 3</v>
      </c>
      <c r="F34" s="5" t="s">
        <v>142</v>
      </c>
      <c r="G34" s="1" t="s">
        <v>49</v>
      </c>
      <c r="H34" s="1" t="s">
        <v>143</v>
      </c>
      <c r="I34" s="1" t="s">
        <v>144</v>
      </c>
      <c r="J34" s="1" t="str">
        <f ca="1">IFERROR(__xludf.DUMMYFUNCTION("split(I34,"" "")"),"Tracy")</f>
        <v>Tracy</v>
      </c>
      <c r="K34" s="1" t="str">
        <f ca="1">IFERROR(__xludf.DUMMYFUNCTION("""COMPUTED_VALUE"""),"Blumstein")</f>
        <v>Blumstein</v>
      </c>
      <c r="L34" s="1"/>
      <c r="M34" s="1" t="s">
        <v>29</v>
      </c>
      <c r="N34" s="1" t="s">
        <v>30</v>
      </c>
      <c r="O34" s="1" t="s">
        <v>126</v>
      </c>
      <c r="P34" s="1" t="str">
        <f t="shared" si="2"/>
        <v>Philadelphia</v>
      </c>
      <c r="Q34" s="1" t="s">
        <v>127</v>
      </c>
      <c r="R34" s="1" t="str">
        <f t="shared" si="3"/>
        <v>Pennsylvania</v>
      </c>
      <c r="S34" s="1">
        <v>19140</v>
      </c>
      <c r="T34" s="1" t="s">
        <v>128</v>
      </c>
      <c r="U34" s="1" t="s">
        <v>153</v>
      </c>
      <c r="V34" s="1" t="s">
        <v>46</v>
      </c>
      <c r="W34" s="7">
        <v>6.8579999999999997</v>
      </c>
      <c r="X34" s="1">
        <v>1</v>
      </c>
      <c r="Y34" s="7">
        <v>6.8</v>
      </c>
      <c r="Z34" s="7">
        <f t="shared" ref="Z34:AA34" si="37">W34*X34</f>
        <v>6.8579999999999997</v>
      </c>
      <c r="AA34" s="7">
        <f t="shared" si="37"/>
        <v>6.8</v>
      </c>
      <c r="AB34" s="7">
        <f t="shared" si="5"/>
        <v>5.7999999999999829E-2</v>
      </c>
    </row>
    <row r="35" spans="1:28">
      <c r="A35" s="1">
        <v>34</v>
      </c>
      <c r="B35" s="1" t="s">
        <v>141</v>
      </c>
      <c r="C35" s="2">
        <v>42630</v>
      </c>
      <c r="D35" s="6" t="str">
        <f t="shared" si="0"/>
        <v>Sep</v>
      </c>
      <c r="E35" s="6" t="str">
        <f t="shared" si="1"/>
        <v>Qtr 3</v>
      </c>
      <c r="F35" s="5" t="s">
        <v>142</v>
      </c>
      <c r="G35" s="1" t="s">
        <v>49</v>
      </c>
      <c r="H35" s="1" t="s">
        <v>143</v>
      </c>
      <c r="I35" s="1" t="s">
        <v>144</v>
      </c>
      <c r="J35" s="1" t="str">
        <f ca="1">IFERROR(__xludf.DUMMYFUNCTION("split(I35,"" "")"),"Tracy")</f>
        <v>Tracy</v>
      </c>
      <c r="K35" s="1" t="str">
        <f ca="1">IFERROR(__xludf.DUMMYFUNCTION("""COMPUTED_VALUE"""),"Blumstein")</f>
        <v>Blumstein</v>
      </c>
      <c r="L35" s="1"/>
      <c r="M35" s="1" t="s">
        <v>29</v>
      </c>
      <c r="N35" s="1" t="s">
        <v>30</v>
      </c>
      <c r="O35" s="1" t="s">
        <v>126</v>
      </c>
      <c r="P35" s="1" t="str">
        <f t="shared" si="2"/>
        <v>Philadelphia</v>
      </c>
      <c r="Q35" s="1" t="s">
        <v>127</v>
      </c>
      <c r="R35" s="1" t="str">
        <f t="shared" si="3"/>
        <v>Pennsylvania</v>
      </c>
      <c r="S35" s="1">
        <v>19140</v>
      </c>
      <c r="T35" s="1" t="s">
        <v>128</v>
      </c>
      <c r="U35" s="1" t="s">
        <v>154</v>
      </c>
      <c r="V35" s="1" t="s">
        <v>46</v>
      </c>
      <c r="W35" s="7">
        <v>15.76</v>
      </c>
      <c r="X35" s="1">
        <v>1</v>
      </c>
      <c r="Y35" s="7">
        <v>15.66</v>
      </c>
      <c r="Z35" s="7">
        <f t="shared" ref="Z35:AA35" si="38">W35*X35</f>
        <v>15.76</v>
      </c>
      <c r="AA35" s="7">
        <f t="shared" si="38"/>
        <v>15.66</v>
      </c>
      <c r="AB35" s="7">
        <f t="shared" si="5"/>
        <v>9.9999999999999645E-2</v>
      </c>
    </row>
    <row r="36" spans="1:28">
      <c r="A36" s="1">
        <v>35</v>
      </c>
      <c r="B36" s="1" t="s">
        <v>155</v>
      </c>
      <c r="C36" s="2">
        <v>43392</v>
      </c>
      <c r="D36" s="6" t="str">
        <f t="shared" si="0"/>
        <v>Oct</v>
      </c>
      <c r="E36" s="6" t="str">
        <f t="shared" si="1"/>
        <v>Qtr 4</v>
      </c>
      <c r="F36" s="5" t="s">
        <v>156</v>
      </c>
      <c r="G36" s="1" t="s">
        <v>26</v>
      </c>
      <c r="H36" s="1" t="s">
        <v>157</v>
      </c>
      <c r="I36" s="1" t="s">
        <v>158</v>
      </c>
      <c r="J36" s="1" t="str">
        <f ca="1">IFERROR(__xludf.DUMMYFUNCTION("split(I36,"" "")"),"Matt")</f>
        <v>Matt</v>
      </c>
      <c r="K36" s="1" t="str">
        <f ca="1">IFERROR(__xludf.DUMMYFUNCTION("""COMPUTED_VALUE"""),"Abelman")</f>
        <v>Abelman</v>
      </c>
      <c r="L36" s="1"/>
      <c r="M36" s="1" t="s">
        <v>87</v>
      </c>
      <c r="N36" s="1" t="s">
        <v>30</v>
      </c>
      <c r="O36" s="1" t="s">
        <v>159</v>
      </c>
      <c r="P36" s="1" t="str">
        <f t="shared" si="2"/>
        <v>Houston</v>
      </c>
      <c r="Q36" s="1" t="s">
        <v>89</v>
      </c>
      <c r="R36" s="1" t="str">
        <f t="shared" si="3"/>
        <v>Texas</v>
      </c>
      <c r="S36" s="1">
        <v>77095</v>
      </c>
      <c r="T36" s="1" t="s">
        <v>90</v>
      </c>
      <c r="U36" s="1" t="s">
        <v>160</v>
      </c>
      <c r="V36" s="1" t="s">
        <v>46</v>
      </c>
      <c r="W36" s="7">
        <v>29.472000000000001</v>
      </c>
      <c r="X36" s="1">
        <v>7</v>
      </c>
      <c r="Y36" s="7">
        <v>28.94</v>
      </c>
      <c r="Z36" s="7">
        <f t="shared" ref="Z36:AA36" si="39">W36*X36</f>
        <v>206.304</v>
      </c>
      <c r="AA36" s="7">
        <f t="shared" si="39"/>
        <v>202.58</v>
      </c>
      <c r="AB36" s="7">
        <f t="shared" si="5"/>
        <v>3.7239999999999895</v>
      </c>
    </row>
    <row r="37" spans="1:28">
      <c r="A37" s="1">
        <v>36</v>
      </c>
      <c r="B37" s="1" t="s">
        <v>161</v>
      </c>
      <c r="C37" s="2">
        <v>42959</v>
      </c>
      <c r="D37" s="6" t="str">
        <f t="shared" si="0"/>
        <v>Aug</v>
      </c>
      <c r="E37" s="6" t="str">
        <f t="shared" si="1"/>
        <v>Qtr 3</v>
      </c>
      <c r="F37" s="5">
        <v>43020</v>
      </c>
      <c r="G37" s="1" t="s">
        <v>162</v>
      </c>
      <c r="H37" s="1" t="s">
        <v>163</v>
      </c>
      <c r="I37" s="1" t="s">
        <v>164</v>
      </c>
      <c r="J37" s="1" t="str">
        <f ca="1">IFERROR(__xludf.DUMMYFUNCTION("split(I37,"" "")"),"Gene")</f>
        <v>Gene</v>
      </c>
      <c r="K37" s="1" t="str">
        <f ca="1">IFERROR(__xludf.DUMMYFUNCTION("""COMPUTED_VALUE"""),"Hale")</f>
        <v>Hale</v>
      </c>
      <c r="L37" s="1"/>
      <c r="M37" s="1" t="s">
        <v>41</v>
      </c>
      <c r="N37" s="1" t="s">
        <v>30</v>
      </c>
      <c r="O37" s="1" t="s">
        <v>165</v>
      </c>
      <c r="P37" s="1" t="str">
        <f t="shared" si="2"/>
        <v>Richardson</v>
      </c>
      <c r="Q37" s="1" t="s">
        <v>89</v>
      </c>
      <c r="R37" s="1" t="str">
        <f t="shared" si="3"/>
        <v>Texas</v>
      </c>
      <c r="S37" s="1">
        <v>75080</v>
      </c>
      <c r="T37" s="1" t="s">
        <v>90</v>
      </c>
      <c r="U37" s="1" t="s">
        <v>166</v>
      </c>
      <c r="V37" s="1" t="s">
        <v>64</v>
      </c>
      <c r="W37" s="7">
        <v>1097.5440000000001</v>
      </c>
      <c r="X37" s="1">
        <v>7</v>
      </c>
      <c r="Y37" s="7">
        <v>1096.67</v>
      </c>
      <c r="Z37" s="7">
        <f t="shared" ref="Z37:AA37" si="40">W37*X37</f>
        <v>7682.8080000000009</v>
      </c>
      <c r="AA37" s="7">
        <f t="shared" si="40"/>
        <v>7676.6900000000005</v>
      </c>
      <c r="AB37" s="7">
        <f t="shared" si="5"/>
        <v>6.1180000000003929</v>
      </c>
    </row>
    <row r="38" spans="1:28">
      <c r="A38" s="1">
        <v>37</v>
      </c>
      <c r="B38" s="1" t="s">
        <v>161</v>
      </c>
      <c r="C38" s="2">
        <v>42959</v>
      </c>
      <c r="D38" s="6" t="str">
        <f t="shared" si="0"/>
        <v>Aug</v>
      </c>
      <c r="E38" s="6" t="str">
        <f t="shared" si="1"/>
        <v>Qtr 3</v>
      </c>
      <c r="F38" s="5">
        <v>43020</v>
      </c>
      <c r="G38" s="1" t="s">
        <v>162</v>
      </c>
      <c r="H38" s="1" t="s">
        <v>163</v>
      </c>
      <c r="I38" s="1" t="s">
        <v>164</v>
      </c>
      <c r="J38" s="1" t="str">
        <f ca="1">IFERROR(__xludf.DUMMYFUNCTION("split(I38,"" "")"),"Gene")</f>
        <v>Gene</v>
      </c>
      <c r="K38" s="1" t="str">
        <f ca="1">IFERROR(__xludf.DUMMYFUNCTION("""COMPUTED_VALUE"""),"Hale")</f>
        <v>Hale</v>
      </c>
      <c r="L38" s="1"/>
      <c r="M38" s="1" t="s">
        <v>41</v>
      </c>
      <c r="N38" s="1" t="s">
        <v>30</v>
      </c>
      <c r="O38" s="1" t="s">
        <v>165</v>
      </c>
      <c r="P38" s="1" t="str">
        <f t="shared" si="2"/>
        <v>Richardson</v>
      </c>
      <c r="Q38" s="1" t="s">
        <v>89</v>
      </c>
      <c r="R38" s="1" t="str">
        <f t="shared" si="3"/>
        <v>Texas</v>
      </c>
      <c r="S38" s="1">
        <v>75080</v>
      </c>
      <c r="T38" s="1" t="s">
        <v>90</v>
      </c>
      <c r="U38" s="1" t="s">
        <v>167</v>
      </c>
      <c r="V38" s="1" t="s">
        <v>35</v>
      </c>
      <c r="W38" s="7">
        <v>190.92</v>
      </c>
      <c r="X38" s="1">
        <v>7</v>
      </c>
      <c r="Y38" s="7">
        <v>190.8</v>
      </c>
      <c r="Z38" s="7">
        <f t="shared" ref="Z38:AA38" si="41">W38*X38</f>
        <v>1336.4399999999998</v>
      </c>
      <c r="AA38" s="7">
        <f t="shared" si="41"/>
        <v>1335.6000000000001</v>
      </c>
      <c r="AB38" s="7">
        <f t="shared" si="5"/>
        <v>0.83999999999969077</v>
      </c>
    </row>
    <row r="39" spans="1:28">
      <c r="A39" s="1">
        <v>38</v>
      </c>
      <c r="B39" s="1" t="s">
        <v>168</v>
      </c>
      <c r="C39" s="2">
        <v>42731</v>
      </c>
      <c r="D39" s="6" t="str">
        <f t="shared" si="0"/>
        <v>Dec</v>
      </c>
      <c r="E39" s="6" t="str">
        <f t="shared" si="1"/>
        <v>Qtr 4</v>
      </c>
      <c r="F39" s="5" t="s">
        <v>169</v>
      </c>
      <c r="G39" s="1" t="s">
        <v>49</v>
      </c>
      <c r="H39" s="1" t="s">
        <v>170</v>
      </c>
      <c r="I39" s="1" t="s">
        <v>171</v>
      </c>
      <c r="J39" s="1" t="str">
        <f ca="1">IFERROR(__xludf.DUMMYFUNCTION("split(I39,"" "")"),"Steve")</f>
        <v>Steve</v>
      </c>
      <c r="K39" s="1" t="str">
        <f ca="1">IFERROR(__xludf.DUMMYFUNCTION("""COMPUTED_VALUE"""),"Nguyen")</f>
        <v>Nguyen</v>
      </c>
      <c r="L39" s="1"/>
      <c r="M39" s="1" t="s">
        <v>87</v>
      </c>
      <c r="N39" s="1" t="s">
        <v>30</v>
      </c>
      <c r="O39" s="1" t="s">
        <v>172</v>
      </c>
      <c r="P39" s="1" t="str">
        <f t="shared" si="2"/>
        <v>Houston</v>
      </c>
      <c r="Q39" s="1" t="s">
        <v>89</v>
      </c>
      <c r="R39" s="1" t="str">
        <f t="shared" si="3"/>
        <v>Texas</v>
      </c>
      <c r="S39" s="1">
        <v>77041</v>
      </c>
      <c r="T39" s="1" t="s">
        <v>90</v>
      </c>
      <c r="U39" s="1" t="s">
        <v>173</v>
      </c>
      <c r="V39" s="1" t="s">
        <v>46</v>
      </c>
      <c r="W39" s="7">
        <v>113.328</v>
      </c>
      <c r="X39" s="1">
        <v>7</v>
      </c>
      <c r="Y39" s="7">
        <v>112.36</v>
      </c>
      <c r="Z39" s="7">
        <f t="shared" ref="Z39:AA39" si="42">W39*X39</f>
        <v>793.29600000000005</v>
      </c>
      <c r="AA39" s="7">
        <f t="shared" si="42"/>
        <v>786.52</v>
      </c>
      <c r="AB39" s="7">
        <f t="shared" si="5"/>
        <v>6.7760000000000673</v>
      </c>
    </row>
    <row r="40" spans="1:28">
      <c r="A40" s="1">
        <v>39</v>
      </c>
      <c r="B40" s="1" t="s">
        <v>168</v>
      </c>
      <c r="C40" s="2">
        <v>42731</v>
      </c>
      <c r="D40" s="6" t="str">
        <f t="shared" si="0"/>
        <v>Dec</v>
      </c>
      <c r="E40" s="6" t="str">
        <f t="shared" si="1"/>
        <v>Qtr 4</v>
      </c>
      <c r="F40" s="5" t="s">
        <v>169</v>
      </c>
      <c r="G40" s="1" t="s">
        <v>49</v>
      </c>
      <c r="H40" s="1" t="s">
        <v>170</v>
      </c>
      <c r="I40" s="1" t="s">
        <v>171</v>
      </c>
      <c r="J40" s="1" t="str">
        <f ca="1">IFERROR(__xludf.DUMMYFUNCTION("split(I40,"" "")"),"Steve")</f>
        <v>Steve</v>
      </c>
      <c r="K40" s="1" t="str">
        <f ca="1">IFERROR(__xludf.DUMMYFUNCTION("""COMPUTED_VALUE"""),"Nguyen")</f>
        <v>Nguyen</v>
      </c>
      <c r="L40" s="1"/>
      <c r="M40" s="1" t="s">
        <v>87</v>
      </c>
      <c r="N40" s="1" t="s">
        <v>30</v>
      </c>
      <c r="O40" s="1" t="s">
        <v>172</v>
      </c>
      <c r="P40" s="1" t="str">
        <f t="shared" si="2"/>
        <v>Houston</v>
      </c>
      <c r="Q40" s="1" t="s">
        <v>89</v>
      </c>
      <c r="R40" s="1" t="str">
        <f t="shared" si="3"/>
        <v>Texas</v>
      </c>
      <c r="S40" s="1">
        <v>77041</v>
      </c>
      <c r="T40" s="1" t="s">
        <v>90</v>
      </c>
      <c r="U40" s="1" t="s">
        <v>174</v>
      </c>
      <c r="V40" s="1" t="s">
        <v>35</v>
      </c>
      <c r="W40" s="7">
        <v>532.39919999999995</v>
      </c>
      <c r="X40" s="1">
        <v>7</v>
      </c>
      <c r="Y40" s="7">
        <v>532.02</v>
      </c>
      <c r="Z40" s="7">
        <f t="shared" ref="Z40:AA40" si="43">W40*X40</f>
        <v>3726.7943999999998</v>
      </c>
      <c r="AA40" s="7">
        <f t="shared" si="43"/>
        <v>3724.14</v>
      </c>
      <c r="AB40" s="7">
        <f t="shared" si="5"/>
        <v>2.654399999999896</v>
      </c>
    </row>
    <row r="41" spans="1:28">
      <c r="A41" s="1">
        <v>40</v>
      </c>
      <c r="B41" s="1" t="s">
        <v>168</v>
      </c>
      <c r="C41" s="2">
        <v>42731</v>
      </c>
      <c r="D41" s="6" t="str">
        <f t="shared" si="0"/>
        <v>Dec</v>
      </c>
      <c r="E41" s="6" t="str">
        <f t="shared" si="1"/>
        <v>Qtr 4</v>
      </c>
      <c r="F41" s="5" t="s">
        <v>169</v>
      </c>
      <c r="G41" s="1" t="s">
        <v>49</v>
      </c>
      <c r="H41" s="1" t="s">
        <v>170</v>
      </c>
      <c r="I41" s="1" t="s">
        <v>171</v>
      </c>
      <c r="J41" s="1" t="str">
        <f ca="1">IFERROR(__xludf.DUMMYFUNCTION("split(I41,"" "")"),"Steve")</f>
        <v>Steve</v>
      </c>
      <c r="K41" s="1" t="str">
        <f ca="1">IFERROR(__xludf.DUMMYFUNCTION("""COMPUTED_VALUE"""),"Nguyen")</f>
        <v>Nguyen</v>
      </c>
      <c r="L41" s="1"/>
      <c r="M41" s="1" t="s">
        <v>87</v>
      </c>
      <c r="N41" s="1" t="s">
        <v>30</v>
      </c>
      <c r="O41" s="1" t="s">
        <v>172</v>
      </c>
      <c r="P41" s="1" t="str">
        <f t="shared" si="2"/>
        <v>Houston</v>
      </c>
      <c r="Q41" s="1" t="s">
        <v>89</v>
      </c>
      <c r="R41" s="1" t="str">
        <f t="shared" si="3"/>
        <v>Texas</v>
      </c>
      <c r="S41" s="1">
        <v>77041</v>
      </c>
      <c r="T41" s="1" t="s">
        <v>90</v>
      </c>
      <c r="U41" s="1" t="s">
        <v>175</v>
      </c>
      <c r="V41" s="1" t="s">
        <v>35</v>
      </c>
      <c r="W41" s="7">
        <v>212.05799999999999</v>
      </c>
      <c r="X41" s="1">
        <v>7</v>
      </c>
      <c r="Y41" s="7">
        <v>211.08</v>
      </c>
      <c r="Z41" s="7">
        <f t="shared" ref="Z41:AA41" si="44">W41*X41</f>
        <v>1484.4059999999999</v>
      </c>
      <c r="AA41" s="7">
        <f t="shared" si="44"/>
        <v>1477.5600000000002</v>
      </c>
      <c r="AB41" s="7">
        <f t="shared" si="5"/>
        <v>6.8459999999997763</v>
      </c>
    </row>
    <row r="42" spans="1:28">
      <c r="A42" s="1">
        <v>41</v>
      </c>
      <c r="B42" s="1" t="s">
        <v>168</v>
      </c>
      <c r="C42" s="2">
        <v>42731</v>
      </c>
      <c r="D42" s="6" t="str">
        <f t="shared" si="0"/>
        <v>Dec</v>
      </c>
      <c r="E42" s="6" t="str">
        <f t="shared" si="1"/>
        <v>Qtr 4</v>
      </c>
      <c r="F42" s="5" t="s">
        <v>169</v>
      </c>
      <c r="G42" s="1" t="s">
        <v>49</v>
      </c>
      <c r="H42" s="1" t="s">
        <v>170</v>
      </c>
      <c r="I42" s="1" t="s">
        <v>171</v>
      </c>
      <c r="J42" s="1" t="str">
        <f ca="1">IFERROR(__xludf.DUMMYFUNCTION("split(I42,"" "")"),"Steve")</f>
        <v>Steve</v>
      </c>
      <c r="K42" s="1" t="str">
        <f ca="1">IFERROR(__xludf.DUMMYFUNCTION("""COMPUTED_VALUE"""),"Nguyen")</f>
        <v>Nguyen</v>
      </c>
      <c r="L42" s="1"/>
      <c r="M42" s="1" t="s">
        <v>87</v>
      </c>
      <c r="N42" s="1" t="s">
        <v>30</v>
      </c>
      <c r="O42" s="1" t="s">
        <v>172</v>
      </c>
      <c r="P42" s="1" t="str">
        <f t="shared" si="2"/>
        <v>Houston</v>
      </c>
      <c r="Q42" s="1" t="s">
        <v>89</v>
      </c>
      <c r="R42" s="1" t="str">
        <f t="shared" si="3"/>
        <v>Texas</v>
      </c>
      <c r="S42" s="1">
        <v>77041</v>
      </c>
      <c r="T42" s="1" t="s">
        <v>90</v>
      </c>
      <c r="U42" s="1" t="s">
        <v>176</v>
      </c>
      <c r="V42" s="1" t="s">
        <v>64</v>
      </c>
      <c r="W42" s="7">
        <v>371.16800000000001</v>
      </c>
      <c r="X42" s="1">
        <v>7</v>
      </c>
      <c r="Y42" s="7">
        <v>370.36</v>
      </c>
      <c r="Z42" s="7">
        <f t="shared" ref="Z42:AA42" si="45">W42*X42</f>
        <v>2598.1759999999999</v>
      </c>
      <c r="AA42" s="7">
        <f t="shared" si="45"/>
        <v>2592.52</v>
      </c>
      <c r="AB42" s="7">
        <f t="shared" si="5"/>
        <v>5.6559999999999491</v>
      </c>
    </row>
    <row r="43" spans="1:28">
      <c r="A43" s="1">
        <v>42</v>
      </c>
      <c r="B43" s="1" t="s">
        <v>177</v>
      </c>
      <c r="C43" s="2">
        <v>43382</v>
      </c>
      <c r="D43" s="6" t="str">
        <f t="shared" si="0"/>
        <v>Oct</v>
      </c>
      <c r="E43" s="6" t="str">
        <f t="shared" si="1"/>
        <v>Qtr 4</v>
      </c>
      <c r="F43" s="5" t="s">
        <v>178</v>
      </c>
      <c r="G43" s="1" t="s">
        <v>49</v>
      </c>
      <c r="H43" s="1" t="s">
        <v>179</v>
      </c>
      <c r="I43" s="1" t="s">
        <v>180</v>
      </c>
      <c r="J43" s="1" t="str">
        <f ca="1">IFERROR(__xludf.DUMMYFUNCTION("split(I43,"" "")"),"Linda")</f>
        <v>Linda</v>
      </c>
      <c r="K43" s="1" t="str">
        <f ca="1">IFERROR(__xludf.DUMMYFUNCTION("""COMPUTED_VALUE"""),"Cazamias")</f>
        <v>Cazamias</v>
      </c>
      <c r="L43" s="1"/>
      <c r="M43" s="1" t="s">
        <v>41</v>
      </c>
      <c r="N43" s="1" t="s">
        <v>30</v>
      </c>
      <c r="O43" s="1" t="s">
        <v>181</v>
      </c>
      <c r="P43" s="1" t="str">
        <f t="shared" si="2"/>
        <v>Naperville</v>
      </c>
      <c r="Q43" s="1" t="s">
        <v>182</v>
      </c>
      <c r="R43" s="1" t="str">
        <f t="shared" si="3"/>
        <v>Illinois</v>
      </c>
      <c r="S43" s="1">
        <v>60540</v>
      </c>
      <c r="T43" s="1" t="s">
        <v>90</v>
      </c>
      <c r="U43" s="1" t="s">
        <v>183</v>
      </c>
      <c r="V43" s="1" t="s">
        <v>64</v>
      </c>
      <c r="W43" s="7">
        <v>147.16800000000001</v>
      </c>
      <c r="X43" s="1">
        <v>6</v>
      </c>
      <c r="Y43" s="7">
        <v>146.34</v>
      </c>
      <c r="Z43" s="7">
        <f t="shared" ref="Z43:AA43" si="46">W43*X43</f>
        <v>883.00800000000004</v>
      </c>
      <c r="AA43" s="7">
        <f t="shared" si="46"/>
        <v>878.04</v>
      </c>
      <c r="AB43" s="7">
        <f t="shared" si="5"/>
        <v>4.9680000000000746</v>
      </c>
    </row>
    <row r="44" spans="1:28">
      <c r="A44" s="1">
        <v>43</v>
      </c>
      <c r="B44" s="1" t="s">
        <v>184</v>
      </c>
      <c r="C44" s="2">
        <v>42933</v>
      </c>
      <c r="D44" s="6" t="str">
        <f t="shared" si="0"/>
        <v>Jul</v>
      </c>
      <c r="E44" s="6" t="str">
        <f t="shared" si="1"/>
        <v>Qtr 3</v>
      </c>
      <c r="F44" s="5" t="s">
        <v>185</v>
      </c>
      <c r="G44" s="1" t="s">
        <v>49</v>
      </c>
      <c r="H44" s="1" t="s">
        <v>186</v>
      </c>
      <c r="I44" s="1" t="s">
        <v>187</v>
      </c>
      <c r="J44" s="1" t="str">
        <f ca="1">IFERROR(__xludf.DUMMYFUNCTION("split(I44,"" "")"),"Ruben")</f>
        <v>Ruben</v>
      </c>
      <c r="K44" s="1" t="str">
        <f ca="1">IFERROR(__xludf.DUMMYFUNCTION("""COMPUTED_VALUE"""),"Ausman")</f>
        <v>Ausman</v>
      </c>
      <c r="L44" s="1"/>
      <c r="M44" s="1" t="s">
        <v>41</v>
      </c>
      <c r="N44" s="1" t="s">
        <v>30</v>
      </c>
      <c r="O44" s="1" t="s">
        <v>42</v>
      </c>
      <c r="P44" s="1" t="str">
        <f t="shared" si="2"/>
        <v>Los Angeles</v>
      </c>
      <c r="Q44" s="1" t="s">
        <v>68</v>
      </c>
      <c r="R44" s="1" t="str">
        <f t="shared" si="3"/>
        <v>California</v>
      </c>
      <c r="S44" s="1">
        <v>90049</v>
      </c>
      <c r="T44" s="1" t="s">
        <v>44</v>
      </c>
      <c r="U44" s="1" t="s">
        <v>188</v>
      </c>
      <c r="V44" s="1" t="s">
        <v>46</v>
      </c>
      <c r="W44" s="7">
        <v>77.88</v>
      </c>
      <c r="X44" s="1">
        <v>9</v>
      </c>
      <c r="Y44" s="7">
        <v>77.430000000000007</v>
      </c>
      <c r="Z44" s="7">
        <f t="shared" ref="Z44:AA44" si="47">W44*X44</f>
        <v>700.92</v>
      </c>
      <c r="AA44" s="7">
        <f t="shared" si="47"/>
        <v>696.87000000000012</v>
      </c>
      <c r="AB44" s="7">
        <f t="shared" si="5"/>
        <v>4.0499999999998408</v>
      </c>
    </row>
    <row r="45" spans="1:28">
      <c r="A45" s="1">
        <v>44</v>
      </c>
      <c r="B45" s="1" t="s">
        <v>189</v>
      </c>
      <c r="C45" s="2">
        <v>43362</v>
      </c>
      <c r="D45" s="6" t="str">
        <f t="shared" si="0"/>
        <v>Sep</v>
      </c>
      <c r="E45" s="6" t="str">
        <f t="shared" si="1"/>
        <v>Qtr 3</v>
      </c>
      <c r="F45" s="5" t="s">
        <v>190</v>
      </c>
      <c r="G45" s="1" t="s">
        <v>49</v>
      </c>
      <c r="H45" s="1" t="s">
        <v>191</v>
      </c>
      <c r="I45" s="1" t="s">
        <v>192</v>
      </c>
      <c r="J45" s="1" t="str">
        <f ca="1">IFERROR(__xludf.DUMMYFUNCTION("split(I45,"" "")"),"Erin")</f>
        <v>Erin</v>
      </c>
      <c r="K45" s="1" t="str">
        <f ca="1">IFERROR(__xludf.DUMMYFUNCTION("""COMPUTED_VALUE"""),"Smith")</f>
        <v>Smith</v>
      </c>
      <c r="L45" s="1"/>
      <c r="M45" s="1" t="s">
        <v>41</v>
      </c>
      <c r="N45" s="1" t="s">
        <v>30</v>
      </c>
      <c r="O45" s="1" t="s">
        <v>193</v>
      </c>
      <c r="P45" s="1" t="str">
        <f t="shared" si="2"/>
        <v>Melbourne</v>
      </c>
      <c r="Q45" s="1" t="s">
        <v>194</v>
      </c>
      <c r="R45" s="1" t="str">
        <f t="shared" si="3"/>
        <v>Florida</v>
      </c>
      <c r="S45" s="1">
        <v>32935</v>
      </c>
      <c r="T45" s="1" t="s">
        <v>33</v>
      </c>
      <c r="U45" s="1" t="s">
        <v>195</v>
      </c>
      <c r="V45" s="1" t="s">
        <v>46</v>
      </c>
      <c r="W45" s="7">
        <v>95.616</v>
      </c>
      <c r="X45" s="1">
        <v>3</v>
      </c>
      <c r="Y45" s="7">
        <v>94.71</v>
      </c>
      <c r="Z45" s="7">
        <f t="shared" ref="Z45:AA45" si="48">W45*X45</f>
        <v>286.84800000000001</v>
      </c>
      <c r="AA45" s="7">
        <f t="shared" si="48"/>
        <v>284.13</v>
      </c>
      <c r="AB45" s="7">
        <f t="shared" si="5"/>
        <v>2.7180000000000177</v>
      </c>
    </row>
    <row r="46" spans="1:28">
      <c r="A46" s="1">
        <v>45</v>
      </c>
      <c r="B46" s="1" t="s">
        <v>196</v>
      </c>
      <c r="C46" s="2">
        <v>43042</v>
      </c>
      <c r="D46" s="6" t="str">
        <f t="shared" si="0"/>
        <v>Nov</v>
      </c>
      <c r="E46" s="6" t="str">
        <f t="shared" si="1"/>
        <v>Qtr 4</v>
      </c>
      <c r="F46" s="5" t="s">
        <v>197</v>
      </c>
      <c r="G46" s="1" t="s">
        <v>162</v>
      </c>
      <c r="H46" s="1" t="s">
        <v>198</v>
      </c>
      <c r="I46" s="1" t="s">
        <v>199</v>
      </c>
      <c r="J46" s="1" t="str">
        <f ca="1">IFERROR(__xludf.DUMMYFUNCTION("split(I46,"" "")"),"Odella")</f>
        <v>Odella</v>
      </c>
      <c r="K46" s="1" t="str">
        <f ca="1">IFERROR(__xludf.DUMMYFUNCTION("""COMPUTED_VALUE"""),"Nelson")</f>
        <v>Nelson</v>
      </c>
      <c r="L46" s="1"/>
      <c r="M46" s="1" t="s">
        <v>41</v>
      </c>
      <c r="N46" s="1" t="s">
        <v>30</v>
      </c>
      <c r="O46" s="1" t="s">
        <v>200</v>
      </c>
      <c r="P46" s="1" t="str">
        <f t="shared" si="2"/>
        <v>Eagan</v>
      </c>
      <c r="Q46" s="1" t="s">
        <v>201</v>
      </c>
      <c r="R46" s="1" t="str">
        <f t="shared" si="3"/>
        <v>Minnesota</v>
      </c>
      <c r="S46" s="1">
        <v>55122</v>
      </c>
      <c r="T46" s="1" t="s">
        <v>90</v>
      </c>
      <c r="U46" s="1" t="s">
        <v>202</v>
      </c>
      <c r="V46" s="1" t="s">
        <v>64</v>
      </c>
      <c r="W46" s="7">
        <v>45.98</v>
      </c>
      <c r="X46" s="1">
        <v>5</v>
      </c>
      <c r="Y46" s="7">
        <v>45.84</v>
      </c>
      <c r="Z46" s="7">
        <f t="shared" ref="Z46:AA46" si="49">W46*X46</f>
        <v>229.89999999999998</v>
      </c>
      <c r="AA46" s="7">
        <f t="shared" si="49"/>
        <v>229.20000000000002</v>
      </c>
      <c r="AB46" s="7">
        <f t="shared" si="5"/>
        <v>0.69999999999996021</v>
      </c>
    </row>
    <row r="47" spans="1:28">
      <c r="A47" s="1">
        <v>46</v>
      </c>
      <c r="B47" s="1" t="s">
        <v>196</v>
      </c>
      <c r="C47" s="2">
        <v>43042</v>
      </c>
      <c r="D47" s="6" t="str">
        <f t="shared" si="0"/>
        <v>Nov</v>
      </c>
      <c r="E47" s="6" t="str">
        <f t="shared" si="1"/>
        <v>Qtr 4</v>
      </c>
      <c r="F47" s="5" t="s">
        <v>197</v>
      </c>
      <c r="G47" s="1" t="s">
        <v>162</v>
      </c>
      <c r="H47" s="1" t="s">
        <v>198</v>
      </c>
      <c r="I47" s="1" t="s">
        <v>199</v>
      </c>
      <c r="J47" s="1" t="str">
        <f ca="1">IFERROR(__xludf.DUMMYFUNCTION("split(I47,"" "")"),"Odella")</f>
        <v>Odella</v>
      </c>
      <c r="K47" s="1" t="str">
        <f ca="1">IFERROR(__xludf.DUMMYFUNCTION("""COMPUTED_VALUE"""),"Nelson")</f>
        <v>Nelson</v>
      </c>
      <c r="L47" s="1"/>
      <c r="M47" s="1" t="s">
        <v>41</v>
      </c>
      <c r="N47" s="1" t="s">
        <v>30</v>
      </c>
      <c r="O47" s="1" t="s">
        <v>200</v>
      </c>
      <c r="P47" s="1" t="str">
        <f t="shared" si="2"/>
        <v>Eagan</v>
      </c>
      <c r="Q47" s="1" t="s">
        <v>201</v>
      </c>
      <c r="R47" s="1" t="str">
        <f t="shared" si="3"/>
        <v>Minnesota</v>
      </c>
      <c r="S47" s="1">
        <v>55122</v>
      </c>
      <c r="T47" s="1" t="s">
        <v>90</v>
      </c>
      <c r="U47" s="1" t="s">
        <v>203</v>
      </c>
      <c r="V47" s="1" t="s">
        <v>46</v>
      </c>
      <c r="W47" s="7">
        <v>17.46</v>
      </c>
      <c r="X47" s="1">
        <v>5</v>
      </c>
      <c r="Y47" s="7">
        <v>17.12</v>
      </c>
      <c r="Z47" s="7">
        <f t="shared" ref="Z47:AA47" si="50">W47*X47</f>
        <v>87.300000000000011</v>
      </c>
      <c r="AA47" s="7">
        <f t="shared" si="50"/>
        <v>85.600000000000009</v>
      </c>
      <c r="AB47" s="7">
        <f t="shared" si="5"/>
        <v>1.7000000000000028</v>
      </c>
    </row>
    <row r="48" spans="1:28">
      <c r="A48" s="1">
        <v>47</v>
      </c>
      <c r="B48" s="1" t="s">
        <v>204</v>
      </c>
      <c r="C48" s="2">
        <v>42297</v>
      </c>
      <c r="D48" s="6" t="str">
        <f t="shared" si="0"/>
        <v>Oct</v>
      </c>
      <c r="E48" s="6" t="str">
        <f t="shared" si="1"/>
        <v>Qtr 4</v>
      </c>
      <c r="F48" s="5" t="s">
        <v>205</v>
      </c>
      <c r="G48" s="1" t="s">
        <v>26</v>
      </c>
      <c r="H48" s="1" t="s">
        <v>206</v>
      </c>
      <c r="I48" s="1" t="s">
        <v>207</v>
      </c>
      <c r="J48" s="1" t="str">
        <f ca="1">IFERROR(__xludf.DUMMYFUNCTION("split(I48,"" "")"),"Patrick")</f>
        <v>Patrick</v>
      </c>
      <c r="K48" s="1" t="str">
        <f ca="1">IFERROR(__xludf.DUMMYFUNCTION("""COMPUTED_VALUE"""),"O'Donnell")</f>
        <v>O'Donnell</v>
      </c>
      <c r="L48" s="1"/>
      <c r="M48" s="1" t="s">
        <v>29</v>
      </c>
      <c r="N48" s="1" t="s">
        <v>30</v>
      </c>
      <c r="O48" s="1" t="s">
        <v>208</v>
      </c>
      <c r="P48" s="1" t="str">
        <f t="shared" si="2"/>
        <v>Westland</v>
      </c>
      <c r="Q48" s="1" t="s">
        <v>209</v>
      </c>
      <c r="R48" s="1" t="str">
        <f t="shared" si="3"/>
        <v>Michigan</v>
      </c>
      <c r="S48" s="1">
        <v>48185</v>
      </c>
      <c r="T48" s="1" t="s">
        <v>90</v>
      </c>
      <c r="U48" s="1" t="s">
        <v>210</v>
      </c>
      <c r="V48" s="1" t="s">
        <v>46</v>
      </c>
      <c r="W48" s="7">
        <v>211.96</v>
      </c>
      <c r="X48" s="1">
        <v>4</v>
      </c>
      <c r="Y48" s="7">
        <v>211.46</v>
      </c>
      <c r="Z48" s="7">
        <f t="shared" ref="Z48:AA48" si="51">W48*X48</f>
        <v>847.84</v>
      </c>
      <c r="AA48" s="7">
        <f t="shared" si="51"/>
        <v>845.84</v>
      </c>
      <c r="AB48" s="7">
        <f t="shared" si="5"/>
        <v>2</v>
      </c>
    </row>
    <row r="49" spans="1:28">
      <c r="A49" s="1">
        <v>48</v>
      </c>
      <c r="B49" s="1" t="s">
        <v>211</v>
      </c>
      <c r="C49" s="2">
        <v>42906</v>
      </c>
      <c r="D49" s="6" t="str">
        <f t="shared" si="0"/>
        <v>Jun</v>
      </c>
      <c r="E49" s="6" t="str">
        <f t="shared" si="1"/>
        <v>Qtr 2</v>
      </c>
      <c r="F49" s="5" t="s">
        <v>212</v>
      </c>
      <c r="G49" s="1" t="s">
        <v>49</v>
      </c>
      <c r="H49" s="1" t="s">
        <v>213</v>
      </c>
      <c r="I49" s="1" t="s">
        <v>214</v>
      </c>
      <c r="J49" s="1" t="str">
        <f ca="1">IFERROR(__xludf.DUMMYFUNCTION("split(I49,"" "")"),"Lena")</f>
        <v>Lena</v>
      </c>
      <c r="K49" s="1" t="str">
        <f ca="1">IFERROR(__xludf.DUMMYFUNCTION("""COMPUTED_VALUE"""),"Hernandez")</f>
        <v>Hernandez</v>
      </c>
      <c r="L49" s="1"/>
      <c r="M49" s="1" t="s">
        <v>29</v>
      </c>
      <c r="N49" s="1" t="s">
        <v>30</v>
      </c>
      <c r="O49" s="1" t="s">
        <v>215</v>
      </c>
      <c r="P49" s="1" t="str">
        <f t="shared" si="2"/>
        <v>Dover</v>
      </c>
      <c r="Q49" s="1" t="s">
        <v>216</v>
      </c>
      <c r="R49" s="1" t="str">
        <f t="shared" si="3"/>
        <v>Delaware</v>
      </c>
      <c r="S49" s="1">
        <v>19901</v>
      </c>
      <c r="T49" s="1" t="s">
        <v>128</v>
      </c>
      <c r="U49" s="1" t="s">
        <v>217</v>
      </c>
      <c r="V49" s="1" t="s">
        <v>64</v>
      </c>
      <c r="W49" s="7">
        <v>45</v>
      </c>
      <c r="X49" s="1">
        <v>1</v>
      </c>
      <c r="Y49" s="7">
        <v>44.59</v>
      </c>
      <c r="Z49" s="7">
        <f t="shared" ref="Z49:AA49" si="52">W49*X49</f>
        <v>45</v>
      </c>
      <c r="AA49" s="7">
        <f t="shared" si="52"/>
        <v>44.59</v>
      </c>
      <c r="AB49" s="7">
        <f t="shared" si="5"/>
        <v>0.40999999999999659</v>
      </c>
    </row>
    <row r="50" spans="1:28">
      <c r="A50" s="1">
        <v>49</v>
      </c>
      <c r="B50" s="1" t="s">
        <v>211</v>
      </c>
      <c r="C50" s="2">
        <v>42906</v>
      </c>
      <c r="D50" s="6" t="str">
        <f t="shared" si="0"/>
        <v>Jun</v>
      </c>
      <c r="E50" s="6" t="str">
        <f t="shared" si="1"/>
        <v>Qtr 2</v>
      </c>
      <c r="F50" s="5" t="s">
        <v>212</v>
      </c>
      <c r="G50" s="1" t="s">
        <v>49</v>
      </c>
      <c r="H50" s="1" t="s">
        <v>213</v>
      </c>
      <c r="I50" s="1" t="s">
        <v>214</v>
      </c>
      <c r="J50" s="1" t="str">
        <f ca="1">IFERROR(__xludf.DUMMYFUNCTION("split(I50,"" "")"),"Lena")</f>
        <v>Lena</v>
      </c>
      <c r="K50" s="1" t="str">
        <f ca="1">IFERROR(__xludf.DUMMYFUNCTION("""COMPUTED_VALUE"""),"Hernandez")</f>
        <v>Hernandez</v>
      </c>
      <c r="L50" s="1"/>
      <c r="M50" s="1" t="s">
        <v>29</v>
      </c>
      <c r="N50" s="1" t="s">
        <v>30</v>
      </c>
      <c r="O50" s="1" t="s">
        <v>215</v>
      </c>
      <c r="P50" s="1" t="str">
        <f t="shared" si="2"/>
        <v>Dover</v>
      </c>
      <c r="Q50" s="1" t="s">
        <v>216</v>
      </c>
      <c r="R50" s="1" t="str">
        <f t="shared" si="3"/>
        <v>Delaware</v>
      </c>
      <c r="S50" s="1">
        <v>19901</v>
      </c>
      <c r="T50" s="1" t="s">
        <v>128</v>
      </c>
      <c r="U50" s="1" t="s">
        <v>218</v>
      </c>
      <c r="V50" s="1" t="s">
        <v>64</v>
      </c>
      <c r="W50" s="7">
        <v>21.8</v>
      </c>
      <c r="X50" s="1">
        <v>1</v>
      </c>
      <c r="Y50" s="7">
        <v>21.04</v>
      </c>
      <c r="Z50" s="7">
        <f t="shared" ref="Z50:AA50" si="53">W50*X50</f>
        <v>21.8</v>
      </c>
      <c r="AA50" s="7">
        <f t="shared" si="53"/>
        <v>21.04</v>
      </c>
      <c r="AB50" s="7">
        <f t="shared" si="5"/>
        <v>0.76000000000000156</v>
      </c>
    </row>
    <row r="51" spans="1:28">
      <c r="A51" s="1">
        <v>50</v>
      </c>
      <c r="B51" s="1" t="s">
        <v>219</v>
      </c>
      <c r="C51" s="2">
        <v>42478</v>
      </c>
      <c r="D51" s="6" t="str">
        <f t="shared" si="0"/>
        <v>Apr</v>
      </c>
      <c r="E51" s="6" t="str">
        <f t="shared" si="1"/>
        <v>Qtr 2</v>
      </c>
      <c r="F51" s="5" t="s">
        <v>220</v>
      </c>
      <c r="G51" s="1" t="s">
        <v>49</v>
      </c>
      <c r="H51" s="1" t="s">
        <v>221</v>
      </c>
      <c r="I51" s="1" t="s">
        <v>222</v>
      </c>
      <c r="J51" s="1" t="str">
        <f ca="1">IFERROR(__xludf.DUMMYFUNCTION("split(I51,"" "")"),"Darren")</f>
        <v>Darren</v>
      </c>
      <c r="K51" s="1" t="str">
        <f ca="1">IFERROR(__xludf.DUMMYFUNCTION("""COMPUTED_VALUE"""),"Powers")</f>
        <v>Powers</v>
      </c>
      <c r="L51" s="1"/>
      <c r="M51" s="1" t="s">
        <v>29</v>
      </c>
      <c r="N51" s="1" t="s">
        <v>30</v>
      </c>
      <c r="O51" s="1" t="s">
        <v>223</v>
      </c>
      <c r="P51" s="1" t="str">
        <f t="shared" si="2"/>
        <v>New Albany</v>
      </c>
      <c r="Q51" s="1" t="s">
        <v>224</v>
      </c>
      <c r="R51" s="1" t="str">
        <f t="shared" si="3"/>
        <v>Indiana</v>
      </c>
      <c r="S51" s="1">
        <v>47150</v>
      </c>
      <c r="T51" s="1" t="s">
        <v>90</v>
      </c>
      <c r="U51" s="1" t="s">
        <v>225</v>
      </c>
      <c r="V51" s="1" t="s">
        <v>46</v>
      </c>
      <c r="W51" s="7">
        <v>38.22</v>
      </c>
      <c r="X51" s="1">
        <v>4</v>
      </c>
      <c r="Y51" s="7">
        <v>37.28</v>
      </c>
      <c r="Z51" s="7">
        <f t="shared" ref="Z51:AA51" si="54">W51*X51</f>
        <v>152.88</v>
      </c>
      <c r="AA51" s="7">
        <f t="shared" si="54"/>
        <v>149.12</v>
      </c>
      <c r="AB51" s="7">
        <f t="shared" si="5"/>
        <v>3.7599999999999909</v>
      </c>
    </row>
    <row r="52" spans="1:28">
      <c r="A52" s="1">
        <v>51</v>
      </c>
      <c r="B52" s="1" t="s">
        <v>219</v>
      </c>
      <c r="C52" s="2">
        <v>42478</v>
      </c>
      <c r="D52" s="6" t="str">
        <f t="shared" si="0"/>
        <v>Apr</v>
      </c>
      <c r="E52" s="6" t="str">
        <f t="shared" si="1"/>
        <v>Qtr 2</v>
      </c>
      <c r="F52" s="5" t="s">
        <v>220</v>
      </c>
      <c r="G52" s="1" t="s">
        <v>49</v>
      </c>
      <c r="H52" s="1" t="s">
        <v>221</v>
      </c>
      <c r="I52" s="1" t="s">
        <v>222</v>
      </c>
      <c r="J52" s="1" t="str">
        <f ca="1">IFERROR(__xludf.DUMMYFUNCTION("split(I52,"" "")"),"Darren")</f>
        <v>Darren</v>
      </c>
      <c r="K52" s="1" t="str">
        <f ca="1">IFERROR(__xludf.DUMMYFUNCTION("""COMPUTED_VALUE"""),"Powers")</f>
        <v>Powers</v>
      </c>
      <c r="L52" s="1"/>
      <c r="M52" s="1" t="s">
        <v>29</v>
      </c>
      <c r="N52" s="1" t="s">
        <v>30</v>
      </c>
      <c r="O52" s="1" t="s">
        <v>223</v>
      </c>
      <c r="P52" s="1" t="str">
        <f t="shared" si="2"/>
        <v>New Albany</v>
      </c>
      <c r="Q52" s="1" t="s">
        <v>224</v>
      </c>
      <c r="R52" s="1" t="str">
        <f t="shared" si="3"/>
        <v>Indiana</v>
      </c>
      <c r="S52" s="1">
        <v>47150</v>
      </c>
      <c r="T52" s="1" t="s">
        <v>90</v>
      </c>
      <c r="U52" s="1" t="s">
        <v>226</v>
      </c>
      <c r="V52" s="1" t="s">
        <v>46</v>
      </c>
      <c r="W52" s="7">
        <v>75.180000000000007</v>
      </c>
      <c r="X52" s="1">
        <v>4</v>
      </c>
      <c r="Y52" s="7">
        <v>75.010000000000005</v>
      </c>
      <c r="Z52" s="7">
        <f t="shared" ref="Z52:AA52" si="55">W52*X52</f>
        <v>300.72000000000003</v>
      </c>
      <c r="AA52" s="7">
        <f t="shared" si="55"/>
        <v>300.04000000000002</v>
      </c>
      <c r="AB52" s="7">
        <f t="shared" si="5"/>
        <v>0.68000000000000682</v>
      </c>
    </row>
    <row r="53" spans="1:28">
      <c r="A53" s="1">
        <v>52</v>
      </c>
      <c r="B53" s="1" t="s">
        <v>219</v>
      </c>
      <c r="C53" s="2">
        <v>42478</v>
      </c>
      <c r="D53" s="6" t="str">
        <f t="shared" si="0"/>
        <v>Apr</v>
      </c>
      <c r="E53" s="6" t="str">
        <f t="shared" si="1"/>
        <v>Qtr 2</v>
      </c>
      <c r="F53" s="5" t="s">
        <v>220</v>
      </c>
      <c r="G53" s="1" t="s">
        <v>49</v>
      </c>
      <c r="H53" s="1" t="s">
        <v>221</v>
      </c>
      <c r="I53" s="1" t="s">
        <v>222</v>
      </c>
      <c r="J53" s="1" t="str">
        <f ca="1">IFERROR(__xludf.DUMMYFUNCTION("split(I53,"" "")"),"Darren")</f>
        <v>Darren</v>
      </c>
      <c r="K53" s="1" t="str">
        <f ca="1">IFERROR(__xludf.DUMMYFUNCTION("""COMPUTED_VALUE"""),"Powers")</f>
        <v>Powers</v>
      </c>
      <c r="L53" s="1"/>
      <c r="M53" s="1" t="s">
        <v>29</v>
      </c>
      <c r="N53" s="1" t="s">
        <v>30</v>
      </c>
      <c r="O53" s="1" t="s">
        <v>223</v>
      </c>
      <c r="P53" s="1" t="str">
        <f t="shared" si="2"/>
        <v>New Albany</v>
      </c>
      <c r="Q53" s="1" t="s">
        <v>224</v>
      </c>
      <c r="R53" s="1" t="str">
        <f t="shared" si="3"/>
        <v>Indiana</v>
      </c>
      <c r="S53" s="1">
        <v>47150</v>
      </c>
      <c r="T53" s="1" t="s">
        <v>90</v>
      </c>
      <c r="U53" s="1" t="s">
        <v>227</v>
      </c>
      <c r="V53" s="1" t="s">
        <v>35</v>
      </c>
      <c r="W53" s="7">
        <v>6.16</v>
      </c>
      <c r="X53" s="1">
        <v>4</v>
      </c>
      <c r="Y53" s="7">
        <v>6.03</v>
      </c>
      <c r="Z53" s="7">
        <f t="shared" ref="Z53:AA53" si="56">W53*X53</f>
        <v>24.64</v>
      </c>
      <c r="AA53" s="7">
        <f t="shared" si="56"/>
        <v>24.12</v>
      </c>
      <c r="AB53" s="7">
        <f t="shared" si="5"/>
        <v>0.51999999999999957</v>
      </c>
    </row>
    <row r="54" spans="1:28">
      <c r="A54" s="1">
        <v>53</v>
      </c>
      <c r="B54" s="1" t="s">
        <v>219</v>
      </c>
      <c r="C54" s="2">
        <v>42478</v>
      </c>
      <c r="D54" s="6" t="str">
        <f t="shared" si="0"/>
        <v>Apr</v>
      </c>
      <c r="E54" s="6" t="str">
        <f t="shared" si="1"/>
        <v>Qtr 2</v>
      </c>
      <c r="F54" s="5" t="s">
        <v>220</v>
      </c>
      <c r="G54" s="1" t="s">
        <v>49</v>
      </c>
      <c r="H54" s="1" t="s">
        <v>221</v>
      </c>
      <c r="I54" s="1" t="s">
        <v>222</v>
      </c>
      <c r="J54" s="1" t="str">
        <f ca="1">IFERROR(__xludf.DUMMYFUNCTION("split(I54,"" "")"),"Darren")</f>
        <v>Darren</v>
      </c>
      <c r="K54" s="1" t="str">
        <f ca="1">IFERROR(__xludf.DUMMYFUNCTION("""COMPUTED_VALUE"""),"Powers")</f>
        <v>Powers</v>
      </c>
      <c r="L54" s="1"/>
      <c r="M54" s="1" t="s">
        <v>29</v>
      </c>
      <c r="N54" s="1" t="s">
        <v>30</v>
      </c>
      <c r="O54" s="1" t="s">
        <v>223</v>
      </c>
      <c r="P54" s="1" t="str">
        <f t="shared" si="2"/>
        <v>New Albany</v>
      </c>
      <c r="Q54" s="1" t="s">
        <v>224</v>
      </c>
      <c r="R54" s="1" t="str">
        <f t="shared" si="3"/>
        <v>Indiana</v>
      </c>
      <c r="S54" s="1">
        <v>47150</v>
      </c>
      <c r="T54" s="1" t="s">
        <v>90</v>
      </c>
      <c r="U54" s="1" t="s">
        <v>228</v>
      </c>
      <c r="V54" s="1" t="s">
        <v>35</v>
      </c>
      <c r="W54" s="7">
        <v>89.99</v>
      </c>
      <c r="X54" s="1">
        <v>4</v>
      </c>
      <c r="Y54" s="7">
        <v>89.04</v>
      </c>
      <c r="Z54" s="7">
        <f t="shared" ref="Z54:AA54" si="57">W54*X54</f>
        <v>359.96</v>
      </c>
      <c r="AA54" s="7">
        <f t="shared" si="57"/>
        <v>356.16</v>
      </c>
      <c r="AB54" s="7">
        <f t="shared" si="5"/>
        <v>3.7999999999999545</v>
      </c>
    </row>
    <row r="55" spans="1:28">
      <c r="A55" s="1">
        <v>54</v>
      </c>
      <c r="B55" s="1" t="s">
        <v>229</v>
      </c>
      <c r="C55" s="2">
        <v>43051</v>
      </c>
      <c r="D55" s="6" t="str">
        <f t="shared" si="0"/>
        <v>Nov</v>
      </c>
      <c r="E55" s="6" t="str">
        <f t="shared" si="1"/>
        <v>Qtr 4</v>
      </c>
      <c r="F55" s="5" t="s">
        <v>230</v>
      </c>
      <c r="G55" s="1" t="s">
        <v>49</v>
      </c>
      <c r="H55" s="1" t="s">
        <v>231</v>
      </c>
      <c r="I55" s="1" t="s">
        <v>232</v>
      </c>
      <c r="J55" s="1" t="str">
        <f ca="1">IFERROR(__xludf.DUMMYFUNCTION("split(I55,"" "")"),"Janet")</f>
        <v>Janet</v>
      </c>
      <c r="K55" s="1" t="str">
        <f ca="1">IFERROR(__xludf.DUMMYFUNCTION("""COMPUTED_VALUE"""),"Molinari")</f>
        <v>Molinari</v>
      </c>
      <c r="L55" s="1"/>
      <c r="M55" s="1" t="s">
        <v>41</v>
      </c>
      <c r="N55" s="1" t="s">
        <v>30</v>
      </c>
      <c r="O55" s="1" t="s">
        <v>233</v>
      </c>
      <c r="P55" s="1" t="str">
        <f t="shared" si="2"/>
        <v>New York City</v>
      </c>
      <c r="Q55" s="1" t="s">
        <v>234</v>
      </c>
      <c r="R55" s="1" t="str">
        <f t="shared" si="3"/>
        <v>New York</v>
      </c>
      <c r="S55" s="1">
        <v>10024</v>
      </c>
      <c r="T55" s="1" t="s">
        <v>128</v>
      </c>
      <c r="U55" s="1" t="s">
        <v>235</v>
      </c>
      <c r="V55" s="1" t="s">
        <v>46</v>
      </c>
      <c r="W55" s="7">
        <v>15.26</v>
      </c>
      <c r="X55" s="1">
        <v>1</v>
      </c>
      <c r="Y55" s="7">
        <v>14.39</v>
      </c>
      <c r="Z55" s="7">
        <f t="shared" ref="Z55:AA55" si="58">W55*X55</f>
        <v>15.26</v>
      </c>
      <c r="AA55" s="7">
        <f t="shared" si="58"/>
        <v>14.39</v>
      </c>
      <c r="AB55" s="7">
        <f t="shared" si="5"/>
        <v>0.86999999999999922</v>
      </c>
    </row>
    <row r="56" spans="1:28">
      <c r="A56" s="1">
        <v>55</v>
      </c>
      <c r="B56" s="1" t="s">
        <v>229</v>
      </c>
      <c r="C56" s="2">
        <v>43051</v>
      </c>
      <c r="D56" s="6" t="str">
        <f t="shared" si="0"/>
        <v>Nov</v>
      </c>
      <c r="E56" s="6" t="str">
        <f t="shared" si="1"/>
        <v>Qtr 4</v>
      </c>
      <c r="F56" s="5" t="s">
        <v>230</v>
      </c>
      <c r="G56" s="1" t="s">
        <v>49</v>
      </c>
      <c r="H56" s="1" t="s">
        <v>231</v>
      </c>
      <c r="I56" s="1" t="s">
        <v>232</v>
      </c>
      <c r="J56" s="1" t="str">
        <f ca="1">IFERROR(__xludf.DUMMYFUNCTION("split(I56,"" "")"),"Janet")</f>
        <v>Janet</v>
      </c>
      <c r="K56" s="1" t="str">
        <f ca="1">IFERROR(__xludf.DUMMYFUNCTION("""COMPUTED_VALUE"""),"Molinari")</f>
        <v>Molinari</v>
      </c>
      <c r="L56" s="1"/>
      <c r="M56" s="1" t="s">
        <v>41</v>
      </c>
      <c r="N56" s="1" t="s">
        <v>30</v>
      </c>
      <c r="O56" s="1" t="s">
        <v>233</v>
      </c>
      <c r="P56" s="1" t="str">
        <f t="shared" si="2"/>
        <v>New York City</v>
      </c>
      <c r="Q56" s="1" t="s">
        <v>234</v>
      </c>
      <c r="R56" s="1" t="str">
        <f t="shared" si="3"/>
        <v>New York</v>
      </c>
      <c r="S56" s="1">
        <v>10024</v>
      </c>
      <c r="T56" s="1" t="s">
        <v>128</v>
      </c>
      <c r="U56" s="1" t="s">
        <v>236</v>
      </c>
      <c r="V56" s="1" t="s">
        <v>64</v>
      </c>
      <c r="W56" s="7">
        <v>1029.95</v>
      </c>
      <c r="X56" s="1">
        <v>1</v>
      </c>
      <c r="Y56" s="7">
        <v>1029.71</v>
      </c>
      <c r="Z56" s="7">
        <f t="shared" ref="Z56:AA56" si="59">W56*X56</f>
        <v>1029.95</v>
      </c>
      <c r="AA56" s="7">
        <f t="shared" si="59"/>
        <v>1029.71</v>
      </c>
      <c r="AB56" s="7">
        <f t="shared" si="5"/>
        <v>0.24000000000000909</v>
      </c>
    </row>
    <row r="57" spans="1:28">
      <c r="A57" s="1">
        <v>56</v>
      </c>
      <c r="B57" s="1" t="s">
        <v>237</v>
      </c>
      <c r="C57" s="2">
        <v>42903</v>
      </c>
      <c r="D57" s="6" t="str">
        <f t="shared" si="0"/>
        <v>Jun</v>
      </c>
      <c r="E57" s="6" t="str">
        <f t="shared" si="1"/>
        <v>Qtr 2</v>
      </c>
      <c r="F57" s="5" t="s">
        <v>238</v>
      </c>
      <c r="G57" s="1" t="s">
        <v>162</v>
      </c>
      <c r="H57" s="1" t="s">
        <v>239</v>
      </c>
      <c r="I57" s="1" t="s">
        <v>240</v>
      </c>
      <c r="J57" s="1" t="str">
        <f ca="1">IFERROR(__xludf.DUMMYFUNCTION("split(I57,"" "")"),"Ted")</f>
        <v>Ted</v>
      </c>
      <c r="K57" s="1" t="str">
        <f ca="1">IFERROR(__xludf.DUMMYFUNCTION("""COMPUTED_VALUE"""),"Butterfield")</f>
        <v>Butterfield</v>
      </c>
      <c r="L57" s="1"/>
      <c r="M57" s="1" t="s">
        <v>29</v>
      </c>
      <c r="N57" s="1" t="s">
        <v>30</v>
      </c>
      <c r="O57" s="1" t="s">
        <v>241</v>
      </c>
      <c r="P57" s="1" t="str">
        <f t="shared" si="2"/>
        <v>Troy</v>
      </c>
      <c r="Q57" s="1" t="s">
        <v>234</v>
      </c>
      <c r="R57" s="1" t="str">
        <f t="shared" si="3"/>
        <v>New York</v>
      </c>
      <c r="S57" s="1">
        <v>12180</v>
      </c>
      <c r="T57" s="1" t="s">
        <v>128</v>
      </c>
      <c r="U57" s="1" t="s">
        <v>242</v>
      </c>
      <c r="V57" s="1" t="s">
        <v>46</v>
      </c>
      <c r="W57" s="7">
        <v>208.56</v>
      </c>
      <c r="X57" s="1">
        <v>1</v>
      </c>
      <c r="Y57" s="7">
        <v>208.05</v>
      </c>
      <c r="Z57" s="7">
        <f t="shared" ref="Z57:AA57" si="60">W57*X57</f>
        <v>208.56</v>
      </c>
      <c r="AA57" s="7">
        <f t="shared" si="60"/>
        <v>208.05</v>
      </c>
      <c r="AB57" s="7">
        <f t="shared" si="5"/>
        <v>0.50999999999999091</v>
      </c>
    </row>
    <row r="58" spans="1:28">
      <c r="A58" s="1">
        <v>57</v>
      </c>
      <c r="B58" s="1" t="s">
        <v>237</v>
      </c>
      <c r="C58" s="2">
        <v>42903</v>
      </c>
      <c r="D58" s="6" t="str">
        <f t="shared" si="0"/>
        <v>Jun</v>
      </c>
      <c r="E58" s="6" t="str">
        <f t="shared" si="1"/>
        <v>Qtr 2</v>
      </c>
      <c r="F58" s="5" t="s">
        <v>238</v>
      </c>
      <c r="G58" s="1" t="s">
        <v>162</v>
      </c>
      <c r="H58" s="1" t="s">
        <v>239</v>
      </c>
      <c r="I58" s="1" t="s">
        <v>240</v>
      </c>
      <c r="J58" s="1" t="str">
        <f ca="1">IFERROR(__xludf.DUMMYFUNCTION("split(I58,"" "")"),"Ted")</f>
        <v>Ted</v>
      </c>
      <c r="K58" s="1" t="str">
        <f ca="1">IFERROR(__xludf.DUMMYFUNCTION("""COMPUTED_VALUE"""),"Butterfield")</f>
        <v>Butterfield</v>
      </c>
      <c r="L58" s="1"/>
      <c r="M58" s="1" t="s">
        <v>29</v>
      </c>
      <c r="N58" s="1" t="s">
        <v>30</v>
      </c>
      <c r="O58" s="1" t="s">
        <v>241</v>
      </c>
      <c r="P58" s="1" t="str">
        <f t="shared" si="2"/>
        <v>Troy</v>
      </c>
      <c r="Q58" s="1" t="s">
        <v>234</v>
      </c>
      <c r="R58" s="1" t="str">
        <f t="shared" si="3"/>
        <v>New York</v>
      </c>
      <c r="S58" s="1">
        <v>12180</v>
      </c>
      <c r="T58" s="1" t="s">
        <v>128</v>
      </c>
      <c r="U58" s="1" t="s">
        <v>243</v>
      </c>
      <c r="V58" s="1" t="s">
        <v>46</v>
      </c>
      <c r="W58" s="7">
        <v>32.4</v>
      </c>
      <c r="X58" s="1">
        <v>1</v>
      </c>
      <c r="Y58" s="7">
        <v>31.73</v>
      </c>
      <c r="Z58" s="7">
        <f t="shared" ref="Z58:AA58" si="61">W58*X58</f>
        <v>32.4</v>
      </c>
      <c r="AA58" s="7">
        <f t="shared" si="61"/>
        <v>31.73</v>
      </c>
      <c r="AB58" s="7">
        <f t="shared" si="5"/>
        <v>0.66999999999999815</v>
      </c>
    </row>
    <row r="59" spans="1:28">
      <c r="A59" s="1">
        <v>58</v>
      </c>
      <c r="B59" s="1" t="s">
        <v>237</v>
      </c>
      <c r="C59" s="2">
        <v>42903</v>
      </c>
      <c r="D59" s="6" t="str">
        <f t="shared" si="0"/>
        <v>Jun</v>
      </c>
      <c r="E59" s="6" t="str">
        <f t="shared" si="1"/>
        <v>Qtr 2</v>
      </c>
      <c r="F59" s="5" t="s">
        <v>238</v>
      </c>
      <c r="G59" s="1" t="s">
        <v>162</v>
      </c>
      <c r="H59" s="1" t="s">
        <v>239</v>
      </c>
      <c r="I59" s="1" t="s">
        <v>240</v>
      </c>
      <c r="J59" s="1" t="str">
        <f ca="1">IFERROR(__xludf.DUMMYFUNCTION("split(I59,"" "")"),"Ted")</f>
        <v>Ted</v>
      </c>
      <c r="K59" s="1" t="str">
        <f ca="1">IFERROR(__xludf.DUMMYFUNCTION("""COMPUTED_VALUE"""),"Butterfield")</f>
        <v>Butterfield</v>
      </c>
      <c r="L59" s="1"/>
      <c r="M59" s="1" t="s">
        <v>29</v>
      </c>
      <c r="N59" s="1" t="s">
        <v>30</v>
      </c>
      <c r="O59" s="1" t="s">
        <v>241</v>
      </c>
      <c r="P59" s="1" t="str">
        <f t="shared" si="2"/>
        <v>Troy</v>
      </c>
      <c r="Q59" s="1" t="s">
        <v>234</v>
      </c>
      <c r="R59" s="1" t="str">
        <f t="shared" si="3"/>
        <v>New York</v>
      </c>
      <c r="S59" s="1">
        <v>12180</v>
      </c>
      <c r="T59" s="1" t="s">
        <v>128</v>
      </c>
      <c r="U59" s="1" t="s">
        <v>244</v>
      </c>
      <c r="V59" s="1" t="s">
        <v>35</v>
      </c>
      <c r="W59" s="7">
        <v>319.41000000000003</v>
      </c>
      <c r="X59" s="1">
        <v>1</v>
      </c>
      <c r="Y59" s="7">
        <v>319.3</v>
      </c>
      <c r="Z59" s="7">
        <f t="shared" ref="Z59:AA59" si="62">W59*X59</f>
        <v>319.41000000000003</v>
      </c>
      <c r="AA59" s="7">
        <f t="shared" si="62"/>
        <v>319.3</v>
      </c>
      <c r="AB59" s="7">
        <f t="shared" si="5"/>
        <v>0.11000000000001364</v>
      </c>
    </row>
    <row r="60" spans="1:28">
      <c r="A60" s="1">
        <v>59</v>
      </c>
      <c r="B60" s="1" t="s">
        <v>237</v>
      </c>
      <c r="C60" s="2">
        <v>42903</v>
      </c>
      <c r="D60" s="6" t="str">
        <f t="shared" si="0"/>
        <v>Jun</v>
      </c>
      <c r="E60" s="6" t="str">
        <f t="shared" si="1"/>
        <v>Qtr 2</v>
      </c>
      <c r="F60" s="5" t="s">
        <v>238</v>
      </c>
      <c r="G60" s="1" t="s">
        <v>162</v>
      </c>
      <c r="H60" s="1" t="s">
        <v>239</v>
      </c>
      <c r="I60" s="1" t="s">
        <v>240</v>
      </c>
      <c r="J60" s="1" t="str">
        <f ca="1">IFERROR(__xludf.DUMMYFUNCTION("split(I60,"" "")"),"Ted")</f>
        <v>Ted</v>
      </c>
      <c r="K60" s="1" t="str">
        <f ca="1">IFERROR(__xludf.DUMMYFUNCTION("""COMPUTED_VALUE"""),"Butterfield")</f>
        <v>Butterfield</v>
      </c>
      <c r="L60" s="1"/>
      <c r="M60" s="1" t="s">
        <v>29</v>
      </c>
      <c r="N60" s="1" t="s">
        <v>30</v>
      </c>
      <c r="O60" s="1" t="s">
        <v>241</v>
      </c>
      <c r="P60" s="1" t="str">
        <f t="shared" si="2"/>
        <v>Troy</v>
      </c>
      <c r="Q60" s="1" t="s">
        <v>234</v>
      </c>
      <c r="R60" s="1" t="str">
        <f t="shared" si="3"/>
        <v>New York</v>
      </c>
      <c r="S60" s="1">
        <v>12180</v>
      </c>
      <c r="T60" s="1" t="s">
        <v>128</v>
      </c>
      <c r="U60" s="1" t="s">
        <v>245</v>
      </c>
      <c r="V60" s="1" t="s">
        <v>46</v>
      </c>
      <c r="W60" s="7">
        <v>14.56</v>
      </c>
      <c r="X60" s="1">
        <v>1</v>
      </c>
      <c r="Y60" s="7">
        <v>13.78</v>
      </c>
      <c r="Z60" s="7">
        <f t="shared" ref="Z60:AA60" si="63">W60*X60</f>
        <v>14.56</v>
      </c>
      <c r="AA60" s="7">
        <f t="shared" si="63"/>
        <v>13.78</v>
      </c>
      <c r="AB60" s="7">
        <f t="shared" si="5"/>
        <v>0.78000000000000114</v>
      </c>
    </row>
    <row r="61" spans="1:28">
      <c r="A61" s="1">
        <v>60</v>
      </c>
      <c r="B61" s="1" t="s">
        <v>237</v>
      </c>
      <c r="C61" s="2">
        <v>42903</v>
      </c>
      <c r="D61" s="6" t="str">
        <f t="shared" si="0"/>
        <v>Jun</v>
      </c>
      <c r="E61" s="6" t="str">
        <f t="shared" si="1"/>
        <v>Qtr 2</v>
      </c>
      <c r="F61" s="5" t="s">
        <v>238</v>
      </c>
      <c r="G61" s="1" t="s">
        <v>162</v>
      </c>
      <c r="H61" s="1" t="s">
        <v>239</v>
      </c>
      <c r="I61" s="1" t="s">
        <v>240</v>
      </c>
      <c r="J61" s="1" t="str">
        <f ca="1">IFERROR(__xludf.DUMMYFUNCTION("split(I61,"" "")"),"Ted")</f>
        <v>Ted</v>
      </c>
      <c r="K61" s="1" t="str">
        <f ca="1">IFERROR(__xludf.DUMMYFUNCTION("""COMPUTED_VALUE"""),"Butterfield")</f>
        <v>Butterfield</v>
      </c>
      <c r="L61" s="1"/>
      <c r="M61" s="1" t="s">
        <v>29</v>
      </c>
      <c r="N61" s="1" t="s">
        <v>30</v>
      </c>
      <c r="O61" s="1" t="s">
        <v>241</v>
      </c>
      <c r="P61" s="1" t="str">
        <f t="shared" si="2"/>
        <v>Troy</v>
      </c>
      <c r="Q61" s="1" t="s">
        <v>234</v>
      </c>
      <c r="R61" s="1" t="str">
        <f t="shared" si="3"/>
        <v>New York</v>
      </c>
      <c r="S61" s="1">
        <v>12180</v>
      </c>
      <c r="T61" s="1" t="s">
        <v>128</v>
      </c>
      <c r="U61" s="1" t="s">
        <v>217</v>
      </c>
      <c r="V61" s="1" t="s">
        <v>64</v>
      </c>
      <c r="W61" s="7">
        <v>30</v>
      </c>
      <c r="X61" s="1">
        <v>1</v>
      </c>
      <c r="Y61" s="7">
        <v>29.62</v>
      </c>
      <c r="Z61" s="7">
        <f t="shared" ref="Z61:AA61" si="64">W61*X61</f>
        <v>30</v>
      </c>
      <c r="AA61" s="7">
        <f t="shared" si="64"/>
        <v>29.62</v>
      </c>
      <c r="AB61" s="7">
        <f t="shared" si="5"/>
        <v>0.37999999999999901</v>
      </c>
    </row>
    <row r="62" spans="1:28">
      <c r="A62" s="1">
        <v>61</v>
      </c>
      <c r="B62" s="1" t="s">
        <v>237</v>
      </c>
      <c r="C62" s="2">
        <v>42903</v>
      </c>
      <c r="D62" s="6" t="str">
        <f t="shared" si="0"/>
        <v>Jun</v>
      </c>
      <c r="E62" s="6" t="str">
        <f t="shared" si="1"/>
        <v>Qtr 2</v>
      </c>
      <c r="F62" s="5" t="s">
        <v>238</v>
      </c>
      <c r="G62" s="1" t="s">
        <v>162</v>
      </c>
      <c r="H62" s="1" t="s">
        <v>239</v>
      </c>
      <c r="I62" s="1" t="s">
        <v>240</v>
      </c>
      <c r="J62" s="1" t="str">
        <f ca="1">IFERROR(__xludf.DUMMYFUNCTION("split(I62,"" "")"),"Ted")</f>
        <v>Ted</v>
      </c>
      <c r="K62" s="1" t="str">
        <f ca="1">IFERROR(__xludf.DUMMYFUNCTION("""COMPUTED_VALUE"""),"Butterfield")</f>
        <v>Butterfield</v>
      </c>
      <c r="L62" s="1"/>
      <c r="M62" s="1" t="s">
        <v>29</v>
      </c>
      <c r="N62" s="1" t="s">
        <v>30</v>
      </c>
      <c r="O62" s="1" t="s">
        <v>241</v>
      </c>
      <c r="P62" s="1" t="str">
        <f t="shared" si="2"/>
        <v>Troy</v>
      </c>
      <c r="Q62" s="1" t="s">
        <v>234</v>
      </c>
      <c r="R62" s="1" t="str">
        <f t="shared" si="3"/>
        <v>New York</v>
      </c>
      <c r="S62" s="1">
        <v>12180</v>
      </c>
      <c r="T62" s="1" t="s">
        <v>128</v>
      </c>
      <c r="U62" s="1" t="s">
        <v>246</v>
      </c>
      <c r="V62" s="1" t="s">
        <v>46</v>
      </c>
      <c r="W62" s="7">
        <v>48.48</v>
      </c>
      <c r="X62" s="1">
        <v>1</v>
      </c>
      <c r="Y62" s="7">
        <v>48.41</v>
      </c>
      <c r="Z62" s="7">
        <f t="shared" ref="Z62:AA62" si="65">W62*X62</f>
        <v>48.48</v>
      </c>
      <c r="AA62" s="7">
        <f t="shared" si="65"/>
        <v>48.41</v>
      </c>
      <c r="AB62" s="7">
        <f t="shared" si="5"/>
        <v>7.0000000000000284E-2</v>
      </c>
    </row>
    <row r="63" spans="1:28">
      <c r="A63" s="1">
        <v>62</v>
      </c>
      <c r="B63" s="1" t="s">
        <v>237</v>
      </c>
      <c r="C63" s="2">
        <v>42903</v>
      </c>
      <c r="D63" s="6" t="str">
        <f t="shared" si="0"/>
        <v>Jun</v>
      </c>
      <c r="E63" s="6" t="str">
        <f t="shared" si="1"/>
        <v>Qtr 2</v>
      </c>
      <c r="F63" s="5" t="s">
        <v>238</v>
      </c>
      <c r="G63" s="1" t="s">
        <v>162</v>
      </c>
      <c r="H63" s="1" t="s">
        <v>239</v>
      </c>
      <c r="I63" s="1" t="s">
        <v>240</v>
      </c>
      <c r="J63" s="1" t="str">
        <f ca="1">IFERROR(__xludf.DUMMYFUNCTION("split(I63,"" "")"),"Ted")</f>
        <v>Ted</v>
      </c>
      <c r="K63" s="1" t="str">
        <f ca="1">IFERROR(__xludf.DUMMYFUNCTION("""COMPUTED_VALUE"""),"Butterfield")</f>
        <v>Butterfield</v>
      </c>
      <c r="L63" s="1"/>
      <c r="M63" s="1" t="s">
        <v>29</v>
      </c>
      <c r="N63" s="1" t="s">
        <v>30</v>
      </c>
      <c r="O63" s="1" t="s">
        <v>241</v>
      </c>
      <c r="P63" s="1" t="str">
        <f t="shared" si="2"/>
        <v>Troy</v>
      </c>
      <c r="Q63" s="1" t="s">
        <v>234</v>
      </c>
      <c r="R63" s="1" t="str">
        <f t="shared" si="3"/>
        <v>New York</v>
      </c>
      <c r="S63" s="1">
        <v>12180</v>
      </c>
      <c r="T63" s="1" t="s">
        <v>128</v>
      </c>
      <c r="U63" s="1" t="s">
        <v>247</v>
      </c>
      <c r="V63" s="1" t="s">
        <v>46</v>
      </c>
      <c r="W63" s="7">
        <v>1.68</v>
      </c>
      <c r="X63" s="1">
        <v>1</v>
      </c>
      <c r="Y63" s="7">
        <v>0.97</v>
      </c>
      <c r="Z63" s="7">
        <f t="shared" ref="Z63:AA63" si="66">W63*X63</f>
        <v>1.68</v>
      </c>
      <c r="AA63" s="7">
        <f t="shared" si="66"/>
        <v>0.97</v>
      </c>
      <c r="AB63" s="7">
        <f t="shared" si="5"/>
        <v>0.71</v>
      </c>
    </row>
    <row r="64" spans="1:28">
      <c r="A64" s="1">
        <v>63</v>
      </c>
      <c r="B64" s="1" t="s">
        <v>248</v>
      </c>
      <c r="C64" s="2">
        <v>42698</v>
      </c>
      <c r="D64" s="6" t="str">
        <f t="shared" si="0"/>
        <v>Nov</v>
      </c>
      <c r="E64" s="6" t="str">
        <f t="shared" si="1"/>
        <v>Qtr 4</v>
      </c>
      <c r="F64" s="5" t="s">
        <v>249</v>
      </c>
      <c r="G64" s="1" t="s">
        <v>49</v>
      </c>
      <c r="H64" s="1" t="s">
        <v>250</v>
      </c>
      <c r="I64" s="1" t="s">
        <v>251</v>
      </c>
      <c r="J64" s="1" t="str">
        <f ca="1">IFERROR(__xludf.DUMMYFUNCTION("split(I64,"" "")"),"Kunst")</f>
        <v>Kunst</v>
      </c>
      <c r="K64" s="1" t="str">
        <f ca="1">IFERROR(__xludf.DUMMYFUNCTION("""COMPUTED_VALUE"""),"Miller")</f>
        <v>Miller</v>
      </c>
      <c r="L64" s="1"/>
      <c r="M64" s="1" t="s">
        <v>29</v>
      </c>
      <c r="N64" s="1" t="s">
        <v>30</v>
      </c>
      <c r="O64" s="1" t="s">
        <v>42</v>
      </c>
      <c r="P64" s="1" t="str">
        <f t="shared" si="2"/>
        <v>Los Angeles</v>
      </c>
      <c r="Q64" s="1" t="s">
        <v>68</v>
      </c>
      <c r="R64" s="1" t="str">
        <f t="shared" si="3"/>
        <v>California</v>
      </c>
      <c r="S64" s="1">
        <v>90004</v>
      </c>
      <c r="T64" s="1" t="s">
        <v>44</v>
      </c>
      <c r="U64" s="1" t="s">
        <v>252</v>
      </c>
      <c r="V64" s="1" t="s">
        <v>64</v>
      </c>
      <c r="W64" s="7">
        <v>13.98</v>
      </c>
      <c r="X64" s="1">
        <v>9</v>
      </c>
      <c r="Y64" s="7">
        <v>13.69</v>
      </c>
      <c r="Z64" s="7">
        <f t="shared" ref="Z64:AA64" si="67">W64*X64</f>
        <v>125.82000000000001</v>
      </c>
      <c r="AA64" s="7">
        <f t="shared" si="67"/>
        <v>123.21</v>
      </c>
      <c r="AB64" s="7">
        <f t="shared" si="5"/>
        <v>2.6100000000000136</v>
      </c>
    </row>
    <row r="65" spans="1:28">
      <c r="A65" s="1">
        <v>64</v>
      </c>
      <c r="B65" s="1" t="s">
        <v>248</v>
      </c>
      <c r="C65" s="2">
        <v>42698</v>
      </c>
      <c r="D65" s="6" t="str">
        <f t="shared" si="0"/>
        <v>Nov</v>
      </c>
      <c r="E65" s="6" t="str">
        <f t="shared" si="1"/>
        <v>Qtr 4</v>
      </c>
      <c r="F65" s="5" t="s">
        <v>249</v>
      </c>
      <c r="G65" s="1" t="s">
        <v>49</v>
      </c>
      <c r="H65" s="1" t="s">
        <v>250</v>
      </c>
      <c r="I65" s="1" t="s">
        <v>251</v>
      </c>
      <c r="J65" s="1" t="str">
        <f ca="1">IFERROR(__xludf.DUMMYFUNCTION("split(I65,"" "")"),"Kunst")</f>
        <v>Kunst</v>
      </c>
      <c r="K65" s="1" t="str">
        <f ca="1">IFERROR(__xludf.DUMMYFUNCTION("""COMPUTED_VALUE"""),"Miller")</f>
        <v>Miller</v>
      </c>
      <c r="L65" s="1"/>
      <c r="M65" s="1" t="s">
        <v>29</v>
      </c>
      <c r="N65" s="1" t="s">
        <v>30</v>
      </c>
      <c r="O65" s="1" t="s">
        <v>42</v>
      </c>
      <c r="P65" s="1" t="str">
        <f t="shared" si="2"/>
        <v>Los Angeles</v>
      </c>
      <c r="Q65" s="1" t="s">
        <v>68</v>
      </c>
      <c r="R65" s="1" t="str">
        <f t="shared" si="3"/>
        <v>California</v>
      </c>
      <c r="S65" s="1">
        <v>90004</v>
      </c>
      <c r="T65" s="1" t="s">
        <v>44</v>
      </c>
      <c r="U65" s="1" t="s">
        <v>253</v>
      </c>
      <c r="V65" s="1" t="s">
        <v>46</v>
      </c>
      <c r="W65" s="7">
        <v>25.824000000000002</v>
      </c>
      <c r="X65" s="1">
        <v>9</v>
      </c>
      <c r="Y65" s="7">
        <v>25.3</v>
      </c>
      <c r="Z65" s="7">
        <f t="shared" ref="Z65:AA65" si="68">W65*X65</f>
        <v>232.41600000000003</v>
      </c>
      <c r="AA65" s="7">
        <f t="shared" si="68"/>
        <v>227.70000000000002</v>
      </c>
      <c r="AB65" s="7">
        <f t="shared" si="5"/>
        <v>4.7160000000000082</v>
      </c>
    </row>
    <row r="66" spans="1:28">
      <c r="A66" s="1">
        <v>65</v>
      </c>
      <c r="B66" s="1" t="s">
        <v>248</v>
      </c>
      <c r="C66" s="2">
        <v>42698</v>
      </c>
      <c r="D66" s="6" t="str">
        <f t="shared" si="0"/>
        <v>Nov</v>
      </c>
      <c r="E66" s="6" t="str">
        <f t="shared" si="1"/>
        <v>Qtr 4</v>
      </c>
      <c r="F66" s="5" t="s">
        <v>249</v>
      </c>
      <c r="G66" s="1" t="s">
        <v>49</v>
      </c>
      <c r="H66" s="1" t="s">
        <v>250</v>
      </c>
      <c r="I66" s="1" t="s">
        <v>251</v>
      </c>
      <c r="J66" s="1" t="str">
        <f ca="1">IFERROR(__xludf.DUMMYFUNCTION("split(I66,"" "")"),"Kunst")</f>
        <v>Kunst</v>
      </c>
      <c r="K66" s="1" t="str">
        <f ca="1">IFERROR(__xludf.DUMMYFUNCTION("""COMPUTED_VALUE"""),"Miller")</f>
        <v>Miller</v>
      </c>
      <c r="L66" s="1"/>
      <c r="M66" s="1" t="s">
        <v>29</v>
      </c>
      <c r="N66" s="1" t="s">
        <v>30</v>
      </c>
      <c r="O66" s="1" t="s">
        <v>42</v>
      </c>
      <c r="P66" s="1" t="str">
        <f t="shared" si="2"/>
        <v>Los Angeles</v>
      </c>
      <c r="Q66" s="1" t="s">
        <v>68</v>
      </c>
      <c r="R66" s="1" t="str">
        <f t="shared" si="3"/>
        <v>California</v>
      </c>
      <c r="S66" s="1">
        <v>90004</v>
      </c>
      <c r="T66" s="1" t="s">
        <v>44</v>
      </c>
      <c r="U66" s="1" t="s">
        <v>254</v>
      </c>
      <c r="V66" s="1" t="s">
        <v>46</v>
      </c>
      <c r="W66" s="7">
        <v>146.72999999999999</v>
      </c>
      <c r="X66" s="1">
        <v>9</v>
      </c>
      <c r="Y66" s="7">
        <v>146.32</v>
      </c>
      <c r="Z66" s="7">
        <f t="shared" ref="Z66:AA66" si="69">W66*X66</f>
        <v>1320.57</v>
      </c>
      <c r="AA66" s="7">
        <f t="shared" si="69"/>
        <v>1316.8799999999999</v>
      </c>
      <c r="AB66" s="7">
        <f t="shared" si="5"/>
        <v>3.6900000000000546</v>
      </c>
    </row>
    <row r="67" spans="1:28">
      <c r="A67" s="1">
        <v>66</v>
      </c>
      <c r="B67" s="1" t="s">
        <v>248</v>
      </c>
      <c r="C67" s="2">
        <v>42698</v>
      </c>
      <c r="D67" s="6" t="str">
        <f t="shared" si="0"/>
        <v>Nov</v>
      </c>
      <c r="E67" s="6" t="str">
        <f t="shared" si="1"/>
        <v>Qtr 4</v>
      </c>
      <c r="F67" s="5" t="s">
        <v>249</v>
      </c>
      <c r="G67" s="1" t="s">
        <v>49</v>
      </c>
      <c r="H67" s="1" t="s">
        <v>250</v>
      </c>
      <c r="I67" s="1" t="s">
        <v>251</v>
      </c>
      <c r="J67" s="1" t="str">
        <f ca="1">IFERROR(__xludf.DUMMYFUNCTION("split(I67,"" "")"),"Kunst")</f>
        <v>Kunst</v>
      </c>
      <c r="K67" s="1" t="str">
        <f ca="1">IFERROR(__xludf.DUMMYFUNCTION("""COMPUTED_VALUE"""),"Miller")</f>
        <v>Miller</v>
      </c>
      <c r="L67" s="1"/>
      <c r="M67" s="1" t="s">
        <v>29</v>
      </c>
      <c r="N67" s="1" t="s">
        <v>30</v>
      </c>
      <c r="O67" s="1" t="s">
        <v>42</v>
      </c>
      <c r="P67" s="1" t="str">
        <f t="shared" si="2"/>
        <v>Los Angeles</v>
      </c>
      <c r="Q67" s="1" t="s">
        <v>68</v>
      </c>
      <c r="R67" s="1" t="str">
        <f t="shared" si="3"/>
        <v>California</v>
      </c>
      <c r="S67" s="1">
        <v>90004</v>
      </c>
      <c r="T67" s="1" t="s">
        <v>44</v>
      </c>
      <c r="U67" s="1" t="s">
        <v>255</v>
      </c>
      <c r="V67" s="1" t="s">
        <v>35</v>
      </c>
      <c r="W67" s="7">
        <v>79.760000000000005</v>
      </c>
      <c r="X67" s="1">
        <v>9</v>
      </c>
      <c r="Y67" s="7">
        <v>79.56</v>
      </c>
      <c r="Z67" s="7">
        <f t="shared" ref="Z67:AA67" si="70">W67*X67</f>
        <v>717.84</v>
      </c>
      <c r="AA67" s="7">
        <f t="shared" si="70"/>
        <v>716.04</v>
      </c>
      <c r="AB67" s="7">
        <f t="shared" si="5"/>
        <v>1.8000000000000682</v>
      </c>
    </row>
    <row r="68" spans="1:28">
      <c r="A68" s="1">
        <v>67</v>
      </c>
      <c r="B68" s="1" t="s">
        <v>256</v>
      </c>
      <c r="C68" s="2">
        <v>42490</v>
      </c>
      <c r="D68" s="6" t="str">
        <f t="shared" si="0"/>
        <v>Apr</v>
      </c>
      <c r="E68" s="6" t="str">
        <f t="shared" si="1"/>
        <v>Qtr 2</v>
      </c>
      <c r="F68" s="5">
        <v>42495</v>
      </c>
      <c r="G68" s="1" t="s">
        <v>49</v>
      </c>
      <c r="H68" s="1" t="s">
        <v>257</v>
      </c>
      <c r="I68" s="1" t="s">
        <v>258</v>
      </c>
      <c r="J68" s="1" t="str">
        <f ca="1">IFERROR(__xludf.DUMMYFUNCTION("split(I68,"" "")"),"Paul")</f>
        <v>Paul</v>
      </c>
      <c r="K68" s="1" t="str">
        <f ca="1">IFERROR(__xludf.DUMMYFUNCTION("""COMPUTED_VALUE"""),"Stevenson")</f>
        <v>Stevenson</v>
      </c>
      <c r="L68" s="1"/>
      <c r="M68" s="1" t="s">
        <v>87</v>
      </c>
      <c r="N68" s="1" t="s">
        <v>30</v>
      </c>
      <c r="O68" s="1" t="s">
        <v>259</v>
      </c>
      <c r="P68" s="1" t="str">
        <f t="shared" si="2"/>
        <v>Chicago</v>
      </c>
      <c r="Q68" s="1" t="s">
        <v>182</v>
      </c>
      <c r="R68" s="1" t="str">
        <f t="shared" si="3"/>
        <v>Illinois</v>
      </c>
      <c r="S68" s="1">
        <v>60610</v>
      </c>
      <c r="T68" s="1" t="s">
        <v>90</v>
      </c>
      <c r="U68" s="1" t="s">
        <v>260</v>
      </c>
      <c r="V68" s="1" t="s">
        <v>35</v>
      </c>
      <c r="W68" s="7">
        <v>213.11500000000001</v>
      </c>
      <c r="X68" s="1">
        <v>6</v>
      </c>
      <c r="Y68" s="7">
        <v>212.69</v>
      </c>
      <c r="Z68" s="7">
        <f t="shared" ref="Z68:AA68" si="71">W68*X68</f>
        <v>1278.69</v>
      </c>
      <c r="AA68" s="7">
        <f t="shared" si="71"/>
        <v>1276.1399999999999</v>
      </c>
      <c r="AB68" s="7">
        <f t="shared" si="5"/>
        <v>2.5500000000001819</v>
      </c>
    </row>
    <row r="69" spans="1:28">
      <c r="A69" s="1">
        <v>68</v>
      </c>
      <c r="B69" s="1" t="s">
        <v>261</v>
      </c>
      <c r="C69" s="2">
        <v>42136</v>
      </c>
      <c r="D69" s="6" t="str">
        <f t="shared" si="0"/>
        <v>May</v>
      </c>
      <c r="E69" s="6" t="str">
        <f t="shared" si="1"/>
        <v>Qtr 2</v>
      </c>
      <c r="F69" s="5">
        <v>42289</v>
      </c>
      <c r="G69" s="1" t="s">
        <v>49</v>
      </c>
      <c r="H69" s="1" t="s">
        <v>262</v>
      </c>
      <c r="I69" s="1" t="s">
        <v>263</v>
      </c>
      <c r="J69" s="1" t="str">
        <f ca="1">IFERROR(__xludf.DUMMYFUNCTION("split(I69,"" "")"),"Brendan")</f>
        <v>Brendan</v>
      </c>
      <c r="K69" s="1" t="str">
        <f ca="1">IFERROR(__xludf.DUMMYFUNCTION("""COMPUTED_VALUE"""),"Sweed")</f>
        <v>Sweed</v>
      </c>
      <c r="L69" s="1"/>
      <c r="M69" s="1" t="s">
        <v>41</v>
      </c>
      <c r="N69" s="1" t="s">
        <v>30</v>
      </c>
      <c r="O69" s="1" t="s">
        <v>264</v>
      </c>
      <c r="P69" s="1" t="str">
        <f t="shared" si="2"/>
        <v>Gilbert</v>
      </c>
      <c r="Q69" s="1" t="s">
        <v>265</v>
      </c>
      <c r="R69" s="1" t="str">
        <f t="shared" si="3"/>
        <v>Arizona</v>
      </c>
      <c r="S69" s="1">
        <v>85234</v>
      </c>
      <c r="T69" s="1" t="s">
        <v>44</v>
      </c>
      <c r="U69" s="1" t="s">
        <v>266</v>
      </c>
      <c r="V69" s="1" t="s">
        <v>46</v>
      </c>
      <c r="W69" s="7">
        <v>1113.0239999999999</v>
      </c>
      <c r="X69" s="1">
        <v>8</v>
      </c>
      <c r="Y69" s="7">
        <v>1112.23</v>
      </c>
      <c r="Z69" s="7">
        <f t="shared" ref="Z69:AA69" si="72">W69*X69</f>
        <v>8904.1919999999991</v>
      </c>
      <c r="AA69" s="7">
        <f t="shared" si="72"/>
        <v>8897.84</v>
      </c>
      <c r="AB69" s="7">
        <f t="shared" si="5"/>
        <v>6.3519999999989523</v>
      </c>
    </row>
    <row r="70" spans="1:28">
      <c r="A70" s="1">
        <v>69</v>
      </c>
      <c r="B70" s="1" t="s">
        <v>261</v>
      </c>
      <c r="C70" s="2">
        <v>42136</v>
      </c>
      <c r="D70" s="6" t="str">
        <f t="shared" si="0"/>
        <v>May</v>
      </c>
      <c r="E70" s="6" t="str">
        <f t="shared" si="1"/>
        <v>Qtr 2</v>
      </c>
      <c r="F70" s="5">
        <v>42289</v>
      </c>
      <c r="G70" s="1" t="s">
        <v>49</v>
      </c>
      <c r="H70" s="1" t="s">
        <v>262</v>
      </c>
      <c r="I70" s="1" t="s">
        <v>263</v>
      </c>
      <c r="J70" s="1" t="str">
        <f ca="1">IFERROR(__xludf.DUMMYFUNCTION("split(I70,"" "")"),"Brendan")</f>
        <v>Brendan</v>
      </c>
      <c r="K70" s="1" t="str">
        <f ca="1">IFERROR(__xludf.DUMMYFUNCTION("""COMPUTED_VALUE"""),"Sweed")</f>
        <v>Sweed</v>
      </c>
      <c r="L70" s="1"/>
      <c r="M70" s="1" t="s">
        <v>41</v>
      </c>
      <c r="N70" s="1" t="s">
        <v>30</v>
      </c>
      <c r="O70" s="1" t="s">
        <v>264</v>
      </c>
      <c r="P70" s="1" t="str">
        <f t="shared" si="2"/>
        <v>Gilbert</v>
      </c>
      <c r="Q70" s="1" t="s">
        <v>265</v>
      </c>
      <c r="R70" s="1" t="str">
        <f t="shared" si="3"/>
        <v>Arizona</v>
      </c>
      <c r="S70" s="1">
        <v>85234</v>
      </c>
      <c r="T70" s="1" t="s">
        <v>44</v>
      </c>
      <c r="U70" s="1" t="s">
        <v>267</v>
      </c>
      <c r="V70" s="1" t="s">
        <v>64</v>
      </c>
      <c r="W70" s="7">
        <v>167.96799999999999</v>
      </c>
      <c r="X70" s="1">
        <v>8</v>
      </c>
      <c r="Y70" s="7">
        <v>167.14</v>
      </c>
      <c r="Z70" s="7">
        <f t="shared" ref="Z70:AA70" si="73">W70*X70</f>
        <v>1343.7439999999999</v>
      </c>
      <c r="AA70" s="7">
        <f t="shared" si="73"/>
        <v>1337.12</v>
      </c>
      <c r="AB70" s="7">
        <f t="shared" si="5"/>
        <v>6.6240000000000236</v>
      </c>
    </row>
    <row r="71" spans="1:28">
      <c r="A71" s="1">
        <v>70</v>
      </c>
      <c r="B71" s="1" t="s">
        <v>268</v>
      </c>
      <c r="C71" s="2">
        <v>42831</v>
      </c>
      <c r="D71" s="6" t="str">
        <f t="shared" si="0"/>
        <v>Apr</v>
      </c>
      <c r="E71" s="6" t="str">
        <f t="shared" si="1"/>
        <v>Qtr 2</v>
      </c>
      <c r="F71" s="5">
        <v>42892</v>
      </c>
      <c r="G71" s="1" t="s">
        <v>162</v>
      </c>
      <c r="H71" s="1" t="s">
        <v>269</v>
      </c>
      <c r="I71" s="1" t="s">
        <v>270</v>
      </c>
      <c r="J71" s="1" t="str">
        <f ca="1">IFERROR(__xludf.DUMMYFUNCTION("split(I71,"" "")"),"Karen")</f>
        <v>Karen</v>
      </c>
      <c r="K71" s="1" t="str">
        <f ca="1">IFERROR(__xludf.DUMMYFUNCTION("""COMPUTED_VALUE"""),"Daniels")</f>
        <v>Daniels</v>
      </c>
      <c r="L71" s="1"/>
      <c r="M71" s="1" t="s">
        <v>29</v>
      </c>
      <c r="N71" s="1" t="s">
        <v>30</v>
      </c>
      <c r="O71" s="1" t="s">
        <v>271</v>
      </c>
      <c r="P71" s="1" t="str">
        <f t="shared" si="2"/>
        <v>Springfield</v>
      </c>
      <c r="Q71" s="1" t="s">
        <v>272</v>
      </c>
      <c r="R71" s="1" t="str">
        <f t="shared" si="3"/>
        <v>Virginia</v>
      </c>
      <c r="S71" s="1">
        <v>22153</v>
      </c>
      <c r="T71" s="1" t="s">
        <v>33</v>
      </c>
      <c r="U71" s="1" t="s">
        <v>273</v>
      </c>
      <c r="V71" s="1" t="s">
        <v>46</v>
      </c>
      <c r="W71" s="7">
        <v>75.88</v>
      </c>
      <c r="X71" s="1">
        <v>2</v>
      </c>
      <c r="Y71" s="7">
        <v>74.930000000000007</v>
      </c>
      <c r="Z71" s="7">
        <f t="shared" ref="Z71:AA71" si="74">W71*X71</f>
        <v>151.76</v>
      </c>
      <c r="AA71" s="7">
        <f t="shared" si="74"/>
        <v>149.86000000000001</v>
      </c>
      <c r="AB71" s="7">
        <f t="shared" si="5"/>
        <v>1.8999999999999773</v>
      </c>
    </row>
    <row r="72" spans="1:28">
      <c r="A72" s="1">
        <v>71</v>
      </c>
      <c r="B72" s="1" t="s">
        <v>274</v>
      </c>
      <c r="C72" s="2">
        <v>42996</v>
      </c>
      <c r="D72" s="6" t="str">
        <f t="shared" si="0"/>
        <v>Sep</v>
      </c>
      <c r="E72" s="6" t="str">
        <f t="shared" si="1"/>
        <v>Qtr 3</v>
      </c>
      <c r="F72" s="5" t="s">
        <v>275</v>
      </c>
      <c r="G72" s="1" t="s">
        <v>49</v>
      </c>
      <c r="H72" s="1" t="s">
        <v>276</v>
      </c>
      <c r="I72" s="1" t="s">
        <v>277</v>
      </c>
      <c r="J72" s="1" t="str">
        <f ca="1">IFERROR(__xludf.DUMMYFUNCTION("split(I72,"" "")"),"Henry")</f>
        <v>Henry</v>
      </c>
      <c r="K72" s="1" t="str">
        <f ca="1">IFERROR(__xludf.DUMMYFUNCTION("""COMPUTED_VALUE"""),"MacAllister")</f>
        <v>MacAllister</v>
      </c>
      <c r="L72" s="1"/>
      <c r="M72" s="1" t="s">
        <v>29</v>
      </c>
      <c r="N72" s="1" t="s">
        <v>30</v>
      </c>
      <c r="O72" s="1" t="s">
        <v>233</v>
      </c>
      <c r="P72" s="1" t="str">
        <f t="shared" si="2"/>
        <v>New York City</v>
      </c>
      <c r="Q72" s="1" t="s">
        <v>234</v>
      </c>
      <c r="R72" s="1" t="str">
        <f t="shared" si="3"/>
        <v>New York</v>
      </c>
      <c r="S72" s="1">
        <v>10009</v>
      </c>
      <c r="T72" s="1" t="s">
        <v>128</v>
      </c>
      <c r="U72" s="1" t="s">
        <v>278</v>
      </c>
      <c r="V72" s="1" t="s">
        <v>46</v>
      </c>
      <c r="W72" s="7">
        <v>4.6159999999999997</v>
      </c>
      <c r="X72" s="1">
        <v>1</v>
      </c>
      <c r="Y72" s="7">
        <v>3.87</v>
      </c>
      <c r="Z72" s="7">
        <f t="shared" ref="Z72:AA72" si="75">W72*X72</f>
        <v>4.6159999999999997</v>
      </c>
      <c r="AA72" s="7">
        <f t="shared" si="75"/>
        <v>3.87</v>
      </c>
      <c r="AB72" s="7">
        <f t="shared" si="5"/>
        <v>0.74599999999999955</v>
      </c>
    </row>
    <row r="73" spans="1:28">
      <c r="A73" s="1">
        <v>72</v>
      </c>
      <c r="B73" s="1" t="s">
        <v>279</v>
      </c>
      <c r="C73" s="2">
        <v>43357</v>
      </c>
      <c r="D73" s="6" t="str">
        <f t="shared" si="0"/>
        <v>Sep</v>
      </c>
      <c r="E73" s="6" t="str">
        <f t="shared" si="1"/>
        <v>Qtr 3</v>
      </c>
      <c r="F73" s="5" t="s">
        <v>280</v>
      </c>
      <c r="G73" s="1" t="s">
        <v>26</v>
      </c>
      <c r="H73" s="1" t="s">
        <v>143</v>
      </c>
      <c r="I73" s="1" t="s">
        <v>144</v>
      </c>
      <c r="J73" s="1" t="str">
        <f ca="1">IFERROR(__xludf.DUMMYFUNCTION("split(I73,"" "")"),"Tracy")</f>
        <v>Tracy</v>
      </c>
      <c r="K73" s="1" t="str">
        <f ca="1">IFERROR(__xludf.DUMMYFUNCTION("""COMPUTED_VALUE"""),"Blumstein")</f>
        <v>Blumstein</v>
      </c>
      <c r="L73" s="1"/>
      <c r="M73" s="1" t="s">
        <v>29</v>
      </c>
      <c r="N73" s="1" t="s">
        <v>30</v>
      </c>
      <c r="O73" s="1" t="s">
        <v>281</v>
      </c>
      <c r="P73" s="1" t="str">
        <f t="shared" si="2"/>
        <v>Jackson</v>
      </c>
      <c r="Q73" s="1" t="s">
        <v>209</v>
      </c>
      <c r="R73" s="1" t="str">
        <f t="shared" si="3"/>
        <v>Michigan</v>
      </c>
      <c r="S73" s="1">
        <v>49201</v>
      </c>
      <c r="T73" s="1" t="s">
        <v>90</v>
      </c>
      <c r="U73" s="1" t="s">
        <v>282</v>
      </c>
      <c r="V73" s="1" t="s">
        <v>46</v>
      </c>
      <c r="W73" s="7">
        <v>19.05</v>
      </c>
      <c r="X73" s="1">
        <v>4</v>
      </c>
      <c r="Y73" s="7">
        <v>18.79</v>
      </c>
      <c r="Z73" s="7">
        <f t="shared" ref="Z73:AA73" si="76">W73*X73</f>
        <v>76.2</v>
      </c>
      <c r="AA73" s="7">
        <f t="shared" si="76"/>
        <v>75.16</v>
      </c>
      <c r="AB73" s="7">
        <f t="shared" si="5"/>
        <v>1.0400000000000063</v>
      </c>
    </row>
    <row r="74" spans="1:28">
      <c r="A74" s="1">
        <v>73</v>
      </c>
      <c r="B74" s="1" t="s">
        <v>283</v>
      </c>
      <c r="C74" s="2">
        <v>42486</v>
      </c>
      <c r="D74" s="6" t="str">
        <f t="shared" si="0"/>
        <v>Apr</v>
      </c>
      <c r="E74" s="6" t="str">
        <f t="shared" si="1"/>
        <v>Qtr 2</v>
      </c>
      <c r="F74" s="5">
        <v>42405</v>
      </c>
      <c r="G74" s="1" t="s">
        <v>49</v>
      </c>
      <c r="H74" s="1" t="s">
        <v>284</v>
      </c>
      <c r="I74" s="1" t="s">
        <v>285</v>
      </c>
      <c r="J74" s="1" t="str">
        <f ca="1">IFERROR(__xludf.DUMMYFUNCTION("split(I74,"" "")"),"Joel")</f>
        <v>Joel</v>
      </c>
      <c r="K74" s="1" t="str">
        <f ca="1">IFERROR(__xludf.DUMMYFUNCTION("""COMPUTED_VALUE"""),"Eaton")</f>
        <v>Eaton</v>
      </c>
      <c r="L74" s="1"/>
      <c r="M74" s="1" t="s">
        <v>29</v>
      </c>
      <c r="N74" s="1" t="s">
        <v>30</v>
      </c>
      <c r="O74" s="1" t="s">
        <v>286</v>
      </c>
      <c r="P74" s="1" t="str">
        <f t="shared" si="2"/>
        <v>Memphis</v>
      </c>
      <c r="Q74" s="1" t="s">
        <v>287</v>
      </c>
      <c r="R74" s="1" t="str">
        <f t="shared" si="3"/>
        <v>Tennessee</v>
      </c>
      <c r="S74" s="1">
        <v>38109</v>
      </c>
      <c r="T74" s="1" t="s">
        <v>33</v>
      </c>
      <c r="U74" s="1" t="s">
        <v>288</v>
      </c>
      <c r="V74" s="1" t="s">
        <v>35</v>
      </c>
      <c r="W74" s="7">
        <v>831.93600000000004</v>
      </c>
      <c r="X74" s="1">
        <v>3</v>
      </c>
      <c r="Y74" s="7">
        <v>831.72</v>
      </c>
      <c r="Z74" s="7">
        <f t="shared" ref="Z74:AA74" si="77">W74*X74</f>
        <v>2495.808</v>
      </c>
      <c r="AA74" s="7">
        <f t="shared" si="77"/>
        <v>2495.16</v>
      </c>
      <c r="AB74" s="7">
        <f t="shared" si="5"/>
        <v>0.64800000000013824</v>
      </c>
    </row>
    <row r="75" spans="1:28">
      <c r="A75" s="1">
        <v>74</v>
      </c>
      <c r="B75" s="1" t="s">
        <v>283</v>
      </c>
      <c r="C75" s="2">
        <v>42486</v>
      </c>
      <c r="D75" s="6" t="str">
        <f t="shared" si="0"/>
        <v>Apr</v>
      </c>
      <c r="E75" s="6" t="str">
        <f t="shared" si="1"/>
        <v>Qtr 2</v>
      </c>
      <c r="F75" s="5">
        <v>42405</v>
      </c>
      <c r="G75" s="1" t="s">
        <v>49</v>
      </c>
      <c r="H75" s="1" t="s">
        <v>284</v>
      </c>
      <c r="I75" s="1" t="s">
        <v>285</v>
      </c>
      <c r="J75" s="1" t="str">
        <f ca="1">IFERROR(__xludf.DUMMYFUNCTION("split(I75,"" "")"),"Joel")</f>
        <v>Joel</v>
      </c>
      <c r="K75" s="1" t="str">
        <f ca="1">IFERROR(__xludf.DUMMYFUNCTION("""COMPUTED_VALUE"""),"Eaton")</f>
        <v>Eaton</v>
      </c>
      <c r="L75" s="1"/>
      <c r="M75" s="1" t="s">
        <v>29</v>
      </c>
      <c r="N75" s="1" t="s">
        <v>30</v>
      </c>
      <c r="O75" s="1" t="s">
        <v>286</v>
      </c>
      <c r="P75" s="1" t="str">
        <f t="shared" si="2"/>
        <v>Memphis</v>
      </c>
      <c r="Q75" s="1" t="s">
        <v>287</v>
      </c>
      <c r="R75" s="1" t="str">
        <f t="shared" si="3"/>
        <v>Tennessee</v>
      </c>
      <c r="S75" s="1">
        <v>38109</v>
      </c>
      <c r="T75" s="1" t="s">
        <v>33</v>
      </c>
      <c r="U75" s="1" t="s">
        <v>289</v>
      </c>
      <c r="V75" s="1" t="s">
        <v>35</v>
      </c>
      <c r="W75" s="7">
        <v>97.04</v>
      </c>
      <c r="X75" s="1">
        <v>3</v>
      </c>
      <c r="Y75" s="7">
        <v>96.98</v>
      </c>
      <c r="Z75" s="7">
        <f t="shared" ref="Z75:AA75" si="78">W75*X75</f>
        <v>291.12</v>
      </c>
      <c r="AA75" s="7">
        <f t="shared" si="78"/>
        <v>290.94</v>
      </c>
      <c r="AB75" s="7">
        <f t="shared" si="5"/>
        <v>0.18000000000000682</v>
      </c>
    </row>
    <row r="76" spans="1:28">
      <c r="A76" s="1">
        <v>75</v>
      </c>
      <c r="B76" s="1" t="s">
        <v>283</v>
      </c>
      <c r="C76" s="2">
        <v>42486</v>
      </c>
      <c r="D76" s="6" t="str">
        <f t="shared" si="0"/>
        <v>Apr</v>
      </c>
      <c r="E76" s="6" t="str">
        <f t="shared" si="1"/>
        <v>Qtr 2</v>
      </c>
      <c r="F76" s="5">
        <v>42405</v>
      </c>
      <c r="G76" s="1" t="s">
        <v>49</v>
      </c>
      <c r="H76" s="1" t="s">
        <v>284</v>
      </c>
      <c r="I76" s="1" t="s">
        <v>285</v>
      </c>
      <c r="J76" s="1" t="str">
        <f ca="1">IFERROR(__xludf.DUMMYFUNCTION("split(I76,"" "")"),"Joel")</f>
        <v>Joel</v>
      </c>
      <c r="K76" s="1" t="str">
        <f ca="1">IFERROR(__xludf.DUMMYFUNCTION("""COMPUTED_VALUE"""),"Eaton")</f>
        <v>Eaton</v>
      </c>
      <c r="L76" s="1"/>
      <c r="M76" s="1" t="s">
        <v>29</v>
      </c>
      <c r="N76" s="1" t="s">
        <v>30</v>
      </c>
      <c r="O76" s="1" t="s">
        <v>286</v>
      </c>
      <c r="P76" s="1" t="str">
        <f t="shared" si="2"/>
        <v>Memphis</v>
      </c>
      <c r="Q76" s="1" t="s">
        <v>287</v>
      </c>
      <c r="R76" s="1" t="str">
        <f t="shared" si="3"/>
        <v>Tennessee</v>
      </c>
      <c r="S76" s="1">
        <v>38109</v>
      </c>
      <c r="T76" s="1" t="s">
        <v>33</v>
      </c>
      <c r="U76" s="1" t="s">
        <v>290</v>
      </c>
      <c r="V76" s="1" t="s">
        <v>46</v>
      </c>
      <c r="W76" s="7">
        <v>72.784000000000006</v>
      </c>
      <c r="X76" s="1">
        <v>3</v>
      </c>
      <c r="Y76" s="7">
        <v>72.569999999999993</v>
      </c>
      <c r="Z76" s="7">
        <f t="shared" ref="Z76:AA76" si="79">W76*X76</f>
        <v>218.35200000000003</v>
      </c>
      <c r="AA76" s="7">
        <f t="shared" si="79"/>
        <v>217.70999999999998</v>
      </c>
      <c r="AB76" s="7">
        <f t="shared" si="5"/>
        <v>0.64200000000005275</v>
      </c>
    </row>
    <row r="77" spans="1:28">
      <c r="A77" s="1">
        <v>76</v>
      </c>
      <c r="B77" s="1" t="s">
        <v>291</v>
      </c>
      <c r="C77" s="2">
        <v>43355</v>
      </c>
      <c r="D77" s="6" t="str">
        <f t="shared" si="0"/>
        <v>Sep</v>
      </c>
      <c r="E77" s="6" t="str">
        <f t="shared" si="1"/>
        <v>Qtr 3</v>
      </c>
      <c r="F77" s="5">
        <v>43416</v>
      </c>
      <c r="G77" s="1" t="s">
        <v>162</v>
      </c>
      <c r="H77" s="1" t="s">
        <v>292</v>
      </c>
      <c r="I77" s="1" t="s">
        <v>293</v>
      </c>
      <c r="J77" s="1" t="str">
        <f ca="1">IFERROR(__xludf.DUMMYFUNCTION("split(I77,"" "")"),"Ken")</f>
        <v>Ken</v>
      </c>
      <c r="K77" s="1" t="str">
        <f ca="1">IFERROR(__xludf.DUMMYFUNCTION("""COMPUTED_VALUE"""),"Brennan")</f>
        <v>Brennan</v>
      </c>
      <c r="L77" s="1"/>
      <c r="M77" s="1" t="s">
        <v>41</v>
      </c>
      <c r="N77" s="1" t="s">
        <v>30</v>
      </c>
      <c r="O77" s="1" t="s">
        <v>172</v>
      </c>
      <c r="P77" s="1" t="str">
        <f t="shared" si="2"/>
        <v>Houston</v>
      </c>
      <c r="Q77" s="1" t="s">
        <v>89</v>
      </c>
      <c r="R77" s="1" t="str">
        <f t="shared" si="3"/>
        <v>Texas</v>
      </c>
      <c r="S77" s="1">
        <v>77041</v>
      </c>
      <c r="T77" s="1" t="s">
        <v>90</v>
      </c>
      <c r="U77" s="1" t="s">
        <v>294</v>
      </c>
      <c r="V77" s="1" t="s">
        <v>46</v>
      </c>
      <c r="W77" s="7">
        <v>1.248</v>
      </c>
      <c r="X77" s="1">
        <v>7</v>
      </c>
      <c r="Y77" s="7">
        <v>0.33</v>
      </c>
      <c r="Z77" s="7">
        <f t="shared" ref="Z77:AA77" si="80">W77*X77</f>
        <v>8.7360000000000007</v>
      </c>
      <c r="AA77" s="7">
        <f t="shared" si="80"/>
        <v>2.31</v>
      </c>
      <c r="AB77" s="7">
        <f t="shared" si="5"/>
        <v>6.4260000000000002</v>
      </c>
    </row>
    <row r="78" spans="1:28">
      <c r="A78" s="1">
        <v>77</v>
      </c>
      <c r="B78" s="1" t="s">
        <v>291</v>
      </c>
      <c r="C78" s="2">
        <v>43355</v>
      </c>
      <c r="D78" s="6" t="str">
        <f t="shared" si="0"/>
        <v>Sep</v>
      </c>
      <c r="E78" s="6" t="str">
        <f t="shared" si="1"/>
        <v>Qtr 3</v>
      </c>
      <c r="F78" s="5">
        <v>43416</v>
      </c>
      <c r="G78" s="1" t="s">
        <v>162</v>
      </c>
      <c r="H78" s="1" t="s">
        <v>292</v>
      </c>
      <c r="I78" s="1" t="s">
        <v>293</v>
      </c>
      <c r="J78" s="1" t="str">
        <f ca="1">IFERROR(__xludf.DUMMYFUNCTION("split(I78,"" "")"),"Ken")</f>
        <v>Ken</v>
      </c>
      <c r="K78" s="1" t="str">
        <f ca="1">IFERROR(__xludf.DUMMYFUNCTION("""COMPUTED_VALUE"""),"Brennan")</f>
        <v>Brennan</v>
      </c>
      <c r="L78" s="1"/>
      <c r="M78" s="1" t="s">
        <v>41</v>
      </c>
      <c r="N78" s="1" t="s">
        <v>30</v>
      </c>
      <c r="O78" s="1" t="s">
        <v>172</v>
      </c>
      <c r="P78" s="1" t="str">
        <f t="shared" si="2"/>
        <v>Houston</v>
      </c>
      <c r="Q78" s="1" t="s">
        <v>89</v>
      </c>
      <c r="R78" s="1" t="str">
        <f t="shared" si="3"/>
        <v>Texas</v>
      </c>
      <c r="S78" s="1">
        <v>77041</v>
      </c>
      <c r="T78" s="1" t="s">
        <v>90</v>
      </c>
      <c r="U78" s="1" t="s">
        <v>295</v>
      </c>
      <c r="V78" s="1" t="s">
        <v>35</v>
      </c>
      <c r="W78" s="7">
        <v>9.7080000000000002</v>
      </c>
      <c r="X78" s="1">
        <v>7</v>
      </c>
      <c r="Y78" s="7">
        <v>8.8800000000000008</v>
      </c>
      <c r="Z78" s="7">
        <f t="shared" ref="Z78:AA78" si="81">W78*X78</f>
        <v>67.956000000000003</v>
      </c>
      <c r="AA78" s="7">
        <f t="shared" si="81"/>
        <v>62.160000000000004</v>
      </c>
      <c r="AB78" s="7">
        <f t="shared" si="5"/>
        <v>5.7959999999999994</v>
      </c>
    </row>
    <row r="79" spans="1:28">
      <c r="A79" s="1">
        <v>78</v>
      </c>
      <c r="B79" s="1" t="s">
        <v>291</v>
      </c>
      <c r="C79" s="2">
        <v>43355</v>
      </c>
      <c r="D79" s="6" t="str">
        <f t="shared" si="0"/>
        <v>Sep</v>
      </c>
      <c r="E79" s="6" t="str">
        <f t="shared" si="1"/>
        <v>Qtr 3</v>
      </c>
      <c r="F79" s="5">
        <v>43416</v>
      </c>
      <c r="G79" s="1" t="s">
        <v>162</v>
      </c>
      <c r="H79" s="1" t="s">
        <v>292</v>
      </c>
      <c r="I79" s="1" t="s">
        <v>293</v>
      </c>
      <c r="J79" s="1" t="str">
        <f ca="1">IFERROR(__xludf.DUMMYFUNCTION("split(I79,"" "")"),"Ken")</f>
        <v>Ken</v>
      </c>
      <c r="K79" s="1" t="str">
        <f ca="1">IFERROR(__xludf.DUMMYFUNCTION("""COMPUTED_VALUE"""),"Brennan")</f>
        <v>Brennan</v>
      </c>
      <c r="L79" s="1"/>
      <c r="M79" s="1" t="s">
        <v>41</v>
      </c>
      <c r="N79" s="1" t="s">
        <v>30</v>
      </c>
      <c r="O79" s="1" t="s">
        <v>172</v>
      </c>
      <c r="P79" s="1" t="str">
        <f t="shared" si="2"/>
        <v>Houston</v>
      </c>
      <c r="Q79" s="1" t="s">
        <v>89</v>
      </c>
      <c r="R79" s="1" t="str">
        <f t="shared" si="3"/>
        <v>Texas</v>
      </c>
      <c r="S79" s="1">
        <v>77041</v>
      </c>
      <c r="T79" s="1" t="s">
        <v>90</v>
      </c>
      <c r="U79" s="1" t="s">
        <v>296</v>
      </c>
      <c r="V79" s="1" t="s">
        <v>46</v>
      </c>
      <c r="W79" s="7">
        <v>27.24</v>
      </c>
      <c r="X79" s="1">
        <v>7</v>
      </c>
      <c r="Y79" s="7">
        <v>26.58</v>
      </c>
      <c r="Z79" s="7">
        <f t="shared" ref="Z79:AA79" si="82">W79*X79</f>
        <v>190.67999999999998</v>
      </c>
      <c r="AA79" s="7">
        <f t="shared" si="82"/>
        <v>186.06</v>
      </c>
      <c r="AB79" s="7">
        <f t="shared" si="5"/>
        <v>4.6199999999999761</v>
      </c>
    </row>
    <row r="80" spans="1:28">
      <c r="A80" s="1">
        <v>79</v>
      </c>
      <c r="B80" s="1" t="s">
        <v>297</v>
      </c>
      <c r="C80" s="2">
        <v>42334</v>
      </c>
      <c r="D80" s="6" t="str">
        <f t="shared" si="0"/>
        <v>Nov</v>
      </c>
      <c r="E80" s="6" t="str">
        <f t="shared" si="1"/>
        <v>Qtr 4</v>
      </c>
      <c r="F80" s="5">
        <v>42016</v>
      </c>
      <c r="G80" s="1" t="s">
        <v>26</v>
      </c>
      <c r="H80" s="1" t="s">
        <v>284</v>
      </c>
      <c r="I80" s="1" t="s">
        <v>285</v>
      </c>
      <c r="J80" s="1" t="str">
        <f ca="1">IFERROR(__xludf.DUMMYFUNCTION("split(I80,"" "")"),"Joel")</f>
        <v>Joel</v>
      </c>
      <c r="K80" s="1" t="str">
        <f ca="1">IFERROR(__xludf.DUMMYFUNCTION("""COMPUTED_VALUE"""),"Eaton")</f>
        <v>Eaton</v>
      </c>
      <c r="L80" s="1"/>
      <c r="M80" s="1" t="s">
        <v>29</v>
      </c>
      <c r="N80" s="1" t="s">
        <v>30</v>
      </c>
      <c r="O80" s="1" t="s">
        <v>172</v>
      </c>
      <c r="P80" s="1" t="str">
        <f t="shared" si="2"/>
        <v>Houston</v>
      </c>
      <c r="Q80" s="1" t="s">
        <v>89</v>
      </c>
      <c r="R80" s="1" t="str">
        <f t="shared" si="3"/>
        <v>Texas</v>
      </c>
      <c r="S80" s="1">
        <v>77070</v>
      </c>
      <c r="T80" s="1" t="s">
        <v>90</v>
      </c>
      <c r="U80" s="1" t="s">
        <v>298</v>
      </c>
      <c r="V80" s="1" t="s">
        <v>35</v>
      </c>
      <c r="W80" s="7">
        <v>19.3</v>
      </c>
      <c r="X80" s="1">
        <v>7</v>
      </c>
      <c r="Y80" s="7">
        <v>18.649999999999999</v>
      </c>
      <c r="Z80" s="7">
        <f t="shared" ref="Z80:AA80" si="83">W80*X80</f>
        <v>135.1</v>
      </c>
      <c r="AA80" s="7">
        <f t="shared" si="83"/>
        <v>130.54999999999998</v>
      </c>
      <c r="AB80" s="7">
        <f t="shared" si="5"/>
        <v>4.5500000000000114</v>
      </c>
    </row>
    <row r="81" spans="1:28">
      <c r="A81" s="1">
        <v>80</v>
      </c>
      <c r="B81" s="1" t="s">
        <v>299</v>
      </c>
      <c r="C81" s="2">
        <v>43075</v>
      </c>
      <c r="D81" s="6" t="str">
        <f t="shared" si="0"/>
        <v>Dec</v>
      </c>
      <c r="E81" s="6" t="str">
        <f t="shared" si="1"/>
        <v>Qtr 4</v>
      </c>
      <c r="F81" s="5" t="s">
        <v>300</v>
      </c>
      <c r="G81" s="1" t="s">
        <v>162</v>
      </c>
      <c r="H81" s="1" t="s">
        <v>301</v>
      </c>
      <c r="I81" s="1" t="s">
        <v>302</v>
      </c>
      <c r="J81" s="1" t="str">
        <f ca="1">IFERROR(__xludf.DUMMYFUNCTION("split(I81,"" "")"),"Stewart")</f>
        <v>Stewart</v>
      </c>
      <c r="K81" s="1" t="str">
        <f ca="1">IFERROR(__xludf.DUMMYFUNCTION("""COMPUTED_VALUE"""),"Carmichael")</f>
        <v>Carmichael</v>
      </c>
      <c r="L81" s="1"/>
      <c r="M81" s="1" t="s">
        <v>41</v>
      </c>
      <c r="N81" s="1" t="s">
        <v>30</v>
      </c>
      <c r="O81" s="1" t="s">
        <v>303</v>
      </c>
      <c r="P81" s="1" t="str">
        <f t="shared" si="2"/>
        <v>Decatur</v>
      </c>
      <c r="Q81" s="1" t="s">
        <v>304</v>
      </c>
      <c r="R81" s="1" t="str">
        <f t="shared" si="3"/>
        <v>Alabama</v>
      </c>
      <c r="S81" s="1">
        <v>35601</v>
      </c>
      <c r="T81" s="1" t="s">
        <v>33</v>
      </c>
      <c r="U81" s="1" t="s">
        <v>305</v>
      </c>
      <c r="V81" s="1" t="s">
        <v>46</v>
      </c>
      <c r="W81" s="7">
        <v>208.16</v>
      </c>
      <c r="X81" s="1">
        <v>3</v>
      </c>
      <c r="Y81" s="7">
        <v>208.11</v>
      </c>
      <c r="Z81" s="7">
        <f t="shared" ref="Z81:AA81" si="84">W81*X81</f>
        <v>624.48</v>
      </c>
      <c r="AA81" s="7">
        <f t="shared" si="84"/>
        <v>624.33000000000004</v>
      </c>
      <c r="AB81" s="7">
        <f t="shared" si="5"/>
        <v>0.14999999999997726</v>
      </c>
    </row>
    <row r="82" spans="1:28">
      <c r="A82" s="1">
        <v>81</v>
      </c>
      <c r="B82" s="1" t="s">
        <v>299</v>
      </c>
      <c r="C82" s="2">
        <v>43075</v>
      </c>
      <c r="D82" s="6" t="str">
        <f t="shared" si="0"/>
        <v>Dec</v>
      </c>
      <c r="E82" s="6" t="str">
        <f t="shared" si="1"/>
        <v>Qtr 4</v>
      </c>
      <c r="F82" s="5" t="s">
        <v>300</v>
      </c>
      <c r="G82" s="1" t="s">
        <v>162</v>
      </c>
      <c r="H82" s="1" t="s">
        <v>301</v>
      </c>
      <c r="I82" s="1" t="s">
        <v>302</v>
      </c>
      <c r="J82" s="1" t="str">
        <f ca="1">IFERROR(__xludf.DUMMYFUNCTION("split(I82,"" "")"),"Stewart")</f>
        <v>Stewart</v>
      </c>
      <c r="K82" s="1" t="str">
        <f ca="1">IFERROR(__xludf.DUMMYFUNCTION("""COMPUTED_VALUE"""),"Carmichael")</f>
        <v>Carmichael</v>
      </c>
      <c r="L82" s="1"/>
      <c r="M82" s="1" t="s">
        <v>41</v>
      </c>
      <c r="N82" s="1" t="s">
        <v>30</v>
      </c>
      <c r="O82" s="1" t="s">
        <v>303</v>
      </c>
      <c r="P82" s="1" t="str">
        <f t="shared" si="2"/>
        <v>Decatur</v>
      </c>
      <c r="Q82" s="1" t="s">
        <v>304</v>
      </c>
      <c r="R82" s="1" t="str">
        <f t="shared" si="3"/>
        <v>Alabama</v>
      </c>
      <c r="S82" s="1">
        <v>35601</v>
      </c>
      <c r="T82" s="1" t="s">
        <v>33</v>
      </c>
      <c r="U82" s="1" t="s">
        <v>306</v>
      </c>
      <c r="V82" s="1" t="s">
        <v>46</v>
      </c>
      <c r="W82" s="7">
        <v>16.739999999999998</v>
      </c>
      <c r="X82" s="1">
        <v>3</v>
      </c>
      <c r="Y82" s="7">
        <v>16.28</v>
      </c>
      <c r="Z82" s="7">
        <f t="shared" ref="Z82:AA82" si="85">W82*X82</f>
        <v>50.22</v>
      </c>
      <c r="AA82" s="7">
        <f t="shared" si="85"/>
        <v>48.84</v>
      </c>
      <c r="AB82" s="7">
        <f t="shared" si="5"/>
        <v>1.3799999999999955</v>
      </c>
    </row>
    <row r="83" spans="1:28">
      <c r="A83" s="1">
        <v>82</v>
      </c>
      <c r="B83" s="1" t="s">
        <v>307</v>
      </c>
      <c r="C83" s="2">
        <v>42348</v>
      </c>
      <c r="D83" s="6" t="str">
        <f t="shared" si="0"/>
        <v>Dec</v>
      </c>
      <c r="E83" s="6" t="str">
        <f t="shared" si="1"/>
        <v>Qtr 4</v>
      </c>
      <c r="F83" s="5" t="s">
        <v>308</v>
      </c>
      <c r="G83" s="1" t="s">
        <v>49</v>
      </c>
      <c r="H83" s="1" t="s">
        <v>309</v>
      </c>
      <c r="I83" s="1" t="s">
        <v>310</v>
      </c>
      <c r="J83" s="1" t="str">
        <f ca="1">IFERROR(__xludf.DUMMYFUNCTION("split(I83,"" "")"),"Duane")</f>
        <v>Duane</v>
      </c>
      <c r="K83" s="1" t="str">
        <f ca="1">IFERROR(__xludf.DUMMYFUNCTION("""COMPUTED_VALUE"""),"Noonan")</f>
        <v>Noonan</v>
      </c>
      <c r="L83" s="1"/>
      <c r="M83" s="1" t="s">
        <v>29</v>
      </c>
      <c r="N83" s="1" t="s">
        <v>30</v>
      </c>
      <c r="O83" s="1" t="s">
        <v>110</v>
      </c>
      <c r="P83" s="1" t="str">
        <f t="shared" si="2"/>
        <v>San Francisco</v>
      </c>
      <c r="Q83" s="1" t="s">
        <v>68</v>
      </c>
      <c r="R83" s="1" t="str">
        <f t="shared" si="3"/>
        <v>California</v>
      </c>
      <c r="S83" s="1">
        <v>94122</v>
      </c>
      <c r="T83" s="1" t="s">
        <v>44</v>
      </c>
      <c r="U83" s="1" t="s">
        <v>311</v>
      </c>
      <c r="V83" s="1" t="s">
        <v>46</v>
      </c>
      <c r="W83" s="7">
        <v>14.9</v>
      </c>
      <c r="X83" s="1">
        <v>9</v>
      </c>
      <c r="Y83" s="7">
        <v>14.61</v>
      </c>
      <c r="Z83" s="7">
        <f t="shared" ref="Z83:AA83" si="86">W83*X83</f>
        <v>134.1</v>
      </c>
      <c r="AA83" s="7">
        <f t="shared" si="86"/>
        <v>131.49</v>
      </c>
      <c r="AB83" s="7">
        <f t="shared" si="5"/>
        <v>2.6099999999999852</v>
      </c>
    </row>
    <row r="84" spans="1:28">
      <c r="A84" s="1">
        <v>83</v>
      </c>
      <c r="B84" s="1" t="s">
        <v>307</v>
      </c>
      <c r="C84" s="2">
        <v>42348</v>
      </c>
      <c r="D84" s="6" t="str">
        <f t="shared" si="0"/>
        <v>Dec</v>
      </c>
      <c r="E84" s="6" t="str">
        <f t="shared" si="1"/>
        <v>Qtr 4</v>
      </c>
      <c r="F84" s="5" t="s">
        <v>308</v>
      </c>
      <c r="G84" s="1" t="s">
        <v>49</v>
      </c>
      <c r="H84" s="1" t="s">
        <v>309</v>
      </c>
      <c r="I84" s="1" t="s">
        <v>310</v>
      </c>
      <c r="J84" s="1" t="str">
        <f ca="1">IFERROR(__xludf.DUMMYFUNCTION("split(I84,"" "")"),"Duane")</f>
        <v>Duane</v>
      </c>
      <c r="K84" s="1" t="str">
        <f ca="1">IFERROR(__xludf.DUMMYFUNCTION("""COMPUTED_VALUE"""),"Noonan")</f>
        <v>Noonan</v>
      </c>
      <c r="L84" s="1"/>
      <c r="M84" s="1" t="s">
        <v>29</v>
      </c>
      <c r="N84" s="1" t="s">
        <v>30</v>
      </c>
      <c r="O84" s="1" t="s">
        <v>110</v>
      </c>
      <c r="P84" s="1" t="str">
        <f t="shared" si="2"/>
        <v>San Francisco</v>
      </c>
      <c r="Q84" s="1" t="s">
        <v>68</v>
      </c>
      <c r="R84" s="1" t="str">
        <f t="shared" si="3"/>
        <v>California</v>
      </c>
      <c r="S84" s="1">
        <v>94122</v>
      </c>
      <c r="T84" s="1" t="s">
        <v>44</v>
      </c>
      <c r="U84" s="1" t="s">
        <v>312</v>
      </c>
      <c r="V84" s="1" t="s">
        <v>46</v>
      </c>
      <c r="W84" s="7">
        <v>21.39</v>
      </c>
      <c r="X84" s="1">
        <v>9</v>
      </c>
      <c r="Y84" s="7">
        <v>20.68</v>
      </c>
      <c r="Z84" s="7">
        <f t="shared" ref="Z84:AA84" si="87">W84*X84</f>
        <v>192.51</v>
      </c>
      <c r="AA84" s="7">
        <f t="shared" si="87"/>
        <v>186.12</v>
      </c>
      <c r="AB84" s="7">
        <f t="shared" si="5"/>
        <v>6.3899999999999864</v>
      </c>
    </row>
    <row r="85" spans="1:28">
      <c r="A85" s="1">
        <v>84</v>
      </c>
      <c r="B85" s="1" t="s">
        <v>313</v>
      </c>
      <c r="C85" s="2">
        <v>42438</v>
      </c>
      <c r="D85" s="6" t="str">
        <f t="shared" si="0"/>
        <v>Mar</v>
      </c>
      <c r="E85" s="6" t="str">
        <f t="shared" si="1"/>
        <v>Qtr 1</v>
      </c>
      <c r="F85" s="5">
        <v>42591</v>
      </c>
      <c r="G85" s="1" t="s">
        <v>49</v>
      </c>
      <c r="H85" s="1" t="s">
        <v>314</v>
      </c>
      <c r="I85" s="1" t="s">
        <v>315</v>
      </c>
      <c r="J85" s="1" t="str">
        <f ca="1">IFERROR(__xludf.DUMMYFUNCTION("split(I85,"" "")"),"Julie")</f>
        <v>Julie</v>
      </c>
      <c r="K85" s="1" t="str">
        <f ca="1">IFERROR(__xludf.DUMMYFUNCTION("""COMPUTED_VALUE"""),"Creighton")</f>
        <v>Creighton</v>
      </c>
      <c r="L85" s="1"/>
      <c r="M85" s="1" t="s">
        <v>41</v>
      </c>
      <c r="N85" s="1" t="s">
        <v>30</v>
      </c>
      <c r="O85" s="1" t="s">
        <v>316</v>
      </c>
      <c r="P85" s="1" t="str">
        <f t="shared" si="2"/>
        <v>Durham</v>
      </c>
      <c r="Q85" s="1" t="s">
        <v>75</v>
      </c>
      <c r="R85" s="1" t="str">
        <f t="shared" si="3"/>
        <v>North Carolina</v>
      </c>
      <c r="S85" s="1">
        <v>27707</v>
      </c>
      <c r="T85" s="1" t="s">
        <v>33</v>
      </c>
      <c r="U85" s="1" t="s">
        <v>317</v>
      </c>
      <c r="V85" s="1" t="s">
        <v>46</v>
      </c>
      <c r="W85" s="7">
        <v>200.98400000000001</v>
      </c>
      <c r="X85" s="1">
        <v>2</v>
      </c>
      <c r="Y85" s="7">
        <v>200.44</v>
      </c>
      <c r="Z85" s="7">
        <f t="shared" ref="Z85:AA85" si="88">W85*X85</f>
        <v>401.96800000000002</v>
      </c>
      <c r="AA85" s="7">
        <f t="shared" si="88"/>
        <v>400.88</v>
      </c>
      <c r="AB85" s="7">
        <f t="shared" si="5"/>
        <v>1.0880000000000223</v>
      </c>
    </row>
    <row r="86" spans="1:28">
      <c r="A86" s="1">
        <v>85</v>
      </c>
      <c r="B86" s="1" t="s">
        <v>318</v>
      </c>
      <c r="C86" s="2">
        <v>43417</v>
      </c>
      <c r="D86" s="6" t="str">
        <f t="shared" si="0"/>
        <v>Nov</v>
      </c>
      <c r="E86" s="6" t="str">
        <f t="shared" si="1"/>
        <v>Qtr 4</v>
      </c>
      <c r="F86" s="5" t="s">
        <v>319</v>
      </c>
      <c r="G86" s="1" t="s">
        <v>162</v>
      </c>
      <c r="H86" s="1" t="s">
        <v>320</v>
      </c>
      <c r="I86" s="1" t="s">
        <v>321</v>
      </c>
      <c r="J86" s="1" t="str">
        <f ca="1">IFERROR(__xludf.DUMMYFUNCTION("split(I86,"" "")"),"Christopher")</f>
        <v>Christopher</v>
      </c>
      <c r="K86" s="1" t="str">
        <f ca="1">IFERROR(__xludf.DUMMYFUNCTION("""COMPUTED_VALUE"""),"Schild")</f>
        <v>Schild</v>
      </c>
      <c r="L86" s="1"/>
      <c r="M86" s="1" t="s">
        <v>87</v>
      </c>
      <c r="N86" s="1" t="s">
        <v>30</v>
      </c>
      <c r="O86" s="1" t="s">
        <v>259</v>
      </c>
      <c r="P86" s="1" t="str">
        <f t="shared" si="2"/>
        <v>Chicago</v>
      </c>
      <c r="Q86" s="1" t="s">
        <v>182</v>
      </c>
      <c r="R86" s="1" t="str">
        <f t="shared" si="3"/>
        <v>Illinois</v>
      </c>
      <c r="S86" s="1">
        <v>60623</v>
      </c>
      <c r="T86" s="1" t="s">
        <v>90</v>
      </c>
      <c r="U86" s="1" t="s">
        <v>322</v>
      </c>
      <c r="V86" s="1" t="s">
        <v>46</v>
      </c>
      <c r="W86" s="7">
        <v>230.376</v>
      </c>
      <c r="X86" s="1">
        <v>6</v>
      </c>
      <c r="Y86" s="7">
        <v>229.82</v>
      </c>
      <c r="Z86" s="7">
        <f t="shared" ref="Z86:AA86" si="89">W86*X86</f>
        <v>1382.2560000000001</v>
      </c>
      <c r="AA86" s="7">
        <f t="shared" si="89"/>
        <v>1378.92</v>
      </c>
      <c r="AB86" s="7">
        <f t="shared" si="5"/>
        <v>3.3360000000000127</v>
      </c>
    </row>
    <row r="87" spans="1:28">
      <c r="A87" s="1">
        <v>86</v>
      </c>
      <c r="B87" s="1" t="s">
        <v>323</v>
      </c>
      <c r="C87" s="2">
        <v>43248</v>
      </c>
      <c r="D87" s="6" t="str">
        <f t="shared" si="0"/>
        <v>May</v>
      </c>
      <c r="E87" s="6" t="str">
        <f t="shared" si="1"/>
        <v>Qtr 2</v>
      </c>
      <c r="F87" s="5" t="s">
        <v>324</v>
      </c>
      <c r="G87" s="1" t="s">
        <v>26</v>
      </c>
      <c r="H87" s="1" t="s">
        <v>206</v>
      </c>
      <c r="I87" s="1" t="s">
        <v>207</v>
      </c>
      <c r="J87" s="1" t="str">
        <f ca="1">IFERROR(__xludf.DUMMYFUNCTION("split(I87,"" "")"),"Patrick")</f>
        <v>Patrick</v>
      </c>
      <c r="K87" s="1" t="str">
        <f ca="1">IFERROR(__xludf.DUMMYFUNCTION("""COMPUTED_VALUE"""),"O'Donnell")</f>
        <v>O'Donnell</v>
      </c>
      <c r="L87" s="1"/>
      <c r="M87" s="1" t="s">
        <v>29</v>
      </c>
      <c r="N87" s="1" t="s">
        <v>30</v>
      </c>
      <c r="O87" s="1" t="s">
        <v>325</v>
      </c>
      <c r="P87" s="1" t="str">
        <f t="shared" si="2"/>
        <v>Columbia</v>
      </c>
      <c r="Q87" s="1" t="s">
        <v>326</v>
      </c>
      <c r="R87" s="1" t="str">
        <f t="shared" si="3"/>
        <v>South Carolina</v>
      </c>
      <c r="S87" s="1">
        <v>29203</v>
      </c>
      <c r="T87" s="1" t="s">
        <v>33</v>
      </c>
      <c r="U87" s="1" t="s">
        <v>327</v>
      </c>
      <c r="V87" s="1" t="s">
        <v>35</v>
      </c>
      <c r="W87" s="7">
        <v>301.95999999999998</v>
      </c>
      <c r="X87" s="1">
        <v>2</v>
      </c>
      <c r="Y87" s="7">
        <v>301.07</v>
      </c>
      <c r="Z87" s="7">
        <f t="shared" ref="Z87:AA87" si="90">W87*X87</f>
        <v>603.91999999999996</v>
      </c>
      <c r="AA87" s="7">
        <f t="shared" si="90"/>
        <v>602.14</v>
      </c>
      <c r="AB87" s="7">
        <f t="shared" si="5"/>
        <v>1.7799999999999727</v>
      </c>
    </row>
    <row r="88" spans="1:28">
      <c r="A88" s="1">
        <v>87</v>
      </c>
      <c r="B88" s="1" t="s">
        <v>328</v>
      </c>
      <c r="C88" s="2">
        <v>43399</v>
      </c>
      <c r="D88" s="6" t="str">
        <f t="shared" si="0"/>
        <v>Oct</v>
      </c>
      <c r="E88" s="6" t="str">
        <f t="shared" si="1"/>
        <v>Qtr 4</v>
      </c>
      <c r="F88" s="5">
        <v>43142</v>
      </c>
      <c r="G88" s="1" t="s">
        <v>49</v>
      </c>
      <c r="H88" s="1" t="s">
        <v>329</v>
      </c>
      <c r="I88" s="1" t="s">
        <v>330</v>
      </c>
      <c r="J88" s="1" t="str">
        <f ca="1">IFERROR(__xludf.DUMMYFUNCTION("split(I88,"" "")"),"Paul")</f>
        <v>Paul</v>
      </c>
      <c r="K88" s="1" t="str">
        <f ca="1">IFERROR(__xludf.DUMMYFUNCTION("""COMPUTED_VALUE"""),"Gonzalez")</f>
        <v>Gonzalez</v>
      </c>
      <c r="L88" s="1"/>
      <c r="M88" s="1" t="s">
        <v>29</v>
      </c>
      <c r="N88" s="1" t="s">
        <v>30</v>
      </c>
      <c r="O88" s="1" t="s">
        <v>331</v>
      </c>
      <c r="P88" s="1" t="str">
        <f t="shared" si="2"/>
        <v>Rochester</v>
      </c>
      <c r="Q88" s="1" t="s">
        <v>201</v>
      </c>
      <c r="R88" s="1" t="str">
        <f t="shared" si="3"/>
        <v>Minnesota</v>
      </c>
      <c r="S88" s="1">
        <v>55901</v>
      </c>
      <c r="T88" s="1" t="s">
        <v>90</v>
      </c>
      <c r="U88" s="1" t="s">
        <v>332</v>
      </c>
      <c r="V88" s="1" t="s">
        <v>64</v>
      </c>
      <c r="W88" s="7">
        <v>19.989999999999998</v>
      </c>
      <c r="X88" s="1">
        <v>5</v>
      </c>
      <c r="Y88" s="7">
        <v>19.77</v>
      </c>
      <c r="Z88" s="7">
        <f t="shared" ref="Z88:AA88" si="91">W88*X88</f>
        <v>99.949999999999989</v>
      </c>
      <c r="AA88" s="7">
        <f t="shared" si="91"/>
        <v>98.85</v>
      </c>
      <c r="AB88" s="7">
        <f t="shared" si="5"/>
        <v>1.0999999999999943</v>
      </c>
    </row>
    <row r="89" spans="1:28">
      <c r="A89" s="1">
        <v>88</v>
      </c>
      <c r="B89" s="1" t="s">
        <v>328</v>
      </c>
      <c r="C89" s="2">
        <v>43399</v>
      </c>
      <c r="D89" s="6" t="str">
        <f t="shared" si="0"/>
        <v>Oct</v>
      </c>
      <c r="E89" s="6" t="str">
        <f t="shared" si="1"/>
        <v>Qtr 4</v>
      </c>
      <c r="F89" s="5">
        <v>43142</v>
      </c>
      <c r="G89" s="1" t="s">
        <v>49</v>
      </c>
      <c r="H89" s="1" t="s">
        <v>329</v>
      </c>
      <c r="I89" s="1" t="s">
        <v>330</v>
      </c>
      <c r="J89" s="1" t="str">
        <f ca="1">IFERROR(__xludf.DUMMYFUNCTION("split(I89,"" "")"),"Paul")</f>
        <v>Paul</v>
      </c>
      <c r="K89" s="1" t="str">
        <f ca="1">IFERROR(__xludf.DUMMYFUNCTION("""COMPUTED_VALUE"""),"Gonzalez")</f>
        <v>Gonzalez</v>
      </c>
      <c r="L89" s="1"/>
      <c r="M89" s="1" t="s">
        <v>29</v>
      </c>
      <c r="N89" s="1" t="s">
        <v>30</v>
      </c>
      <c r="O89" s="1" t="s">
        <v>331</v>
      </c>
      <c r="P89" s="1" t="str">
        <f t="shared" si="2"/>
        <v>Rochester</v>
      </c>
      <c r="Q89" s="1" t="s">
        <v>201</v>
      </c>
      <c r="R89" s="1" t="str">
        <f t="shared" si="3"/>
        <v>Minnesota</v>
      </c>
      <c r="S89" s="1">
        <v>55901</v>
      </c>
      <c r="T89" s="1" t="s">
        <v>90</v>
      </c>
      <c r="U89" s="1" t="s">
        <v>333</v>
      </c>
      <c r="V89" s="1" t="s">
        <v>46</v>
      </c>
      <c r="W89" s="7">
        <v>6.16</v>
      </c>
      <c r="X89" s="1">
        <v>5</v>
      </c>
      <c r="Y89" s="7">
        <v>5.27</v>
      </c>
      <c r="Z89" s="7">
        <f t="shared" ref="Z89:AA89" si="92">W89*X89</f>
        <v>30.8</v>
      </c>
      <c r="AA89" s="7">
        <f t="shared" si="92"/>
        <v>26.349999999999998</v>
      </c>
      <c r="AB89" s="7">
        <f t="shared" si="5"/>
        <v>4.4500000000000028</v>
      </c>
    </row>
    <row r="90" spans="1:28">
      <c r="A90" s="1">
        <v>89</v>
      </c>
      <c r="B90" s="1" t="s">
        <v>334</v>
      </c>
      <c r="C90" s="2">
        <v>42859</v>
      </c>
      <c r="D90" s="6" t="str">
        <f t="shared" si="0"/>
        <v>May</v>
      </c>
      <c r="E90" s="6" t="str">
        <f t="shared" si="1"/>
        <v>Qtr 2</v>
      </c>
      <c r="F90" s="5">
        <v>43012</v>
      </c>
      <c r="G90" s="1" t="s">
        <v>26</v>
      </c>
      <c r="H90" s="1" t="s">
        <v>335</v>
      </c>
      <c r="I90" s="1" t="s">
        <v>336</v>
      </c>
      <c r="J90" s="1" t="str">
        <f ca="1">IFERROR(__xludf.DUMMYFUNCTION("split(I90,"" "")"),"Gary")</f>
        <v>Gary</v>
      </c>
      <c r="K90" s="1" t="str">
        <f ca="1">IFERROR(__xludf.DUMMYFUNCTION("""COMPUTED_VALUE"""),"Mitchum")</f>
        <v>Mitchum</v>
      </c>
      <c r="L90" s="1"/>
      <c r="M90" s="1" t="s">
        <v>87</v>
      </c>
      <c r="N90" s="1" t="s">
        <v>30</v>
      </c>
      <c r="O90" s="1" t="s">
        <v>172</v>
      </c>
      <c r="P90" s="1" t="str">
        <f t="shared" si="2"/>
        <v>Houston</v>
      </c>
      <c r="Q90" s="1" t="s">
        <v>89</v>
      </c>
      <c r="R90" s="1" t="str">
        <f t="shared" si="3"/>
        <v>Texas</v>
      </c>
      <c r="S90" s="1">
        <v>77095</v>
      </c>
      <c r="T90" s="1" t="s">
        <v>90</v>
      </c>
      <c r="U90" s="1" t="s">
        <v>337</v>
      </c>
      <c r="V90" s="1" t="s">
        <v>46</v>
      </c>
      <c r="W90" s="7">
        <v>158.36799999999999</v>
      </c>
      <c r="X90" s="1">
        <v>7</v>
      </c>
      <c r="Y90" s="7">
        <v>158.13</v>
      </c>
      <c r="Z90" s="7">
        <f t="shared" ref="Z90:AA90" si="93">W90*X90</f>
        <v>1108.576</v>
      </c>
      <c r="AA90" s="7">
        <f t="shared" si="93"/>
        <v>1106.9099999999999</v>
      </c>
      <c r="AB90" s="7">
        <f t="shared" si="5"/>
        <v>1.6660000000001673</v>
      </c>
    </row>
    <row r="91" spans="1:28">
      <c r="A91" s="1">
        <v>90</v>
      </c>
      <c r="B91" s="1" t="s">
        <v>338</v>
      </c>
      <c r="C91" s="2">
        <v>42995</v>
      </c>
      <c r="D91" s="6" t="str">
        <f t="shared" si="0"/>
        <v>Sep</v>
      </c>
      <c r="E91" s="6" t="str">
        <f t="shared" si="1"/>
        <v>Qtr 3</v>
      </c>
      <c r="F91" s="5" t="s">
        <v>339</v>
      </c>
      <c r="G91" s="1" t="s">
        <v>49</v>
      </c>
      <c r="H91" s="1" t="s">
        <v>340</v>
      </c>
      <c r="I91" s="1" t="s">
        <v>341</v>
      </c>
      <c r="J91" s="1" t="str">
        <f ca="1">IFERROR(__xludf.DUMMYFUNCTION("split(I91,"" "")"),"Jim")</f>
        <v>Jim</v>
      </c>
      <c r="K91" s="1" t="str">
        <f ca="1">IFERROR(__xludf.DUMMYFUNCTION("""COMPUTED_VALUE"""),"Sink")</f>
        <v>Sink</v>
      </c>
      <c r="L91" s="1"/>
      <c r="M91" s="1" t="s">
        <v>41</v>
      </c>
      <c r="N91" s="1" t="s">
        <v>30</v>
      </c>
      <c r="O91" s="1" t="s">
        <v>42</v>
      </c>
      <c r="P91" s="1" t="str">
        <f t="shared" si="2"/>
        <v>Los Angeles</v>
      </c>
      <c r="Q91" s="1" t="s">
        <v>68</v>
      </c>
      <c r="R91" s="1" t="str">
        <f t="shared" si="3"/>
        <v>California</v>
      </c>
      <c r="S91" s="1">
        <v>90036</v>
      </c>
      <c r="T91" s="1" t="s">
        <v>44</v>
      </c>
      <c r="U91" s="1" t="s">
        <v>342</v>
      </c>
      <c r="V91" s="1" t="s">
        <v>46</v>
      </c>
      <c r="W91" s="7">
        <v>20.100000000000001</v>
      </c>
      <c r="X91" s="1">
        <v>9</v>
      </c>
      <c r="Y91" s="7">
        <v>19.41</v>
      </c>
      <c r="Z91" s="7">
        <f t="shared" ref="Z91:AA91" si="94">W91*X91</f>
        <v>180.9</v>
      </c>
      <c r="AA91" s="7">
        <f t="shared" si="94"/>
        <v>174.69</v>
      </c>
      <c r="AB91" s="7">
        <f t="shared" si="5"/>
        <v>6.210000000000008</v>
      </c>
    </row>
    <row r="92" spans="1:28">
      <c r="A92" s="1">
        <v>91</v>
      </c>
      <c r="B92" s="1" t="s">
        <v>338</v>
      </c>
      <c r="C92" s="2">
        <v>42995</v>
      </c>
      <c r="D92" s="6" t="str">
        <f t="shared" si="0"/>
        <v>Sep</v>
      </c>
      <c r="E92" s="6" t="str">
        <f t="shared" si="1"/>
        <v>Qtr 3</v>
      </c>
      <c r="F92" s="5" t="s">
        <v>339</v>
      </c>
      <c r="G92" s="1" t="s">
        <v>49</v>
      </c>
      <c r="H92" s="1" t="s">
        <v>340</v>
      </c>
      <c r="I92" s="1" t="s">
        <v>341</v>
      </c>
      <c r="J92" s="1" t="str">
        <f ca="1">IFERROR(__xludf.DUMMYFUNCTION("split(I92,"" "")"),"Jim")</f>
        <v>Jim</v>
      </c>
      <c r="K92" s="1" t="str">
        <f ca="1">IFERROR(__xludf.DUMMYFUNCTION("""COMPUTED_VALUE"""),"Sink")</f>
        <v>Sink</v>
      </c>
      <c r="L92" s="1"/>
      <c r="M92" s="1" t="s">
        <v>41</v>
      </c>
      <c r="N92" s="1" t="s">
        <v>30</v>
      </c>
      <c r="O92" s="1" t="s">
        <v>42</v>
      </c>
      <c r="P92" s="1" t="str">
        <f t="shared" si="2"/>
        <v>Los Angeles</v>
      </c>
      <c r="Q92" s="1" t="s">
        <v>68</v>
      </c>
      <c r="R92" s="1" t="str">
        <f t="shared" si="3"/>
        <v>California</v>
      </c>
      <c r="S92" s="1">
        <v>90036</v>
      </c>
      <c r="T92" s="1" t="s">
        <v>44</v>
      </c>
      <c r="U92" s="1" t="s">
        <v>183</v>
      </c>
      <c r="V92" s="1" t="s">
        <v>64</v>
      </c>
      <c r="W92" s="7">
        <v>73.584000000000003</v>
      </c>
      <c r="X92" s="1">
        <v>9</v>
      </c>
      <c r="Y92" s="7">
        <v>73.53</v>
      </c>
      <c r="Z92" s="7">
        <f t="shared" ref="Z92:AA92" si="95">W92*X92</f>
        <v>662.25600000000009</v>
      </c>
      <c r="AA92" s="7">
        <f t="shared" si="95"/>
        <v>661.77</v>
      </c>
      <c r="AB92" s="7">
        <f t="shared" si="5"/>
        <v>0.48600000000010368</v>
      </c>
    </row>
    <row r="93" spans="1:28">
      <c r="A93" s="1">
        <v>92</v>
      </c>
      <c r="B93" s="1" t="s">
        <v>338</v>
      </c>
      <c r="C93" s="2">
        <v>42995</v>
      </c>
      <c r="D93" s="6" t="str">
        <f t="shared" si="0"/>
        <v>Sep</v>
      </c>
      <c r="E93" s="6" t="str">
        <f t="shared" si="1"/>
        <v>Qtr 3</v>
      </c>
      <c r="F93" s="5" t="s">
        <v>339</v>
      </c>
      <c r="G93" s="1" t="s">
        <v>49</v>
      </c>
      <c r="H93" s="1" t="s">
        <v>340</v>
      </c>
      <c r="I93" s="1" t="s">
        <v>341</v>
      </c>
      <c r="J93" s="1" t="str">
        <f ca="1">IFERROR(__xludf.DUMMYFUNCTION("split(I93,"" "")"),"Jim")</f>
        <v>Jim</v>
      </c>
      <c r="K93" s="1" t="str">
        <f ca="1">IFERROR(__xludf.DUMMYFUNCTION("""COMPUTED_VALUE"""),"Sink")</f>
        <v>Sink</v>
      </c>
      <c r="L93" s="1"/>
      <c r="M93" s="1" t="s">
        <v>41</v>
      </c>
      <c r="N93" s="1" t="s">
        <v>30</v>
      </c>
      <c r="O93" s="1" t="s">
        <v>42</v>
      </c>
      <c r="P93" s="1" t="str">
        <f t="shared" si="2"/>
        <v>Los Angeles</v>
      </c>
      <c r="Q93" s="1" t="s">
        <v>68</v>
      </c>
      <c r="R93" s="1" t="str">
        <f t="shared" si="3"/>
        <v>California</v>
      </c>
      <c r="S93" s="1">
        <v>90036</v>
      </c>
      <c r="T93" s="1" t="s">
        <v>44</v>
      </c>
      <c r="U93" s="1" t="s">
        <v>343</v>
      </c>
      <c r="V93" s="1" t="s">
        <v>46</v>
      </c>
      <c r="W93" s="7">
        <v>6.48</v>
      </c>
      <c r="X93" s="1">
        <v>9</v>
      </c>
      <c r="Y93" s="7">
        <v>6.27</v>
      </c>
      <c r="Z93" s="7">
        <f t="shared" ref="Z93:AA93" si="96">W93*X93</f>
        <v>58.320000000000007</v>
      </c>
      <c r="AA93" s="7">
        <f t="shared" si="96"/>
        <v>56.429999999999993</v>
      </c>
      <c r="AB93" s="7">
        <f t="shared" si="5"/>
        <v>1.8900000000000148</v>
      </c>
    </row>
    <row r="94" spans="1:28">
      <c r="A94" s="1">
        <v>93</v>
      </c>
      <c r="B94" s="1" t="s">
        <v>344</v>
      </c>
      <c r="C94" s="2">
        <v>42400</v>
      </c>
      <c r="D94" s="6" t="str">
        <f t="shared" si="0"/>
        <v>Jan</v>
      </c>
      <c r="E94" s="6" t="str">
        <f t="shared" si="1"/>
        <v>Qtr 1</v>
      </c>
      <c r="F94" s="5">
        <v>42492</v>
      </c>
      <c r="G94" s="1" t="s">
        <v>26</v>
      </c>
      <c r="H94" s="1" t="s">
        <v>345</v>
      </c>
      <c r="I94" s="1" t="s">
        <v>346</v>
      </c>
      <c r="J94" s="1" t="str">
        <f ca="1">IFERROR(__xludf.DUMMYFUNCTION("split(I94,"" "")"),"Karl")</f>
        <v>Karl</v>
      </c>
      <c r="K94" s="1" t="str">
        <f ca="1">IFERROR(__xludf.DUMMYFUNCTION("""COMPUTED_VALUE"""),"Braun")</f>
        <v>Braun</v>
      </c>
      <c r="L94" s="1"/>
      <c r="M94" s="1" t="s">
        <v>29</v>
      </c>
      <c r="N94" s="1" t="s">
        <v>30</v>
      </c>
      <c r="O94" s="1" t="s">
        <v>347</v>
      </c>
      <c r="P94" s="1" t="str">
        <f t="shared" si="2"/>
        <v>Minneapolis</v>
      </c>
      <c r="Q94" s="1" t="s">
        <v>201</v>
      </c>
      <c r="R94" s="1" t="str">
        <f t="shared" si="3"/>
        <v>Minnesota</v>
      </c>
      <c r="S94" s="1">
        <v>55407</v>
      </c>
      <c r="T94" s="1" t="s">
        <v>90</v>
      </c>
      <c r="U94" s="1" t="s">
        <v>348</v>
      </c>
      <c r="V94" s="1" t="s">
        <v>46</v>
      </c>
      <c r="W94" s="7">
        <v>12.96</v>
      </c>
      <c r="X94" s="1">
        <v>5</v>
      </c>
      <c r="Y94" s="7">
        <v>12.69</v>
      </c>
      <c r="Z94" s="7">
        <f t="shared" ref="Z94:AA94" si="97">W94*X94</f>
        <v>64.800000000000011</v>
      </c>
      <c r="AA94" s="7">
        <f t="shared" si="97"/>
        <v>63.449999999999996</v>
      </c>
      <c r="AB94" s="7">
        <f t="shared" si="5"/>
        <v>1.3500000000000156</v>
      </c>
    </row>
    <row r="95" spans="1:28">
      <c r="A95" s="1">
        <v>94</v>
      </c>
      <c r="B95" s="1" t="s">
        <v>344</v>
      </c>
      <c r="C95" s="2">
        <v>42400</v>
      </c>
      <c r="D95" s="6" t="str">
        <f t="shared" si="0"/>
        <v>Jan</v>
      </c>
      <c r="E95" s="6" t="str">
        <f t="shared" si="1"/>
        <v>Qtr 1</v>
      </c>
      <c r="F95" s="5">
        <v>42492</v>
      </c>
      <c r="G95" s="1" t="s">
        <v>26</v>
      </c>
      <c r="H95" s="1" t="s">
        <v>345</v>
      </c>
      <c r="I95" s="1" t="s">
        <v>346</v>
      </c>
      <c r="J95" s="1" t="str">
        <f ca="1">IFERROR(__xludf.DUMMYFUNCTION("split(I95,"" "")"),"Karl")</f>
        <v>Karl</v>
      </c>
      <c r="K95" s="1" t="str">
        <f ca="1">IFERROR(__xludf.DUMMYFUNCTION("""COMPUTED_VALUE"""),"Braun")</f>
        <v>Braun</v>
      </c>
      <c r="L95" s="1"/>
      <c r="M95" s="1" t="s">
        <v>29</v>
      </c>
      <c r="N95" s="1" t="s">
        <v>30</v>
      </c>
      <c r="O95" s="1" t="s">
        <v>347</v>
      </c>
      <c r="P95" s="1" t="str">
        <f t="shared" si="2"/>
        <v>Minneapolis</v>
      </c>
      <c r="Q95" s="1" t="s">
        <v>201</v>
      </c>
      <c r="R95" s="1" t="str">
        <f t="shared" si="3"/>
        <v>Minnesota</v>
      </c>
      <c r="S95" s="1">
        <v>55407</v>
      </c>
      <c r="T95" s="1" t="s">
        <v>90</v>
      </c>
      <c r="U95" s="1" t="s">
        <v>349</v>
      </c>
      <c r="V95" s="1" t="s">
        <v>35</v>
      </c>
      <c r="W95" s="7">
        <v>53.34</v>
      </c>
      <c r="X95" s="1">
        <v>5</v>
      </c>
      <c r="Y95" s="7">
        <v>53.3</v>
      </c>
      <c r="Z95" s="7">
        <f t="shared" ref="Z95:AA95" si="98">W95*X95</f>
        <v>266.70000000000005</v>
      </c>
      <c r="AA95" s="7">
        <f t="shared" si="98"/>
        <v>266.5</v>
      </c>
      <c r="AB95" s="7">
        <f t="shared" si="5"/>
        <v>0.20000000000004547</v>
      </c>
    </row>
    <row r="96" spans="1:28">
      <c r="A96" s="1">
        <v>95</v>
      </c>
      <c r="B96" s="1" t="s">
        <v>344</v>
      </c>
      <c r="C96" s="2">
        <v>42400</v>
      </c>
      <c r="D96" s="6" t="str">
        <f t="shared" si="0"/>
        <v>Jan</v>
      </c>
      <c r="E96" s="6" t="str">
        <f t="shared" si="1"/>
        <v>Qtr 1</v>
      </c>
      <c r="F96" s="5">
        <v>42492</v>
      </c>
      <c r="G96" s="1" t="s">
        <v>26</v>
      </c>
      <c r="H96" s="1" t="s">
        <v>345</v>
      </c>
      <c r="I96" s="1" t="s">
        <v>346</v>
      </c>
      <c r="J96" s="1" t="str">
        <f ca="1">IFERROR(__xludf.DUMMYFUNCTION("split(I96,"" "")"),"Karl")</f>
        <v>Karl</v>
      </c>
      <c r="K96" s="1" t="str">
        <f ca="1">IFERROR(__xludf.DUMMYFUNCTION("""COMPUTED_VALUE"""),"Braun")</f>
        <v>Braun</v>
      </c>
      <c r="L96" s="1"/>
      <c r="M96" s="1" t="s">
        <v>29</v>
      </c>
      <c r="N96" s="1" t="s">
        <v>30</v>
      </c>
      <c r="O96" s="1" t="s">
        <v>347</v>
      </c>
      <c r="P96" s="1" t="str">
        <f t="shared" si="2"/>
        <v>Minneapolis</v>
      </c>
      <c r="Q96" s="1" t="s">
        <v>201</v>
      </c>
      <c r="R96" s="1" t="str">
        <f t="shared" si="3"/>
        <v>Minnesota</v>
      </c>
      <c r="S96" s="1">
        <v>55407</v>
      </c>
      <c r="T96" s="1" t="s">
        <v>90</v>
      </c>
      <c r="U96" s="1" t="s">
        <v>350</v>
      </c>
      <c r="V96" s="1" t="s">
        <v>46</v>
      </c>
      <c r="W96" s="7">
        <v>32.96</v>
      </c>
      <c r="X96" s="1">
        <v>5</v>
      </c>
      <c r="Y96" s="7">
        <v>32.549999999999997</v>
      </c>
      <c r="Z96" s="7">
        <f t="shared" ref="Z96:AA96" si="99">W96*X96</f>
        <v>164.8</v>
      </c>
      <c r="AA96" s="7">
        <f t="shared" si="99"/>
        <v>162.75</v>
      </c>
      <c r="AB96" s="7">
        <f t="shared" si="5"/>
        <v>2.0500000000000114</v>
      </c>
    </row>
    <row r="97" spans="1:28">
      <c r="A97" s="1">
        <v>96</v>
      </c>
      <c r="B97" s="1" t="s">
        <v>351</v>
      </c>
      <c r="C97" s="2">
        <v>43262</v>
      </c>
      <c r="D97" s="6" t="str">
        <f t="shared" si="0"/>
        <v>Jun</v>
      </c>
      <c r="E97" s="6" t="str">
        <f t="shared" si="1"/>
        <v>Qtr 2</v>
      </c>
      <c r="F97" s="5">
        <v>43445</v>
      </c>
      <c r="G97" s="1" t="s">
        <v>49</v>
      </c>
      <c r="H97" s="1" t="s">
        <v>352</v>
      </c>
      <c r="I97" s="1" t="s">
        <v>353</v>
      </c>
      <c r="J97" s="1" t="str">
        <f ca="1">IFERROR(__xludf.DUMMYFUNCTION("split(I97,"" "")"),"Roger")</f>
        <v>Roger</v>
      </c>
      <c r="K97" s="1" t="str">
        <f ca="1">IFERROR(__xludf.DUMMYFUNCTION("""COMPUTED_VALUE"""),"Barcio")</f>
        <v>Barcio</v>
      </c>
      <c r="L97" s="1"/>
      <c r="M97" s="1" t="s">
        <v>87</v>
      </c>
      <c r="N97" s="1" t="s">
        <v>30</v>
      </c>
      <c r="O97" s="1" t="s">
        <v>354</v>
      </c>
      <c r="P97" s="1" t="str">
        <f t="shared" si="2"/>
        <v>Portland</v>
      </c>
      <c r="Q97" s="1" t="s">
        <v>355</v>
      </c>
      <c r="R97" s="1" t="str">
        <f t="shared" si="3"/>
        <v>Oregon</v>
      </c>
      <c r="S97" s="1">
        <v>97206</v>
      </c>
      <c r="T97" s="1" t="s">
        <v>44</v>
      </c>
      <c r="U97" s="1" t="s">
        <v>356</v>
      </c>
      <c r="V97" s="1" t="s">
        <v>46</v>
      </c>
      <c r="W97" s="7">
        <v>5.6820000000000004</v>
      </c>
      <c r="X97" s="1">
        <v>9</v>
      </c>
      <c r="Y97" s="7">
        <v>5.25</v>
      </c>
      <c r="Z97" s="7">
        <f t="shared" ref="Z97:AA97" si="100">W97*X97</f>
        <v>51.138000000000005</v>
      </c>
      <c r="AA97" s="7">
        <f t="shared" si="100"/>
        <v>47.25</v>
      </c>
      <c r="AB97" s="7">
        <f t="shared" si="5"/>
        <v>3.8880000000000052</v>
      </c>
    </row>
    <row r="98" spans="1:28">
      <c r="A98" s="1">
        <v>97</v>
      </c>
      <c r="B98" s="1" t="s">
        <v>357</v>
      </c>
      <c r="C98" s="2">
        <v>43354</v>
      </c>
      <c r="D98" s="6" t="str">
        <f t="shared" si="0"/>
        <v>Sep</v>
      </c>
      <c r="E98" s="6" t="str">
        <f t="shared" si="1"/>
        <v>Qtr 3</v>
      </c>
      <c r="F98" s="5">
        <v>43415</v>
      </c>
      <c r="G98" s="1" t="s">
        <v>26</v>
      </c>
      <c r="H98" s="1" t="s">
        <v>358</v>
      </c>
      <c r="I98" s="1" t="s">
        <v>359</v>
      </c>
      <c r="J98" s="1" t="str">
        <f ca="1">IFERROR(__xludf.DUMMYFUNCTION("split(I98,"" "")"),"Parhena")</f>
        <v>Parhena</v>
      </c>
      <c r="K98" s="1" t="str">
        <f ca="1">IFERROR(__xludf.DUMMYFUNCTION("""COMPUTED_VALUE"""),"Norris")</f>
        <v>Norris</v>
      </c>
      <c r="L98" s="1"/>
      <c r="M98" s="1" t="s">
        <v>87</v>
      </c>
      <c r="N98" s="1" t="s">
        <v>30</v>
      </c>
      <c r="O98" s="1" t="s">
        <v>233</v>
      </c>
      <c r="P98" s="1" t="str">
        <f t="shared" si="2"/>
        <v>New York City</v>
      </c>
      <c r="Q98" s="1" t="s">
        <v>234</v>
      </c>
      <c r="R98" s="1" t="str">
        <f t="shared" si="3"/>
        <v>New York</v>
      </c>
      <c r="S98" s="1">
        <v>10009</v>
      </c>
      <c r="T98" s="1" t="s">
        <v>128</v>
      </c>
      <c r="U98" s="1" t="s">
        <v>360</v>
      </c>
      <c r="V98" s="1" t="s">
        <v>35</v>
      </c>
      <c r="W98" s="7">
        <v>96.53</v>
      </c>
      <c r="X98" s="1">
        <v>1</v>
      </c>
      <c r="Y98" s="7">
        <v>95.66</v>
      </c>
      <c r="Z98" s="7">
        <f t="shared" ref="Z98:AA98" si="101">W98*X98</f>
        <v>96.53</v>
      </c>
      <c r="AA98" s="7">
        <f t="shared" si="101"/>
        <v>95.66</v>
      </c>
      <c r="AB98" s="7">
        <f t="shared" si="5"/>
        <v>0.87000000000000455</v>
      </c>
    </row>
    <row r="99" spans="1:28">
      <c r="A99" s="1">
        <v>98</v>
      </c>
      <c r="B99" s="1" t="s">
        <v>361</v>
      </c>
      <c r="C99" s="2">
        <v>43268</v>
      </c>
      <c r="D99" s="6" t="str">
        <f t="shared" si="0"/>
        <v>Jun</v>
      </c>
      <c r="E99" s="6" t="str">
        <f t="shared" si="1"/>
        <v>Qtr 2</v>
      </c>
      <c r="F99" s="5" t="s">
        <v>362</v>
      </c>
      <c r="G99" s="1" t="s">
        <v>162</v>
      </c>
      <c r="H99" s="1" t="s">
        <v>363</v>
      </c>
      <c r="I99" s="1" t="s">
        <v>364</v>
      </c>
      <c r="J99" s="1" t="str">
        <f ca="1">IFERROR(__xludf.DUMMYFUNCTION("split(I99,"" "")"),"Katherine")</f>
        <v>Katherine</v>
      </c>
      <c r="K99" s="1" t="str">
        <f ca="1">IFERROR(__xludf.DUMMYFUNCTION("""COMPUTED_VALUE"""),"Ducich")</f>
        <v>Ducich</v>
      </c>
      <c r="L99" s="1"/>
      <c r="M99" s="1" t="s">
        <v>29</v>
      </c>
      <c r="N99" s="1" t="s">
        <v>30</v>
      </c>
      <c r="O99" s="1" t="s">
        <v>110</v>
      </c>
      <c r="P99" s="1" t="str">
        <f t="shared" si="2"/>
        <v>San Francisco</v>
      </c>
      <c r="Q99" s="1" t="s">
        <v>68</v>
      </c>
      <c r="R99" s="1" t="str">
        <f t="shared" si="3"/>
        <v>California</v>
      </c>
      <c r="S99" s="1">
        <v>94122</v>
      </c>
      <c r="T99" s="1" t="s">
        <v>44</v>
      </c>
      <c r="U99" s="1" t="s">
        <v>365</v>
      </c>
      <c r="V99" s="1" t="s">
        <v>46</v>
      </c>
      <c r="W99" s="7">
        <v>51.311999999999998</v>
      </c>
      <c r="X99" s="1">
        <v>9</v>
      </c>
      <c r="Y99" s="7">
        <v>50.59</v>
      </c>
      <c r="Z99" s="7">
        <f t="shared" ref="Z99:AA99" si="102">W99*X99</f>
        <v>461.80799999999999</v>
      </c>
      <c r="AA99" s="7">
        <f t="shared" si="102"/>
        <v>455.31000000000006</v>
      </c>
      <c r="AB99" s="7">
        <f t="shared" si="5"/>
        <v>6.4979999999999336</v>
      </c>
    </row>
    <row r="100" spans="1:28">
      <c r="A100" s="1">
        <v>99</v>
      </c>
      <c r="B100" s="1" t="s">
        <v>366</v>
      </c>
      <c r="C100" s="2">
        <v>42895</v>
      </c>
      <c r="D100" s="6" t="str">
        <f t="shared" si="0"/>
        <v>Jun</v>
      </c>
      <c r="E100" s="6" t="str">
        <f t="shared" si="1"/>
        <v>Qtr 2</v>
      </c>
      <c r="F100" s="5">
        <v>43048</v>
      </c>
      <c r="G100" s="1" t="s">
        <v>49</v>
      </c>
      <c r="H100" s="1" t="s">
        <v>367</v>
      </c>
      <c r="I100" s="1" t="s">
        <v>368</v>
      </c>
      <c r="J100" s="1" t="str">
        <f ca="1">IFERROR(__xludf.DUMMYFUNCTION("split(I100,"" "")"),"Elpida")</f>
        <v>Elpida</v>
      </c>
      <c r="K100" s="1" t="str">
        <f ca="1">IFERROR(__xludf.DUMMYFUNCTION("""COMPUTED_VALUE"""),"Rittenbach")</f>
        <v>Rittenbach</v>
      </c>
      <c r="L100" s="1"/>
      <c r="M100" s="1" t="s">
        <v>41</v>
      </c>
      <c r="N100" s="1" t="s">
        <v>30</v>
      </c>
      <c r="O100" s="1" t="s">
        <v>369</v>
      </c>
      <c r="P100" s="1" t="str">
        <f t="shared" si="2"/>
        <v>Saint Paul</v>
      </c>
      <c r="Q100" s="1" t="s">
        <v>201</v>
      </c>
      <c r="R100" s="1" t="str">
        <f t="shared" si="3"/>
        <v>Minnesota</v>
      </c>
      <c r="S100" s="1">
        <v>55106</v>
      </c>
      <c r="T100" s="1" t="s">
        <v>90</v>
      </c>
      <c r="U100" s="1" t="s">
        <v>370</v>
      </c>
      <c r="V100" s="1" t="s">
        <v>46</v>
      </c>
      <c r="W100" s="7">
        <v>77.88</v>
      </c>
      <c r="X100" s="1">
        <v>5</v>
      </c>
      <c r="Y100" s="7">
        <v>77.709999999999994</v>
      </c>
      <c r="Z100" s="7">
        <f t="shared" ref="Z100:AA100" si="103">W100*X100</f>
        <v>389.4</v>
      </c>
      <c r="AA100" s="7">
        <f t="shared" si="103"/>
        <v>388.54999999999995</v>
      </c>
      <c r="AB100" s="7">
        <f t="shared" si="5"/>
        <v>0.85000000000002274</v>
      </c>
    </row>
    <row r="101" spans="1:28">
      <c r="A101" s="1">
        <v>100</v>
      </c>
      <c r="B101" s="1" t="s">
        <v>371</v>
      </c>
      <c r="C101" s="2">
        <v>42976</v>
      </c>
      <c r="D101" s="6" t="str">
        <f t="shared" si="0"/>
        <v>Aug</v>
      </c>
      <c r="E101" s="6" t="str">
        <f t="shared" si="1"/>
        <v>Qtr 3</v>
      </c>
      <c r="F101" s="5">
        <v>42775</v>
      </c>
      <c r="G101" s="1" t="s">
        <v>49</v>
      </c>
      <c r="H101" s="1" t="s">
        <v>372</v>
      </c>
      <c r="I101" s="1" t="s">
        <v>373</v>
      </c>
      <c r="J101" s="1" t="str">
        <f ca="1">IFERROR(__xludf.DUMMYFUNCTION("split(I101,"" "")"),"Rick")</f>
        <v>Rick</v>
      </c>
      <c r="K101" s="1" t="str">
        <f ca="1">IFERROR(__xludf.DUMMYFUNCTION("""COMPUTED_VALUE"""),"Bensley")</f>
        <v>Bensley</v>
      </c>
      <c r="L101" s="1"/>
      <c r="M101" s="1" t="s">
        <v>87</v>
      </c>
      <c r="N101" s="1" t="s">
        <v>30</v>
      </c>
      <c r="O101" s="1" t="s">
        <v>259</v>
      </c>
      <c r="P101" s="1" t="str">
        <f t="shared" si="2"/>
        <v>Chicago</v>
      </c>
      <c r="Q101" s="1" t="s">
        <v>182</v>
      </c>
      <c r="R101" s="1" t="str">
        <f t="shared" si="3"/>
        <v>Illinois</v>
      </c>
      <c r="S101" s="1">
        <v>60610</v>
      </c>
      <c r="T101" s="1" t="s">
        <v>90</v>
      </c>
      <c r="U101" s="1" t="s">
        <v>374</v>
      </c>
      <c r="V101" s="1" t="s">
        <v>46</v>
      </c>
      <c r="W101" s="7">
        <v>64.623999999999995</v>
      </c>
      <c r="X101" s="1">
        <v>6</v>
      </c>
      <c r="Y101" s="7">
        <v>63.94</v>
      </c>
      <c r="Z101" s="7">
        <f t="shared" ref="Z101:AA101" si="104">W101*X101</f>
        <v>387.74399999999997</v>
      </c>
      <c r="AA101" s="7">
        <f t="shared" si="104"/>
        <v>383.64</v>
      </c>
      <c r="AB101" s="7">
        <f t="shared" si="5"/>
        <v>4.103999999999985</v>
      </c>
    </row>
    <row r="102" spans="1:28">
      <c r="A102" s="1">
        <v>101</v>
      </c>
      <c r="B102" s="1" t="s">
        <v>371</v>
      </c>
      <c r="C102" s="2">
        <v>42976</v>
      </c>
      <c r="D102" s="6" t="str">
        <f t="shared" si="0"/>
        <v>Aug</v>
      </c>
      <c r="E102" s="6" t="str">
        <f t="shared" si="1"/>
        <v>Qtr 3</v>
      </c>
      <c r="F102" s="5">
        <v>42775</v>
      </c>
      <c r="G102" s="1" t="s">
        <v>49</v>
      </c>
      <c r="H102" s="1" t="s">
        <v>372</v>
      </c>
      <c r="I102" s="1" t="s">
        <v>373</v>
      </c>
      <c r="J102" s="1" t="str">
        <f ca="1">IFERROR(__xludf.DUMMYFUNCTION("split(I102,"" "")"),"Rick")</f>
        <v>Rick</v>
      </c>
      <c r="K102" s="1" t="str">
        <f ca="1">IFERROR(__xludf.DUMMYFUNCTION("""COMPUTED_VALUE"""),"Bensley")</f>
        <v>Bensley</v>
      </c>
      <c r="L102" s="1"/>
      <c r="M102" s="1" t="s">
        <v>87</v>
      </c>
      <c r="N102" s="1" t="s">
        <v>30</v>
      </c>
      <c r="O102" s="1" t="s">
        <v>259</v>
      </c>
      <c r="P102" s="1" t="str">
        <f t="shared" si="2"/>
        <v>Chicago</v>
      </c>
      <c r="Q102" s="1" t="s">
        <v>182</v>
      </c>
      <c r="R102" s="1" t="str">
        <f t="shared" si="3"/>
        <v>Illinois</v>
      </c>
      <c r="S102" s="1">
        <v>60610</v>
      </c>
      <c r="T102" s="1" t="s">
        <v>90</v>
      </c>
      <c r="U102" s="1" t="s">
        <v>375</v>
      </c>
      <c r="V102" s="1" t="s">
        <v>64</v>
      </c>
      <c r="W102" s="7">
        <v>95.975999999999999</v>
      </c>
      <c r="X102" s="1">
        <v>6</v>
      </c>
      <c r="Y102" s="7">
        <v>95.67</v>
      </c>
      <c r="Z102" s="7">
        <f t="shared" ref="Z102:AA102" si="105">W102*X102</f>
        <v>575.85599999999999</v>
      </c>
      <c r="AA102" s="7">
        <f t="shared" si="105"/>
        <v>574.02</v>
      </c>
      <c r="AB102" s="7">
        <f t="shared" si="5"/>
        <v>1.8360000000000127</v>
      </c>
    </row>
    <row r="103" spans="1:28">
      <c r="A103" s="1">
        <v>102</v>
      </c>
      <c r="B103" s="1" t="s">
        <v>371</v>
      </c>
      <c r="C103" s="2">
        <v>42976</v>
      </c>
      <c r="D103" s="6" t="str">
        <f t="shared" si="0"/>
        <v>Aug</v>
      </c>
      <c r="E103" s="6" t="str">
        <f t="shared" si="1"/>
        <v>Qtr 3</v>
      </c>
      <c r="F103" s="5">
        <v>42775</v>
      </c>
      <c r="G103" s="1" t="s">
        <v>49</v>
      </c>
      <c r="H103" s="1" t="s">
        <v>372</v>
      </c>
      <c r="I103" s="1" t="s">
        <v>373</v>
      </c>
      <c r="J103" s="1" t="str">
        <f ca="1">IFERROR(__xludf.DUMMYFUNCTION("split(I103,"" "")"),"Rick")</f>
        <v>Rick</v>
      </c>
      <c r="K103" s="1" t="str">
        <f ca="1">IFERROR(__xludf.DUMMYFUNCTION("""COMPUTED_VALUE"""),"Bensley")</f>
        <v>Bensley</v>
      </c>
      <c r="L103" s="1"/>
      <c r="M103" s="1" t="s">
        <v>87</v>
      </c>
      <c r="N103" s="1" t="s">
        <v>30</v>
      </c>
      <c r="O103" s="1" t="s">
        <v>259</v>
      </c>
      <c r="P103" s="1" t="str">
        <f t="shared" si="2"/>
        <v>Chicago</v>
      </c>
      <c r="Q103" s="1" t="s">
        <v>182</v>
      </c>
      <c r="R103" s="1" t="str">
        <f t="shared" si="3"/>
        <v>Illinois</v>
      </c>
      <c r="S103" s="1">
        <v>60610</v>
      </c>
      <c r="T103" s="1" t="s">
        <v>90</v>
      </c>
      <c r="U103" s="1" t="s">
        <v>376</v>
      </c>
      <c r="V103" s="1" t="s">
        <v>46</v>
      </c>
      <c r="W103" s="7">
        <v>1.788</v>
      </c>
      <c r="X103" s="1">
        <v>6</v>
      </c>
      <c r="Y103" s="7">
        <v>1.03</v>
      </c>
      <c r="Z103" s="7">
        <f t="shared" ref="Z103:AA103" si="106">W103*X103</f>
        <v>10.728</v>
      </c>
      <c r="AA103" s="7">
        <f t="shared" si="106"/>
        <v>6.18</v>
      </c>
      <c r="AB103" s="7">
        <f t="shared" si="5"/>
        <v>4.548</v>
      </c>
    </row>
    <row r="104" spans="1:28">
      <c r="A104" s="1">
        <v>103</v>
      </c>
      <c r="B104" s="1" t="s">
        <v>377</v>
      </c>
      <c r="C104" s="2">
        <v>42747</v>
      </c>
      <c r="D104" s="6" t="str">
        <f t="shared" si="0"/>
        <v>Jan</v>
      </c>
      <c r="E104" s="6" t="str">
        <f t="shared" si="1"/>
        <v>Qtr 1</v>
      </c>
      <c r="F104" s="5">
        <v>42837</v>
      </c>
      <c r="G104" s="1" t="s">
        <v>26</v>
      </c>
      <c r="H104" s="1" t="s">
        <v>378</v>
      </c>
      <c r="I104" s="1" t="s">
        <v>379</v>
      </c>
      <c r="J104" s="1" t="str">
        <f ca="1">IFERROR(__xludf.DUMMYFUNCTION("split(I104,"" "")"),"Gary")</f>
        <v>Gary</v>
      </c>
      <c r="K104" s="1" t="str">
        <f ca="1">IFERROR(__xludf.DUMMYFUNCTION("""COMPUTED_VALUE"""),"Zandusky")</f>
        <v>Zandusky</v>
      </c>
      <c r="L104" s="1"/>
      <c r="M104" s="1" t="s">
        <v>29</v>
      </c>
      <c r="N104" s="1" t="s">
        <v>30</v>
      </c>
      <c r="O104" s="1" t="s">
        <v>331</v>
      </c>
      <c r="P104" s="1" t="str">
        <f t="shared" si="2"/>
        <v>Rochester</v>
      </c>
      <c r="Q104" s="1" t="s">
        <v>201</v>
      </c>
      <c r="R104" s="1" t="str">
        <f t="shared" si="3"/>
        <v>Minnesota</v>
      </c>
      <c r="S104" s="1">
        <v>55901</v>
      </c>
      <c r="T104" s="1" t="s">
        <v>90</v>
      </c>
      <c r="U104" s="1" t="s">
        <v>380</v>
      </c>
      <c r="V104" s="1" t="s">
        <v>46</v>
      </c>
      <c r="W104" s="7">
        <v>23.92</v>
      </c>
      <c r="X104" s="1">
        <v>5</v>
      </c>
      <c r="Y104" s="7">
        <v>23.15</v>
      </c>
      <c r="Z104" s="7">
        <f t="shared" ref="Z104:AA104" si="107">W104*X104</f>
        <v>119.60000000000001</v>
      </c>
      <c r="AA104" s="7">
        <f t="shared" si="107"/>
        <v>115.75</v>
      </c>
      <c r="AB104" s="7">
        <f t="shared" si="5"/>
        <v>3.8500000000000085</v>
      </c>
    </row>
    <row r="105" spans="1:28">
      <c r="A105" s="1">
        <v>104</v>
      </c>
      <c r="B105" s="1" t="s">
        <v>381</v>
      </c>
      <c r="C105" s="2">
        <v>42687</v>
      </c>
      <c r="D105" s="6" t="str">
        <f t="shared" si="0"/>
        <v>Nov</v>
      </c>
      <c r="E105" s="6" t="str">
        <f t="shared" si="1"/>
        <v>Qtr 4</v>
      </c>
      <c r="F105" s="5" t="s">
        <v>382</v>
      </c>
      <c r="G105" s="1" t="s">
        <v>49</v>
      </c>
      <c r="H105" s="1" t="s">
        <v>383</v>
      </c>
      <c r="I105" s="1" t="s">
        <v>384</v>
      </c>
      <c r="J105" s="1" t="str">
        <f ca="1">IFERROR(__xludf.DUMMYFUNCTION("split(I105,"" "")"),"Lena")</f>
        <v>Lena</v>
      </c>
      <c r="K105" s="1" t="str">
        <f ca="1">IFERROR(__xludf.DUMMYFUNCTION("""COMPUTED_VALUE"""),"Cacioppo")</f>
        <v>Cacioppo</v>
      </c>
      <c r="L105" s="1"/>
      <c r="M105" s="1" t="s">
        <v>29</v>
      </c>
      <c r="N105" s="1" t="s">
        <v>30</v>
      </c>
      <c r="O105" s="1" t="s">
        <v>385</v>
      </c>
      <c r="P105" s="1" t="str">
        <f t="shared" si="2"/>
        <v>Aurora</v>
      </c>
      <c r="Q105" s="1" t="s">
        <v>386</v>
      </c>
      <c r="R105" s="1" t="str">
        <f t="shared" si="3"/>
        <v>Colorado</v>
      </c>
      <c r="S105" s="1">
        <v>80013</v>
      </c>
      <c r="T105" s="1" t="s">
        <v>44</v>
      </c>
      <c r="U105" s="1" t="s">
        <v>387</v>
      </c>
      <c r="V105" s="1" t="s">
        <v>64</v>
      </c>
      <c r="W105" s="7">
        <v>238.89599999999999</v>
      </c>
      <c r="X105" s="1">
        <v>8</v>
      </c>
      <c r="Y105" s="7">
        <v>238.02</v>
      </c>
      <c r="Z105" s="7">
        <f t="shared" ref="Z105:AA105" si="108">W105*X105</f>
        <v>1911.1679999999999</v>
      </c>
      <c r="AA105" s="7">
        <f t="shared" si="108"/>
        <v>1904.16</v>
      </c>
      <c r="AB105" s="7">
        <f t="shared" si="5"/>
        <v>7.0079999999998108</v>
      </c>
    </row>
    <row r="106" spans="1:28">
      <c r="A106" s="1">
        <v>105</v>
      </c>
      <c r="B106" s="1" t="s">
        <v>381</v>
      </c>
      <c r="C106" s="2">
        <v>42687</v>
      </c>
      <c r="D106" s="6" t="str">
        <f t="shared" si="0"/>
        <v>Nov</v>
      </c>
      <c r="E106" s="6" t="str">
        <f t="shared" si="1"/>
        <v>Qtr 4</v>
      </c>
      <c r="F106" s="5" t="s">
        <v>382</v>
      </c>
      <c r="G106" s="1" t="s">
        <v>49</v>
      </c>
      <c r="H106" s="1" t="s">
        <v>383</v>
      </c>
      <c r="I106" s="1" t="s">
        <v>384</v>
      </c>
      <c r="J106" s="1" t="str">
        <f ca="1">IFERROR(__xludf.DUMMYFUNCTION("split(I106,"" "")"),"Lena")</f>
        <v>Lena</v>
      </c>
      <c r="K106" s="1" t="str">
        <f ca="1">IFERROR(__xludf.DUMMYFUNCTION("""COMPUTED_VALUE"""),"Cacioppo")</f>
        <v>Cacioppo</v>
      </c>
      <c r="L106" s="1"/>
      <c r="M106" s="1" t="s">
        <v>29</v>
      </c>
      <c r="N106" s="1" t="s">
        <v>30</v>
      </c>
      <c r="O106" s="1" t="s">
        <v>385</v>
      </c>
      <c r="P106" s="1" t="str">
        <f t="shared" si="2"/>
        <v>Aurora</v>
      </c>
      <c r="Q106" s="1" t="s">
        <v>386</v>
      </c>
      <c r="R106" s="1" t="str">
        <f t="shared" si="3"/>
        <v>Colorado</v>
      </c>
      <c r="S106" s="1">
        <v>80013</v>
      </c>
      <c r="T106" s="1" t="s">
        <v>44</v>
      </c>
      <c r="U106" s="1" t="s">
        <v>388</v>
      </c>
      <c r="V106" s="1" t="s">
        <v>35</v>
      </c>
      <c r="W106" s="7">
        <v>102.36</v>
      </c>
      <c r="X106" s="1">
        <v>8</v>
      </c>
      <c r="Y106" s="7">
        <v>101.97</v>
      </c>
      <c r="Z106" s="7">
        <f t="shared" ref="Z106:AA106" si="109">W106*X106</f>
        <v>818.88</v>
      </c>
      <c r="AA106" s="7">
        <f t="shared" si="109"/>
        <v>815.76</v>
      </c>
      <c r="AB106" s="7">
        <f t="shared" si="5"/>
        <v>3.1200000000000045</v>
      </c>
    </row>
    <row r="107" spans="1:28">
      <c r="A107" s="1">
        <v>106</v>
      </c>
      <c r="B107" s="1" t="s">
        <v>381</v>
      </c>
      <c r="C107" s="2">
        <v>42687</v>
      </c>
      <c r="D107" s="6" t="str">
        <f t="shared" si="0"/>
        <v>Nov</v>
      </c>
      <c r="E107" s="6" t="str">
        <f t="shared" si="1"/>
        <v>Qtr 4</v>
      </c>
      <c r="F107" s="5" t="s">
        <v>382</v>
      </c>
      <c r="G107" s="1" t="s">
        <v>49</v>
      </c>
      <c r="H107" s="1" t="s">
        <v>383</v>
      </c>
      <c r="I107" s="1" t="s">
        <v>384</v>
      </c>
      <c r="J107" s="1" t="str">
        <f ca="1">IFERROR(__xludf.DUMMYFUNCTION("split(I107,"" "")"),"Lena")</f>
        <v>Lena</v>
      </c>
      <c r="K107" s="1" t="str">
        <f ca="1">IFERROR(__xludf.DUMMYFUNCTION("""COMPUTED_VALUE"""),"Cacioppo")</f>
        <v>Cacioppo</v>
      </c>
      <c r="L107" s="1"/>
      <c r="M107" s="1" t="s">
        <v>29</v>
      </c>
      <c r="N107" s="1" t="s">
        <v>30</v>
      </c>
      <c r="O107" s="1" t="s">
        <v>385</v>
      </c>
      <c r="P107" s="1" t="str">
        <f t="shared" si="2"/>
        <v>Aurora</v>
      </c>
      <c r="Q107" s="1" t="s">
        <v>386</v>
      </c>
      <c r="R107" s="1" t="str">
        <f t="shared" si="3"/>
        <v>Colorado</v>
      </c>
      <c r="S107" s="1">
        <v>80013</v>
      </c>
      <c r="T107" s="1" t="s">
        <v>44</v>
      </c>
      <c r="U107" s="1" t="s">
        <v>389</v>
      </c>
      <c r="V107" s="1" t="s">
        <v>46</v>
      </c>
      <c r="W107" s="7">
        <v>36.881999999999998</v>
      </c>
      <c r="X107" s="1">
        <v>8</v>
      </c>
      <c r="Y107" s="7">
        <v>36.75</v>
      </c>
      <c r="Z107" s="7">
        <f t="shared" ref="Z107:AA107" si="110">W107*X107</f>
        <v>295.05599999999998</v>
      </c>
      <c r="AA107" s="7">
        <f t="shared" si="110"/>
        <v>294</v>
      </c>
      <c r="AB107" s="7">
        <f t="shared" si="5"/>
        <v>1.0559999999999832</v>
      </c>
    </row>
    <row r="108" spans="1:28">
      <c r="A108" s="1">
        <v>107</v>
      </c>
      <c r="B108" s="1" t="s">
        <v>390</v>
      </c>
      <c r="C108" s="2">
        <v>43427</v>
      </c>
      <c r="D108" s="6" t="str">
        <f t="shared" si="0"/>
        <v>Nov</v>
      </c>
      <c r="E108" s="6" t="str">
        <f t="shared" si="1"/>
        <v>Qtr 4</v>
      </c>
      <c r="F108" s="5" t="s">
        <v>391</v>
      </c>
      <c r="G108" s="1" t="s">
        <v>49</v>
      </c>
      <c r="H108" s="1" t="s">
        <v>392</v>
      </c>
      <c r="I108" s="1" t="s">
        <v>393</v>
      </c>
      <c r="J108" s="1" t="str">
        <f ca="1">IFERROR(__xludf.DUMMYFUNCTION("split(I108,"" "")"),"Janet")</f>
        <v>Janet</v>
      </c>
      <c r="K108" s="1" t="str">
        <f ca="1">IFERROR(__xludf.DUMMYFUNCTION("""COMPUTED_VALUE"""),"Martin")</f>
        <v>Martin</v>
      </c>
      <c r="L108" s="1"/>
      <c r="M108" s="1" t="s">
        <v>29</v>
      </c>
      <c r="N108" s="1" t="s">
        <v>30</v>
      </c>
      <c r="O108" s="1" t="s">
        <v>394</v>
      </c>
      <c r="P108" s="1" t="str">
        <f t="shared" si="2"/>
        <v>Charlotte</v>
      </c>
      <c r="Q108" s="1" t="s">
        <v>75</v>
      </c>
      <c r="R108" s="1" t="str">
        <f t="shared" si="3"/>
        <v>North Carolina</v>
      </c>
      <c r="S108" s="1">
        <v>28205</v>
      </c>
      <c r="T108" s="1" t="s">
        <v>33</v>
      </c>
      <c r="U108" s="1" t="s">
        <v>395</v>
      </c>
      <c r="V108" s="1" t="s">
        <v>64</v>
      </c>
      <c r="W108" s="7">
        <v>74.111999999999995</v>
      </c>
      <c r="X108" s="1">
        <v>2</v>
      </c>
      <c r="Y108" s="7">
        <v>73.41</v>
      </c>
      <c r="Z108" s="7">
        <f t="shared" ref="Z108:AA108" si="111">W108*X108</f>
        <v>148.22399999999999</v>
      </c>
      <c r="AA108" s="7">
        <f t="shared" si="111"/>
        <v>146.82</v>
      </c>
      <c r="AB108" s="7">
        <f t="shared" si="5"/>
        <v>1.4039999999999964</v>
      </c>
    </row>
    <row r="109" spans="1:28">
      <c r="A109" s="1">
        <v>108</v>
      </c>
      <c r="B109" s="1" t="s">
        <v>390</v>
      </c>
      <c r="C109" s="2">
        <v>43427</v>
      </c>
      <c r="D109" s="6" t="str">
        <f t="shared" si="0"/>
        <v>Nov</v>
      </c>
      <c r="E109" s="6" t="str">
        <f t="shared" si="1"/>
        <v>Qtr 4</v>
      </c>
      <c r="F109" s="5" t="s">
        <v>391</v>
      </c>
      <c r="G109" s="1" t="s">
        <v>49</v>
      </c>
      <c r="H109" s="1" t="s">
        <v>392</v>
      </c>
      <c r="I109" s="1" t="s">
        <v>393</v>
      </c>
      <c r="J109" s="1" t="str">
        <f ca="1">IFERROR(__xludf.DUMMYFUNCTION("split(I109,"" "")"),"Janet")</f>
        <v>Janet</v>
      </c>
      <c r="K109" s="1" t="str">
        <f ca="1">IFERROR(__xludf.DUMMYFUNCTION("""COMPUTED_VALUE"""),"Martin")</f>
        <v>Martin</v>
      </c>
      <c r="L109" s="1"/>
      <c r="M109" s="1" t="s">
        <v>29</v>
      </c>
      <c r="N109" s="1" t="s">
        <v>30</v>
      </c>
      <c r="O109" s="1" t="s">
        <v>394</v>
      </c>
      <c r="P109" s="1" t="str">
        <f t="shared" si="2"/>
        <v>Charlotte</v>
      </c>
      <c r="Q109" s="1" t="s">
        <v>75</v>
      </c>
      <c r="R109" s="1" t="str">
        <f t="shared" si="3"/>
        <v>North Carolina</v>
      </c>
      <c r="S109" s="1">
        <v>28205</v>
      </c>
      <c r="T109" s="1" t="s">
        <v>33</v>
      </c>
      <c r="U109" s="1" t="s">
        <v>396</v>
      </c>
      <c r="V109" s="1" t="s">
        <v>64</v>
      </c>
      <c r="W109" s="7">
        <v>27.992000000000001</v>
      </c>
      <c r="X109" s="1">
        <v>2</v>
      </c>
      <c r="Y109" s="7">
        <v>27.88</v>
      </c>
      <c r="Z109" s="7">
        <f t="shared" ref="Z109:AA109" si="112">W109*X109</f>
        <v>55.984000000000002</v>
      </c>
      <c r="AA109" s="7">
        <f t="shared" si="112"/>
        <v>55.76</v>
      </c>
      <c r="AB109" s="7">
        <f t="shared" si="5"/>
        <v>0.22400000000000375</v>
      </c>
    </row>
    <row r="110" spans="1:28">
      <c r="A110" s="1">
        <v>109</v>
      </c>
      <c r="B110" s="1" t="s">
        <v>390</v>
      </c>
      <c r="C110" s="2">
        <v>43427</v>
      </c>
      <c r="D110" s="6" t="str">
        <f t="shared" si="0"/>
        <v>Nov</v>
      </c>
      <c r="E110" s="6" t="str">
        <f t="shared" si="1"/>
        <v>Qtr 4</v>
      </c>
      <c r="F110" s="5" t="s">
        <v>391</v>
      </c>
      <c r="G110" s="1" t="s">
        <v>49</v>
      </c>
      <c r="H110" s="1" t="s">
        <v>392</v>
      </c>
      <c r="I110" s="1" t="s">
        <v>393</v>
      </c>
      <c r="J110" s="1" t="str">
        <f ca="1">IFERROR(__xludf.DUMMYFUNCTION("split(I110,"" "")"),"Janet")</f>
        <v>Janet</v>
      </c>
      <c r="K110" s="1" t="str">
        <f ca="1">IFERROR(__xludf.DUMMYFUNCTION("""COMPUTED_VALUE"""),"Martin")</f>
        <v>Martin</v>
      </c>
      <c r="L110" s="1"/>
      <c r="M110" s="1" t="s">
        <v>29</v>
      </c>
      <c r="N110" s="1" t="s">
        <v>30</v>
      </c>
      <c r="O110" s="1" t="s">
        <v>394</v>
      </c>
      <c r="P110" s="1" t="str">
        <f t="shared" si="2"/>
        <v>Charlotte</v>
      </c>
      <c r="Q110" s="1" t="s">
        <v>75</v>
      </c>
      <c r="R110" s="1" t="str">
        <f t="shared" si="3"/>
        <v>North Carolina</v>
      </c>
      <c r="S110" s="1">
        <v>28205</v>
      </c>
      <c r="T110" s="1" t="s">
        <v>33</v>
      </c>
      <c r="U110" s="1" t="s">
        <v>397</v>
      </c>
      <c r="V110" s="1" t="s">
        <v>46</v>
      </c>
      <c r="W110" s="7">
        <v>3.3039999999999998</v>
      </c>
      <c r="X110" s="1">
        <v>2</v>
      </c>
      <c r="Y110" s="7">
        <v>2.4700000000000002</v>
      </c>
      <c r="Z110" s="7">
        <f t="shared" ref="Z110:AA110" si="113">W110*X110</f>
        <v>6.6079999999999997</v>
      </c>
      <c r="AA110" s="7">
        <f t="shared" si="113"/>
        <v>4.9400000000000004</v>
      </c>
      <c r="AB110" s="7">
        <f t="shared" si="5"/>
        <v>1.6679999999999993</v>
      </c>
    </row>
    <row r="111" spans="1:28">
      <c r="A111" s="1">
        <v>110</v>
      </c>
      <c r="B111" s="1" t="s">
        <v>398</v>
      </c>
      <c r="C111" s="2">
        <v>42658</v>
      </c>
      <c r="D111" s="6" t="str">
        <f t="shared" si="0"/>
        <v>Oct</v>
      </c>
      <c r="E111" s="6" t="str">
        <f t="shared" si="1"/>
        <v>Qtr 4</v>
      </c>
      <c r="F111" s="5" t="s">
        <v>399</v>
      </c>
      <c r="G111" s="1" t="s">
        <v>49</v>
      </c>
      <c r="H111" s="1" t="s">
        <v>400</v>
      </c>
      <c r="I111" s="1" t="s">
        <v>401</v>
      </c>
      <c r="J111" s="1" t="str">
        <f ca="1">IFERROR(__xludf.DUMMYFUNCTION("split(I111,"" "")"),"Pete")</f>
        <v>Pete</v>
      </c>
      <c r="K111" s="1" t="str">
        <f ca="1">IFERROR(__xludf.DUMMYFUNCTION("""COMPUTED_VALUE"""),"Armstrong")</f>
        <v>Armstrong</v>
      </c>
      <c r="L111" s="1"/>
      <c r="M111" s="1" t="s">
        <v>87</v>
      </c>
      <c r="N111" s="1" t="s">
        <v>30</v>
      </c>
      <c r="O111" s="1" t="s">
        <v>402</v>
      </c>
      <c r="P111" s="1" t="str">
        <f t="shared" si="2"/>
        <v>Orland Park</v>
      </c>
      <c r="Q111" s="1" t="s">
        <v>182</v>
      </c>
      <c r="R111" s="1" t="str">
        <f t="shared" si="3"/>
        <v>Illinois</v>
      </c>
      <c r="S111" s="1">
        <v>60462</v>
      </c>
      <c r="T111" s="1" t="s">
        <v>90</v>
      </c>
      <c r="U111" s="1" t="s">
        <v>403</v>
      </c>
      <c r="V111" s="1" t="s">
        <v>64</v>
      </c>
      <c r="W111" s="7">
        <v>339.96</v>
      </c>
      <c r="X111" s="1">
        <v>6</v>
      </c>
      <c r="Y111" s="7">
        <v>339.63</v>
      </c>
      <c r="Z111" s="7">
        <f t="shared" ref="Z111:AA111" si="114">W111*X111</f>
        <v>2039.7599999999998</v>
      </c>
      <c r="AA111" s="7">
        <f t="shared" si="114"/>
        <v>2037.78</v>
      </c>
      <c r="AB111" s="7">
        <f t="shared" si="5"/>
        <v>1.9799999999997908</v>
      </c>
    </row>
    <row r="112" spans="1:28">
      <c r="A112" s="1">
        <v>111</v>
      </c>
      <c r="B112" s="1" t="s">
        <v>404</v>
      </c>
      <c r="C112" s="2">
        <v>43459</v>
      </c>
      <c r="D112" s="6" t="str">
        <f t="shared" si="0"/>
        <v>Dec</v>
      </c>
      <c r="E112" s="6" t="str">
        <f t="shared" si="1"/>
        <v>Qtr 4</v>
      </c>
      <c r="F112" s="5" t="s">
        <v>405</v>
      </c>
      <c r="G112" s="1" t="s">
        <v>49</v>
      </c>
      <c r="H112" s="1" t="s">
        <v>406</v>
      </c>
      <c r="I112" s="1" t="s">
        <v>407</v>
      </c>
      <c r="J112" s="1" t="str">
        <f ca="1">IFERROR(__xludf.DUMMYFUNCTION("split(I112,"" "")"),"Cynthia")</f>
        <v>Cynthia</v>
      </c>
      <c r="K112" s="1" t="str">
        <f ca="1">IFERROR(__xludf.DUMMYFUNCTION("""COMPUTED_VALUE"""),"Voltz")</f>
        <v>Voltz</v>
      </c>
      <c r="L112" s="1"/>
      <c r="M112" s="1" t="s">
        <v>41</v>
      </c>
      <c r="N112" s="1" t="s">
        <v>30</v>
      </c>
      <c r="O112" s="1" t="s">
        <v>233</v>
      </c>
      <c r="P112" s="1" t="str">
        <f t="shared" si="2"/>
        <v>New York City</v>
      </c>
      <c r="Q112" s="1" t="s">
        <v>234</v>
      </c>
      <c r="R112" s="1" t="str">
        <f t="shared" si="3"/>
        <v>New York</v>
      </c>
      <c r="S112" s="1">
        <v>10035</v>
      </c>
      <c r="T112" s="1" t="s">
        <v>128</v>
      </c>
      <c r="U112" s="1" t="s">
        <v>408</v>
      </c>
      <c r="V112" s="1" t="s">
        <v>35</v>
      </c>
      <c r="W112" s="7">
        <v>41.96</v>
      </c>
      <c r="X112" s="1">
        <v>1</v>
      </c>
      <c r="Y112" s="7">
        <v>41.02</v>
      </c>
      <c r="Z112" s="7">
        <f t="shared" ref="Z112:AA112" si="115">W112*X112</f>
        <v>41.96</v>
      </c>
      <c r="AA112" s="7">
        <f t="shared" si="115"/>
        <v>41.02</v>
      </c>
      <c r="AB112" s="7">
        <f t="shared" si="5"/>
        <v>0.93999999999999773</v>
      </c>
    </row>
    <row r="113" spans="1:28">
      <c r="A113" s="1">
        <v>112</v>
      </c>
      <c r="B113" s="1" t="s">
        <v>409</v>
      </c>
      <c r="C113" s="2">
        <v>42805</v>
      </c>
      <c r="D113" s="6" t="str">
        <f t="shared" si="0"/>
        <v>Mar</v>
      </c>
      <c r="E113" s="6" t="str">
        <f t="shared" si="1"/>
        <v>Qtr 1</v>
      </c>
      <c r="F113" s="5">
        <v>43019</v>
      </c>
      <c r="G113" s="1" t="s">
        <v>49</v>
      </c>
      <c r="H113" s="1" t="s">
        <v>410</v>
      </c>
      <c r="I113" s="1" t="s">
        <v>411</v>
      </c>
      <c r="J113" s="1" t="str">
        <f ca="1">IFERROR(__xludf.DUMMYFUNCTION("split(I113,"" "")"),"Clay")</f>
        <v>Clay</v>
      </c>
      <c r="K113" s="1" t="str">
        <f ca="1">IFERROR(__xludf.DUMMYFUNCTION("""COMPUTED_VALUE"""),"Ludtke")</f>
        <v>Ludtke</v>
      </c>
      <c r="L113" s="1"/>
      <c r="M113" s="1" t="s">
        <v>29</v>
      </c>
      <c r="N113" s="1" t="s">
        <v>30</v>
      </c>
      <c r="O113" s="1" t="s">
        <v>412</v>
      </c>
      <c r="P113" s="1" t="str">
        <f t="shared" si="2"/>
        <v>Urbandale</v>
      </c>
      <c r="Q113" s="1" t="s">
        <v>413</v>
      </c>
      <c r="R113" s="1" t="str">
        <f t="shared" si="3"/>
        <v>Iowa</v>
      </c>
      <c r="S113" s="1">
        <v>50322</v>
      </c>
      <c r="T113" s="1" t="s">
        <v>90</v>
      </c>
      <c r="U113" s="1" t="s">
        <v>414</v>
      </c>
      <c r="V113" s="1" t="s">
        <v>46</v>
      </c>
      <c r="W113" s="7">
        <v>75.959999999999994</v>
      </c>
      <c r="X113" s="1">
        <v>5</v>
      </c>
      <c r="Y113" s="7">
        <v>75.3</v>
      </c>
      <c r="Z113" s="7">
        <f t="shared" ref="Z113:AA113" si="116">W113*X113</f>
        <v>379.79999999999995</v>
      </c>
      <c r="AA113" s="7">
        <f t="shared" si="116"/>
        <v>376.5</v>
      </c>
      <c r="AB113" s="7">
        <f t="shared" si="5"/>
        <v>3.2999999999999545</v>
      </c>
    </row>
    <row r="114" spans="1:28">
      <c r="A114" s="1">
        <v>113</v>
      </c>
      <c r="B114" s="1" t="s">
        <v>409</v>
      </c>
      <c r="C114" s="2">
        <v>42805</v>
      </c>
      <c r="D114" s="6" t="str">
        <f t="shared" si="0"/>
        <v>Mar</v>
      </c>
      <c r="E114" s="6" t="str">
        <f t="shared" si="1"/>
        <v>Qtr 1</v>
      </c>
      <c r="F114" s="5">
        <v>43019</v>
      </c>
      <c r="G114" s="1" t="s">
        <v>49</v>
      </c>
      <c r="H114" s="1" t="s">
        <v>410</v>
      </c>
      <c r="I114" s="1" t="s">
        <v>411</v>
      </c>
      <c r="J114" s="1" t="str">
        <f ca="1">IFERROR(__xludf.DUMMYFUNCTION("split(I114,"" "")"),"Clay")</f>
        <v>Clay</v>
      </c>
      <c r="K114" s="1" t="str">
        <f ca="1">IFERROR(__xludf.DUMMYFUNCTION("""COMPUTED_VALUE"""),"Ludtke")</f>
        <v>Ludtke</v>
      </c>
      <c r="L114" s="1"/>
      <c r="M114" s="1" t="s">
        <v>29</v>
      </c>
      <c r="N114" s="1" t="s">
        <v>30</v>
      </c>
      <c r="O114" s="1" t="s">
        <v>412</v>
      </c>
      <c r="P114" s="1" t="str">
        <f t="shared" si="2"/>
        <v>Urbandale</v>
      </c>
      <c r="Q114" s="1" t="s">
        <v>413</v>
      </c>
      <c r="R114" s="1" t="str">
        <f t="shared" si="3"/>
        <v>Iowa</v>
      </c>
      <c r="S114" s="1">
        <v>50322</v>
      </c>
      <c r="T114" s="1" t="s">
        <v>90</v>
      </c>
      <c r="U114" s="1" t="s">
        <v>415</v>
      </c>
      <c r="V114" s="1" t="s">
        <v>46</v>
      </c>
      <c r="W114" s="7">
        <v>27.24</v>
      </c>
      <c r="X114" s="1">
        <v>5</v>
      </c>
      <c r="Y114" s="7">
        <v>26.8</v>
      </c>
      <c r="Z114" s="7">
        <f t="shared" ref="Z114:AA114" si="117">W114*X114</f>
        <v>136.19999999999999</v>
      </c>
      <c r="AA114" s="7">
        <f t="shared" si="117"/>
        <v>134</v>
      </c>
      <c r="AB114" s="7">
        <f t="shared" si="5"/>
        <v>2.1999999999999886</v>
      </c>
    </row>
    <row r="115" spans="1:28">
      <c r="A115" s="1">
        <v>114</v>
      </c>
      <c r="B115" s="1" t="s">
        <v>416</v>
      </c>
      <c r="C115" s="2">
        <v>42241</v>
      </c>
      <c r="D115" s="6" t="str">
        <f t="shared" si="0"/>
        <v>Aug</v>
      </c>
      <c r="E115" s="6" t="str">
        <f t="shared" si="1"/>
        <v>Qtr 3</v>
      </c>
      <c r="F115" s="5" t="s">
        <v>417</v>
      </c>
      <c r="G115" s="1" t="s">
        <v>26</v>
      </c>
      <c r="H115" s="1" t="s">
        <v>418</v>
      </c>
      <c r="I115" s="1" t="s">
        <v>419</v>
      </c>
      <c r="J115" s="1" t="str">
        <f ca="1">IFERROR(__xludf.DUMMYFUNCTION("split(I115,"" "")"),"Ryan")</f>
        <v>Ryan</v>
      </c>
      <c r="K115" s="1" t="str">
        <f ca="1">IFERROR(__xludf.DUMMYFUNCTION("""COMPUTED_VALUE"""),"Crowe")</f>
        <v>Crowe</v>
      </c>
      <c r="L115" s="1"/>
      <c r="M115" s="1" t="s">
        <v>29</v>
      </c>
      <c r="N115" s="1" t="s">
        <v>30</v>
      </c>
      <c r="O115" s="1" t="s">
        <v>420</v>
      </c>
      <c r="P115" s="1" t="str">
        <f t="shared" si="2"/>
        <v>Columbus</v>
      </c>
      <c r="Q115" s="1" t="s">
        <v>421</v>
      </c>
      <c r="R115" s="1" t="str">
        <f t="shared" si="3"/>
        <v>Ohio</v>
      </c>
      <c r="S115" s="1">
        <v>43229</v>
      </c>
      <c r="T115" s="1" t="s">
        <v>128</v>
      </c>
      <c r="U115" s="1" t="s">
        <v>422</v>
      </c>
      <c r="V115" s="1" t="s">
        <v>46</v>
      </c>
      <c r="W115" s="7">
        <v>40.095999999999997</v>
      </c>
      <c r="X115" s="1">
        <v>4</v>
      </c>
      <c r="Y115" s="7">
        <v>39.18</v>
      </c>
      <c r="Z115" s="7">
        <f t="shared" ref="Z115:AA115" si="118">W115*X115</f>
        <v>160.38399999999999</v>
      </c>
      <c r="AA115" s="7">
        <f t="shared" si="118"/>
        <v>156.72</v>
      </c>
      <c r="AB115" s="7">
        <f t="shared" si="5"/>
        <v>3.6639999999999873</v>
      </c>
    </row>
    <row r="116" spans="1:28">
      <c r="A116" s="1">
        <v>115</v>
      </c>
      <c r="B116" s="1" t="s">
        <v>416</v>
      </c>
      <c r="C116" s="2">
        <v>42241</v>
      </c>
      <c r="D116" s="6" t="str">
        <f t="shared" si="0"/>
        <v>Aug</v>
      </c>
      <c r="E116" s="6" t="str">
        <f t="shared" si="1"/>
        <v>Qtr 3</v>
      </c>
      <c r="F116" s="5" t="s">
        <v>417</v>
      </c>
      <c r="G116" s="1" t="s">
        <v>26</v>
      </c>
      <c r="H116" s="1" t="s">
        <v>418</v>
      </c>
      <c r="I116" s="1" t="s">
        <v>419</v>
      </c>
      <c r="J116" s="1" t="str">
        <f ca="1">IFERROR(__xludf.DUMMYFUNCTION("split(I116,"" "")"),"Ryan")</f>
        <v>Ryan</v>
      </c>
      <c r="K116" s="1" t="str">
        <f ca="1">IFERROR(__xludf.DUMMYFUNCTION("""COMPUTED_VALUE"""),"Crowe")</f>
        <v>Crowe</v>
      </c>
      <c r="L116" s="1"/>
      <c r="M116" s="1" t="s">
        <v>29</v>
      </c>
      <c r="N116" s="1" t="s">
        <v>30</v>
      </c>
      <c r="O116" s="1" t="s">
        <v>420</v>
      </c>
      <c r="P116" s="1" t="str">
        <f t="shared" si="2"/>
        <v>Columbus</v>
      </c>
      <c r="Q116" s="1" t="s">
        <v>421</v>
      </c>
      <c r="R116" s="1" t="str">
        <f t="shared" si="3"/>
        <v>Ohio</v>
      </c>
      <c r="S116" s="1">
        <v>43229</v>
      </c>
      <c r="T116" s="1" t="s">
        <v>128</v>
      </c>
      <c r="U116" s="1" t="s">
        <v>423</v>
      </c>
      <c r="V116" s="1" t="s">
        <v>46</v>
      </c>
      <c r="W116" s="7">
        <v>4.72</v>
      </c>
      <c r="X116" s="1">
        <v>4</v>
      </c>
      <c r="Y116" s="7">
        <v>4.5599999999999996</v>
      </c>
      <c r="Z116" s="7">
        <f t="shared" ref="Z116:AA116" si="119">W116*X116</f>
        <v>18.88</v>
      </c>
      <c r="AA116" s="7">
        <f t="shared" si="119"/>
        <v>18.239999999999998</v>
      </c>
      <c r="AB116" s="7">
        <f t="shared" si="5"/>
        <v>0.64000000000000057</v>
      </c>
    </row>
    <row r="117" spans="1:28">
      <c r="A117" s="1">
        <v>116</v>
      </c>
      <c r="B117" s="1" t="s">
        <v>416</v>
      </c>
      <c r="C117" s="2">
        <v>42241</v>
      </c>
      <c r="D117" s="6" t="str">
        <f t="shared" si="0"/>
        <v>Aug</v>
      </c>
      <c r="E117" s="6" t="str">
        <f t="shared" si="1"/>
        <v>Qtr 3</v>
      </c>
      <c r="F117" s="5" t="s">
        <v>417</v>
      </c>
      <c r="G117" s="1" t="s">
        <v>26</v>
      </c>
      <c r="H117" s="1" t="s">
        <v>418</v>
      </c>
      <c r="I117" s="1" t="s">
        <v>419</v>
      </c>
      <c r="J117" s="1" t="str">
        <f ca="1">IFERROR(__xludf.DUMMYFUNCTION("split(I117,"" "")"),"Ryan")</f>
        <v>Ryan</v>
      </c>
      <c r="K117" s="1" t="str">
        <f ca="1">IFERROR(__xludf.DUMMYFUNCTION("""COMPUTED_VALUE"""),"Crowe")</f>
        <v>Crowe</v>
      </c>
      <c r="L117" s="1"/>
      <c r="M117" s="1" t="s">
        <v>29</v>
      </c>
      <c r="N117" s="1" t="s">
        <v>30</v>
      </c>
      <c r="O117" s="1" t="s">
        <v>420</v>
      </c>
      <c r="P117" s="1" t="str">
        <f t="shared" si="2"/>
        <v>Columbus</v>
      </c>
      <c r="Q117" s="1" t="s">
        <v>421</v>
      </c>
      <c r="R117" s="1" t="str">
        <f t="shared" si="3"/>
        <v>Ohio</v>
      </c>
      <c r="S117" s="1">
        <v>43229</v>
      </c>
      <c r="T117" s="1" t="s">
        <v>128</v>
      </c>
      <c r="U117" s="1" t="s">
        <v>424</v>
      </c>
      <c r="V117" s="1" t="s">
        <v>46</v>
      </c>
      <c r="W117" s="7">
        <v>23.975999999999999</v>
      </c>
      <c r="X117" s="1">
        <v>4</v>
      </c>
      <c r="Y117" s="7">
        <v>23.97</v>
      </c>
      <c r="Z117" s="7">
        <f t="shared" ref="Z117:AA117" si="120">W117*X117</f>
        <v>95.903999999999996</v>
      </c>
      <c r="AA117" s="7">
        <f t="shared" si="120"/>
        <v>95.88</v>
      </c>
      <c r="AB117" s="7">
        <f t="shared" si="5"/>
        <v>2.4000000000000909E-2</v>
      </c>
    </row>
    <row r="118" spans="1:28">
      <c r="A118" s="1">
        <v>117</v>
      </c>
      <c r="B118" s="1" t="s">
        <v>416</v>
      </c>
      <c r="C118" s="2">
        <v>42241</v>
      </c>
      <c r="D118" s="6" t="str">
        <f t="shared" si="0"/>
        <v>Aug</v>
      </c>
      <c r="E118" s="6" t="str">
        <f t="shared" si="1"/>
        <v>Qtr 3</v>
      </c>
      <c r="F118" s="5" t="s">
        <v>417</v>
      </c>
      <c r="G118" s="1" t="s">
        <v>26</v>
      </c>
      <c r="H118" s="1" t="s">
        <v>418</v>
      </c>
      <c r="I118" s="1" t="s">
        <v>419</v>
      </c>
      <c r="J118" s="1" t="str">
        <f ca="1">IFERROR(__xludf.DUMMYFUNCTION("split(I118,"" "")"),"Ryan")</f>
        <v>Ryan</v>
      </c>
      <c r="K118" s="1" t="str">
        <f ca="1">IFERROR(__xludf.DUMMYFUNCTION("""COMPUTED_VALUE"""),"Crowe")</f>
        <v>Crowe</v>
      </c>
      <c r="L118" s="1"/>
      <c r="M118" s="1" t="s">
        <v>29</v>
      </c>
      <c r="N118" s="1" t="s">
        <v>30</v>
      </c>
      <c r="O118" s="1" t="s">
        <v>420</v>
      </c>
      <c r="P118" s="1" t="str">
        <f t="shared" si="2"/>
        <v>Columbus</v>
      </c>
      <c r="Q118" s="1" t="s">
        <v>421</v>
      </c>
      <c r="R118" s="1" t="str">
        <f t="shared" si="3"/>
        <v>Ohio</v>
      </c>
      <c r="S118" s="1">
        <v>43229</v>
      </c>
      <c r="T118" s="1" t="s">
        <v>128</v>
      </c>
      <c r="U118" s="1" t="s">
        <v>425</v>
      </c>
      <c r="V118" s="1" t="s">
        <v>46</v>
      </c>
      <c r="W118" s="7">
        <v>130.464</v>
      </c>
      <c r="X118" s="1">
        <v>4</v>
      </c>
      <c r="Y118" s="7">
        <v>129.68</v>
      </c>
      <c r="Z118" s="7">
        <f t="shared" ref="Z118:AA118" si="121">W118*X118</f>
        <v>521.85599999999999</v>
      </c>
      <c r="AA118" s="7">
        <f t="shared" si="121"/>
        <v>518.72</v>
      </c>
      <c r="AB118" s="7">
        <f t="shared" si="5"/>
        <v>3.1359999999999673</v>
      </c>
    </row>
    <row r="119" spans="1:28">
      <c r="A119" s="1">
        <v>118</v>
      </c>
      <c r="B119" s="1" t="s">
        <v>426</v>
      </c>
      <c r="C119" s="2">
        <v>42403</v>
      </c>
      <c r="D119" s="6" t="str">
        <f t="shared" si="0"/>
        <v>Feb</v>
      </c>
      <c r="E119" s="6" t="str">
        <f t="shared" si="1"/>
        <v>Qtr 1</v>
      </c>
      <c r="F119" s="5">
        <v>42524</v>
      </c>
      <c r="G119" s="1" t="s">
        <v>49</v>
      </c>
      <c r="H119" s="1" t="s">
        <v>427</v>
      </c>
      <c r="I119" s="1" t="s">
        <v>428</v>
      </c>
      <c r="J119" s="1" t="str">
        <f ca="1">IFERROR(__xludf.DUMMYFUNCTION("split(I119,"" "")"),"Dave")</f>
        <v>Dave</v>
      </c>
      <c r="K119" s="1" t="str">
        <f ca="1">IFERROR(__xludf.DUMMYFUNCTION("""COMPUTED_VALUE"""),"Kipp")</f>
        <v>Kipp</v>
      </c>
      <c r="L119" s="1"/>
      <c r="M119" s="1" t="s">
        <v>29</v>
      </c>
      <c r="N119" s="1" t="s">
        <v>30</v>
      </c>
      <c r="O119" s="1" t="s">
        <v>80</v>
      </c>
      <c r="P119" s="1" t="str">
        <f t="shared" si="2"/>
        <v>Seattle</v>
      </c>
      <c r="Q119" s="1" t="s">
        <v>81</v>
      </c>
      <c r="R119" s="1" t="str">
        <f t="shared" si="3"/>
        <v>Washington</v>
      </c>
      <c r="S119" s="1">
        <v>98103</v>
      </c>
      <c r="T119" s="1" t="s">
        <v>44</v>
      </c>
      <c r="U119" s="1" t="s">
        <v>429</v>
      </c>
      <c r="V119" s="1" t="s">
        <v>35</v>
      </c>
      <c r="W119" s="7">
        <v>787.53</v>
      </c>
      <c r="X119" s="1">
        <v>9</v>
      </c>
      <c r="Y119" s="7">
        <v>786.93</v>
      </c>
      <c r="Z119" s="7">
        <f t="shared" ref="Z119:AA119" si="122">W119*X119</f>
        <v>7087.7699999999995</v>
      </c>
      <c r="AA119" s="7">
        <f t="shared" si="122"/>
        <v>7082.37</v>
      </c>
      <c r="AB119" s="7">
        <f t="shared" si="5"/>
        <v>5.3999999999996362</v>
      </c>
    </row>
    <row r="120" spans="1:28">
      <c r="A120" s="1">
        <v>119</v>
      </c>
      <c r="B120" s="1" t="s">
        <v>430</v>
      </c>
      <c r="C120" s="2">
        <v>42494</v>
      </c>
      <c r="D120" s="6" t="str">
        <f t="shared" si="0"/>
        <v>May</v>
      </c>
      <c r="E120" s="6" t="str">
        <f t="shared" si="1"/>
        <v>Qtr 2</v>
      </c>
      <c r="F120" s="5">
        <v>42647</v>
      </c>
      <c r="G120" s="1" t="s">
        <v>49</v>
      </c>
      <c r="H120" s="1" t="s">
        <v>431</v>
      </c>
      <c r="I120" s="1" t="s">
        <v>432</v>
      </c>
      <c r="J120" s="1" t="str">
        <f ca="1">IFERROR(__xludf.DUMMYFUNCTION("split(I120,"" "")"),"Greg")</f>
        <v>Greg</v>
      </c>
      <c r="K120" s="1" t="str">
        <f ca="1">IFERROR(__xludf.DUMMYFUNCTION("""COMPUTED_VALUE"""),"Guthrie")</f>
        <v>Guthrie</v>
      </c>
      <c r="L120" s="1"/>
      <c r="M120" s="1" t="s">
        <v>41</v>
      </c>
      <c r="N120" s="1" t="s">
        <v>30</v>
      </c>
      <c r="O120" s="1" t="s">
        <v>433</v>
      </c>
      <c r="P120" s="1" t="str">
        <f t="shared" si="2"/>
        <v>Bristol</v>
      </c>
      <c r="Q120" s="1" t="s">
        <v>287</v>
      </c>
      <c r="R120" s="1" t="str">
        <f t="shared" si="3"/>
        <v>Tennessee</v>
      </c>
      <c r="S120" s="1">
        <v>37620</v>
      </c>
      <c r="T120" s="1" t="s">
        <v>33</v>
      </c>
      <c r="U120" s="1" t="s">
        <v>434</v>
      </c>
      <c r="V120" s="1" t="s">
        <v>46</v>
      </c>
      <c r="W120" s="7">
        <v>157.79400000000001</v>
      </c>
      <c r="X120" s="1">
        <v>3</v>
      </c>
      <c r="Y120" s="7">
        <v>156.91</v>
      </c>
      <c r="Z120" s="7">
        <f t="shared" ref="Z120:AA120" si="123">W120*X120</f>
        <v>473.38200000000006</v>
      </c>
      <c r="AA120" s="7">
        <f t="shared" si="123"/>
        <v>470.73</v>
      </c>
      <c r="AB120" s="7">
        <f t="shared" si="5"/>
        <v>2.6520000000000437</v>
      </c>
    </row>
    <row r="121" spans="1:28">
      <c r="A121" s="1">
        <v>120</v>
      </c>
      <c r="B121" s="1" t="s">
        <v>435</v>
      </c>
      <c r="C121" s="2">
        <v>43075</v>
      </c>
      <c r="D121" s="6" t="str">
        <f t="shared" si="0"/>
        <v>Dec</v>
      </c>
      <c r="E121" s="6" t="str">
        <f t="shared" si="1"/>
        <v>Qtr 4</v>
      </c>
      <c r="F121" s="5" t="s">
        <v>300</v>
      </c>
      <c r="G121" s="1" t="s">
        <v>162</v>
      </c>
      <c r="H121" s="1" t="s">
        <v>436</v>
      </c>
      <c r="I121" s="1" t="s">
        <v>437</v>
      </c>
      <c r="J121" s="1" t="str">
        <f ca="1">IFERROR(__xludf.DUMMYFUNCTION("split(I121,"" "")"),"Steven")</f>
        <v>Steven</v>
      </c>
      <c r="K121" s="1" t="str">
        <f ca="1">IFERROR(__xludf.DUMMYFUNCTION("""COMPUTED_VALUE"""),"Cartwright")</f>
        <v>Cartwright</v>
      </c>
      <c r="L121" s="1"/>
      <c r="M121" s="1" t="s">
        <v>29</v>
      </c>
      <c r="N121" s="1" t="s">
        <v>30</v>
      </c>
      <c r="O121" s="1" t="s">
        <v>438</v>
      </c>
      <c r="P121" s="1" t="str">
        <f t="shared" si="2"/>
        <v>Wilmington</v>
      </c>
      <c r="Q121" s="1" t="s">
        <v>216</v>
      </c>
      <c r="R121" s="1" t="str">
        <f t="shared" si="3"/>
        <v>Delaware</v>
      </c>
      <c r="S121" s="1">
        <v>19805</v>
      </c>
      <c r="T121" s="1" t="s">
        <v>128</v>
      </c>
      <c r="U121" s="1" t="s">
        <v>439</v>
      </c>
      <c r="V121" s="1" t="s">
        <v>35</v>
      </c>
      <c r="W121" s="7">
        <v>47.04</v>
      </c>
      <c r="X121" s="1">
        <v>1</v>
      </c>
      <c r="Y121" s="7">
        <v>46.83</v>
      </c>
      <c r="Z121" s="7">
        <f t="shared" ref="Z121:AA121" si="124">W121*X121</f>
        <v>47.04</v>
      </c>
      <c r="AA121" s="7">
        <f t="shared" si="124"/>
        <v>46.83</v>
      </c>
      <c r="AB121" s="7">
        <f t="shared" si="5"/>
        <v>0.21000000000000085</v>
      </c>
    </row>
    <row r="122" spans="1:28">
      <c r="A122" s="1">
        <v>121</v>
      </c>
      <c r="B122" s="1" t="s">
        <v>435</v>
      </c>
      <c r="C122" s="2">
        <v>43075</v>
      </c>
      <c r="D122" s="6" t="str">
        <f t="shared" si="0"/>
        <v>Dec</v>
      </c>
      <c r="E122" s="6" t="str">
        <f t="shared" si="1"/>
        <v>Qtr 4</v>
      </c>
      <c r="F122" s="5" t="s">
        <v>300</v>
      </c>
      <c r="G122" s="1" t="s">
        <v>162</v>
      </c>
      <c r="H122" s="1" t="s">
        <v>436</v>
      </c>
      <c r="I122" s="1" t="s">
        <v>437</v>
      </c>
      <c r="J122" s="1" t="str">
        <f ca="1">IFERROR(__xludf.DUMMYFUNCTION("split(I122,"" "")"),"Steven")</f>
        <v>Steven</v>
      </c>
      <c r="K122" s="1" t="str">
        <f ca="1">IFERROR(__xludf.DUMMYFUNCTION("""COMPUTED_VALUE"""),"Cartwright")</f>
        <v>Cartwright</v>
      </c>
      <c r="L122" s="1"/>
      <c r="M122" s="1" t="s">
        <v>29</v>
      </c>
      <c r="N122" s="1" t="s">
        <v>30</v>
      </c>
      <c r="O122" s="1" t="s">
        <v>438</v>
      </c>
      <c r="P122" s="1" t="str">
        <f t="shared" si="2"/>
        <v>Wilmington</v>
      </c>
      <c r="Q122" s="1" t="s">
        <v>216</v>
      </c>
      <c r="R122" s="1" t="str">
        <f t="shared" si="3"/>
        <v>Delaware</v>
      </c>
      <c r="S122" s="1">
        <v>19805</v>
      </c>
      <c r="T122" s="1" t="s">
        <v>128</v>
      </c>
      <c r="U122" s="1" t="s">
        <v>65</v>
      </c>
      <c r="V122" s="1" t="s">
        <v>46</v>
      </c>
      <c r="W122" s="7">
        <v>30.84</v>
      </c>
      <c r="X122" s="1">
        <v>1</v>
      </c>
      <c r="Y122" s="7">
        <v>30.78</v>
      </c>
      <c r="Z122" s="7">
        <f t="shared" ref="Z122:AA122" si="125">W122*X122</f>
        <v>30.84</v>
      </c>
      <c r="AA122" s="7">
        <f t="shared" si="125"/>
        <v>30.78</v>
      </c>
      <c r="AB122" s="7">
        <f t="shared" si="5"/>
        <v>5.9999999999998721E-2</v>
      </c>
    </row>
    <row r="123" spans="1:28">
      <c r="A123" s="1">
        <v>122</v>
      </c>
      <c r="B123" s="1" t="s">
        <v>435</v>
      </c>
      <c r="C123" s="2">
        <v>43075</v>
      </c>
      <c r="D123" s="6" t="str">
        <f t="shared" si="0"/>
        <v>Dec</v>
      </c>
      <c r="E123" s="6" t="str">
        <f t="shared" si="1"/>
        <v>Qtr 4</v>
      </c>
      <c r="F123" s="5" t="s">
        <v>300</v>
      </c>
      <c r="G123" s="1" t="s">
        <v>162</v>
      </c>
      <c r="H123" s="1" t="s">
        <v>436</v>
      </c>
      <c r="I123" s="1" t="s">
        <v>437</v>
      </c>
      <c r="J123" s="1" t="str">
        <f ca="1">IFERROR(__xludf.DUMMYFUNCTION("split(I123,"" "")"),"Steven")</f>
        <v>Steven</v>
      </c>
      <c r="K123" s="1" t="str">
        <f ca="1">IFERROR(__xludf.DUMMYFUNCTION("""COMPUTED_VALUE"""),"Cartwright")</f>
        <v>Cartwright</v>
      </c>
      <c r="L123" s="1"/>
      <c r="M123" s="1" t="s">
        <v>29</v>
      </c>
      <c r="N123" s="1" t="s">
        <v>30</v>
      </c>
      <c r="O123" s="1" t="s">
        <v>438</v>
      </c>
      <c r="P123" s="1" t="str">
        <f t="shared" si="2"/>
        <v>Wilmington</v>
      </c>
      <c r="Q123" s="1" t="s">
        <v>216</v>
      </c>
      <c r="R123" s="1" t="str">
        <f t="shared" si="3"/>
        <v>Delaware</v>
      </c>
      <c r="S123" s="1">
        <v>19805</v>
      </c>
      <c r="T123" s="1" t="s">
        <v>128</v>
      </c>
      <c r="U123" s="1" t="s">
        <v>440</v>
      </c>
      <c r="V123" s="1" t="s">
        <v>46</v>
      </c>
      <c r="W123" s="7">
        <v>226.56</v>
      </c>
      <c r="X123" s="1">
        <v>1</v>
      </c>
      <c r="Y123" s="7">
        <v>225.99</v>
      </c>
      <c r="Z123" s="7">
        <f t="shared" ref="Z123:AA123" si="126">W123*X123</f>
        <v>226.56</v>
      </c>
      <c r="AA123" s="7">
        <f t="shared" si="126"/>
        <v>225.99</v>
      </c>
      <c r="AB123" s="7">
        <f t="shared" si="5"/>
        <v>0.56999999999999318</v>
      </c>
    </row>
    <row r="124" spans="1:28">
      <c r="A124" s="1">
        <v>123</v>
      </c>
      <c r="B124" s="1" t="s">
        <v>435</v>
      </c>
      <c r="C124" s="2">
        <v>43075</v>
      </c>
      <c r="D124" s="6" t="str">
        <f t="shared" si="0"/>
        <v>Dec</v>
      </c>
      <c r="E124" s="6" t="str">
        <f t="shared" si="1"/>
        <v>Qtr 4</v>
      </c>
      <c r="F124" s="5" t="s">
        <v>300</v>
      </c>
      <c r="G124" s="1" t="s">
        <v>162</v>
      </c>
      <c r="H124" s="1" t="s">
        <v>436</v>
      </c>
      <c r="I124" s="1" t="s">
        <v>437</v>
      </c>
      <c r="J124" s="1" t="str">
        <f ca="1">IFERROR(__xludf.DUMMYFUNCTION("split(I124,"" "")"),"Steven")</f>
        <v>Steven</v>
      </c>
      <c r="K124" s="1" t="str">
        <f ca="1">IFERROR(__xludf.DUMMYFUNCTION("""COMPUTED_VALUE"""),"Cartwright")</f>
        <v>Cartwright</v>
      </c>
      <c r="L124" s="1"/>
      <c r="M124" s="1" t="s">
        <v>29</v>
      </c>
      <c r="N124" s="1" t="s">
        <v>30</v>
      </c>
      <c r="O124" s="1" t="s">
        <v>438</v>
      </c>
      <c r="P124" s="1" t="str">
        <f t="shared" si="2"/>
        <v>Wilmington</v>
      </c>
      <c r="Q124" s="1" t="s">
        <v>216</v>
      </c>
      <c r="R124" s="1" t="str">
        <f t="shared" si="3"/>
        <v>Delaware</v>
      </c>
      <c r="S124" s="1">
        <v>19805</v>
      </c>
      <c r="T124" s="1" t="s">
        <v>128</v>
      </c>
      <c r="U124" s="1" t="s">
        <v>441</v>
      </c>
      <c r="V124" s="1" t="s">
        <v>46</v>
      </c>
      <c r="W124" s="7">
        <v>115.02</v>
      </c>
      <c r="X124" s="1">
        <v>1</v>
      </c>
      <c r="Y124" s="7">
        <v>114.44</v>
      </c>
      <c r="Z124" s="7">
        <f t="shared" ref="Z124:AA124" si="127">W124*X124</f>
        <v>115.02</v>
      </c>
      <c r="AA124" s="7">
        <f t="shared" si="127"/>
        <v>114.44</v>
      </c>
      <c r="AB124" s="7">
        <f t="shared" si="5"/>
        <v>0.57999999999999829</v>
      </c>
    </row>
    <row r="125" spans="1:28">
      <c r="A125" s="1">
        <v>124</v>
      </c>
      <c r="B125" s="1" t="s">
        <v>435</v>
      </c>
      <c r="C125" s="2">
        <v>43075</v>
      </c>
      <c r="D125" s="6" t="str">
        <f t="shared" si="0"/>
        <v>Dec</v>
      </c>
      <c r="E125" s="6" t="str">
        <f t="shared" si="1"/>
        <v>Qtr 4</v>
      </c>
      <c r="F125" s="5" t="s">
        <v>300</v>
      </c>
      <c r="G125" s="1" t="s">
        <v>162</v>
      </c>
      <c r="H125" s="1" t="s">
        <v>436</v>
      </c>
      <c r="I125" s="1" t="s">
        <v>437</v>
      </c>
      <c r="J125" s="1" t="str">
        <f ca="1">IFERROR(__xludf.DUMMYFUNCTION("split(I125,"" "")"),"Steven")</f>
        <v>Steven</v>
      </c>
      <c r="K125" s="1" t="str">
        <f ca="1">IFERROR(__xludf.DUMMYFUNCTION("""COMPUTED_VALUE"""),"Cartwright")</f>
        <v>Cartwright</v>
      </c>
      <c r="L125" s="1"/>
      <c r="M125" s="1" t="s">
        <v>29</v>
      </c>
      <c r="N125" s="1" t="s">
        <v>30</v>
      </c>
      <c r="O125" s="1" t="s">
        <v>438</v>
      </c>
      <c r="P125" s="1" t="str">
        <f t="shared" si="2"/>
        <v>Wilmington</v>
      </c>
      <c r="Q125" s="1" t="s">
        <v>216</v>
      </c>
      <c r="R125" s="1" t="str">
        <f t="shared" si="3"/>
        <v>Delaware</v>
      </c>
      <c r="S125" s="1">
        <v>19805</v>
      </c>
      <c r="T125" s="1" t="s">
        <v>128</v>
      </c>
      <c r="U125" s="1" t="s">
        <v>442</v>
      </c>
      <c r="V125" s="1" t="s">
        <v>64</v>
      </c>
      <c r="W125" s="7">
        <v>68.040000000000006</v>
      </c>
      <c r="X125" s="1">
        <v>1</v>
      </c>
      <c r="Y125" s="7">
        <v>67.05</v>
      </c>
      <c r="Z125" s="7">
        <f t="shared" ref="Z125:AA125" si="128">W125*X125</f>
        <v>68.040000000000006</v>
      </c>
      <c r="AA125" s="7">
        <f t="shared" si="128"/>
        <v>67.05</v>
      </c>
      <c r="AB125" s="7">
        <f t="shared" si="5"/>
        <v>0.99000000000000909</v>
      </c>
    </row>
    <row r="126" spans="1:28">
      <c r="A126" s="1">
        <v>125</v>
      </c>
      <c r="B126" s="1" t="s">
        <v>443</v>
      </c>
      <c r="C126" s="2">
        <v>42364</v>
      </c>
      <c r="D126" s="6" t="str">
        <f t="shared" si="0"/>
        <v>Dec</v>
      </c>
      <c r="E126" s="6" t="str">
        <f t="shared" si="1"/>
        <v>Qtr 4</v>
      </c>
      <c r="F126" s="5" t="s">
        <v>444</v>
      </c>
      <c r="G126" s="1" t="s">
        <v>26</v>
      </c>
      <c r="H126" s="1" t="s">
        <v>445</v>
      </c>
      <c r="I126" s="1" t="s">
        <v>446</v>
      </c>
      <c r="J126" s="1" t="str">
        <f ca="1">IFERROR(__xludf.DUMMYFUNCTION("split(I126,"" "")"),"Alan")</f>
        <v>Alan</v>
      </c>
      <c r="K126" s="1" t="str">
        <f ca="1">IFERROR(__xludf.DUMMYFUNCTION("""COMPUTED_VALUE"""),"Dominguez")</f>
        <v>Dominguez</v>
      </c>
      <c r="L126" s="1"/>
      <c r="M126" s="1" t="s">
        <v>87</v>
      </c>
      <c r="N126" s="1" t="s">
        <v>30</v>
      </c>
      <c r="O126" s="1" t="s">
        <v>172</v>
      </c>
      <c r="P126" s="1" t="str">
        <f t="shared" si="2"/>
        <v>Houston</v>
      </c>
      <c r="Q126" s="1" t="s">
        <v>89</v>
      </c>
      <c r="R126" s="1" t="str">
        <f t="shared" si="3"/>
        <v>Texas</v>
      </c>
      <c r="S126" s="1">
        <v>77041</v>
      </c>
      <c r="T126" s="1" t="s">
        <v>90</v>
      </c>
      <c r="U126" s="1" t="s">
        <v>447</v>
      </c>
      <c r="V126" s="1" t="s">
        <v>35</v>
      </c>
      <c r="W126" s="7">
        <v>600.55799999999999</v>
      </c>
      <c r="X126" s="1">
        <v>7</v>
      </c>
      <c r="Y126" s="7">
        <v>600.44000000000005</v>
      </c>
      <c r="Z126" s="7">
        <f t="shared" ref="Z126:AA126" si="129">W126*X126</f>
        <v>4203.9059999999999</v>
      </c>
      <c r="AA126" s="7">
        <f t="shared" si="129"/>
        <v>4203.08</v>
      </c>
      <c r="AB126" s="7">
        <f t="shared" si="5"/>
        <v>0.82600000000002183</v>
      </c>
    </row>
    <row r="127" spans="1:28">
      <c r="A127" s="1">
        <v>126</v>
      </c>
      <c r="B127" s="1" t="s">
        <v>448</v>
      </c>
      <c r="C127" s="2">
        <v>42267</v>
      </c>
      <c r="D127" s="6" t="str">
        <f t="shared" si="0"/>
        <v>Sep</v>
      </c>
      <c r="E127" s="6" t="str">
        <f t="shared" si="1"/>
        <v>Qtr 3</v>
      </c>
      <c r="F127" s="5" t="s">
        <v>449</v>
      </c>
      <c r="G127" s="1" t="s">
        <v>49</v>
      </c>
      <c r="H127" s="1" t="s">
        <v>450</v>
      </c>
      <c r="I127" s="1" t="s">
        <v>451</v>
      </c>
      <c r="J127" s="1" t="str">
        <f ca="1">IFERROR(__xludf.DUMMYFUNCTION("split(I127,"" "")"),"Philip")</f>
        <v>Philip</v>
      </c>
      <c r="K127" s="1" t="str">
        <f ca="1">IFERROR(__xludf.DUMMYFUNCTION("""COMPUTED_VALUE"""),"Fox")</f>
        <v>Fox</v>
      </c>
      <c r="L127" s="1"/>
      <c r="M127" s="1" t="s">
        <v>29</v>
      </c>
      <c r="N127" s="1" t="s">
        <v>30</v>
      </c>
      <c r="O127" s="1" t="s">
        <v>452</v>
      </c>
      <c r="P127" s="1" t="str">
        <f t="shared" si="2"/>
        <v>Bloomington</v>
      </c>
      <c r="Q127" s="1" t="s">
        <v>182</v>
      </c>
      <c r="R127" s="1" t="str">
        <f t="shared" si="3"/>
        <v>Illinois</v>
      </c>
      <c r="S127" s="1">
        <v>61701</v>
      </c>
      <c r="T127" s="1" t="s">
        <v>90</v>
      </c>
      <c r="U127" s="1" t="s">
        <v>453</v>
      </c>
      <c r="V127" s="1" t="s">
        <v>35</v>
      </c>
      <c r="W127" s="7">
        <v>617.70000000000005</v>
      </c>
      <c r="X127" s="1">
        <v>6</v>
      </c>
      <c r="Y127" s="7">
        <v>616.9</v>
      </c>
      <c r="Z127" s="7">
        <f t="shared" ref="Z127:AA127" si="130">W127*X127</f>
        <v>3706.2000000000003</v>
      </c>
      <c r="AA127" s="7">
        <f t="shared" si="130"/>
        <v>3701.3999999999996</v>
      </c>
      <c r="AB127" s="7">
        <f t="shared" si="5"/>
        <v>4.8000000000006366</v>
      </c>
    </row>
    <row r="128" spans="1:28">
      <c r="A128" s="1">
        <v>127</v>
      </c>
      <c r="B128" s="1" t="s">
        <v>454</v>
      </c>
      <c r="C128" s="2">
        <v>43231</v>
      </c>
      <c r="D128" s="6" t="str">
        <f t="shared" si="0"/>
        <v>May</v>
      </c>
      <c r="E128" s="6" t="str">
        <f t="shared" si="1"/>
        <v>Qtr 2</v>
      </c>
      <c r="F128" s="5">
        <v>43445</v>
      </c>
      <c r="G128" s="1" t="s">
        <v>49</v>
      </c>
      <c r="H128" s="1" t="s">
        <v>455</v>
      </c>
      <c r="I128" s="1" t="s">
        <v>456</v>
      </c>
      <c r="J128" s="1" t="str">
        <f ca="1">IFERROR(__xludf.DUMMYFUNCTION("split(I128,"" "")"),"Troy")</f>
        <v>Troy</v>
      </c>
      <c r="K128" s="1" t="str">
        <f ca="1">IFERROR(__xludf.DUMMYFUNCTION("""COMPUTED_VALUE"""),"Staebel")</f>
        <v>Staebel</v>
      </c>
      <c r="L128" s="1"/>
      <c r="M128" s="1" t="s">
        <v>29</v>
      </c>
      <c r="N128" s="1" t="s">
        <v>30</v>
      </c>
      <c r="O128" s="1" t="s">
        <v>457</v>
      </c>
      <c r="P128" s="1" t="str">
        <f t="shared" si="2"/>
        <v>Phoenix</v>
      </c>
      <c r="Q128" s="1" t="s">
        <v>265</v>
      </c>
      <c r="R128" s="1" t="str">
        <f t="shared" si="3"/>
        <v>Arizona</v>
      </c>
      <c r="S128" s="1">
        <v>85023</v>
      </c>
      <c r="T128" s="1" t="s">
        <v>44</v>
      </c>
      <c r="U128" s="1" t="s">
        <v>458</v>
      </c>
      <c r="V128" s="1" t="s">
        <v>46</v>
      </c>
      <c r="W128" s="7">
        <v>2.3879999999999999</v>
      </c>
      <c r="X128" s="1">
        <v>8</v>
      </c>
      <c r="Y128" s="7">
        <v>2.19</v>
      </c>
      <c r="Z128" s="7">
        <f t="shared" ref="Z128:AA128" si="131">W128*X128</f>
        <v>19.103999999999999</v>
      </c>
      <c r="AA128" s="7">
        <f t="shared" si="131"/>
        <v>17.52</v>
      </c>
      <c r="AB128" s="7">
        <f t="shared" si="5"/>
        <v>1.5839999999999996</v>
      </c>
    </row>
    <row r="129" spans="1:28">
      <c r="A129" s="1">
        <v>128</v>
      </c>
      <c r="B129" s="1" t="s">
        <v>454</v>
      </c>
      <c r="C129" s="2">
        <v>43231</v>
      </c>
      <c r="D129" s="6" t="str">
        <f t="shared" si="0"/>
        <v>May</v>
      </c>
      <c r="E129" s="6" t="str">
        <f t="shared" si="1"/>
        <v>Qtr 2</v>
      </c>
      <c r="F129" s="5">
        <v>43445</v>
      </c>
      <c r="G129" s="1" t="s">
        <v>49</v>
      </c>
      <c r="H129" s="1" t="s">
        <v>455</v>
      </c>
      <c r="I129" s="1" t="s">
        <v>456</v>
      </c>
      <c r="J129" s="1" t="str">
        <f ca="1">IFERROR(__xludf.DUMMYFUNCTION("split(I129,"" "")"),"Troy")</f>
        <v>Troy</v>
      </c>
      <c r="K129" s="1" t="str">
        <f ca="1">IFERROR(__xludf.DUMMYFUNCTION("""COMPUTED_VALUE"""),"Staebel")</f>
        <v>Staebel</v>
      </c>
      <c r="L129" s="1"/>
      <c r="M129" s="1" t="s">
        <v>29</v>
      </c>
      <c r="N129" s="1" t="s">
        <v>30</v>
      </c>
      <c r="O129" s="1" t="s">
        <v>457</v>
      </c>
      <c r="P129" s="1" t="str">
        <f t="shared" si="2"/>
        <v>Phoenix</v>
      </c>
      <c r="Q129" s="1" t="s">
        <v>265</v>
      </c>
      <c r="R129" s="1" t="str">
        <f t="shared" si="3"/>
        <v>Arizona</v>
      </c>
      <c r="S129" s="1">
        <v>85023</v>
      </c>
      <c r="T129" s="1" t="s">
        <v>44</v>
      </c>
      <c r="U129" s="1" t="s">
        <v>459</v>
      </c>
      <c r="V129" s="1" t="s">
        <v>46</v>
      </c>
      <c r="W129" s="7">
        <v>243.99199999999999</v>
      </c>
      <c r="X129" s="1">
        <v>8</v>
      </c>
      <c r="Y129" s="7">
        <v>243.79</v>
      </c>
      <c r="Z129" s="7">
        <f t="shared" ref="Z129:AA129" si="132">W129*X129</f>
        <v>1951.9359999999999</v>
      </c>
      <c r="AA129" s="7">
        <f t="shared" si="132"/>
        <v>1950.32</v>
      </c>
      <c r="AB129" s="7">
        <f t="shared" si="5"/>
        <v>1.6159999999999854</v>
      </c>
    </row>
    <row r="130" spans="1:28">
      <c r="A130" s="1">
        <v>129</v>
      </c>
      <c r="B130" s="1" t="s">
        <v>460</v>
      </c>
      <c r="C130" s="2">
        <v>42897</v>
      </c>
      <c r="D130" s="6" t="str">
        <f t="shared" si="0"/>
        <v>Jun</v>
      </c>
      <c r="E130" s="6" t="str">
        <f t="shared" si="1"/>
        <v>Qtr 2</v>
      </c>
      <c r="F130" s="5">
        <v>43019</v>
      </c>
      <c r="G130" s="1" t="s">
        <v>26</v>
      </c>
      <c r="H130" s="1" t="s">
        <v>461</v>
      </c>
      <c r="I130" s="1" t="s">
        <v>462</v>
      </c>
      <c r="J130" s="1" t="str">
        <f ca="1">IFERROR(__xludf.DUMMYFUNCTION("split(I130,"" "")"),"Lindsay")</f>
        <v>Lindsay</v>
      </c>
      <c r="K130" s="1" t="str">
        <f ca="1">IFERROR(__xludf.DUMMYFUNCTION("""COMPUTED_VALUE"""),"Shagiari")</f>
        <v>Shagiari</v>
      </c>
      <c r="L130" s="1"/>
      <c r="M130" s="1" t="s">
        <v>87</v>
      </c>
      <c r="N130" s="1" t="s">
        <v>30</v>
      </c>
      <c r="O130" s="1" t="s">
        <v>42</v>
      </c>
      <c r="P130" s="1" t="str">
        <f t="shared" si="2"/>
        <v>Los Angeles</v>
      </c>
      <c r="Q130" s="1" t="s">
        <v>68</v>
      </c>
      <c r="R130" s="1" t="str">
        <f t="shared" si="3"/>
        <v>California</v>
      </c>
      <c r="S130" s="1">
        <v>90004</v>
      </c>
      <c r="T130" s="1" t="s">
        <v>44</v>
      </c>
      <c r="U130" s="1" t="s">
        <v>260</v>
      </c>
      <c r="V130" s="1" t="s">
        <v>35</v>
      </c>
      <c r="W130" s="7">
        <v>81.424000000000007</v>
      </c>
      <c r="X130" s="1">
        <v>9</v>
      </c>
      <c r="Y130" s="7">
        <v>80.61</v>
      </c>
      <c r="Z130" s="7">
        <f t="shared" ref="Z130:AA130" si="133">W130*X130</f>
        <v>732.81600000000003</v>
      </c>
      <c r="AA130" s="7">
        <f t="shared" si="133"/>
        <v>725.49</v>
      </c>
      <c r="AB130" s="7">
        <f t="shared" si="5"/>
        <v>7.3260000000000218</v>
      </c>
    </row>
    <row r="131" spans="1:28">
      <c r="A131" s="1">
        <v>130</v>
      </c>
      <c r="B131" s="1" t="s">
        <v>460</v>
      </c>
      <c r="C131" s="2">
        <v>42897</v>
      </c>
      <c r="D131" s="6" t="str">
        <f t="shared" si="0"/>
        <v>Jun</v>
      </c>
      <c r="E131" s="6" t="str">
        <f t="shared" si="1"/>
        <v>Qtr 2</v>
      </c>
      <c r="F131" s="5">
        <v>43019</v>
      </c>
      <c r="G131" s="1" t="s">
        <v>26</v>
      </c>
      <c r="H131" s="1" t="s">
        <v>461</v>
      </c>
      <c r="I131" s="1" t="s">
        <v>462</v>
      </c>
      <c r="J131" s="1" t="str">
        <f ca="1">IFERROR(__xludf.DUMMYFUNCTION("split(I131,"" "")"),"Lindsay")</f>
        <v>Lindsay</v>
      </c>
      <c r="K131" s="1" t="str">
        <f ca="1">IFERROR(__xludf.DUMMYFUNCTION("""COMPUTED_VALUE"""),"Shagiari")</f>
        <v>Shagiari</v>
      </c>
      <c r="L131" s="1"/>
      <c r="M131" s="1" t="s">
        <v>87</v>
      </c>
      <c r="N131" s="1" t="s">
        <v>30</v>
      </c>
      <c r="O131" s="1" t="s">
        <v>42</v>
      </c>
      <c r="P131" s="1" t="str">
        <f t="shared" si="2"/>
        <v>Los Angeles</v>
      </c>
      <c r="Q131" s="1" t="s">
        <v>68</v>
      </c>
      <c r="R131" s="1" t="str">
        <f t="shared" si="3"/>
        <v>California</v>
      </c>
      <c r="S131" s="1">
        <v>90004</v>
      </c>
      <c r="T131" s="1" t="s">
        <v>44</v>
      </c>
      <c r="U131" s="1" t="s">
        <v>463</v>
      </c>
      <c r="V131" s="1" t="s">
        <v>35</v>
      </c>
      <c r="W131" s="7">
        <v>238.56</v>
      </c>
      <c r="X131" s="1">
        <v>9</v>
      </c>
      <c r="Y131" s="7">
        <v>238.11</v>
      </c>
      <c r="Z131" s="7">
        <f t="shared" ref="Z131:AA131" si="134">W131*X131</f>
        <v>2147.04</v>
      </c>
      <c r="AA131" s="7">
        <f t="shared" si="134"/>
        <v>2142.9900000000002</v>
      </c>
      <c r="AB131" s="7">
        <f t="shared" si="5"/>
        <v>4.0499999999997272</v>
      </c>
    </row>
    <row r="132" spans="1:28">
      <c r="A132" s="1">
        <v>131</v>
      </c>
      <c r="B132" s="1" t="s">
        <v>464</v>
      </c>
      <c r="C132" s="2">
        <v>43133</v>
      </c>
      <c r="D132" s="6" t="str">
        <f t="shared" si="0"/>
        <v>Feb</v>
      </c>
      <c r="E132" s="6" t="str">
        <f t="shared" si="1"/>
        <v>Qtr 1</v>
      </c>
      <c r="F132" s="5">
        <v>43222</v>
      </c>
      <c r="G132" s="1" t="s">
        <v>162</v>
      </c>
      <c r="H132" s="1" t="s">
        <v>465</v>
      </c>
      <c r="I132" s="1" t="s">
        <v>466</v>
      </c>
      <c r="J132" s="1" t="str">
        <f ca="1">IFERROR(__xludf.DUMMYFUNCTION("split(I132,"" "")"),"Dorothy")</f>
        <v>Dorothy</v>
      </c>
      <c r="K132" s="1" t="str">
        <f ca="1">IFERROR(__xludf.DUMMYFUNCTION("""COMPUTED_VALUE"""),"Wardle")</f>
        <v>Wardle</v>
      </c>
      <c r="L132" s="1"/>
      <c r="M132" s="1" t="s">
        <v>41</v>
      </c>
      <c r="N132" s="1" t="s">
        <v>30</v>
      </c>
      <c r="O132" s="1" t="s">
        <v>420</v>
      </c>
      <c r="P132" s="1" t="str">
        <f t="shared" si="2"/>
        <v>Columbus</v>
      </c>
      <c r="Q132" s="1" t="s">
        <v>421</v>
      </c>
      <c r="R132" s="1" t="str">
        <f t="shared" si="3"/>
        <v>Ohio</v>
      </c>
      <c r="S132" s="1">
        <v>43229</v>
      </c>
      <c r="T132" s="1" t="s">
        <v>128</v>
      </c>
      <c r="U132" s="1" t="s">
        <v>467</v>
      </c>
      <c r="V132" s="1" t="s">
        <v>64</v>
      </c>
      <c r="W132" s="7">
        <v>59.97</v>
      </c>
      <c r="X132" s="1">
        <v>4</v>
      </c>
      <c r="Y132" s="7">
        <v>59.36</v>
      </c>
      <c r="Z132" s="7">
        <f t="shared" ref="Z132:AA132" si="135">W132*X132</f>
        <v>239.88</v>
      </c>
      <c r="AA132" s="7">
        <f t="shared" si="135"/>
        <v>237.44</v>
      </c>
      <c r="AB132" s="7">
        <f t="shared" si="5"/>
        <v>2.4399999999999977</v>
      </c>
    </row>
    <row r="133" spans="1:28">
      <c r="A133" s="1">
        <v>132</v>
      </c>
      <c r="B133" s="1" t="s">
        <v>464</v>
      </c>
      <c r="C133" s="2">
        <v>43133</v>
      </c>
      <c r="D133" s="6" t="str">
        <f t="shared" si="0"/>
        <v>Feb</v>
      </c>
      <c r="E133" s="6" t="str">
        <f t="shared" si="1"/>
        <v>Qtr 1</v>
      </c>
      <c r="F133" s="5">
        <v>43222</v>
      </c>
      <c r="G133" s="1" t="s">
        <v>162</v>
      </c>
      <c r="H133" s="1" t="s">
        <v>465</v>
      </c>
      <c r="I133" s="1" t="s">
        <v>466</v>
      </c>
      <c r="J133" s="1" t="str">
        <f ca="1">IFERROR(__xludf.DUMMYFUNCTION("split(I133,"" "")"),"Dorothy")</f>
        <v>Dorothy</v>
      </c>
      <c r="K133" s="1" t="str">
        <f ca="1">IFERROR(__xludf.DUMMYFUNCTION("""COMPUTED_VALUE"""),"Wardle")</f>
        <v>Wardle</v>
      </c>
      <c r="L133" s="1"/>
      <c r="M133" s="1" t="s">
        <v>41</v>
      </c>
      <c r="N133" s="1" t="s">
        <v>30</v>
      </c>
      <c r="O133" s="1" t="s">
        <v>420</v>
      </c>
      <c r="P133" s="1" t="str">
        <f t="shared" si="2"/>
        <v>Columbus</v>
      </c>
      <c r="Q133" s="1" t="s">
        <v>421</v>
      </c>
      <c r="R133" s="1" t="str">
        <f t="shared" si="3"/>
        <v>Ohio</v>
      </c>
      <c r="S133" s="1">
        <v>43229</v>
      </c>
      <c r="T133" s="1" t="s">
        <v>128</v>
      </c>
      <c r="U133" s="1" t="s">
        <v>468</v>
      </c>
      <c r="V133" s="1" t="s">
        <v>46</v>
      </c>
      <c r="W133" s="7">
        <v>78.304000000000002</v>
      </c>
      <c r="X133" s="1">
        <v>4</v>
      </c>
      <c r="Y133" s="7">
        <v>78.239999999999995</v>
      </c>
      <c r="Z133" s="7">
        <f t="shared" ref="Z133:AA133" si="136">W133*X133</f>
        <v>313.21600000000001</v>
      </c>
      <c r="AA133" s="7">
        <f t="shared" si="136"/>
        <v>312.95999999999998</v>
      </c>
      <c r="AB133" s="7">
        <f t="shared" si="5"/>
        <v>0.25600000000002865</v>
      </c>
    </row>
    <row r="134" spans="1:28">
      <c r="A134" s="1">
        <v>133</v>
      </c>
      <c r="B134" s="1" t="s">
        <v>464</v>
      </c>
      <c r="C134" s="2">
        <v>43133</v>
      </c>
      <c r="D134" s="6" t="str">
        <f t="shared" si="0"/>
        <v>Feb</v>
      </c>
      <c r="E134" s="6" t="str">
        <f t="shared" si="1"/>
        <v>Qtr 1</v>
      </c>
      <c r="F134" s="5">
        <v>43222</v>
      </c>
      <c r="G134" s="1" t="s">
        <v>162</v>
      </c>
      <c r="H134" s="1" t="s">
        <v>465</v>
      </c>
      <c r="I134" s="1" t="s">
        <v>466</v>
      </c>
      <c r="J134" s="1" t="str">
        <f ca="1">IFERROR(__xludf.DUMMYFUNCTION("split(I134,"" "")"),"Dorothy")</f>
        <v>Dorothy</v>
      </c>
      <c r="K134" s="1" t="str">
        <f ca="1">IFERROR(__xludf.DUMMYFUNCTION("""COMPUTED_VALUE"""),"Wardle")</f>
        <v>Wardle</v>
      </c>
      <c r="L134" s="1"/>
      <c r="M134" s="1" t="s">
        <v>41</v>
      </c>
      <c r="N134" s="1" t="s">
        <v>30</v>
      </c>
      <c r="O134" s="1" t="s">
        <v>420</v>
      </c>
      <c r="P134" s="1" t="str">
        <f t="shared" si="2"/>
        <v>Columbus</v>
      </c>
      <c r="Q134" s="1" t="s">
        <v>421</v>
      </c>
      <c r="R134" s="1" t="str">
        <f t="shared" si="3"/>
        <v>Ohio</v>
      </c>
      <c r="S134" s="1">
        <v>43229</v>
      </c>
      <c r="T134" s="1" t="s">
        <v>128</v>
      </c>
      <c r="U134" s="1" t="s">
        <v>469</v>
      </c>
      <c r="V134" s="1" t="s">
        <v>46</v>
      </c>
      <c r="W134" s="7">
        <v>21.456</v>
      </c>
      <c r="X134" s="1">
        <v>4</v>
      </c>
      <c r="Y134" s="7">
        <v>20.85</v>
      </c>
      <c r="Z134" s="7">
        <f t="shared" ref="Z134:AA134" si="137">W134*X134</f>
        <v>85.823999999999998</v>
      </c>
      <c r="AA134" s="7">
        <f t="shared" si="137"/>
        <v>83.4</v>
      </c>
      <c r="AB134" s="7">
        <f t="shared" si="5"/>
        <v>2.4239999999999924</v>
      </c>
    </row>
    <row r="135" spans="1:28">
      <c r="A135" s="1">
        <v>134</v>
      </c>
      <c r="B135" s="1" t="s">
        <v>470</v>
      </c>
      <c r="C135" s="2">
        <v>43021</v>
      </c>
      <c r="D135" s="6" t="str">
        <f t="shared" si="0"/>
        <v>Oct</v>
      </c>
      <c r="E135" s="6" t="str">
        <f t="shared" si="1"/>
        <v>Qtr 4</v>
      </c>
      <c r="F135" s="5" t="s">
        <v>471</v>
      </c>
      <c r="G135" s="1" t="s">
        <v>49</v>
      </c>
      <c r="H135" s="1" t="s">
        <v>472</v>
      </c>
      <c r="I135" s="1" t="s">
        <v>473</v>
      </c>
      <c r="J135" s="1" t="str">
        <f ca="1">IFERROR(__xludf.DUMMYFUNCTION("split(I135,"" "")"),"Lena")</f>
        <v>Lena</v>
      </c>
      <c r="K135" s="1" t="str">
        <f ca="1">IFERROR(__xludf.DUMMYFUNCTION("""COMPUTED_VALUE"""),"Creighton")</f>
        <v>Creighton</v>
      </c>
      <c r="L135" s="1"/>
      <c r="M135" s="1" t="s">
        <v>29</v>
      </c>
      <c r="N135" s="1" t="s">
        <v>30</v>
      </c>
      <c r="O135" s="1" t="s">
        <v>474</v>
      </c>
      <c r="P135" s="1" t="str">
        <f t="shared" si="2"/>
        <v>Roseville</v>
      </c>
      <c r="Q135" s="1" t="s">
        <v>68</v>
      </c>
      <c r="R135" s="1" t="str">
        <f t="shared" si="3"/>
        <v>California</v>
      </c>
      <c r="S135" s="1">
        <v>95661</v>
      </c>
      <c r="T135" s="1" t="s">
        <v>44</v>
      </c>
      <c r="U135" s="1" t="s">
        <v>475</v>
      </c>
      <c r="V135" s="1" t="s">
        <v>46</v>
      </c>
      <c r="W135" s="7">
        <v>20.04</v>
      </c>
      <c r="X135" s="1">
        <v>9</v>
      </c>
      <c r="Y135" s="7">
        <v>20</v>
      </c>
      <c r="Z135" s="7">
        <f t="shared" ref="Z135:AA135" si="138">W135*X135</f>
        <v>180.35999999999999</v>
      </c>
      <c r="AA135" s="7">
        <f t="shared" si="138"/>
        <v>180</v>
      </c>
      <c r="AB135" s="7">
        <f t="shared" si="5"/>
        <v>0.35999999999998522</v>
      </c>
    </row>
    <row r="136" spans="1:28">
      <c r="A136" s="1">
        <v>135</v>
      </c>
      <c r="B136" s="1" t="s">
        <v>470</v>
      </c>
      <c r="C136" s="2">
        <v>43021</v>
      </c>
      <c r="D136" s="6" t="str">
        <f t="shared" si="0"/>
        <v>Oct</v>
      </c>
      <c r="E136" s="6" t="str">
        <f t="shared" si="1"/>
        <v>Qtr 4</v>
      </c>
      <c r="F136" s="5" t="s">
        <v>471</v>
      </c>
      <c r="G136" s="1" t="s">
        <v>49</v>
      </c>
      <c r="H136" s="1" t="s">
        <v>472</v>
      </c>
      <c r="I136" s="1" t="s">
        <v>473</v>
      </c>
      <c r="J136" s="1" t="str">
        <f ca="1">IFERROR(__xludf.DUMMYFUNCTION("split(I136,"" "")"),"Lena")</f>
        <v>Lena</v>
      </c>
      <c r="K136" s="1" t="str">
        <f ca="1">IFERROR(__xludf.DUMMYFUNCTION("""COMPUTED_VALUE"""),"Creighton")</f>
        <v>Creighton</v>
      </c>
      <c r="L136" s="1"/>
      <c r="M136" s="1" t="s">
        <v>29</v>
      </c>
      <c r="N136" s="1" t="s">
        <v>30</v>
      </c>
      <c r="O136" s="1" t="s">
        <v>474</v>
      </c>
      <c r="P136" s="1" t="str">
        <f t="shared" si="2"/>
        <v>Roseville</v>
      </c>
      <c r="Q136" s="1" t="s">
        <v>68</v>
      </c>
      <c r="R136" s="1" t="str">
        <f t="shared" si="3"/>
        <v>California</v>
      </c>
      <c r="S136" s="1">
        <v>95661</v>
      </c>
      <c r="T136" s="1" t="s">
        <v>44</v>
      </c>
      <c r="U136" s="1" t="s">
        <v>476</v>
      </c>
      <c r="V136" s="1" t="s">
        <v>46</v>
      </c>
      <c r="W136" s="7">
        <v>35.44</v>
      </c>
      <c r="X136" s="1">
        <v>9</v>
      </c>
      <c r="Y136" s="7">
        <v>35.26</v>
      </c>
      <c r="Z136" s="7">
        <f t="shared" ref="Z136:AA136" si="139">W136*X136</f>
        <v>318.95999999999998</v>
      </c>
      <c r="AA136" s="7">
        <f t="shared" si="139"/>
        <v>317.33999999999997</v>
      </c>
      <c r="AB136" s="7">
        <f t="shared" si="5"/>
        <v>1.6200000000000045</v>
      </c>
    </row>
    <row r="137" spans="1:28">
      <c r="A137" s="1">
        <v>136</v>
      </c>
      <c r="B137" s="1" t="s">
        <v>470</v>
      </c>
      <c r="C137" s="2">
        <v>43021</v>
      </c>
      <c r="D137" s="6" t="str">
        <f t="shared" si="0"/>
        <v>Oct</v>
      </c>
      <c r="E137" s="6" t="str">
        <f t="shared" si="1"/>
        <v>Qtr 4</v>
      </c>
      <c r="F137" s="5" t="s">
        <v>471</v>
      </c>
      <c r="G137" s="1" t="s">
        <v>49</v>
      </c>
      <c r="H137" s="1" t="s">
        <v>472</v>
      </c>
      <c r="I137" s="1" t="s">
        <v>473</v>
      </c>
      <c r="J137" s="1" t="str">
        <f ca="1">IFERROR(__xludf.DUMMYFUNCTION("split(I137,"" "")"),"Lena")</f>
        <v>Lena</v>
      </c>
      <c r="K137" s="1" t="str">
        <f ca="1">IFERROR(__xludf.DUMMYFUNCTION("""COMPUTED_VALUE"""),"Creighton")</f>
        <v>Creighton</v>
      </c>
      <c r="L137" s="1"/>
      <c r="M137" s="1" t="s">
        <v>29</v>
      </c>
      <c r="N137" s="1" t="s">
        <v>30</v>
      </c>
      <c r="O137" s="1" t="s">
        <v>474</v>
      </c>
      <c r="P137" s="1" t="str">
        <f t="shared" si="2"/>
        <v>Roseville</v>
      </c>
      <c r="Q137" s="1" t="s">
        <v>68</v>
      </c>
      <c r="R137" s="1" t="str">
        <f t="shared" si="3"/>
        <v>California</v>
      </c>
      <c r="S137" s="1">
        <v>95661</v>
      </c>
      <c r="T137" s="1" t="s">
        <v>44</v>
      </c>
      <c r="U137" s="1" t="s">
        <v>477</v>
      </c>
      <c r="V137" s="1" t="s">
        <v>46</v>
      </c>
      <c r="W137" s="7">
        <v>11.52</v>
      </c>
      <c r="X137" s="1">
        <v>9</v>
      </c>
      <c r="Y137" s="7">
        <v>10.88</v>
      </c>
      <c r="Z137" s="7">
        <f t="shared" ref="Z137:AA137" si="140">W137*X137</f>
        <v>103.67999999999999</v>
      </c>
      <c r="AA137" s="7">
        <f t="shared" si="140"/>
        <v>97.92</v>
      </c>
      <c r="AB137" s="7">
        <f t="shared" si="5"/>
        <v>5.7599999999999909</v>
      </c>
    </row>
    <row r="138" spans="1:28">
      <c r="A138" s="1">
        <v>137</v>
      </c>
      <c r="B138" s="1" t="s">
        <v>470</v>
      </c>
      <c r="C138" s="2">
        <v>43021</v>
      </c>
      <c r="D138" s="6" t="str">
        <f t="shared" si="0"/>
        <v>Oct</v>
      </c>
      <c r="E138" s="6" t="str">
        <f t="shared" si="1"/>
        <v>Qtr 4</v>
      </c>
      <c r="F138" s="5" t="s">
        <v>471</v>
      </c>
      <c r="G138" s="1" t="s">
        <v>49</v>
      </c>
      <c r="H138" s="1" t="s">
        <v>472</v>
      </c>
      <c r="I138" s="1" t="s">
        <v>473</v>
      </c>
      <c r="J138" s="1" t="str">
        <f ca="1">IFERROR(__xludf.DUMMYFUNCTION("split(I138,"" "")"),"Lena")</f>
        <v>Lena</v>
      </c>
      <c r="K138" s="1" t="str">
        <f ca="1">IFERROR(__xludf.DUMMYFUNCTION("""COMPUTED_VALUE"""),"Creighton")</f>
        <v>Creighton</v>
      </c>
      <c r="L138" s="1"/>
      <c r="M138" s="1" t="s">
        <v>29</v>
      </c>
      <c r="N138" s="1" t="s">
        <v>30</v>
      </c>
      <c r="O138" s="1" t="s">
        <v>474</v>
      </c>
      <c r="P138" s="1" t="str">
        <f t="shared" si="2"/>
        <v>Roseville</v>
      </c>
      <c r="Q138" s="1" t="s">
        <v>68</v>
      </c>
      <c r="R138" s="1" t="str">
        <f t="shared" si="3"/>
        <v>California</v>
      </c>
      <c r="S138" s="1">
        <v>95661</v>
      </c>
      <c r="T138" s="1" t="s">
        <v>44</v>
      </c>
      <c r="U138" s="1" t="s">
        <v>478</v>
      </c>
      <c r="V138" s="1" t="s">
        <v>46</v>
      </c>
      <c r="W138" s="7">
        <v>4.0199999999999996</v>
      </c>
      <c r="X138" s="1">
        <v>9</v>
      </c>
      <c r="Y138" s="7">
        <v>3.77</v>
      </c>
      <c r="Z138" s="7">
        <f t="shared" ref="Z138:AA138" si="141">W138*X138</f>
        <v>36.179999999999993</v>
      </c>
      <c r="AA138" s="7">
        <f t="shared" si="141"/>
        <v>33.93</v>
      </c>
      <c r="AB138" s="7">
        <f t="shared" si="5"/>
        <v>2.2499999999999929</v>
      </c>
    </row>
    <row r="139" spans="1:28">
      <c r="A139" s="1">
        <v>138</v>
      </c>
      <c r="B139" s="1" t="s">
        <v>470</v>
      </c>
      <c r="C139" s="2">
        <v>43021</v>
      </c>
      <c r="D139" s="6" t="str">
        <f t="shared" si="0"/>
        <v>Oct</v>
      </c>
      <c r="E139" s="6" t="str">
        <f t="shared" si="1"/>
        <v>Qtr 4</v>
      </c>
      <c r="F139" s="5" t="s">
        <v>471</v>
      </c>
      <c r="G139" s="1" t="s">
        <v>49</v>
      </c>
      <c r="H139" s="1" t="s">
        <v>472</v>
      </c>
      <c r="I139" s="1" t="s">
        <v>473</v>
      </c>
      <c r="J139" s="1" t="str">
        <f ca="1">IFERROR(__xludf.DUMMYFUNCTION("split(I139,"" "")"),"Lena")</f>
        <v>Lena</v>
      </c>
      <c r="K139" s="1" t="str">
        <f ca="1">IFERROR(__xludf.DUMMYFUNCTION("""COMPUTED_VALUE"""),"Creighton")</f>
        <v>Creighton</v>
      </c>
      <c r="L139" s="1"/>
      <c r="M139" s="1" t="s">
        <v>29</v>
      </c>
      <c r="N139" s="1" t="s">
        <v>30</v>
      </c>
      <c r="O139" s="1" t="s">
        <v>474</v>
      </c>
      <c r="P139" s="1" t="str">
        <f t="shared" si="2"/>
        <v>Roseville</v>
      </c>
      <c r="Q139" s="1" t="s">
        <v>68</v>
      </c>
      <c r="R139" s="1" t="str">
        <f t="shared" si="3"/>
        <v>California</v>
      </c>
      <c r="S139" s="1">
        <v>95661</v>
      </c>
      <c r="T139" s="1" t="s">
        <v>44</v>
      </c>
      <c r="U139" s="1" t="s">
        <v>479</v>
      </c>
      <c r="V139" s="1" t="s">
        <v>46</v>
      </c>
      <c r="W139" s="7">
        <v>76.176000000000002</v>
      </c>
      <c r="X139" s="1">
        <v>9</v>
      </c>
      <c r="Y139" s="7">
        <v>76.02</v>
      </c>
      <c r="Z139" s="7">
        <f t="shared" ref="Z139:AA139" si="142">W139*X139</f>
        <v>685.58400000000006</v>
      </c>
      <c r="AA139" s="7">
        <f t="shared" si="142"/>
        <v>684.18</v>
      </c>
      <c r="AB139" s="7">
        <f t="shared" si="5"/>
        <v>1.40400000000011</v>
      </c>
    </row>
    <row r="140" spans="1:28">
      <c r="A140" s="1">
        <v>139</v>
      </c>
      <c r="B140" s="1" t="s">
        <v>470</v>
      </c>
      <c r="C140" s="2">
        <v>43021</v>
      </c>
      <c r="D140" s="6" t="str">
        <f t="shared" si="0"/>
        <v>Oct</v>
      </c>
      <c r="E140" s="6" t="str">
        <f t="shared" si="1"/>
        <v>Qtr 4</v>
      </c>
      <c r="F140" s="5" t="s">
        <v>471</v>
      </c>
      <c r="G140" s="1" t="s">
        <v>49</v>
      </c>
      <c r="H140" s="1" t="s">
        <v>472</v>
      </c>
      <c r="I140" s="1" t="s">
        <v>473</v>
      </c>
      <c r="J140" s="1" t="str">
        <f ca="1">IFERROR(__xludf.DUMMYFUNCTION("split(I140,"" "")"),"Lena")</f>
        <v>Lena</v>
      </c>
      <c r="K140" s="1" t="str">
        <f ca="1">IFERROR(__xludf.DUMMYFUNCTION("""COMPUTED_VALUE"""),"Creighton")</f>
        <v>Creighton</v>
      </c>
      <c r="L140" s="1"/>
      <c r="M140" s="1" t="s">
        <v>29</v>
      </c>
      <c r="N140" s="1" t="s">
        <v>30</v>
      </c>
      <c r="O140" s="1" t="s">
        <v>474</v>
      </c>
      <c r="P140" s="1" t="str">
        <f t="shared" si="2"/>
        <v>Roseville</v>
      </c>
      <c r="Q140" s="1" t="s">
        <v>68</v>
      </c>
      <c r="R140" s="1" t="str">
        <f t="shared" si="3"/>
        <v>California</v>
      </c>
      <c r="S140" s="1">
        <v>95661</v>
      </c>
      <c r="T140" s="1" t="s">
        <v>44</v>
      </c>
      <c r="U140" s="1" t="s">
        <v>480</v>
      </c>
      <c r="V140" s="1" t="s">
        <v>46</v>
      </c>
      <c r="W140" s="7">
        <v>65.88</v>
      </c>
      <c r="X140" s="1">
        <v>9</v>
      </c>
      <c r="Y140" s="7">
        <v>65.27</v>
      </c>
      <c r="Z140" s="7">
        <f t="shared" ref="Z140:AA140" si="143">W140*X140</f>
        <v>592.91999999999996</v>
      </c>
      <c r="AA140" s="7">
        <f t="shared" si="143"/>
        <v>587.42999999999995</v>
      </c>
      <c r="AB140" s="7">
        <f t="shared" si="5"/>
        <v>5.4900000000000091</v>
      </c>
    </row>
    <row r="141" spans="1:28">
      <c r="A141" s="1">
        <v>140</v>
      </c>
      <c r="B141" s="1" t="s">
        <v>470</v>
      </c>
      <c r="C141" s="2">
        <v>43021</v>
      </c>
      <c r="D141" s="6" t="str">
        <f t="shared" si="0"/>
        <v>Oct</v>
      </c>
      <c r="E141" s="6" t="str">
        <f t="shared" si="1"/>
        <v>Qtr 4</v>
      </c>
      <c r="F141" s="5" t="s">
        <v>471</v>
      </c>
      <c r="G141" s="1" t="s">
        <v>49</v>
      </c>
      <c r="H141" s="1" t="s">
        <v>472</v>
      </c>
      <c r="I141" s="1" t="s">
        <v>473</v>
      </c>
      <c r="J141" s="1" t="str">
        <f ca="1">IFERROR(__xludf.DUMMYFUNCTION("split(I141,"" "")"),"Lena")</f>
        <v>Lena</v>
      </c>
      <c r="K141" s="1" t="str">
        <f ca="1">IFERROR(__xludf.DUMMYFUNCTION("""COMPUTED_VALUE"""),"Creighton")</f>
        <v>Creighton</v>
      </c>
      <c r="L141" s="1"/>
      <c r="M141" s="1" t="s">
        <v>29</v>
      </c>
      <c r="N141" s="1" t="s">
        <v>30</v>
      </c>
      <c r="O141" s="1" t="s">
        <v>474</v>
      </c>
      <c r="P141" s="1" t="str">
        <f t="shared" si="2"/>
        <v>Roseville</v>
      </c>
      <c r="Q141" s="1" t="s">
        <v>68</v>
      </c>
      <c r="R141" s="1" t="str">
        <f t="shared" si="3"/>
        <v>California</v>
      </c>
      <c r="S141" s="1">
        <v>95661</v>
      </c>
      <c r="T141" s="1" t="s">
        <v>44</v>
      </c>
      <c r="U141" s="1" t="s">
        <v>227</v>
      </c>
      <c r="V141" s="1" t="s">
        <v>35</v>
      </c>
      <c r="W141" s="7">
        <v>43.12</v>
      </c>
      <c r="X141" s="1">
        <v>9</v>
      </c>
      <c r="Y141" s="7">
        <v>42.27</v>
      </c>
      <c r="Z141" s="7">
        <f t="shared" ref="Z141:AA141" si="144">W141*X141</f>
        <v>388.08</v>
      </c>
      <c r="AA141" s="7">
        <f t="shared" si="144"/>
        <v>380.43</v>
      </c>
      <c r="AB141" s="7">
        <f t="shared" si="5"/>
        <v>7.6499999999999773</v>
      </c>
    </row>
    <row r="142" spans="1:28">
      <c r="A142" s="1">
        <v>141</v>
      </c>
      <c r="B142" s="1" t="s">
        <v>481</v>
      </c>
      <c r="C142" s="2">
        <v>42864</v>
      </c>
      <c r="D142" s="6" t="str">
        <f t="shared" si="0"/>
        <v>May</v>
      </c>
      <c r="E142" s="6" t="str">
        <f t="shared" si="1"/>
        <v>Qtr 2</v>
      </c>
      <c r="F142" s="5">
        <v>42925</v>
      </c>
      <c r="G142" s="1" t="s">
        <v>26</v>
      </c>
      <c r="H142" s="1" t="s">
        <v>482</v>
      </c>
      <c r="I142" s="1" t="s">
        <v>483</v>
      </c>
      <c r="J142" s="1" t="str">
        <f ca="1">IFERROR(__xludf.DUMMYFUNCTION("split(I142,"" "")"),"Jonathan")</f>
        <v>Jonathan</v>
      </c>
      <c r="K142" s="1" t="str">
        <f ca="1">IFERROR(__xludf.DUMMYFUNCTION("""COMPUTED_VALUE"""),"Doherty")</f>
        <v>Doherty</v>
      </c>
      <c r="L142" s="1"/>
      <c r="M142" s="1" t="s">
        <v>41</v>
      </c>
      <c r="N142" s="1" t="s">
        <v>30</v>
      </c>
      <c r="O142" s="1" t="s">
        <v>126</v>
      </c>
      <c r="P142" s="1" t="str">
        <f t="shared" si="2"/>
        <v>Philadelphia</v>
      </c>
      <c r="Q142" s="1" t="s">
        <v>127</v>
      </c>
      <c r="R142" s="1" t="str">
        <f t="shared" si="3"/>
        <v>Pennsylvania</v>
      </c>
      <c r="S142" s="1">
        <v>19140</v>
      </c>
      <c r="T142" s="1" t="s">
        <v>128</v>
      </c>
      <c r="U142" s="1" t="s">
        <v>150</v>
      </c>
      <c r="V142" s="1" t="s">
        <v>35</v>
      </c>
      <c r="W142" s="7">
        <v>82.8</v>
      </c>
      <c r="X142" s="1">
        <v>1</v>
      </c>
      <c r="Y142" s="7">
        <v>82.56</v>
      </c>
      <c r="Z142" s="7">
        <f t="shared" ref="Z142:AA142" si="145">W142*X142</f>
        <v>82.8</v>
      </c>
      <c r="AA142" s="7">
        <f t="shared" si="145"/>
        <v>82.56</v>
      </c>
      <c r="AB142" s="7">
        <f t="shared" si="5"/>
        <v>0.23999999999999488</v>
      </c>
    </row>
    <row r="143" spans="1:28">
      <c r="A143" s="1">
        <v>142</v>
      </c>
      <c r="B143" s="1" t="s">
        <v>484</v>
      </c>
      <c r="C143" s="2">
        <v>43361</v>
      </c>
      <c r="D143" s="6" t="str">
        <f t="shared" si="0"/>
        <v>Sep</v>
      </c>
      <c r="E143" s="6" t="str">
        <f t="shared" si="1"/>
        <v>Qtr 3</v>
      </c>
      <c r="F143" s="5" t="s">
        <v>190</v>
      </c>
      <c r="G143" s="1" t="s">
        <v>49</v>
      </c>
      <c r="H143" s="1" t="s">
        <v>485</v>
      </c>
      <c r="I143" s="1" t="s">
        <v>486</v>
      </c>
      <c r="J143" s="1" t="str">
        <f ca="1">IFERROR(__xludf.DUMMYFUNCTION("split(I143,"" "")"),"Sally")</f>
        <v>Sally</v>
      </c>
      <c r="K143" s="1" t="str">
        <f ca="1">IFERROR(__xludf.DUMMYFUNCTION("""COMPUTED_VALUE"""),"Hughsby")</f>
        <v>Hughsby</v>
      </c>
      <c r="L143" s="1"/>
      <c r="M143" s="1" t="s">
        <v>41</v>
      </c>
      <c r="N143" s="1" t="s">
        <v>30</v>
      </c>
      <c r="O143" s="1" t="s">
        <v>110</v>
      </c>
      <c r="P143" s="1" t="str">
        <f t="shared" si="2"/>
        <v>San Francisco</v>
      </c>
      <c r="Q143" s="1" t="s">
        <v>68</v>
      </c>
      <c r="R143" s="1" t="str">
        <f t="shared" si="3"/>
        <v>California</v>
      </c>
      <c r="S143" s="1">
        <v>94122</v>
      </c>
      <c r="T143" s="1" t="s">
        <v>44</v>
      </c>
      <c r="U143" s="1" t="s">
        <v>487</v>
      </c>
      <c r="V143" s="1" t="s">
        <v>46</v>
      </c>
      <c r="W143" s="7">
        <v>8.82</v>
      </c>
      <c r="X143" s="1">
        <v>9</v>
      </c>
      <c r="Y143" s="7">
        <v>8.76</v>
      </c>
      <c r="Z143" s="7">
        <f t="shared" ref="Z143:AA143" si="146">W143*X143</f>
        <v>79.38</v>
      </c>
      <c r="AA143" s="7">
        <f t="shared" si="146"/>
        <v>78.84</v>
      </c>
      <c r="AB143" s="7">
        <f t="shared" si="5"/>
        <v>0.53999999999999204</v>
      </c>
    </row>
    <row r="144" spans="1:28">
      <c r="A144" s="1">
        <v>143</v>
      </c>
      <c r="B144" s="1" t="s">
        <v>484</v>
      </c>
      <c r="C144" s="2">
        <v>43361</v>
      </c>
      <c r="D144" s="6" t="str">
        <f t="shared" si="0"/>
        <v>Sep</v>
      </c>
      <c r="E144" s="6" t="str">
        <f t="shared" si="1"/>
        <v>Qtr 3</v>
      </c>
      <c r="F144" s="5" t="s">
        <v>190</v>
      </c>
      <c r="G144" s="1" t="s">
        <v>49</v>
      </c>
      <c r="H144" s="1" t="s">
        <v>485</v>
      </c>
      <c r="I144" s="1" t="s">
        <v>486</v>
      </c>
      <c r="J144" s="1" t="str">
        <f ca="1">IFERROR(__xludf.DUMMYFUNCTION("split(I144,"" "")"),"Sally")</f>
        <v>Sally</v>
      </c>
      <c r="K144" s="1" t="str">
        <f ca="1">IFERROR(__xludf.DUMMYFUNCTION("""COMPUTED_VALUE"""),"Hughsby")</f>
        <v>Hughsby</v>
      </c>
      <c r="L144" s="1"/>
      <c r="M144" s="1" t="s">
        <v>41</v>
      </c>
      <c r="N144" s="1" t="s">
        <v>30</v>
      </c>
      <c r="O144" s="1" t="s">
        <v>110</v>
      </c>
      <c r="P144" s="1" t="str">
        <f t="shared" si="2"/>
        <v>San Francisco</v>
      </c>
      <c r="Q144" s="1" t="s">
        <v>68</v>
      </c>
      <c r="R144" s="1" t="str">
        <f t="shared" si="3"/>
        <v>California</v>
      </c>
      <c r="S144" s="1">
        <v>94122</v>
      </c>
      <c r="T144" s="1" t="s">
        <v>44</v>
      </c>
      <c r="U144" s="1" t="s">
        <v>488</v>
      </c>
      <c r="V144" s="1" t="s">
        <v>46</v>
      </c>
      <c r="W144" s="7">
        <v>10.86</v>
      </c>
      <c r="X144" s="1">
        <v>9</v>
      </c>
      <c r="Y144" s="7">
        <v>10.56</v>
      </c>
      <c r="Z144" s="7">
        <f t="shared" ref="Z144:AA144" si="147">W144*X144</f>
        <v>97.74</v>
      </c>
      <c r="AA144" s="7">
        <f t="shared" si="147"/>
        <v>95.04</v>
      </c>
      <c r="AB144" s="7">
        <f t="shared" si="5"/>
        <v>2.6999999999999886</v>
      </c>
    </row>
    <row r="145" spans="1:28">
      <c r="A145" s="1">
        <v>144</v>
      </c>
      <c r="B145" s="1" t="s">
        <v>484</v>
      </c>
      <c r="C145" s="2">
        <v>43361</v>
      </c>
      <c r="D145" s="6" t="str">
        <f t="shared" si="0"/>
        <v>Sep</v>
      </c>
      <c r="E145" s="6" t="str">
        <f t="shared" si="1"/>
        <v>Qtr 3</v>
      </c>
      <c r="F145" s="5" t="s">
        <v>190</v>
      </c>
      <c r="G145" s="1" t="s">
        <v>49</v>
      </c>
      <c r="H145" s="1" t="s">
        <v>485</v>
      </c>
      <c r="I145" s="1" t="s">
        <v>486</v>
      </c>
      <c r="J145" s="1" t="str">
        <f ca="1">IFERROR(__xludf.DUMMYFUNCTION("split(I145,"" "")"),"Sally")</f>
        <v>Sally</v>
      </c>
      <c r="K145" s="1" t="str">
        <f ca="1">IFERROR(__xludf.DUMMYFUNCTION("""COMPUTED_VALUE"""),"Hughsby")</f>
        <v>Hughsby</v>
      </c>
      <c r="L145" s="1"/>
      <c r="M145" s="1" t="s">
        <v>41</v>
      </c>
      <c r="N145" s="1" t="s">
        <v>30</v>
      </c>
      <c r="O145" s="1" t="s">
        <v>110</v>
      </c>
      <c r="P145" s="1" t="str">
        <f t="shared" si="2"/>
        <v>San Francisco</v>
      </c>
      <c r="Q145" s="1" t="s">
        <v>68</v>
      </c>
      <c r="R145" s="1" t="str">
        <f t="shared" si="3"/>
        <v>California</v>
      </c>
      <c r="S145" s="1">
        <v>94122</v>
      </c>
      <c r="T145" s="1" t="s">
        <v>44</v>
      </c>
      <c r="U145" s="1" t="s">
        <v>489</v>
      </c>
      <c r="V145" s="1" t="s">
        <v>46</v>
      </c>
      <c r="W145" s="7">
        <v>143.69999999999999</v>
      </c>
      <c r="X145" s="1">
        <v>9</v>
      </c>
      <c r="Y145" s="7">
        <v>143.52000000000001</v>
      </c>
      <c r="Z145" s="7">
        <f t="shared" ref="Z145:AA145" si="148">W145*X145</f>
        <v>1293.3</v>
      </c>
      <c r="AA145" s="7">
        <f t="shared" si="148"/>
        <v>1291.68</v>
      </c>
      <c r="AB145" s="7">
        <f t="shared" si="5"/>
        <v>1.6199999999998909</v>
      </c>
    </row>
    <row r="146" spans="1:28">
      <c r="A146" s="1">
        <v>145</v>
      </c>
      <c r="B146" s="1" t="s">
        <v>490</v>
      </c>
      <c r="C146" s="2">
        <v>43456</v>
      </c>
      <c r="D146" s="6" t="str">
        <f t="shared" si="0"/>
        <v>Dec</v>
      </c>
      <c r="E146" s="6" t="str">
        <f t="shared" si="1"/>
        <v>Qtr 4</v>
      </c>
      <c r="F146" s="5" t="s">
        <v>491</v>
      </c>
      <c r="G146" s="1" t="s">
        <v>49</v>
      </c>
      <c r="H146" s="1" t="s">
        <v>492</v>
      </c>
      <c r="I146" s="1" t="s">
        <v>493</v>
      </c>
      <c r="J146" s="1" t="str">
        <f ca="1">IFERROR(__xludf.DUMMYFUNCTION("split(I146,"" "")"),"Sandra")</f>
        <v>Sandra</v>
      </c>
      <c r="K146" s="1" t="str">
        <f ca="1">IFERROR(__xludf.DUMMYFUNCTION("""COMPUTED_VALUE"""),"Glassco")</f>
        <v>Glassco</v>
      </c>
      <c r="L146" s="1"/>
      <c r="M146" s="1" t="s">
        <v>29</v>
      </c>
      <c r="N146" s="1" t="s">
        <v>30</v>
      </c>
      <c r="O146" s="1" t="s">
        <v>494</v>
      </c>
      <c r="P146" s="1" t="str">
        <f t="shared" si="2"/>
        <v>Independence</v>
      </c>
      <c r="Q146" s="1" t="s">
        <v>495</v>
      </c>
      <c r="R146" s="1" t="str">
        <f t="shared" si="3"/>
        <v>Missouri</v>
      </c>
      <c r="S146" s="1">
        <v>64055</v>
      </c>
      <c r="T146" s="1" t="s">
        <v>90</v>
      </c>
      <c r="U146" s="1" t="s">
        <v>496</v>
      </c>
      <c r="V146" s="1" t="s">
        <v>46</v>
      </c>
      <c r="W146" s="7">
        <v>839.43</v>
      </c>
      <c r="X146" s="1">
        <v>6</v>
      </c>
      <c r="Y146" s="7">
        <v>838.57</v>
      </c>
      <c r="Z146" s="7">
        <f t="shared" ref="Z146:AA146" si="149">W146*X146</f>
        <v>5036.58</v>
      </c>
      <c r="AA146" s="7">
        <f t="shared" si="149"/>
        <v>5031.42</v>
      </c>
      <c r="AB146" s="7">
        <f t="shared" si="5"/>
        <v>5.1599999999998545</v>
      </c>
    </row>
    <row r="147" spans="1:28">
      <c r="A147" s="1">
        <v>146</v>
      </c>
      <c r="B147" s="1" t="s">
        <v>497</v>
      </c>
      <c r="C147" s="2">
        <v>42560</v>
      </c>
      <c r="D147" s="6" t="str">
        <f t="shared" si="0"/>
        <v>Jul</v>
      </c>
      <c r="E147" s="6" t="str">
        <f t="shared" si="1"/>
        <v>Qtr 3</v>
      </c>
      <c r="F147" s="5">
        <v>42713</v>
      </c>
      <c r="G147" s="1" t="s">
        <v>49</v>
      </c>
      <c r="H147" s="1" t="s">
        <v>498</v>
      </c>
      <c r="I147" s="1" t="s">
        <v>499</v>
      </c>
      <c r="J147" s="1" t="str">
        <f ca="1">IFERROR(__xludf.DUMMYFUNCTION("split(I147,"" "")"),"Helen")</f>
        <v>Helen</v>
      </c>
      <c r="K147" s="1" t="str">
        <f ca="1">IFERROR(__xludf.DUMMYFUNCTION("""COMPUTED_VALUE"""),"Andreada")</f>
        <v>Andreada</v>
      </c>
      <c r="L147" s="1"/>
      <c r="M147" s="1" t="s">
        <v>29</v>
      </c>
      <c r="N147" s="1" t="s">
        <v>30</v>
      </c>
      <c r="O147" s="1" t="s">
        <v>500</v>
      </c>
      <c r="P147" s="1" t="str">
        <f t="shared" si="2"/>
        <v>Pasadena</v>
      </c>
      <c r="Q147" s="1" t="s">
        <v>68</v>
      </c>
      <c r="R147" s="1" t="str">
        <f t="shared" si="3"/>
        <v>California</v>
      </c>
      <c r="S147" s="1">
        <v>91104</v>
      </c>
      <c r="T147" s="1" t="s">
        <v>44</v>
      </c>
      <c r="U147" s="1" t="s">
        <v>322</v>
      </c>
      <c r="V147" s="1" t="s">
        <v>46</v>
      </c>
      <c r="W147" s="7">
        <v>671.93</v>
      </c>
      <c r="X147" s="1">
        <v>9</v>
      </c>
      <c r="Y147" s="7">
        <v>671.11</v>
      </c>
      <c r="Z147" s="7">
        <f t="shared" ref="Z147:AA147" si="150">W147*X147</f>
        <v>6047.37</v>
      </c>
      <c r="AA147" s="7">
        <f t="shared" si="150"/>
        <v>6039.99</v>
      </c>
      <c r="AB147" s="7">
        <f t="shared" si="5"/>
        <v>7.3800000000001091</v>
      </c>
    </row>
    <row r="148" spans="1:28">
      <c r="A148" s="1">
        <v>147</v>
      </c>
      <c r="B148" s="1" t="s">
        <v>501</v>
      </c>
      <c r="C148" s="2">
        <v>42299</v>
      </c>
      <c r="D148" s="6" t="str">
        <f t="shared" si="0"/>
        <v>Oct</v>
      </c>
      <c r="E148" s="6" t="str">
        <f t="shared" si="1"/>
        <v>Qtr 4</v>
      </c>
      <c r="F148" s="5" t="s">
        <v>502</v>
      </c>
      <c r="G148" s="1" t="s">
        <v>49</v>
      </c>
      <c r="H148" s="1" t="s">
        <v>503</v>
      </c>
      <c r="I148" s="1" t="s">
        <v>504</v>
      </c>
      <c r="J148" s="1" t="str">
        <f ca="1">IFERROR(__xludf.DUMMYFUNCTION("split(I148,"" "")"),"Maureen")</f>
        <v>Maureen</v>
      </c>
      <c r="K148" s="1" t="str">
        <f ca="1">IFERROR(__xludf.DUMMYFUNCTION("""COMPUTED_VALUE"""),"Gastineau")</f>
        <v>Gastineau</v>
      </c>
      <c r="L148" s="1"/>
      <c r="M148" s="1" t="s">
        <v>87</v>
      </c>
      <c r="N148" s="1" t="s">
        <v>30</v>
      </c>
      <c r="O148" s="1" t="s">
        <v>505</v>
      </c>
      <c r="P148" s="1" t="str">
        <f t="shared" si="2"/>
        <v>Newark</v>
      </c>
      <c r="Q148" s="1" t="s">
        <v>421</v>
      </c>
      <c r="R148" s="1" t="str">
        <f t="shared" si="3"/>
        <v>Ohio</v>
      </c>
      <c r="S148" s="1">
        <v>43055</v>
      </c>
      <c r="T148" s="1" t="s">
        <v>128</v>
      </c>
      <c r="U148" s="1" t="s">
        <v>506</v>
      </c>
      <c r="V148" s="1" t="s">
        <v>35</v>
      </c>
      <c r="W148" s="7">
        <v>93.888000000000005</v>
      </c>
      <c r="X148" s="1">
        <v>4</v>
      </c>
      <c r="Y148" s="7">
        <v>93.42</v>
      </c>
      <c r="Z148" s="7">
        <f t="shared" ref="Z148:AA148" si="151">W148*X148</f>
        <v>375.55200000000002</v>
      </c>
      <c r="AA148" s="7">
        <f t="shared" si="151"/>
        <v>373.68</v>
      </c>
      <c r="AB148" s="7">
        <f t="shared" si="5"/>
        <v>1.8720000000000141</v>
      </c>
    </row>
    <row r="149" spans="1:28">
      <c r="A149" s="1">
        <v>148</v>
      </c>
      <c r="B149" s="1" t="s">
        <v>507</v>
      </c>
      <c r="C149" s="2">
        <v>42867</v>
      </c>
      <c r="D149" s="6" t="str">
        <f t="shared" si="0"/>
        <v>May</v>
      </c>
      <c r="E149" s="6" t="str">
        <f t="shared" si="1"/>
        <v>Qtr 2</v>
      </c>
      <c r="F149" s="5">
        <v>42990</v>
      </c>
      <c r="G149" s="1" t="s">
        <v>49</v>
      </c>
      <c r="H149" s="1" t="s">
        <v>508</v>
      </c>
      <c r="I149" s="1" t="s">
        <v>509</v>
      </c>
      <c r="J149" s="1" t="str">
        <f ca="1">IFERROR(__xludf.DUMMYFUNCTION("split(I149,"" "")"),"Justin")</f>
        <v>Justin</v>
      </c>
      <c r="K149" s="1" t="str">
        <f ca="1">IFERROR(__xludf.DUMMYFUNCTION("""COMPUTED_VALUE"""),"Ellison")</f>
        <v>Ellison</v>
      </c>
      <c r="L149" s="1"/>
      <c r="M149" s="1" t="s">
        <v>41</v>
      </c>
      <c r="N149" s="1" t="s">
        <v>30</v>
      </c>
      <c r="O149" s="1" t="s">
        <v>510</v>
      </c>
      <c r="P149" s="1" t="str">
        <f t="shared" si="2"/>
        <v>Franklin</v>
      </c>
      <c r="Q149" s="1" t="s">
        <v>98</v>
      </c>
      <c r="R149" s="1" t="str">
        <f t="shared" si="3"/>
        <v>Wisconsin</v>
      </c>
      <c r="S149" s="1">
        <v>53132</v>
      </c>
      <c r="T149" s="1" t="s">
        <v>90</v>
      </c>
      <c r="U149" s="1" t="s">
        <v>511</v>
      </c>
      <c r="V149" s="1" t="s">
        <v>64</v>
      </c>
      <c r="W149" s="7">
        <v>384.45</v>
      </c>
      <c r="X149" s="1">
        <v>5</v>
      </c>
      <c r="Y149" s="7">
        <v>383.76</v>
      </c>
      <c r="Z149" s="7">
        <f t="shared" ref="Z149:AA149" si="152">W149*X149</f>
        <v>1922.25</v>
      </c>
      <c r="AA149" s="7">
        <f t="shared" si="152"/>
        <v>1918.8</v>
      </c>
      <c r="AB149" s="7">
        <f t="shared" si="5"/>
        <v>3.4500000000000455</v>
      </c>
    </row>
    <row r="150" spans="1:28">
      <c r="A150" s="1">
        <v>149</v>
      </c>
      <c r="B150" s="1" t="s">
        <v>507</v>
      </c>
      <c r="C150" s="2">
        <v>42867</v>
      </c>
      <c r="D150" s="6" t="str">
        <f t="shared" si="0"/>
        <v>May</v>
      </c>
      <c r="E150" s="6" t="str">
        <f t="shared" si="1"/>
        <v>Qtr 2</v>
      </c>
      <c r="F150" s="5">
        <v>42990</v>
      </c>
      <c r="G150" s="1" t="s">
        <v>49</v>
      </c>
      <c r="H150" s="1" t="s">
        <v>508</v>
      </c>
      <c r="I150" s="1" t="s">
        <v>509</v>
      </c>
      <c r="J150" s="1" t="str">
        <f ca="1">IFERROR(__xludf.DUMMYFUNCTION("split(I150,"" "")"),"Justin")</f>
        <v>Justin</v>
      </c>
      <c r="K150" s="1" t="str">
        <f ca="1">IFERROR(__xludf.DUMMYFUNCTION("""COMPUTED_VALUE"""),"Ellison")</f>
        <v>Ellison</v>
      </c>
      <c r="L150" s="1"/>
      <c r="M150" s="1" t="s">
        <v>41</v>
      </c>
      <c r="N150" s="1" t="s">
        <v>30</v>
      </c>
      <c r="O150" s="1" t="s">
        <v>510</v>
      </c>
      <c r="P150" s="1" t="str">
        <f t="shared" si="2"/>
        <v>Franklin</v>
      </c>
      <c r="Q150" s="1" t="s">
        <v>98</v>
      </c>
      <c r="R150" s="1" t="str">
        <f t="shared" si="3"/>
        <v>Wisconsin</v>
      </c>
      <c r="S150" s="1">
        <v>53132</v>
      </c>
      <c r="T150" s="1" t="s">
        <v>90</v>
      </c>
      <c r="U150" s="1" t="s">
        <v>512</v>
      </c>
      <c r="V150" s="1" t="s">
        <v>64</v>
      </c>
      <c r="W150" s="7">
        <v>149.97</v>
      </c>
      <c r="X150" s="1">
        <v>5</v>
      </c>
      <c r="Y150" s="7">
        <v>149.91999999999999</v>
      </c>
      <c r="Z150" s="7">
        <f t="shared" ref="Z150:AA150" si="153">W150*X150</f>
        <v>749.85</v>
      </c>
      <c r="AA150" s="7">
        <f t="shared" si="153"/>
        <v>749.59999999999991</v>
      </c>
      <c r="AB150" s="7">
        <f t="shared" si="5"/>
        <v>0.25000000000011369</v>
      </c>
    </row>
    <row r="151" spans="1:28">
      <c r="A151" s="1">
        <v>150</v>
      </c>
      <c r="B151" s="1" t="s">
        <v>507</v>
      </c>
      <c r="C151" s="2">
        <v>42867</v>
      </c>
      <c r="D151" s="6" t="str">
        <f t="shared" si="0"/>
        <v>May</v>
      </c>
      <c r="E151" s="6" t="str">
        <f t="shared" si="1"/>
        <v>Qtr 2</v>
      </c>
      <c r="F151" s="5">
        <v>42990</v>
      </c>
      <c r="G151" s="1" t="s">
        <v>49</v>
      </c>
      <c r="H151" s="1" t="s">
        <v>508</v>
      </c>
      <c r="I151" s="1" t="s">
        <v>509</v>
      </c>
      <c r="J151" s="1" t="str">
        <f ca="1">IFERROR(__xludf.DUMMYFUNCTION("split(I151,"" "")"),"Justin")</f>
        <v>Justin</v>
      </c>
      <c r="K151" s="1" t="str">
        <f ca="1">IFERROR(__xludf.DUMMYFUNCTION("""COMPUTED_VALUE"""),"Ellison")</f>
        <v>Ellison</v>
      </c>
      <c r="L151" s="1"/>
      <c r="M151" s="1" t="s">
        <v>41</v>
      </c>
      <c r="N151" s="1" t="s">
        <v>30</v>
      </c>
      <c r="O151" s="1" t="s">
        <v>510</v>
      </c>
      <c r="P151" s="1" t="str">
        <f t="shared" si="2"/>
        <v>Franklin</v>
      </c>
      <c r="Q151" s="1" t="s">
        <v>98</v>
      </c>
      <c r="R151" s="1" t="str">
        <f t="shared" si="3"/>
        <v>Wisconsin</v>
      </c>
      <c r="S151" s="1">
        <v>53132</v>
      </c>
      <c r="T151" s="1" t="s">
        <v>90</v>
      </c>
      <c r="U151" s="1" t="s">
        <v>36</v>
      </c>
      <c r="V151" s="1" t="s">
        <v>35</v>
      </c>
      <c r="W151" s="7">
        <v>1951.84</v>
      </c>
      <c r="X151" s="1">
        <v>5</v>
      </c>
      <c r="Y151" s="7">
        <v>1950.87</v>
      </c>
      <c r="Z151" s="7">
        <f t="shared" ref="Z151:AA151" si="154">W151*X151</f>
        <v>9759.1999999999989</v>
      </c>
      <c r="AA151" s="7">
        <f t="shared" si="154"/>
        <v>9754.3499999999985</v>
      </c>
      <c r="AB151" s="7">
        <f t="shared" si="5"/>
        <v>4.8500000000003638</v>
      </c>
    </row>
    <row r="152" spans="1:28">
      <c r="A152" s="1">
        <v>151</v>
      </c>
      <c r="B152" s="1" t="s">
        <v>507</v>
      </c>
      <c r="C152" s="2">
        <v>42867</v>
      </c>
      <c r="D152" s="6" t="str">
        <f t="shared" si="0"/>
        <v>May</v>
      </c>
      <c r="E152" s="6" t="str">
        <f t="shared" si="1"/>
        <v>Qtr 2</v>
      </c>
      <c r="F152" s="5">
        <v>42990</v>
      </c>
      <c r="G152" s="1" t="s">
        <v>49</v>
      </c>
      <c r="H152" s="1" t="s">
        <v>508</v>
      </c>
      <c r="I152" s="1" t="s">
        <v>509</v>
      </c>
      <c r="J152" s="1" t="str">
        <f ca="1">IFERROR(__xludf.DUMMYFUNCTION("split(I152,"" "")"),"Justin")</f>
        <v>Justin</v>
      </c>
      <c r="K152" s="1" t="str">
        <f ca="1">IFERROR(__xludf.DUMMYFUNCTION("""COMPUTED_VALUE"""),"Ellison")</f>
        <v>Ellison</v>
      </c>
      <c r="L152" s="1"/>
      <c r="M152" s="1" t="s">
        <v>41</v>
      </c>
      <c r="N152" s="1" t="s">
        <v>30</v>
      </c>
      <c r="O152" s="1" t="s">
        <v>510</v>
      </c>
      <c r="P152" s="1" t="str">
        <f t="shared" si="2"/>
        <v>Franklin</v>
      </c>
      <c r="Q152" s="1" t="s">
        <v>98</v>
      </c>
      <c r="R152" s="1" t="str">
        <f t="shared" si="3"/>
        <v>Wisconsin</v>
      </c>
      <c r="S152" s="1">
        <v>53132</v>
      </c>
      <c r="T152" s="1" t="s">
        <v>90</v>
      </c>
      <c r="U152" s="1" t="s">
        <v>513</v>
      </c>
      <c r="V152" s="1" t="s">
        <v>46</v>
      </c>
      <c r="W152" s="7">
        <v>171.55</v>
      </c>
      <c r="X152" s="1">
        <v>5</v>
      </c>
      <c r="Y152" s="7">
        <v>170.65</v>
      </c>
      <c r="Z152" s="7">
        <f t="shared" ref="Z152:AA152" si="155">W152*X152</f>
        <v>857.75</v>
      </c>
      <c r="AA152" s="7">
        <f t="shared" si="155"/>
        <v>853.25</v>
      </c>
      <c r="AB152" s="7">
        <f t="shared" si="5"/>
        <v>4.5</v>
      </c>
    </row>
    <row r="153" spans="1:28">
      <c r="A153" s="1">
        <v>152</v>
      </c>
      <c r="B153" s="1" t="s">
        <v>514</v>
      </c>
      <c r="C153" s="2">
        <v>42807</v>
      </c>
      <c r="D153" s="6" t="str">
        <f t="shared" si="0"/>
        <v>Mar</v>
      </c>
      <c r="E153" s="6" t="str">
        <f t="shared" si="1"/>
        <v>Qtr 1</v>
      </c>
      <c r="F153" s="5" t="s">
        <v>515</v>
      </c>
      <c r="G153" s="1" t="s">
        <v>162</v>
      </c>
      <c r="H153" s="1" t="s">
        <v>516</v>
      </c>
      <c r="I153" s="1" t="s">
        <v>517</v>
      </c>
      <c r="J153" s="1" t="str">
        <f ca="1">IFERROR(__xludf.DUMMYFUNCTION("split(I153,"" "")"),"Tamara")</f>
        <v>Tamara</v>
      </c>
      <c r="K153" s="1" t="str">
        <f ca="1">IFERROR(__xludf.DUMMYFUNCTION("""COMPUTED_VALUE"""),"Willingham")</f>
        <v>Willingham</v>
      </c>
      <c r="L153" s="1"/>
      <c r="M153" s="1" t="s">
        <v>87</v>
      </c>
      <c r="N153" s="1" t="s">
        <v>30</v>
      </c>
      <c r="O153" s="1" t="s">
        <v>518</v>
      </c>
      <c r="P153" s="1" t="str">
        <f t="shared" si="2"/>
        <v>Scottsdale</v>
      </c>
      <c r="Q153" s="1" t="s">
        <v>265</v>
      </c>
      <c r="R153" s="1" t="str">
        <f t="shared" si="3"/>
        <v>Arizona</v>
      </c>
      <c r="S153" s="1">
        <v>85254</v>
      </c>
      <c r="T153" s="1" t="s">
        <v>44</v>
      </c>
      <c r="U153" s="1" t="s">
        <v>519</v>
      </c>
      <c r="V153" s="1" t="s">
        <v>46</v>
      </c>
      <c r="W153" s="7">
        <v>157.91999999999999</v>
      </c>
      <c r="X153" s="1">
        <v>8</v>
      </c>
      <c r="Y153" s="7">
        <v>157.4</v>
      </c>
      <c r="Z153" s="7">
        <f t="shared" ref="Z153:AA153" si="156">W153*X153</f>
        <v>1263.3599999999999</v>
      </c>
      <c r="AA153" s="7">
        <f t="shared" si="156"/>
        <v>1259.2</v>
      </c>
      <c r="AB153" s="7">
        <f t="shared" si="5"/>
        <v>4.1599999999998545</v>
      </c>
    </row>
    <row r="154" spans="1:28">
      <c r="A154" s="1">
        <v>153</v>
      </c>
      <c r="B154" s="1" t="s">
        <v>514</v>
      </c>
      <c r="C154" s="2">
        <v>42807</v>
      </c>
      <c r="D154" s="6" t="str">
        <f t="shared" si="0"/>
        <v>Mar</v>
      </c>
      <c r="E154" s="6" t="str">
        <f t="shared" si="1"/>
        <v>Qtr 1</v>
      </c>
      <c r="F154" s="5" t="s">
        <v>515</v>
      </c>
      <c r="G154" s="1" t="s">
        <v>162</v>
      </c>
      <c r="H154" s="1" t="s">
        <v>516</v>
      </c>
      <c r="I154" s="1" t="s">
        <v>517</v>
      </c>
      <c r="J154" s="1" t="str">
        <f ca="1">IFERROR(__xludf.DUMMYFUNCTION("split(I154,"" "")"),"Tamara")</f>
        <v>Tamara</v>
      </c>
      <c r="K154" s="1" t="str">
        <f ca="1">IFERROR(__xludf.DUMMYFUNCTION("""COMPUTED_VALUE"""),"Willingham")</f>
        <v>Willingham</v>
      </c>
      <c r="L154" s="1"/>
      <c r="M154" s="1" t="s">
        <v>87</v>
      </c>
      <c r="N154" s="1" t="s">
        <v>30</v>
      </c>
      <c r="O154" s="1" t="s">
        <v>518</v>
      </c>
      <c r="P154" s="1" t="str">
        <f t="shared" si="2"/>
        <v>Scottsdale</v>
      </c>
      <c r="Q154" s="1" t="s">
        <v>265</v>
      </c>
      <c r="R154" s="1" t="str">
        <f t="shared" si="3"/>
        <v>Arizona</v>
      </c>
      <c r="S154" s="1">
        <v>85254</v>
      </c>
      <c r="T154" s="1" t="s">
        <v>44</v>
      </c>
      <c r="U154" s="1" t="s">
        <v>520</v>
      </c>
      <c r="V154" s="1" t="s">
        <v>64</v>
      </c>
      <c r="W154" s="7">
        <v>203.184</v>
      </c>
      <c r="X154" s="1">
        <v>8</v>
      </c>
      <c r="Y154" s="7">
        <v>202.89</v>
      </c>
      <c r="Z154" s="7">
        <f t="shared" ref="Z154:AA154" si="157">W154*X154</f>
        <v>1625.472</v>
      </c>
      <c r="AA154" s="7">
        <f t="shared" si="157"/>
        <v>1623.12</v>
      </c>
      <c r="AB154" s="7">
        <f t="shared" si="5"/>
        <v>2.3520000000000891</v>
      </c>
    </row>
    <row r="155" spans="1:28">
      <c r="A155" s="1">
        <v>154</v>
      </c>
      <c r="B155" s="1" t="s">
        <v>521</v>
      </c>
      <c r="C155" s="2">
        <v>42521</v>
      </c>
      <c r="D155" s="6" t="str">
        <f t="shared" si="0"/>
        <v>May</v>
      </c>
      <c r="E155" s="6" t="str">
        <f t="shared" si="1"/>
        <v>Qtr 2</v>
      </c>
      <c r="F155" s="5">
        <v>42406</v>
      </c>
      <c r="G155" s="1" t="s">
        <v>162</v>
      </c>
      <c r="H155" s="1" t="s">
        <v>522</v>
      </c>
      <c r="I155" s="1" t="s">
        <v>523</v>
      </c>
      <c r="J155" s="1" t="str">
        <f ca="1">IFERROR(__xludf.DUMMYFUNCTION("split(I155,"" "")"),"Stephanie")</f>
        <v>Stephanie</v>
      </c>
      <c r="K155" s="1" t="str">
        <f ca="1">IFERROR(__xludf.DUMMYFUNCTION("""COMPUTED_VALUE"""),"Phelps")</f>
        <v>Phelps</v>
      </c>
      <c r="L155" s="1"/>
      <c r="M155" s="1" t="s">
        <v>41</v>
      </c>
      <c r="N155" s="1" t="s">
        <v>30</v>
      </c>
      <c r="O155" s="1" t="s">
        <v>524</v>
      </c>
      <c r="P155" s="1" t="str">
        <f t="shared" si="2"/>
        <v>San Jose</v>
      </c>
      <c r="Q155" s="1" t="s">
        <v>68</v>
      </c>
      <c r="R155" s="1" t="str">
        <f t="shared" si="3"/>
        <v>California</v>
      </c>
      <c r="S155" s="1">
        <v>95123</v>
      </c>
      <c r="T155" s="1" t="s">
        <v>44</v>
      </c>
      <c r="U155" s="1" t="s">
        <v>525</v>
      </c>
      <c r="V155" s="1" t="s">
        <v>46</v>
      </c>
      <c r="W155" s="7">
        <v>58.38</v>
      </c>
      <c r="X155" s="1">
        <v>9</v>
      </c>
      <c r="Y155" s="7">
        <v>57.9</v>
      </c>
      <c r="Z155" s="7">
        <f t="shared" ref="Z155:AA155" si="158">W155*X155</f>
        <v>525.42000000000007</v>
      </c>
      <c r="AA155" s="7">
        <f t="shared" si="158"/>
        <v>521.1</v>
      </c>
      <c r="AB155" s="7">
        <f t="shared" si="5"/>
        <v>4.32000000000005</v>
      </c>
    </row>
    <row r="156" spans="1:28">
      <c r="A156" s="1">
        <v>155</v>
      </c>
      <c r="B156" s="1" t="s">
        <v>521</v>
      </c>
      <c r="C156" s="2">
        <v>42521</v>
      </c>
      <c r="D156" s="6" t="str">
        <f t="shared" si="0"/>
        <v>May</v>
      </c>
      <c r="E156" s="6" t="str">
        <f t="shared" si="1"/>
        <v>Qtr 2</v>
      </c>
      <c r="F156" s="5">
        <v>42406</v>
      </c>
      <c r="G156" s="1" t="s">
        <v>162</v>
      </c>
      <c r="H156" s="1" t="s">
        <v>522</v>
      </c>
      <c r="I156" s="1" t="s">
        <v>523</v>
      </c>
      <c r="J156" s="1" t="str">
        <f ca="1">IFERROR(__xludf.DUMMYFUNCTION("split(I156,"" "")"),"Stephanie")</f>
        <v>Stephanie</v>
      </c>
      <c r="K156" s="1" t="str">
        <f ca="1">IFERROR(__xludf.DUMMYFUNCTION("""COMPUTED_VALUE"""),"Phelps")</f>
        <v>Phelps</v>
      </c>
      <c r="L156" s="1"/>
      <c r="M156" s="1" t="s">
        <v>41</v>
      </c>
      <c r="N156" s="1" t="s">
        <v>30</v>
      </c>
      <c r="O156" s="1" t="s">
        <v>524</v>
      </c>
      <c r="P156" s="1" t="str">
        <f t="shared" si="2"/>
        <v>San Jose</v>
      </c>
      <c r="Q156" s="1" t="s">
        <v>68</v>
      </c>
      <c r="R156" s="1" t="str">
        <f t="shared" si="3"/>
        <v>California</v>
      </c>
      <c r="S156" s="1">
        <v>95123</v>
      </c>
      <c r="T156" s="1" t="s">
        <v>44</v>
      </c>
      <c r="U156" s="1" t="s">
        <v>526</v>
      </c>
      <c r="V156" s="1" t="s">
        <v>46</v>
      </c>
      <c r="W156" s="7">
        <v>105.52</v>
      </c>
      <c r="X156" s="1">
        <v>9</v>
      </c>
      <c r="Y156" s="7">
        <v>104.63</v>
      </c>
      <c r="Z156" s="7">
        <f t="shared" ref="Z156:AA156" si="159">W156*X156</f>
        <v>949.68</v>
      </c>
      <c r="AA156" s="7">
        <f t="shared" si="159"/>
        <v>941.67</v>
      </c>
      <c r="AB156" s="7">
        <f t="shared" si="5"/>
        <v>8.0099999999999909</v>
      </c>
    </row>
    <row r="157" spans="1:28">
      <c r="A157" s="1">
        <v>156</v>
      </c>
      <c r="B157" s="1" t="s">
        <v>521</v>
      </c>
      <c r="C157" s="2">
        <v>42521</v>
      </c>
      <c r="D157" s="6" t="str">
        <f t="shared" si="0"/>
        <v>May</v>
      </c>
      <c r="E157" s="6" t="str">
        <f t="shared" si="1"/>
        <v>Qtr 2</v>
      </c>
      <c r="F157" s="5">
        <v>42406</v>
      </c>
      <c r="G157" s="1" t="s">
        <v>162</v>
      </c>
      <c r="H157" s="1" t="s">
        <v>522</v>
      </c>
      <c r="I157" s="1" t="s">
        <v>523</v>
      </c>
      <c r="J157" s="1" t="str">
        <f ca="1">IFERROR(__xludf.DUMMYFUNCTION("split(I157,"" "")"),"Stephanie")</f>
        <v>Stephanie</v>
      </c>
      <c r="K157" s="1" t="str">
        <f ca="1">IFERROR(__xludf.DUMMYFUNCTION("""COMPUTED_VALUE"""),"Phelps")</f>
        <v>Phelps</v>
      </c>
      <c r="L157" s="1"/>
      <c r="M157" s="1" t="s">
        <v>41</v>
      </c>
      <c r="N157" s="1" t="s">
        <v>30</v>
      </c>
      <c r="O157" s="1" t="s">
        <v>524</v>
      </c>
      <c r="P157" s="1" t="str">
        <f t="shared" si="2"/>
        <v>San Jose</v>
      </c>
      <c r="Q157" s="1" t="s">
        <v>68</v>
      </c>
      <c r="R157" s="1" t="str">
        <f t="shared" si="3"/>
        <v>California</v>
      </c>
      <c r="S157" s="1">
        <v>95123</v>
      </c>
      <c r="T157" s="1" t="s">
        <v>44</v>
      </c>
      <c r="U157" s="1" t="s">
        <v>527</v>
      </c>
      <c r="V157" s="1" t="s">
        <v>46</v>
      </c>
      <c r="W157" s="7">
        <v>80.88</v>
      </c>
      <c r="X157" s="1">
        <v>9</v>
      </c>
      <c r="Y157" s="7">
        <v>80.53</v>
      </c>
      <c r="Z157" s="7">
        <f t="shared" ref="Z157:AA157" si="160">W157*X157</f>
        <v>727.92</v>
      </c>
      <c r="AA157" s="7">
        <f t="shared" si="160"/>
        <v>724.77</v>
      </c>
      <c r="AB157" s="7">
        <f t="shared" si="5"/>
        <v>3.1499999999999773</v>
      </c>
    </row>
    <row r="158" spans="1:28">
      <c r="A158" s="1">
        <v>157</v>
      </c>
      <c r="B158" s="1" t="s">
        <v>528</v>
      </c>
      <c r="C158" s="2">
        <v>42518</v>
      </c>
      <c r="D158" s="6" t="str">
        <f t="shared" si="0"/>
        <v>May</v>
      </c>
      <c r="E158" s="6" t="str">
        <f t="shared" si="1"/>
        <v>Qtr 2</v>
      </c>
      <c r="F158" s="5">
        <v>42435</v>
      </c>
      <c r="G158" s="1" t="s">
        <v>49</v>
      </c>
      <c r="H158" s="1" t="s">
        <v>529</v>
      </c>
      <c r="I158" s="1" t="s">
        <v>530</v>
      </c>
      <c r="J158" s="1" t="str">
        <f ca="1">IFERROR(__xludf.DUMMYFUNCTION("split(I158,"" "")"),"Neil")</f>
        <v>Neil</v>
      </c>
      <c r="K158" s="1" t="str">
        <f ca="1">IFERROR(__xludf.DUMMYFUNCTION("""COMPUTED_VALUE"""),"Knudson")</f>
        <v>Knudson</v>
      </c>
      <c r="L158" s="1"/>
      <c r="M158" s="1" t="s">
        <v>87</v>
      </c>
      <c r="N158" s="1" t="s">
        <v>30</v>
      </c>
      <c r="O158" s="1" t="s">
        <v>80</v>
      </c>
      <c r="P158" s="1" t="str">
        <f t="shared" si="2"/>
        <v>Seattle</v>
      </c>
      <c r="Q158" s="1" t="s">
        <v>81</v>
      </c>
      <c r="R158" s="1" t="str">
        <f t="shared" si="3"/>
        <v>Washington</v>
      </c>
      <c r="S158" s="1">
        <v>98105</v>
      </c>
      <c r="T158" s="1" t="s">
        <v>44</v>
      </c>
      <c r="U158" s="1" t="s">
        <v>531</v>
      </c>
      <c r="V158" s="1" t="s">
        <v>46</v>
      </c>
      <c r="W158" s="7">
        <v>6.63</v>
      </c>
      <c r="X158" s="1">
        <v>9</v>
      </c>
      <c r="Y158" s="7">
        <v>6.47</v>
      </c>
      <c r="Z158" s="7">
        <f t="shared" ref="Z158:AA158" si="161">W158*X158</f>
        <v>59.67</v>
      </c>
      <c r="AA158" s="7">
        <f t="shared" si="161"/>
        <v>58.23</v>
      </c>
      <c r="AB158" s="7">
        <f t="shared" si="5"/>
        <v>1.4400000000000048</v>
      </c>
    </row>
    <row r="159" spans="1:28">
      <c r="A159" s="1">
        <v>158</v>
      </c>
      <c r="B159" s="1" t="s">
        <v>532</v>
      </c>
      <c r="C159" s="2">
        <v>42007</v>
      </c>
      <c r="D159" s="6" t="str">
        <f t="shared" si="0"/>
        <v>Jan</v>
      </c>
      <c r="E159" s="6" t="str">
        <f t="shared" si="1"/>
        <v>Qtr 1</v>
      </c>
      <c r="F159" s="5">
        <v>42158</v>
      </c>
      <c r="G159" s="1" t="s">
        <v>26</v>
      </c>
      <c r="H159" s="1" t="s">
        <v>533</v>
      </c>
      <c r="I159" s="1" t="s">
        <v>534</v>
      </c>
      <c r="J159" s="1" t="str">
        <f ca="1">IFERROR(__xludf.DUMMYFUNCTION("split(I159,"" "")"),"Dave")</f>
        <v>Dave</v>
      </c>
      <c r="K159" s="1" t="str">
        <f ca="1">IFERROR(__xludf.DUMMYFUNCTION("""COMPUTED_VALUE"""),"Brooks")</f>
        <v>Brooks</v>
      </c>
      <c r="L159" s="1"/>
      <c r="M159" s="1" t="s">
        <v>29</v>
      </c>
      <c r="N159" s="1" t="s">
        <v>30</v>
      </c>
      <c r="O159" s="1" t="s">
        <v>80</v>
      </c>
      <c r="P159" s="1" t="str">
        <f t="shared" si="2"/>
        <v>Seattle</v>
      </c>
      <c r="Q159" s="1" t="s">
        <v>81</v>
      </c>
      <c r="R159" s="1" t="str">
        <f t="shared" si="3"/>
        <v>Washington</v>
      </c>
      <c r="S159" s="1">
        <v>98115</v>
      </c>
      <c r="T159" s="1" t="s">
        <v>44</v>
      </c>
      <c r="U159" s="1" t="s">
        <v>447</v>
      </c>
      <c r="V159" s="1" t="s">
        <v>35</v>
      </c>
      <c r="W159" s="7">
        <v>457.56799999999998</v>
      </c>
      <c r="X159" s="1">
        <v>9</v>
      </c>
      <c r="Y159" s="7">
        <v>457.38</v>
      </c>
      <c r="Z159" s="7">
        <f t="shared" ref="Z159:AA159" si="162">W159*X159</f>
        <v>4118.1120000000001</v>
      </c>
      <c r="AA159" s="7">
        <f t="shared" si="162"/>
        <v>4116.42</v>
      </c>
      <c r="AB159" s="7">
        <f t="shared" si="5"/>
        <v>1.6920000000000073</v>
      </c>
    </row>
    <row r="160" spans="1:28">
      <c r="A160" s="1">
        <v>159</v>
      </c>
      <c r="B160" s="1" t="s">
        <v>535</v>
      </c>
      <c r="C160" s="2">
        <v>43059</v>
      </c>
      <c r="D160" s="6" t="str">
        <f t="shared" si="0"/>
        <v>Nov</v>
      </c>
      <c r="E160" s="6" t="str">
        <f t="shared" si="1"/>
        <v>Qtr 4</v>
      </c>
      <c r="F160" s="5" t="s">
        <v>536</v>
      </c>
      <c r="G160" s="1" t="s">
        <v>49</v>
      </c>
      <c r="H160" s="1" t="s">
        <v>537</v>
      </c>
      <c r="I160" s="1" t="s">
        <v>538</v>
      </c>
      <c r="J160" s="1" t="str">
        <f ca="1">IFERROR(__xludf.DUMMYFUNCTION("split(I160,"" "")"),"Nora")</f>
        <v>Nora</v>
      </c>
      <c r="K160" s="1" t="str">
        <f ca="1">IFERROR(__xludf.DUMMYFUNCTION("""COMPUTED_VALUE"""),"Paige")</f>
        <v>Paige</v>
      </c>
      <c r="L160" s="1"/>
      <c r="M160" s="1" t="s">
        <v>29</v>
      </c>
      <c r="N160" s="1" t="s">
        <v>30</v>
      </c>
      <c r="O160" s="1" t="s">
        <v>539</v>
      </c>
      <c r="P160" s="1" t="str">
        <f t="shared" si="2"/>
        <v>Edmond</v>
      </c>
      <c r="Q160" s="1" t="s">
        <v>540</v>
      </c>
      <c r="R160" s="1" t="str">
        <f t="shared" si="3"/>
        <v>Oklahoma</v>
      </c>
      <c r="S160" s="1">
        <v>73034</v>
      </c>
      <c r="T160" s="1" t="s">
        <v>90</v>
      </c>
      <c r="U160" s="1" t="s">
        <v>541</v>
      </c>
      <c r="V160" s="1" t="s">
        <v>46</v>
      </c>
      <c r="W160" s="7">
        <v>14.62</v>
      </c>
      <c r="X160" s="1">
        <v>7</v>
      </c>
      <c r="Y160" s="7">
        <v>14.22</v>
      </c>
      <c r="Z160" s="7">
        <f t="shared" ref="Z160:AA160" si="163">W160*X160</f>
        <v>102.33999999999999</v>
      </c>
      <c r="AA160" s="7">
        <f t="shared" si="163"/>
        <v>99.54</v>
      </c>
      <c r="AB160" s="7">
        <f t="shared" si="5"/>
        <v>2.7999999999999829</v>
      </c>
    </row>
    <row r="161" spans="1:28">
      <c r="A161" s="1">
        <v>160</v>
      </c>
      <c r="B161" s="1" t="s">
        <v>535</v>
      </c>
      <c r="C161" s="2">
        <v>43059</v>
      </c>
      <c r="D161" s="6" t="str">
        <f t="shared" si="0"/>
        <v>Nov</v>
      </c>
      <c r="E161" s="6" t="str">
        <f t="shared" si="1"/>
        <v>Qtr 4</v>
      </c>
      <c r="F161" s="5" t="s">
        <v>536</v>
      </c>
      <c r="G161" s="1" t="s">
        <v>49</v>
      </c>
      <c r="H161" s="1" t="s">
        <v>537</v>
      </c>
      <c r="I161" s="1" t="s">
        <v>538</v>
      </c>
      <c r="J161" s="1" t="str">
        <f ca="1">IFERROR(__xludf.DUMMYFUNCTION("split(I161,"" "")"),"Nora")</f>
        <v>Nora</v>
      </c>
      <c r="K161" s="1" t="str">
        <f ca="1">IFERROR(__xludf.DUMMYFUNCTION("""COMPUTED_VALUE"""),"Paige")</f>
        <v>Paige</v>
      </c>
      <c r="L161" s="1"/>
      <c r="M161" s="1" t="s">
        <v>29</v>
      </c>
      <c r="N161" s="1" t="s">
        <v>30</v>
      </c>
      <c r="O161" s="1" t="s">
        <v>539</v>
      </c>
      <c r="P161" s="1" t="str">
        <f t="shared" si="2"/>
        <v>Edmond</v>
      </c>
      <c r="Q161" s="1" t="s">
        <v>540</v>
      </c>
      <c r="R161" s="1" t="str">
        <f t="shared" si="3"/>
        <v>Oklahoma</v>
      </c>
      <c r="S161" s="1">
        <v>73034</v>
      </c>
      <c r="T161" s="1" t="s">
        <v>90</v>
      </c>
      <c r="U161" s="1" t="s">
        <v>542</v>
      </c>
      <c r="V161" s="1" t="s">
        <v>64</v>
      </c>
      <c r="W161" s="7">
        <v>944.93</v>
      </c>
      <c r="X161" s="1">
        <v>7</v>
      </c>
      <c r="Y161" s="7">
        <v>944.09</v>
      </c>
      <c r="Z161" s="7">
        <f t="shared" ref="Z161:AA161" si="164">W161*X161</f>
        <v>6614.5099999999993</v>
      </c>
      <c r="AA161" s="7">
        <f t="shared" si="164"/>
        <v>6608.63</v>
      </c>
      <c r="AB161" s="7">
        <f t="shared" si="5"/>
        <v>5.8799999999991996</v>
      </c>
    </row>
    <row r="162" spans="1:28">
      <c r="A162" s="1">
        <v>161</v>
      </c>
      <c r="B162" s="1" t="s">
        <v>543</v>
      </c>
      <c r="C162" s="2">
        <v>43044</v>
      </c>
      <c r="D162" s="6" t="str">
        <f t="shared" si="0"/>
        <v>Nov</v>
      </c>
      <c r="E162" s="6" t="str">
        <f t="shared" si="1"/>
        <v>Qtr 4</v>
      </c>
      <c r="F162" s="5">
        <v>43074</v>
      </c>
      <c r="G162" s="1" t="s">
        <v>162</v>
      </c>
      <c r="H162" s="1" t="s">
        <v>544</v>
      </c>
      <c r="I162" s="1" t="s">
        <v>545</v>
      </c>
      <c r="J162" s="1" t="str">
        <f ca="1">IFERROR(__xludf.DUMMYFUNCTION("split(I162,"" "")"),"Ted")</f>
        <v>Ted</v>
      </c>
      <c r="K162" s="1" t="str">
        <f ca="1">IFERROR(__xludf.DUMMYFUNCTION("""COMPUTED_VALUE"""),"Trevino")</f>
        <v>Trevino</v>
      </c>
      <c r="L162" s="1"/>
      <c r="M162" s="1" t="s">
        <v>29</v>
      </c>
      <c r="N162" s="1" t="s">
        <v>30</v>
      </c>
      <c r="O162" s="1" t="s">
        <v>42</v>
      </c>
      <c r="P162" s="1" t="str">
        <f t="shared" si="2"/>
        <v>Los Angeles</v>
      </c>
      <c r="Q162" s="1" t="s">
        <v>68</v>
      </c>
      <c r="R162" s="1" t="str">
        <f t="shared" si="3"/>
        <v>California</v>
      </c>
      <c r="S162" s="1">
        <v>90045</v>
      </c>
      <c r="T162" s="1" t="s">
        <v>44</v>
      </c>
      <c r="U162" s="1" t="s">
        <v>546</v>
      </c>
      <c r="V162" s="1" t="s">
        <v>46</v>
      </c>
      <c r="W162" s="7">
        <v>5.98</v>
      </c>
      <c r="X162" s="1">
        <v>9</v>
      </c>
      <c r="Y162" s="7">
        <v>5.79</v>
      </c>
      <c r="Z162" s="7">
        <f t="shared" ref="Z162:AA162" si="165">W162*X162</f>
        <v>53.820000000000007</v>
      </c>
      <c r="AA162" s="7">
        <f t="shared" si="165"/>
        <v>52.11</v>
      </c>
      <c r="AB162" s="7">
        <f t="shared" si="5"/>
        <v>1.710000000000008</v>
      </c>
    </row>
    <row r="163" spans="1:28">
      <c r="A163" s="1">
        <v>162</v>
      </c>
      <c r="B163" s="1" t="s">
        <v>547</v>
      </c>
      <c r="C163" s="2">
        <v>42732</v>
      </c>
      <c r="D163" s="6" t="str">
        <f t="shared" si="0"/>
        <v>Dec</v>
      </c>
      <c r="E163" s="6" t="str">
        <f t="shared" si="1"/>
        <v>Qtr 4</v>
      </c>
      <c r="F163" s="5" t="s">
        <v>169</v>
      </c>
      <c r="G163" s="1" t="s">
        <v>26</v>
      </c>
      <c r="H163" s="1" t="s">
        <v>548</v>
      </c>
      <c r="I163" s="1" t="s">
        <v>549</v>
      </c>
      <c r="J163" s="1" t="str">
        <f ca="1">IFERROR(__xludf.DUMMYFUNCTION("split(I163,"" "")"),"Eric")</f>
        <v>Eric</v>
      </c>
      <c r="K163" s="1" t="str">
        <f ca="1">IFERROR(__xludf.DUMMYFUNCTION("""COMPUTED_VALUE"""),"Murdock")</f>
        <v>Murdock</v>
      </c>
      <c r="L163" s="1"/>
      <c r="M163" s="1" t="s">
        <v>29</v>
      </c>
      <c r="N163" s="1" t="s">
        <v>30</v>
      </c>
      <c r="O163" s="1" t="s">
        <v>126</v>
      </c>
      <c r="P163" s="1" t="str">
        <f t="shared" si="2"/>
        <v>Philadelphia</v>
      </c>
      <c r="Q163" s="1" t="s">
        <v>127</v>
      </c>
      <c r="R163" s="1" t="str">
        <f t="shared" si="3"/>
        <v>Pennsylvania</v>
      </c>
      <c r="S163" s="1">
        <v>19134</v>
      </c>
      <c r="T163" s="1" t="s">
        <v>128</v>
      </c>
      <c r="U163" s="1" t="s">
        <v>550</v>
      </c>
      <c r="V163" s="1" t="s">
        <v>64</v>
      </c>
      <c r="W163" s="7">
        <v>54.384</v>
      </c>
      <c r="X163" s="1">
        <v>1</v>
      </c>
      <c r="Y163" s="7">
        <v>54.3</v>
      </c>
      <c r="Z163" s="7">
        <f t="shared" ref="Z163:AA163" si="166">W163*X163</f>
        <v>54.384</v>
      </c>
      <c r="AA163" s="7">
        <f t="shared" si="166"/>
        <v>54.3</v>
      </c>
      <c r="AB163" s="7">
        <f t="shared" si="5"/>
        <v>8.4000000000003183E-2</v>
      </c>
    </row>
    <row r="164" spans="1:28">
      <c r="A164" s="1">
        <v>163</v>
      </c>
      <c r="B164" s="1" t="s">
        <v>551</v>
      </c>
      <c r="C164" s="2">
        <v>43055</v>
      </c>
      <c r="D164" s="6" t="str">
        <f t="shared" si="0"/>
        <v>Nov</v>
      </c>
      <c r="E164" s="6" t="str">
        <f t="shared" si="1"/>
        <v>Qtr 4</v>
      </c>
      <c r="F164" s="5" t="s">
        <v>552</v>
      </c>
      <c r="G164" s="1" t="s">
        <v>49</v>
      </c>
      <c r="H164" s="1" t="s">
        <v>553</v>
      </c>
      <c r="I164" s="1" t="s">
        <v>554</v>
      </c>
      <c r="J164" s="1" t="str">
        <f ca="1">IFERROR(__xludf.DUMMYFUNCTION("split(I164,"" "")"),"Ruben")</f>
        <v>Ruben</v>
      </c>
      <c r="K164" s="1" t="str">
        <f ca="1">IFERROR(__xludf.DUMMYFUNCTION("""COMPUTED_VALUE"""),"Dartt")</f>
        <v>Dartt</v>
      </c>
      <c r="L164" s="1"/>
      <c r="M164" s="1" t="s">
        <v>29</v>
      </c>
      <c r="N164" s="1" t="s">
        <v>30</v>
      </c>
      <c r="O164" s="1" t="s">
        <v>555</v>
      </c>
      <c r="P164" s="1" t="str">
        <f t="shared" si="2"/>
        <v>Carlsbad</v>
      </c>
      <c r="Q164" s="1" t="s">
        <v>556</v>
      </c>
      <c r="R164" s="1" t="str">
        <f t="shared" si="3"/>
        <v>New Mexico</v>
      </c>
      <c r="S164" s="1">
        <v>88220</v>
      </c>
      <c r="T164" s="1" t="s">
        <v>44</v>
      </c>
      <c r="U164" s="1" t="s">
        <v>557</v>
      </c>
      <c r="V164" s="1" t="s">
        <v>46</v>
      </c>
      <c r="W164" s="7">
        <v>28.4</v>
      </c>
      <c r="X164" s="1">
        <v>8</v>
      </c>
      <c r="Y164" s="7">
        <v>28.11</v>
      </c>
      <c r="Z164" s="7">
        <f t="shared" ref="Z164:AA164" si="167">W164*X164</f>
        <v>227.2</v>
      </c>
      <c r="AA164" s="7">
        <f t="shared" si="167"/>
        <v>224.88</v>
      </c>
      <c r="AB164" s="7">
        <f t="shared" si="5"/>
        <v>2.3199999999999932</v>
      </c>
    </row>
    <row r="165" spans="1:28">
      <c r="A165" s="1">
        <v>164</v>
      </c>
      <c r="B165" s="1" t="s">
        <v>558</v>
      </c>
      <c r="C165" s="2">
        <v>42927</v>
      </c>
      <c r="D165" s="6" t="str">
        <f t="shared" si="0"/>
        <v>Jul</v>
      </c>
      <c r="E165" s="6" t="str">
        <f t="shared" si="1"/>
        <v>Qtr 3</v>
      </c>
      <c r="F165" s="5">
        <v>43050</v>
      </c>
      <c r="G165" s="1" t="s">
        <v>49</v>
      </c>
      <c r="H165" s="1" t="s">
        <v>559</v>
      </c>
      <c r="I165" s="1" t="s">
        <v>560</v>
      </c>
      <c r="J165" s="1" t="str">
        <f ca="1">IFERROR(__xludf.DUMMYFUNCTION("split(I165,"" "")"),"Max")</f>
        <v>Max</v>
      </c>
      <c r="K165" s="1" t="str">
        <f ca="1">IFERROR(__xludf.DUMMYFUNCTION("""COMPUTED_VALUE"""),"Jones")</f>
        <v>Jones</v>
      </c>
      <c r="L165" s="1"/>
      <c r="M165" s="1" t="s">
        <v>29</v>
      </c>
      <c r="N165" s="1" t="s">
        <v>30</v>
      </c>
      <c r="O165" s="1" t="s">
        <v>80</v>
      </c>
      <c r="P165" s="1" t="str">
        <f t="shared" si="2"/>
        <v>Seattle</v>
      </c>
      <c r="Q165" s="1" t="s">
        <v>81</v>
      </c>
      <c r="R165" s="1" t="str">
        <f t="shared" si="3"/>
        <v>Washington</v>
      </c>
      <c r="S165" s="1">
        <v>98115</v>
      </c>
      <c r="T165" s="1" t="s">
        <v>44</v>
      </c>
      <c r="U165" s="1" t="s">
        <v>561</v>
      </c>
      <c r="V165" s="1" t="s">
        <v>46</v>
      </c>
      <c r="W165" s="7">
        <v>27.68</v>
      </c>
      <c r="X165" s="1">
        <v>9</v>
      </c>
      <c r="Y165" s="7">
        <v>27.09</v>
      </c>
      <c r="Z165" s="7">
        <f t="shared" ref="Z165:AA165" si="168">W165*X165</f>
        <v>249.12</v>
      </c>
      <c r="AA165" s="7">
        <f t="shared" si="168"/>
        <v>243.81</v>
      </c>
      <c r="AB165" s="7">
        <f t="shared" si="5"/>
        <v>5.3100000000000023</v>
      </c>
    </row>
    <row r="166" spans="1:28">
      <c r="A166" s="1">
        <v>165</v>
      </c>
      <c r="B166" s="1" t="s">
        <v>562</v>
      </c>
      <c r="C166" s="2">
        <v>42225</v>
      </c>
      <c r="D166" s="6" t="str">
        <f t="shared" si="0"/>
        <v>Aug</v>
      </c>
      <c r="E166" s="6" t="str">
        <f t="shared" si="1"/>
        <v>Qtr 3</v>
      </c>
      <c r="F166" s="5">
        <v>42347</v>
      </c>
      <c r="G166" s="1" t="s">
        <v>49</v>
      </c>
      <c r="H166" s="1" t="s">
        <v>563</v>
      </c>
      <c r="I166" s="1" t="s">
        <v>564</v>
      </c>
      <c r="J166" s="1" t="str">
        <f ca="1">IFERROR(__xludf.DUMMYFUNCTION("split(I166,"" "")"),"Becky")</f>
        <v>Becky</v>
      </c>
      <c r="K166" s="1" t="str">
        <f ca="1">IFERROR(__xludf.DUMMYFUNCTION("""COMPUTED_VALUE"""),"Martin")</f>
        <v>Martin</v>
      </c>
      <c r="L166" s="1"/>
      <c r="M166" s="1" t="s">
        <v>29</v>
      </c>
      <c r="N166" s="1" t="s">
        <v>30</v>
      </c>
      <c r="O166" s="1" t="s">
        <v>565</v>
      </c>
      <c r="P166" s="1" t="str">
        <f t="shared" si="2"/>
        <v>San Antonio</v>
      </c>
      <c r="Q166" s="1" t="s">
        <v>89</v>
      </c>
      <c r="R166" s="1" t="str">
        <f t="shared" si="3"/>
        <v>Texas</v>
      </c>
      <c r="S166" s="1">
        <v>78207</v>
      </c>
      <c r="T166" s="1" t="s">
        <v>90</v>
      </c>
      <c r="U166" s="1" t="s">
        <v>566</v>
      </c>
      <c r="V166" s="1" t="s">
        <v>46</v>
      </c>
      <c r="W166" s="7">
        <v>9.9359999999999999</v>
      </c>
      <c r="X166" s="1">
        <v>7</v>
      </c>
      <c r="Y166" s="7">
        <v>8.9600000000000009</v>
      </c>
      <c r="Z166" s="7">
        <f t="shared" ref="Z166:AA166" si="169">W166*X166</f>
        <v>69.551999999999992</v>
      </c>
      <c r="AA166" s="7">
        <f t="shared" si="169"/>
        <v>62.720000000000006</v>
      </c>
      <c r="AB166" s="7">
        <f t="shared" si="5"/>
        <v>6.8319999999999865</v>
      </c>
    </row>
    <row r="167" spans="1:28">
      <c r="A167" s="1">
        <v>166</v>
      </c>
      <c r="B167" s="1" t="s">
        <v>562</v>
      </c>
      <c r="C167" s="2">
        <v>42225</v>
      </c>
      <c r="D167" s="6" t="str">
        <f t="shared" si="0"/>
        <v>Aug</v>
      </c>
      <c r="E167" s="6" t="str">
        <f t="shared" si="1"/>
        <v>Qtr 3</v>
      </c>
      <c r="F167" s="5">
        <v>42347</v>
      </c>
      <c r="G167" s="1" t="s">
        <v>49</v>
      </c>
      <c r="H167" s="1" t="s">
        <v>563</v>
      </c>
      <c r="I167" s="1" t="s">
        <v>564</v>
      </c>
      <c r="J167" s="1" t="str">
        <f ca="1">IFERROR(__xludf.DUMMYFUNCTION("split(I167,"" "")"),"Becky")</f>
        <v>Becky</v>
      </c>
      <c r="K167" s="1" t="str">
        <f ca="1">IFERROR(__xludf.DUMMYFUNCTION("""COMPUTED_VALUE"""),"Martin")</f>
        <v>Martin</v>
      </c>
      <c r="L167" s="1"/>
      <c r="M167" s="1" t="s">
        <v>29</v>
      </c>
      <c r="N167" s="1" t="s">
        <v>30</v>
      </c>
      <c r="O167" s="1" t="s">
        <v>565</v>
      </c>
      <c r="P167" s="1" t="str">
        <f t="shared" si="2"/>
        <v>San Antonio</v>
      </c>
      <c r="Q167" s="1" t="s">
        <v>89</v>
      </c>
      <c r="R167" s="1" t="str">
        <f t="shared" si="3"/>
        <v>Texas</v>
      </c>
      <c r="S167" s="1">
        <v>78207</v>
      </c>
      <c r="T167" s="1" t="s">
        <v>90</v>
      </c>
      <c r="U167" s="1" t="s">
        <v>567</v>
      </c>
      <c r="V167" s="1" t="s">
        <v>64</v>
      </c>
      <c r="W167" s="7">
        <v>8159.9520000000002</v>
      </c>
      <c r="X167" s="1">
        <v>7</v>
      </c>
      <c r="Y167" s="7">
        <v>8159.36</v>
      </c>
      <c r="Z167" s="7">
        <f t="shared" ref="Z167:AA167" si="170">W167*X167</f>
        <v>57119.664000000004</v>
      </c>
      <c r="AA167" s="7">
        <f t="shared" si="170"/>
        <v>57115.519999999997</v>
      </c>
      <c r="AB167" s="7">
        <f t="shared" si="5"/>
        <v>4.1440000000075088</v>
      </c>
    </row>
    <row r="168" spans="1:28">
      <c r="A168" s="1">
        <v>167</v>
      </c>
      <c r="B168" s="1" t="s">
        <v>562</v>
      </c>
      <c r="C168" s="2">
        <v>42225</v>
      </c>
      <c r="D168" s="6" t="str">
        <f t="shared" si="0"/>
        <v>Aug</v>
      </c>
      <c r="E168" s="6" t="str">
        <f t="shared" si="1"/>
        <v>Qtr 3</v>
      </c>
      <c r="F168" s="5">
        <v>42347</v>
      </c>
      <c r="G168" s="1" t="s">
        <v>49</v>
      </c>
      <c r="H168" s="1" t="s">
        <v>563</v>
      </c>
      <c r="I168" s="1" t="s">
        <v>564</v>
      </c>
      <c r="J168" s="1" t="str">
        <f ca="1">IFERROR(__xludf.DUMMYFUNCTION("split(I168,"" "")"),"Becky")</f>
        <v>Becky</v>
      </c>
      <c r="K168" s="1" t="str">
        <f ca="1">IFERROR(__xludf.DUMMYFUNCTION("""COMPUTED_VALUE"""),"Martin")</f>
        <v>Martin</v>
      </c>
      <c r="L168" s="1"/>
      <c r="M168" s="1" t="s">
        <v>29</v>
      </c>
      <c r="N168" s="1" t="s">
        <v>30</v>
      </c>
      <c r="O168" s="1" t="s">
        <v>565</v>
      </c>
      <c r="P168" s="1" t="str">
        <f t="shared" si="2"/>
        <v>San Antonio</v>
      </c>
      <c r="Q168" s="1" t="s">
        <v>89</v>
      </c>
      <c r="R168" s="1" t="str">
        <f t="shared" si="3"/>
        <v>Texas</v>
      </c>
      <c r="S168" s="1">
        <v>78207</v>
      </c>
      <c r="T168" s="1" t="s">
        <v>90</v>
      </c>
      <c r="U168" s="1" t="s">
        <v>568</v>
      </c>
      <c r="V168" s="1" t="s">
        <v>46</v>
      </c>
      <c r="W168" s="7">
        <v>275.928</v>
      </c>
      <c r="X168" s="1">
        <v>7</v>
      </c>
      <c r="Y168" s="7">
        <v>275.48</v>
      </c>
      <c r="Z168" s="7">
        <f t="shared" ref="Z168:AA168" si="171">W168*X168</f>
        <v>1931.4960000000001</v>
      </c>
      <c r="AA168" s="7">
        <f t="shared" si="171"/>
        <v>1928.3600000000001</v>
      </c>
      <c r="AB168" s="7">
        <f t="shared" si="5"/>
        <v>3.1359999999999673</v>
      </c>
    </row>
    <row r="169" spans="1:28">
      <c r="A169" s="1">
        <v>168</v>
      </c>
      <c r="B169" s="1" t="s">
        <v>562</v>
      </c>
      <c r="C169" s="2">
        <v>42225</v>
      </c>
      <c r="D169" s="6" t="str">
        <f t="shared" si="0"/>
        <v>Aug</v>
      </c>
      <c r="E169" s="6" t="str">
        <f t="shared" si="1"/>
        <v>Qtr 3</v>
      </c>
      <c r="F169" s="5">
        <v>42347</v>
      </c>
      <c r="G169" s="1" t="s">
        <v>49</v>
      </c>
      <c r="H169" s="1" t="s">
        <v>563</v>
      </c>
      <c r="I169" s="1" t="s">
        <v>564</v>
      </c>
      <c r="J169" s="1" t="str">
        <f ca="1">IFERROR(__xludf.DUMMYFUNCTION("split(I169,"" "")"),"Becky")</f>
        <v>Becky</v>
      </c>
      <c r="K169" s="1" t="str">
        <f ca="1">IFERROR(__xludf.DUMMYFUNCTION("""COMPUTED_VALUE"""),"Martin")</f>
        <v>Martin</v>
      </c>
      <c r="L169" s="1"/>
      <c r="M169" s="1" t="s">
        <v>29</v>
      </c>
      <c r="N169" s="1" t="s">
        <v>30</v>
      </c>
      <c r="O169" s="1" t="s">
        <v>565</v>
      </c>
      <c r="P169" s="1" t="str">
        <f t="shared" si="2"/>
        <v>San Antonio</v>
      </c>
      <c r="Q169" s="1" t="s">
        <v>89</v>
      </c>
      <c r="R169" s="1" t="str">
        <f t="shared" si="3"/>
        <v>Texas</v>
      </c>
      <c r="S169" s="1">
        <v>78207</v>
      </c>
      <c r="T169" s="1" t="s">
        <v>90</v>
      </c>
      <c r="U169" s="1" t="s">
        <v>569</v>
      </c>
      <c r="V169" s="1" t="s">
        <v>35</v>
      </c>
      <c r="W169" s="7">
        <v>1740.06</v>
      </c>
      <c r="X169" s="1">
        <v>7</v>
      </c>
      <c r="Y169" s="7">
        <v>1739.72</v>
      </c>
      <c r="Z169" s="7">
        <f t="shared" ref="Z169:AA169" si="172">W169*X169</f>
        <v>12180.42</v>
      </c>
      <c r="AA169" s="7">
        <f t="shared" si="172"/>
        <v>12178.04</v>
      </c>
      <c r="AB169" s="7">
        <f t="shared" si="5"/>
        <v>2.3799999999991996</v>
      </c>
    </row>
    <row r="170" spans="1:28">
      <c r="A170" s="1">
        <v>169</v>
      </c>
      <c r="B170" s="1" t="s">
        <v>562</v>
      </c>
      <c r="C170" s="2">
        <v>42225</v>
      </c>
      <c r="D170" s="6" t="str">
        <f t="shared" si="0"/>
        <v>Aug</v>
      </c>
      <c r="E170" s="6" t="str">
        <f t="shared" si="1"/>
        <v>Qtr 3</v>
      </c>
      <c r="F170" s="5">
        <v>42347</v>
      </c>
      <c r="G170" s="1" t="s">
        <v>49</v>
      </c>
      <c r="H170" s="1" t="s">
        <v>563</v>
      </c>
      <c r="I170" s="1" t="s">
        <v>564</v>
      </c>
      <c r="J170" s="1" t="str">
        <f ca="1">IFERROR(__xludf.DUMMYFUNCTION("split(I170,"" "")"),"Becky")</f>
        <v>Becky</v>
      </c>
      <c r="K170" s="1" t="str">
        <f ca="1">IFERROR(__xludf.DUMMYFUNCTION("""COMPUTED_VALUE"""),"Martin")</f>
        <v>Martin</v>
      </c>
      <c r="L170" s="1"/>
      <c r="M170" s="1" t="s">
        <v>29</v>
      </c>
      <c r="N170" s="1" t="s">
        <v>30</v>
      </c>
      <c r="O170" s="1" t="s">
        <v>565</v>
      </c>
      <c r="P170" s="1" t="str">
        <f t="shared" si="2"/>
        <v>San Antonio</v>
      </c>
      <c r="Q170" s="1" t="s">
        <v>89</v>
      </c>
      <c r="R170" s="1" t="str">
        <f t="shared" si="3"/>
        <v>Texas</v>
      </c>
      <c r="S170" s="1">
        <v>78207</v>
      </c>
      <c r="T170" s="1" t="s">
        <v>90</v>
      </c>
      <c r="U170" s="1" t="s">
        <v>570</v>
      </c>
      <c r="V170" s="1" t="s">
        <v>46</v>
      </c>
      <c r="W170" s="7">
        <v>32.064</v>
      </c>
      <c r="X170" s="1">
        <v>7</v>
      </c>
      <c r="Y170" s="7">
        <v>31.9</v>
      </c>
      <c r="Z170" s="7">
        <f t="shared" ref="Z170:AA170" si="173">W170*X170</f>
        <v>224.44800000000001</v>
      </c>
      <c r="AA170" s="7">
        <f t="shared" si="173"/>
        <v>223.29999999999998</v>
      </c>
      <c r="AB170" s="7">
        <f t="shared" si="5"/>
        <v>1.1480000000000246</v>
      </c>
    </row>
    <row r="171" spans="1:28">
      <c r="A171" s="1">
        <v>170</v>
      </c>
      <c r="B171" s="1" t="s">
        <v>562</v>
      </c>
      <c r="C171" s="2">
        <v>42225</v>
      </c>
      <c r="D171" s="6" t="str">
        <f t="shared" si="0"/>
        <v>Aug</v>
      </c>
      <c r="E171" s="6" t="str">
        <f t="shared" si="1"/>
        <v>Qtr 3</v>
      </c>
      <c r="F171" s="5">
        <v>42347</v>
      </c>
      <c r="G171" s="1" t="s">
        <v>49</v>
      </c>
      <c r="H171" s="1" t="s">
        <v>563</v>
      </c>
      <c r="I171" s="1" t="s">
        <v>564</v>
      </c>
      <c r="J171" s="1" t="str">
        <f ca="1">IFERROR(__xludf.DUMMYFUNCTION("split(I171,"" "")"),"Becky")</f>
        <v>Becky</v>
      </c>
      <c r="K171" s="1" t="str">
        <f ca="1">IFERROR(__xludf.DUMMYFUNCTION("""COMPUTED_VALUE"""),"Martin")</f>
        <v>Martin</v>
      </c>
      <c r="L171" s="1"/>
      <c r="M171" s="1" t="s">
        <v>29</v>
      </c>
      <c r="N171" s="1" t="s">
        <v>30</v>
      </c>
      <c r="O171" s="1" t="s">
        <v>565</v>
      </c>
      <c r="P171" s="1" t="str">
        <f t="shared" si="2"/>
        <v>San Antonio</v>
      </c>
      <c r="Q171" s="1" t="s">
        <v>89</v>
      </c>
      <c r="R171" s="1" t="str">
        <f t="shared" si="3"/>
        <v>Texas</v>
      </c>
      <c r="S171" s="1">
        <v>78207</v>
      </c>
      <c r="T171" s="1" t="s">
        <v>90</v>
      </c>
      <c r="U171" s="1" t="s">
        <v>571</v>
      </c>
      <c r="V171" s="1" t="s">
        <v>46</v>
      </c>
      <c r="W171" s="7">
        <v>177.98</v>
      </c>
      <c r="X171" s="1">
        <v>7</v>
      </c>
      <c r="Y171" s="7">
        <v>177.53</v>
      </c>
      <c r="Z171" s="7">
        <f t="shared" ref="Z171:AA171" si="174">W171*X171</f>
        <v>1245.8599999999999</v>
      </c>
      <c r="AA171" s="7">
        <f t="shared" si="174"/>
        <v>1242.71</v>
      </c>
      <c r="AB171" s="7">
        <f t="shared" si="5"/>
        <v>3.1499999999998636</v>
      </c>
    </row>
    <row r="172" spans="1:28">
      <c r="A172" s="1">
        <v>171</v>
      </c>
      <c r="B172" s="1" t="s">
        <v>562</v>
      </c>
      <c r="C172" s="2">
        <v>42225</v>
      </c>
      <c r="D172" s="6" t="str">
        <f t="shared" si="0"/>
        <v>Aug</v>
      </c>
      <c r="E172" s="6" t="str">
        <f t="shared" si="1"/>
        <v>Qtr 3</v>
      </c>
      <c r="F172" s="5">
        <v>42347</v>
      </c>
      <c r="G172" s="1" t="s">
        <v>49</v>
      </c>
      <c r="H172" s="1" t="s">
        <v>563</v>
      </c>
      <c r="I172" s="1" t="s">
        <v>564</v>
      </c>
      <c r="J172" s="1" t="str">
        <f ca="1">IFERROR(__xludf.DUMMYFUNCTION("split(I172,"" "")"),"Becky")</f>
        <v>Becky</v>
      </c>
      <c r="K172" s="1" t="str">
        <f ca="1">IFERROR(__xludf.DUMMYFUNCTION("""COMPUTED_VALUE"""),"Martin")</f>
        <v>Martin</v>
      </c>
      <c r="L172" s="1"/>
      <c r="M172" s="1" t="s">
        <v>29</v>
      </c>
      <c r="N172" s="1" t="s">
        <v>30</v>
      </c>
      <c r="O172" s="1" t="s">
        <v>565</v>
      </c>
      <c r="P172" s="1" t="str">
        <f t="shared" si="2"/>
        <v>San Antonio</v>
      </c>
      <c r="Q172" s="1" t="s">
        <v>89</v>
      </c>
      <c r="R172" s="1" t="str">
        <f t="shared" si="3"/>
        <v>Texas</v>
      </c>
      <c r="S172" s="1">
        <v>78207</v>
      </c>
      <c r="T172" s="1" t="s">
        <v>90</v>
      </c>
      <c r="U172" s="1" t="s">
        <v>572</v>
      </c>
      <c r="V172" s="1" t="s">
        <v>64</v>
      </c>
      <c r="W172" s="7">
        <v>143.976</v>
      </c>
      <c r="X172" s="1">
        <v>7</v>
      </c>
      <c r="Y172" s="7">
        <v>143.22999999999999</v>
      </c>
      <c r="Z172" s="7">
        <f t="shared" ref="Z172:AA172" si="175">W172*X172</f>
        <v>1007.832</v>
      </c>
      <c r="AA172" s="7">
        <f t="shared" si="175"/>
        <v>1002.6099999999999</v>
      </c>
      <c r="AB172" s="7">
        <f t="shared" si="5"/>
        <v>5.2220000000000937</v>
      </c>
    </row>
    <row r="173" spans="1:28">
      <c r="A173" s="1">
        <v>172</v>
      </c>
      <c r="B173" s="1" t="s">
        <v>573</v>
      </c>
      <c r="C173" s="2">
        <v>42132</v>
      </c>
      <c r="D173" s="6" t="str">
        <f t="shared" si="0"/>
        <v>May</v>
      </c>
      <c r="E173" s="6" t="str">
        <f t="shared" si="1"/>
        <v>Qtr 2</v>
      </c>
      <c r="F173" s="5">
        <v>42255</v>
      </c>
      <c r="G173" s="1" t="s">
        <v>49</v>
      </c>
      <c r="H173" s="1" t="s">
        <v>574</v>
      </c>
      <c r="I173" s="1" t="s">
        <v>575</v>
      </c>
      <c r="J173" s="1" t="str">
        <f ca="1">IFERROR(__xludf.DUMMYFUNCTION("split(I173,"" "")"),"Chad")</f>
        <v>Chad</v>
      </c>
      <c r="K173" s="1" t="str">
        <f ca="1">IFERROR(__xludf.DUMMYFUNCTION("""COMPUTED_VALUE"""),"Sievert")</f>
        <v>Sievert</v>
      </c>
      <c r="L173" s="1"/>
      <c r="M173" s="1" t="s">
        <v>29</v>
      </c>
      <c r="N173" s="1" t="s">
        <v>30</v>
      </c>
      <c r="O173" s="1" t="s">
        <v>42</v>
      </c>
      <c r="P173" s="1" t="str">
        <f t="shared" si="2"/>
        <v>Los Angeles</v>
      </c>
      <c r="Q173" s="1" t="s">
        <v>68</v>
      </c>
      <c r="R173" s="1" t="str">
        <f t="shared" si="3"/>
        <v>California</v>
      </c>
      <c r="S173" s="1">
        <v>90004</v>
      </c>
      <c r="T173" s="1" t="s">
        <v>44</v>
      </c>
      <c r="U173" s="1" t="s">
        <v>576</v>
      </c>
      <c r="V173" s="1" t="s">
        <v>46</v>
      </c>
      <c r="W173" s="7">
        <v>20.94</v>
      </c>
      <c r="X173" s="1">
        <v>9</v>
      </c>
      <c r="Y173" s="7">
        <v>20.32</v>
      </c>
      <c r="Z173" s="7">
        <f t="shared" ref="Z173:AA173" si="176">W173*X173</f>
        <v>188.46</v>
      </c>
      <c r="AA173" s="7">
        <f t="shared" si="176"/>
        <v>182.88</v>
      </c>
      <c r="AB173" s="7">
        <f t="shared" si="5"/>
        <v>5.5800000000000125</v>
      </c>
    </row>
    <row r="174" spans="1:28">
      <c r="A174" s="1">
        <v>173</v>
      </c>
      <c r="B174" s="1" t="s">
        <v>573</v>
      </c>
      <c r="C174" s="2">
        <v>42132</v>
      </c>
      <c r="D174" s="6" t="str">
        <f t="shared" si="0"/>
        <v>May</v>
      </c>
      <c r="E174" s="6" t="str">
        <f t="shared" si="1"/>
        <v>Qtr 2</v>
      </c>
      <c r="F174" s="5">
        <v>42255</v>
      </c>
      <c r="G174" s="1" t="s">
        <v>49</v>
      </c>
      <c r="H174" s="1" t="s">
        <v>574</v>
      </c>
      <c r="I174" s="1" t="s">
        <v>575</v>
      </c>
      <c r="J174" s="1" t="str">
        <f ca="1">IFERROR(__xludf.DUMMYFUNCTION("split(I174,"" "")"),"Chad")</f>
        <v>Chad</v>
      </c>
      <c r="K174" s="1" t="str">
        <f ca="1">IFERROR(__xludf.DUMMYFUNCTION("""COMPUTED_VALUE"""),"Sievert")</f>
        <v>Sievert</v>
      </c>
      <c r="L174" s="1"/>
      <c r="M174" s="1" t="s">
        <v>29</v>
      </c>
      <c r="N174" s="1" t="s">
        <v>30</v>
      </c>
      <c r="O174" s="1" t="s">
        <v>42</v>
      </c>
      <c r="P174" s="1" t="str">
        <f t="shared" si="2"/>
        <v>Los Angeles</v>
      </c>
      <c r="Q174" s="1" t="s">
        <v>68</v>
      </c>
      <c r="R174" s="1" t="str">
        <f t="shared" si="3"/>
        <v>California</v>
      </c>
      <c r="S174" s="1">
        <v>90004</v>
      </c>
      <c r="T174" s="1" t="s">
        <v>44</v>
      </c>
      <c r="U174" s="1" t="s">
        <v>577</v>
      </c>
      <c r="V174" s="1" t="s">
        <v>46</v>
      </c>
      <c r="W174" s="7">
        <v>110.96</v>
      </c>
      <c r="X174" s="1">
        <v>9</v>
      </c>
      <c r="Y174" s="7">
        <v>110.3</v>
      </c>
      <c r="Z174" s="7">
        <f t="shared" ref="Z174:AA174" si="177">W174*X174</f>
        <v>998.64</v>
      </c>
      <c r="AA174" s="7">
        <f t="shared" si="177"/>
        <v>992.69999999999993</v>
      </c>
      <c r="AB174" s="7">
        <f t="shared" si="5"/>
        <v>5.9400000000000546</v>
      </c>
    </row>
    <row r="175" spans="1:28">
      <c r="A175" s="1">
        <v>174</v>
      </c>
      <c r="B175" s="1" t="s">
        <v>573</v>
      </c>
      <c r="C175" s="2">
        <v>42132</v>
      </c>
      <c r="D175" s="6" t="str">
        <f t="shared" si="0"/>
        <v>May</v>
      </c>
      <c r="E175" s="6" t="str">
        <f t="shared" si="1"/>
        <v>Qtr 2</v>
      </c>
      <c r="F175" s="5">
        <v>42255</v>
      </c>
      <c r="G175" s="1" t="s">
        <v>49</v>
      </c>
      <c r="H175" s="1" t="s">
        <v>574</v>
      </c>
      <c r="I175" s="1" t="s">
        <v>575</v>
      </c>
      <c r="J175" s="1" t="str">
        <f ca="1">IFERROR(__xludf.DUMMYFUNCTION("split(I175,"" "")"),"Chad")</f>
        <v>Chad</v>
      </c>
      <c r="K175" s="1" t="str">
        <f ca="1">IFERROR(__xludf.DUMMYFUNCTION("""COMPUTED_VALUE"""),"Sievert")</f>
        <v>Sievert</v>
      </c>
      <c r="L175" s="1"/>
      <c r="M175" s="1" t="s">
        <v>29</v>
      </c>
      <c r="N175" s="1" t="s">
        <v>30</v>
      </c>
      <c r="O175" s="1" t="s">
        <v>42</v>
      </c>
      <c r="P175" s="1" t="str">
        <f t="shared" si="2"/>
        <v>Los Angeles</v>
      </c>
      <c r="Q175" s="1" t="s">
        <v>68</v>
      </c>
      <c r="R175" s="1" t="str">
        <f t="shared" si="3"/>
        <v>California</v>
      </c>
      <c r="S175" s="1">
        <v>90004</v>
      </c>
      <c r="T175" s="1" t="s">
        <v>44</v>
      </c>
      <c r="U175" s="1" t="s">
        <v>578</v>
      </c>
      <c r="V175" s="1" t="s">
        <v>35</v>
      </c>
      <c r="W175" s="7">
        <v>340.14400000000001</v>
      </c>
      <c r="X175" s="1">
        <v>9</v>
      </c>
      <c r="Y175" s="7">
        <v>339.46</v>
      </c>
      <c r="Z175" s="7">
        <f t="shared" ref="Z175:AA175" si="178">W175*X175</f>
        <v>3061.2960000000003</v>
      </c>
      <c r="AA175" s="7">
        <f t="shared" si="178"/>
        <v>3055.14</v>
      </c>
      <c r="AB175" s="7">
        <f t="shared" si="5"/>
        <v>6.1560000000004038</v>
      </c>
    </row>
    <row r="176" spans="1:28">
      <c r="A176" s="1">
        <v>175</v>
      </c>
      <c r="B176" s="1" t="s">
        <v>579</v>
      </c>
      <c r="C176" s="2">
        <v>42261</v>
      </c>
      <c r="D176" s="6" t="str">
        <f t="shared" si="0"/>
        <v>Sep</v>
      </c>
      <c r="E176" s="6" t="str">
        <f t="shared" si="1"/>
        <v>Qtr 3</v>
      </c>
      <c r="F176" s="5" t="s">
        <v>580</v>
      </c>
      <c r="G176" s="1" t="s">
        <v>49</v>
      </c>
      <c r="H176" s="1" t="s">
        <v>581</v>
      </c>
      <c r="I176" s="1" t="s">
        <v>582</v>
      </c>
      <c r="J176" s="1" t="str">
        <f ca="1">IFERROR(__xludf.DUMMYFUNCTION("split(I176,"" "")"),"Jennifer")</f>
        <v>Jennifer</v>
      </c>
      <c r="K176" s="1" t="str">
        <f ca="1">IFERROR(__xludf.DUMMYFUNCTION("""COMPUTED_VALUE"""),"Braxton")</f>
        <v>Braxton</v>
      </c>
      <c r="L176" s="1"/>
      <c r="M176" s="1" t="s">
        <v>41</v>
      </c>
      <c r="N176" s="1" t="s">
        <v>30</v>
      </c>
      <c r="O176" s="1" t="s">
        <v>259</v>
      </c>
      <c r="P176" s="1" t="str">
        <f t="shared" si="2"/>
        <v>Chicago</v>
      </c>
      <c r="Q176" s="1" t="s">
        <v>182</v>
      </c>
      <c r="R176" s="1" t="str">
        <f t="shared" si="3"/>
        <v>Illinois</v>
      </c>
      <c r="S176" s="1">
        <v>60623</v>
      </c>
      <c r="T176" s="1" t="s">
        <v>90</v>
      </c>
      <c r="U176" s="1" t="s">
        <v>583</v>
      </c>
      <c r="V176" s="1" t="s">
        <v>46</v>
      </c>
      <c r="W176" s="7">
        <v>52.448</v>
      </c>
      <c r="X176" s="1">
        <v>6</v>
      </c>
      <c r="Y176" s="7">
        <v>51.78</v>
      </c>
      <c r="Z176" s="7">
        <f t="shared" ref="Z176:AA176" si="179">W176*X176</f>
        <v>314.68799999999999</v>
      </c>
      <c r="AA176" s="7">
        <f t="shared" si="179"/>
        <v>310.68</v>
      </c>
      <c r="AB176" s="7">
        <f t="shared" si="5"/>
        <v>4.0079999999999814</v>
      </c>
    </row>
    <row r="177" spans="1:28">
      <c r="A177" s="1">
        <v>176</v>
      </c>
      <c r="B177" s="1" t="s">
        <v>579</v>
      </c>
      <c r="C177" s="2">
        <v>42261</v>
      </c>
      <c r="D177" s="6" t="str">
        <f t="shared" si="0"/>
        <v>Sep</v>
      </c>
      <c r="E177" s="6" t="str">
        <f t="shared" si="1"/>
        <v>Qtr 3</v>
      </c>
      <c r="F177" s="5" t="s">
        <v>580</v>
      </c>
      <c r="G177" s="1" t="s">
        <v>49</v>
      </c>
      <c r="H177" s="1" t="s">
        <v>581</v>
      </c>
      <c r="I177" s="1" t="s">
        <v>582</v>
      </c>
      <c r="J177" s="1" t="str">
        <f ca="1">IFERROR(__xludf.DUMMYFUNCTION("split(I177,"" "")"),"Jennifer")</f>
        <v>Jennifer</v>
      </c>
      <c r="K177" s="1" t="str">
        <f ca="1">IFERROR(__xludf.DUMMYFUNCTION("""COMPUTED_VALUE"""),"Braxton")</f>
        <v>Braxton</v>
      </c>
      <c r="L177" s="1"/>
      <c r="M177" s="1" t="s">
        <v>41</v>
      </c>
      <c r="N177" s="1" t="s">
        <v>30</v>
      </c>
      <c r="O177" s="1" t="s">
        <v>259</v>
      </c>
      <c r="P177" s="1" t="str">
        <f t="shared" si="2"/>
        <v>Chicago</v>
      </c>
      <c r="Q177" s="1" t="s">
        <v>182</v>
      </c>
      <c r="R177" s="1" t="str">
        <f t="shared" si="3"/>
        <v>Illinois</v>
      </c>
      <c r="S177" s="1">
        <v>60623</v>
      </c>
      <c r="T177" s="1" t="s">
        <v>90</v>
      </c>
      <c r="U177" s="1" t="s">
        <v>584</v>
      </c>
      <c r="V177" s="1" t="s">
        <v>46</v>
      </c>
      <c r="W177" s="7">
        <v>20.16</v>
      </c>
      <c r="X177" s="1">
        <v>6</v>
      </c>
      <c r="Y177" s="7">
        <v>19.399999999999999</v>
      </c>
      <c r="Z177" s="7">
        <f t="shared" ref="Z177:AA177" si="180">W177*X177</f>
        <v>120.96000000000001</v>
      </c>
      <c r="AA177" s="7">
        <f t="shared" si="180"/>
        <v>116.39999999999999</v>
      </c>
      <c r="AB177" s="7">
        <f t="shared" si="5"/>
        <v>4.5600000000000165</v>
      </c>
    </row>
    <row r="178" spans="1:28">
      <c r="A178" s="1">
        <v>177</v>
      </c>
      <c r="B178" s="1" t="s">
        <v>585</v>
      </c>
      <c r="C178" s="2">
        <v>43211</v>
      </c>
      <c r="D178" s="6" t="str">
        <f t="shared" si="0"/>
        <v>Apr</v>
      </c>
      <c r="E178" s="6" t="str">
        <f t="shared" si="1"/>
        <v>Qtr 2</v>
      </c>
      <c r="F178" s="5" t="s">
        <v>586</v>
      </c>
      <c r="G178" s="1" t="s">
        <v>26</v>
      </c>
      <c r="H178" s="1" t="s">
        <v>587</v>
      </c>
      <c r="I178" s="1" t="s">
        <v>588</v>
      </c>
      <c r="J178" s="1" t="str">
        <f ca="1">IFERROR(__xludf.DUMMYFUNCTION("split(I178,"" "")"),"Shirley")</f>
        <v>Shirley</v>
      </c>
      <c r="K178" s="1" t="str">
        <f ca="1">IFERROR(__xludf.DUMMYFUNCTION("""COMPUTED_VALUE"""),"Jackson")</f>
        <v>Jackson</v>
      </c>
      <c r="L178" s="1"/>
      <c r="M178" s="1" t="s">
        <v>29</v>
      </c>
      <c r="N178" s="1" t="s">
        <v>30</v>
      </c>
      <c r="O178" s="1" t="s">
        <v>172</v>
      </c>
      <c r="P178" s="1" t="str">
        <f t="shared" si="2"/>
        <v>Houston</v>
      </c>
      <c r="Q178" s="1" t="s">
        <v>89</v>
      </c>
      <c r="R178" s="1" t="str">
        <f t="shared" si="3"/>
        <v>Texas</v>
      </c>
      <c r="S178" s="1">
        <v>77036</v>
      </c>
      <c r="T178" s="1" t="s">
        <v>90</v>
      </c>
      <c r="U178" s="1" t="s">
        <v>589</v>
      </c>
      <c r="V178" s="1" t="s">
        <v>46</v>
      </c>
      <c r="W178" s="7">
        <v>97.263999999999996</v>
      </c>
      <c r="X178" s="1">
        <v>7</v>
      </c>
      <c r="Y178" s="7">
        <v>96.62</v>
      </c>
      <c r="Z178" s="7">
        <f t="shared" ref="Z178:AA178" si="181">W178*X178</f>
        <v>680.84799999999996</v>
      </c>
      <c r="AA178" s="7">
        <f t="shared" si="181"/>
        <v>676.34</v>
      </c>
      <c r="AB178" s="7">
        <f t="shared" si="5"/>
        <v>4.5079999999999245</v>
      </c>
    </row>
    <row r="179" spans="1:28">
      <c r="A179" s="1">
        <v>178</v>
      </c>
      <c r="B179" s="1" t="s">
        <v>590</v>
      </c>
      <c r="C179" s="2">
        <v>42695</v>
      </c>
      <c r="D179" s="6" t="str">
        <f t="shared" si="0"/>
        <v>Nov</v>
      </c>
      <c r="E179" s="6" t="str">
        <f t="shared" si="1"/>
        <v>Qtr 4</v>
      </c>
      <c r="F179" s="5" t="s">
        <v>591</v>
      </c>
      <c r="G179" s="1" t="s">
        <v>26</v>
      </c>
      <c r="H179" s="1" t="s">
        <v>284</v>
      </c>
      <c r="I179" s="1" t="s">
        <v>285</v>
      </c>
      <c r="J179" s="1" t="str">
        <f ca="1">IFERROR(__xludf.DUMMYFUNCTION("split(I179,"" "")"),"Joel")</f>
        <v>Joel</v>
      </c>
      <c r="K179" s="1" t="str">
        <f ca="1">IFERROR(__xludf.DUMMYFUNCTION("""COMPUTED_VALUE"""),"Eaton")</f>
        <v>Eaton</v>
      </c>
      <c r="L179" s="1"/>
      <c r="M179" s="1" t="s">
        <v>29</v>
      </c>
      <c r="N179" s="1" t="s">
        <v>30</v>
      </c>
      <c r="O179" s="1" t="s">
        <v>505</v>
      </c>
      <c r="P179" s="1" t="str">
        <f t="shared" si="2"/>
        <v>Newark</v>
      </c>
      <c r="Q179" s="1" t="s">
        <v>421</v>
      </c>
      <c r="R179" s="1" t="str">
        <f t="shared" si="3"/>
        <v>Ohio</v>
      </c>
      <c r="S179" s="1">
        <v>43055</v>
      </c>
      <c r="T179" s="1" t="s">
        <v>128</v>
      </c>
      <c r="U179" s="1" t="s">
        <v>592</v>
      </c>
      <c r="V179" s="1" t="s">
        <v>35</v>
      </c>
      <c r="W179" s="7">
        <v>396.80200000000002</v>
      </c>
      <c r="X179" s="1">
        <v>4</v>
      </c>
      <c r="Y179" s="7">
        <v>396.53</v>
      </c>
      <c r="Z179" s="7">
        <f t="shared" ref="Z179:AA179" si="182">W179*X179</f>
        <v>1587.2080000000001</v>
      </c>
      <c r="AA179" s="7">
        <f t="shared" si="182"/>
        <v>1586.12</v>
      </c>
      <c r="AB179" s="7">
        <f t="shared" si="5"/>
        <v>1.0880000000001928</v>
      </c>
    </row>
    <row r="180" spans="1:28">
      <c r="A180" s="1">
        <v>179</v>
      </c>
      <c r="B180" s="1" t="s">
        <v>590</v>
      </c>
      <c r="C180" s="2">
        <v>42695</v>
      </c>
      <c r="D180" s="6" t="str">
        <f t="shared" si="0"/>
        <v>Nov</v>
      </c>
      <c r="E180" s="6" t="str">
        <f t="shared" si="1"/>
        <v>Qtr 4</v>
      </c>
      <c r="F180" s="5" t="s">
        <v>591</v>
      </c>
      <c r="G180" s="1" t="s">
        <v>26</v>
      </c>
      <c r="H180" s="1" t="s">
        <v>284</v>
      </c>
      <c r="I180" s="1" t="s">
        <v>285</v>
      </c>
      <c r="J180" s="1" t="str">
        <f ca="1">IFERROR(__xludf.DUMMYFUNCTION("split(I180,"" "")"),"Joel")</f>
        <v>Joel</v>
      </c>
      <c r="K180" s="1" t="str">
        <f ca="1">IFERROR(__xludf.DUMMYFUNCTION("""COMPUTED_VALUE"""),"Eaton")</f>
        <v>Eaton</v>
      </c>
      <c r="L180" s="1"/>
      <c r="M180" s="1" t="s">
        <v>29</v>
      </c>
      <c r="N180" s="1" t="s">
        <v>30</v>
      </c>
      <c r="O180" s="1" t="s">
        <v>505</v>
      </c>
      <c r="P180" s="1" t="str">
        <f t="shared" si="2"/>
        <v>Newark</v>
      </c>
      <c r="Q180" s="1" t="s">
        <v>421</v>
      </c>
      <c r="R180" s="1" t="str">
        <f t="shared" si="3"/>
        <v>Ohio</v>
      </c>
      <c r="S180" s="1">
        <v>43055</v>
      </c>
      <c r="T180" s="1" t="s">
        <v>128</v>
      </c>
      <c r="U180" s="1" t="s">
        <v>593</v>
      </c>
      <c r="V180" s="1" t="s">
        <v>46</v>
      </c>
      <c r="W180" s="7">
        <v>15.88</v>
      </c>
      <c r="X180" s="1">
        <v>4</v>
      </c>
      <c r="Y180" s="7">
        <v>15.7</v>
      </c>
      <c r="Z180" s="7">
        <f t="shared" ref="Z180:AA180" si="183">W180*X180</f>
        <v>63.52</v>
      </c>
      <c r="AA180" s="7">
        <f t="shared" si="183"/>
        <v>62.8</v>
      </c>
      <c r="AB180" s="7">
        <f t="shared" si="5"/>
        <v>0.72000000000000597</v>
      </c>
    </row>
    <row r="181" spans="1:28">
      <c r="A181" s="1">
        <v>180</v>
      </c>
      <c r="B181" s="1" t="s">
        <v>594</v>
      </c>
      <c r="C181" s="2">
        <v>42719</v>
      </c>
      <c r="D181" s="6" t="str">
        <f t="shared" si="0"/>
        <v>Dec</v>
      </c>
      <c r="E181" s="6" t="str">
        <f t="shared" si="1"/>
        <v>Qtr 4</v>
      </c>
      <c r="F181" s="5" t="s">
        <v>595</v>
      </c>
      <c r="G181" s="1" t="s">
        <v>49</v>
      </c>
      <c r="H181" s="1" t="s">
        <v>596</v>
      </c>
      <c r="I181" s="1" t="s">
        <v>597</v>
      </c>
      <c r="J181" s="1" t="str">
        <f ca="1">IFERROR(__xludf.DUMMYFUNCTION("split(I181,"" "")"),"Jim")</f>
        <v>Jim</v>
      </c>
      <c r="K181" s="1" t="str">
        <f ca="1">IFERROR(__xludf.DUMMYFUNCTION("""COMPUTED_VALUE"""),"Kriz")</f>
        <v>Kriz</v>
      </c>
      <c r="L181" s="1"/>
      <c r="M181" s="1" t="s">
        <v>87</v>
      </c>
      <c r="N181" s="1" t="s">
        <v>30</v>
      </c>
      <c r="O181" s="1" t="s">
        <v>233</v>
      </c>
      <c r="P181" s="1" t="str">
        <f t="shared" si="2"/>
        <v>New York City</v>
      </c>
      <c r="Q181" s="1" t="s">
        <v>234</v>
      </c>
      <c r="R181" s="1" t="str">
        <f t="shared" si="3"/>
        <v>New York</v>
      </c>
      <c r="S181" s="1">
        <v>10009</v>
      </c>
      <c r="T181" s="1" t="s">
        <v>128</v>
      </c>
      <c r="U181" s="1" t="s">
        <v>598</v>
      </c>
      <c r="V181" s="1" t="s">
        <v>46</v>
      </c>
      <c r="W181" s="7">
        <v>3.28</v>
      </c>
      <c r="X181" s="1">
        <v>1</v>
      </c>
      <c r="Y181" s="7">
        <v>2.3199999999999998</v>
      </c>
      <c r="Z181" s="7">
        <f t="shared" ref="Z181:AA181" si="184">W181*X181</f>
        <v>3.28</v>
      </c>
      <c r="AA181" s="7">
        <f t="shared" si="184"/>
        <v>2.3199999999999998</v>
      </c>
      <c r="AB181" s="7">
        <f t="shared" si="5"/>
        <v>0.96</v>
      </c>
    </row>
    <row r="182" spans="1:28">
      <c r="A182" s="1">
        <v>181</v>
      </c>
      <c r="B182" s="1" t="s">
        <v>599</v>
      </c>
      <c r="C182" s="2">
        <v>42136</v>
      </c>
      <c r="D182" s="6" t="str">
        <f t="shared" si="0"/>
        <v>May</v>
      </c>
      <c r="E182" s="6" t="str">
        <f t="shared" si="1"/>
        <v>Qtr 2</v>
      </c>
      <c r="F182" s="5">
        <v>42259</v>
      </c>
      <c r="G182" s="1" t="s">
        <v>26</v>
      </c>
      <c r="H182" s="1" t="s">
        <v>600</v>
      </c>
      <c r="I182" s="1" t="s">
        <v>601</v>
      </c>
      <c r="J182" s="1" t="str">
        <f ca="1">IFERROR(__xludf.DUMMYFUNCTION("split(I182,"" "")"),"David")</f>
        <v>David</v>
      </c>
      <c r="K182" s="1" t="str">
        <f ca="1">IFERROR(__xludf.DUMMYFUNCTION("""COMPUTED_VALUE"""),"Kendrick")</f>
        <v>Kendrick</v>
      </c>
      <c r="L182" s="1"/>
      <c r="M182" s="1" t="s">
        <v>41</v>
      </c>
      <c r="N182" s="1" t="s">
        <v>30</v>
      </c>
      <c r="O182" s="1" t="s">
        <v>303</v>
      </c>
      <c r="P182" s="1" t="str">
        <f t="shared" si="2"/>
        <v>Decatur</v>
      </c>
      <c r="Q182" s="1" t="s">
        <v>182</v>
      </c>
      <c r="R182" s="1" t="str">
        <f t="shared" si="3"/>
        <v>Illinois</v>
      </c>
      <c r="S182" s="1">
        <v>62521</v>
      </c>
      <c r="T182" s="1" t="s">
        <v>90</v>
      </c>
      <c r="U182" s="1" t="s">
        <v>602</v>
      </c>
      <c r="V182" s="1" t="s">
        <v>46</v>
      </c>
      <c r="W182" s="7">
        <v>24.815999999999999</v>
      </c>
      <c r="X182" s="1">
        <v>6</v>
      </c>
      <c r="Y182" s="7">
        <v>24.64</v>
      </c>
      <c r="Z182" s="7">
        <f t="shared" ref="Z182:AA182" si="185">W182*X182</f>
        <v>148.89599999999999</v>
      </c>
      <c r="AA182" s="7">
        <f t="shared" si="185"/>
        <v>147.84</v>
      </c>
      <c r="AB182" s="7">
        <f t="shared" si="5"/>
        <v>1.0559999999999832</v>
      </c>
    </row>
    <row r="183" spans="1:28">
      <c r="A183" s="1">
        <v>182</v>
      </c>
      <c r="B183" s="1" t="s">
        <v>599</v>
      </c>
      <c r="C183" s="2">
        <v>42136</v>
      </c>
      <c r="D183" s="6" t="str">
        <f t="shared" si="0"/>
        <v>May</v>
      </c>
      <c r="E183" s="6" t="str">
        <f t="shared" si="1"/>
        <v>Qtr 2</v>
      </c>
      <c r="F183" s="5">
        <v>42259</v>
      </c>
      <c r="G183" s="1" t="s">
        <v>26</v>
      </c>
      <c r="H183" s="1" t="s">
        <v>600</v>
      </c>
      <c r="I183" s="1" t="s">
        <v>601</v>
      </c>
      <c r="J183" s="1" t="str">
        <f ca="1">IFERROR(__xludf.DUMMYFUNCTION("split(I183,"" "")"),"David")</f>
        <v>David</v>
      </c>
      <c r="K183" s="1" t="str">
        <f ca="1">IFERROR(__xludf.DUMMYFUNCTION("""COMPUTED_VALUE"""),"Kendrick")</f>
        <v>Kendrick</v>
      </c>
      <c r="L183" s="1"/>
      <c r="M183" s="1" t="s">
        <v>41</v>
      </c>
      <c r="N183" s="1" t="s">
        <v>30</v>
      </c>
      <c r="O183" s="1" t="s">
        <v>303</v>
      </c>
      <c r="P183" s="1" t="str">
        <f t="shared" si="2"/>
        <v>Decatur</v>
      </c>
      <c r="Q183" s="1" t="s">
        <v>182</v>
      </c>
      <c r="R183" s="1" t="str">
        <f t="shared" si="3"/>
        <v>Illinois</v>
      </c>
      <c r="S183" s="1">
        <v>62521</v>
      </c>
      <c r="T183" s="1" t="s">
        <v>90</v>
      </c>
      <c r="U183" s="1" t="s">
        <v>603</v>
      </c>
      <c r="V183" s="1" t="s">
        <v>64</v>
      </c>
      <c r="W183" s="7">
        <v>408.74400000000003</v>
      </c>
      <c r="X183" s="1">
        <v>6</v>
      </c>
      <c r="Y183" s="7">
        <v>408.52</v>
      </c>
      <c r="Z183" s="7">
        <f t="shared" ref="Z183:AA183" si="186">W183*X183</f>
        <v>2452.4639999999999</v>
      </c>
      <c r="AA183" s="7">
        <f t="shared" si="186"/>
        <v>2451.12</v>
      </c>
      <c r="AB183" s="7">
        <f t="shared" si="5"/>
        <v>1.3440000000000509</v>
      </c>
    </row>
    <row r="184" spans="1:28">
      <c r="A184" s="1">
        <v>183</v>
      </c>
      <c r="B184" s="1" t="s">
        <v>604</v>
      </c>
      <c r="C184" s="2">
        <v>42327</v>
      </c>
      <c r="D184" s="6" t="str">
        <f t="shared" si="0"/>
        <v>Nov</v>
      </c>
      <c r="E184" s="6" t="str">
        <f t="shared" si="1"/>
        <v>Qtr 4</v>
      </c>
      <c r="F184" s="5" t="s">
        <v>605</v>
      </c>
      <c r="G184" s="1" t="s">
        <v>26</v>
      </c>
      <c r="H184" s="1" t="s">
        <v>606</v>
      </c>
      <c r="I184" s="1" t="s">
        <v>607</v>
      </c>
      <c r="J184" s="1" t="str">
        <f ca="1">IFERROR(__xludf.DUMMYFUNCTION("split(I184,"" "")"),"Robert")</f>
        <v>Robert</v>
      </c>
      <c r="K184" s="1" t="str">
        <f ca="1">IFERROR(__xludf.DUMMYFUNCTION("""COMPUTED_VALUE"""),"Marley")</f>
        <v>Marley</v>
      </c>
      <c r="L184" s="1"/>
      <c r="M184" s="1" t="s">
        <v>87</v>
      </c>
      <c r="N184" s="1" t="s">
        <v>30</v>
      </c>
      <c r="O184" s="1" t="s">
        <v>608</v>
      </c>
      <c r="P184" s="1" t="str">
        <f t="shared" si="2"/>
        <v>Monroe</v>
      </c>
      <c r="Q184" s="1" t="s">
        <v>609</v>
      </c>
      <c r="R184" s="1" t="str">
        <f t="shared" si="3"/>
        <v>Louisiana</v>
      </c>
      <c r="S184" s="1">
        <v>71203</v>
      </c>
      <c r="T184" s="1" t="s">
        <v>33</v>
      </c>
      <c r="U184" s="1" t="s">
        <v>610</v>
      </c>
      <c r="V184" s="1" t="s">
        <v>64</v>
      </c>
      <c r="W184" s="7">
        <v>503.96</v>
      </c>
      <c r="X184" s="1">
        <v>7</v>
      </c>
      <c r="Y184" s="7">
        <v>503.87</v>
      </c>
      <c r="Z184" s="7">
        <f t="shared" ref="Z184:AA184" si="187">W184*X184</f>
        <v>3527.72</v>
      </c>
      <c r="AA184" s="7">
        <f t="shared" si="187"/>
        <v>3527.09</v>
      </c>
      <c r="AB184" s="7">
        <f t="shared" si="5"/>
        <v>0.62999999999965439</v>
      </c>
    </row>
    <row r="185" spans="1:28">
      <c r="A185" s="1">
        <v>184</v>
      </c>
      <c r="B185" s="1" t="s">
        <v>604</v>
      </c>
      <c r="C185" s="2">
        <v>42327</v>
      </c>
      <c r="D185" s="6" t="str">
        <f t="shared" si="0"/>
        <v>Nov</v>
      </c>
      <c r="E185" s="6" t="str">
        <f t="shared" si="1"/>
        <v>Qtr 4</v>
      </c>
      <c r="F185" s="5" t="s">
        <v>605</v>
      </c>
      <c r="G185" s="1" t="s">
        <v>26</v>
      </c>
      <c r="H185" s="1" t="s">
        <v>606</v>
      </c>
      <c r="I185" s="1" t="s">
        <v>607</v>
      </c>
      <c r="J185" s="1" t="str">
        <f ca="1">IFERROR(__xludf.DUMMYFUNCTION("split(I185,"" "")"),"Robert")</f>
        <v>Robert</v>
      </c>
      <c r="K185" s="1" t="str">
        <f ca="1">IFERROR(__xludf.DUMMYFUNCTION("""COMPUTED_VALUE"""),"Marley")</f>
        <v>Marley</v>
      </c>
      <c r="L185" s="1"/>
      <c r="M185" s="1" t="s">
        <v>87</v>
      </c>
      <c r="N185" s="1" t="s">
        <v>30</v>
      </c>
      <c r="O185" s="1" t="s">
        <v>608</v>
      </c>
      <c r="P185" s="1" t="str">
        <f t="shared" si="2"/>
        <v>Monroe</v>
      </c>
      <c r="Q185" s="1" t="s">
        <v>609</v>
      </c>
      <c r="R185" s="1" t="str">
        <f t="shared" si="3"/>
        <v>Louisiana</v>
      </c>
      <c r="S185" s="1">
        <v>71203</v>
      </c>
      <c r="T185" s="1" t="s">
        <v>33</v>
      </c>
      <c r="U185" s="1" t="s">
        <v>611</v>
      </c>
      <c r="V185" s="1" t="s">
        <v>64</v>
      </c>
      <c r="W185" s="7">
        <v>149.94999999999999</v>
      </c>
      <c r="X185" s="1">
        <v>7</v>
      </c>
      <c r="Y185" s="7">
        <v>149.34</v>
      </c>
      <c r="Z185" s="7">
        <f t="shared" ref="Z185:AA185" si="188">W185*X185</f>
        <v>1049.6499999999999</v>
      </c>
      <c r="AA185" s="7">
        <f t="shared" si="188"/>
        <v>1045.3800000000001</v>
      </c>
      <c r="AB185" s="7">
        <f t="shared" si="5"/>
        <v>4.2699999999997544</v>
      </c>
    </row>
    <row r="186" spans="1:28">
      <c r="A186" s="1">
        <v>185</v>
      </c>
      <c r="B186" s="1" t="s">
        <v>604</v>
      </c>
      <c r="C186" s="2">
        <v>42327</v>
      </c>
      <c r="D186" s="6" t="str">
        <f t="shared" si="0"/>
        <v>Nov</v>
      </c>
      <c r="E186" s="6" t="str">
        <f t="shared" si="1"/>
        <v>Qtr 4</v>
      </c>
      <c r="F186" s="5" t="s">
        <v>605</v>
      </c>
      <c r="G186" s="1" t="s">
        <v>26</v>
      </c>
      <c r="H186" s="1" t="s">
        <v>606</v>
      </c>
      <c r="I186" s="1" t="s">
        <v>607</v>
      </c>
      <c r="J186" s="1" t="str">
        <f ca="1">IFERROR(__xludf.DUMMYFUNCTION("split(I186,"" "")"),"Robert")</f>
        <v>Robert</v>
      </c>
      <c r="K186" s="1" t="str">
        <f ca="1">IFERROR(__xludf.DUMMYFUNCTION("""COMPUTED_VALUE"""),"Marley")</f>
        <v>Marley</v>
      </c>
      <c r="L186" s="1"/>
      <c r="M186" s="1" t="s">
        <v>87</v>
      </c>
      <c r="N186" s="1" t="s">
        <v>30</v>
      </c>
      <c r="O186" s="1" t="s">
        <v>608</v>
      </c>
      <c r="P186" s="1" t="str">
        <f t="shared" si="2"/>
        <v>Monroe</v>
      </c>
      <c r="Q186" s="1" t="s">
        <v>609</v>
      </c>
      <c r="R186" s="1" t="str">
        <f t="shared" si="3"/>
        <v>Louisiana</v>
      </c>
      <c r="S186" s="1">
        <v>71203</v>
      </c>
      <c r="T186" s="1" t="s">
        <v>33</v>
      </c>
      <c r="U186" s="1" t="s">
        <v>612</v>
      </c>
      <c r="V186" s="1" t="s">
        <v>64</v>
      </c>
      <c r="W186" s="7">
        <v>29</v>
      </c>
      <c r="X186" s="1">
        <v>7</v>
      </c>
      <c r="Y186" s="7">
        <v>28.46</v>
      </c>
      <c r="Z186" s="7">
        <f t="shared" ref="Z186:AA186" si="189">W186*X186</f>
        <v>203</v>
      </c>
      <c r="AA186" s="7">
        <f t="shared" si="189"/>
        <v>199.22</v>
      </c>
      <c r="AB186" s="7">
        <f t="shared" si="5"/>
        <v>3.7800000000000011</v>
      </c>
    </row>
    <row r="187" spans="1:28">
      <c r="A187" s="1">
        <v>186</v>
      </c>
      <c r="B187" s="1" t="s">
        <v>613</v>
      </c>
      <c r="C187" s="2">
        <v>43067</v>
      </c>
      <c r="D187" s="6" t="str">
        <f t="shared" si="0"/>
        <v>Nov</v>
      </c>
      <c r="E187" s="6" t="str">
        <f t="shared" si="1"/>
        <v>Qtr 4</v>
      </c>
      <c r="F187" s="5">
        <v>42778</v>
      </c>
      <c r="G187" s="1" t="s">
        <v>49</v>
      </c>
      <c r="H187" s="1" t="s">
        <v>614</v>
      </c>
      <c r="I187" s="1" t="s">
        <v>615</v>
      </c>
      <c r="J187" s="1" t="str">
        <f ca="1">IFERROR(__xludf.DUMMYFUNCTION("split(I187,"" "")"),"Sally")</f>
        <v>Sally</v>
      </c>
      <c r="K187" s="1" t="str">
        <f ca="1">IFERROR(__xludf.DUMMYFUNCTION("""COMPUTED_VALUE"""),"Knutson")</f>
        <v>Knutson</v>
      </c>
      <c r="L187" s="1"/>
      <c r="M187" s="1" t="s">
        <v>29</v>
      </c>
      <c r="N187" s="1" t="s">
        <v>30</v>
      </c>
      <c r="O187" s="1" t="s">
        <v>616</v>
      </c>
      <c r="P187" s="1" t="str">
        <f t="shared" si="2"/>
        <v>Fairfield</v>
      </c>
      <c r="Q187" s="1" t="s">
        <v>617</v>
      </c>
      <c r="R187" s="1" t="str">
        <f t="shared" si="3"/>
        <v>Connecticut</v>
      </c>
      <c r="S187" s="1">
        <v>6824</v>
      </c>
      <c r="T187" s="1" t="s">
        <v>128</v>
      </c>
      <c r="U187" s="1" t="s">
        <v>618</v>
      </c>
      <c r="V187" s="1" t="s">
        <v>46</v>
      </c>
      <c r="W187" s="7">
        <v>7.16</v>
      </c>
      <c r="X187" s="1">
        <v>6</v>
      </c>
      <c r="Y187" s="7">
        <v>6.85</v>
      </c>
      <c r="Z187" s="7">
        <f t="shared" ref="Z187:AA187" si="190">W187*X187</f>
        <v>42.96</v>
      </c>
      <c r="AA187" s="7">
        <f t="shared" si="190"/>
        <v>41.099999999999994</v>
      </c>
      <c r="AB187" s="7">
        <f t="shared" si="5"/>
        <v>1.8600000000000065</v>
      </c>
    </row>
    <row r="188" spans="1:28">
      <c r="A188" s="1">
        <v>187</v>
      </c>
      <c r="B188" s="1" t="s">
        <v>619</v>
      </c>
      <c r="C188" s="2">
        <v>42242</v>
      </c>
      <c r="D188" s="6" t="str">
        <f t="shared" si="0"/>
        <v>Aug</v>
      </c>
      <c r="E188" s="6" t="str">
        <f t="shared" si="1"/>
        <v>Qtr 3</v>
      </c>
      <c r="F188" s="5" t="s">
        <v>620</v>
      </c>
      <c r="G188" s="1" t="s">
        <v>49</v>
      </c>
      <c r="H188" s="1" t="s">
        <v>621</v>
      </c>
      <c r="I188" s="1" t="s">
        <v>622</v>
      </c>
      <c r="J188" s="1" t="str">
        <f ca="1">IFERROR(__xludf.DUMMYFUNCTION("split(I188,"" "")"),"Frank")</f>
        <v>Frank</v>
      </c>
      <c r="K188" s="1" t="str">
        <f ca="1">IFERROR(__xludf.DUMMYFUNCTION("""COMPUTED_VALUE"""),"Merwin")</f>
        <v>Merwin</v>
      </c>
      <c r="L188" s="1"/>
      <c r="M188" s="1" t="s">
        <v>87</v>
      </c>
      <c r="N188" s="1" t="s">
        <v>30</v>
      </c>
      <c r="O188" s="1" t="s">
        <v>42</v>
      </c>
      <c r="P188" s="1" t="str">
        <f t="shared" si="2"/>
        <v>Los Angeles</v>
      </c>
      <c r="Q188" s="1" t="s">
        <v>68</v>
      </c>
      <c r="R188" s="1" t="str">
        <f t="shared" si="3"/>
        <v>California</v>
      </c>
      <c r="S188" s="1">
        <v>90032</v>
      </c>
      <c r="T188" s="1" t="s">
        <v>44</v>
      </c>
      <c r="U188" s="1" t="s">
        <v>623</v>
      </c>
      <c r="V188" s="1" t="s">
        <v>64</v>
      </c>
      <c r="W188" s="7">
        <v>176.8</v>
      </c>
      <c r="X188" s="1">
        <v>9</v>
      </c>
      <c r="Y188" s="7">
        <v>176.49</v>
      </c>
      <c r="Z188" s="7">
        <f t="shared" ref="Z188:AA188" si="191">W188*X188</f>
        <v>1591.2</v>
      </c>
      <c r="AA188" s="7">
        <f t="shared" si="191"/>
        <v>1588.41</v>
      </c>
      <c r="AB188" s="7">
        <f t="shared" si="5"/>
        <v>2.7899999999999636</v>
      </c>
    </row>
    <row r="189" spans="1:28">
      <c r="A189" s="1">
        <v>188</v>
      </c>
      <c r="B189" s="1" t="s">
        <v>624</v>
      </c>
      <c r="C189" s="2">
        <v>42932</v>
      </c>
      <c r="D189" s="6" t="str">
        <f t="shared" si="0"/>
        <v>Jul</v>
      </c>
      <c r="E189" s="6" t="str">
        <f t="shared" si="1"/>
        <v>Qtr 3</v>
      </c>
      <c r="F189" s="5" t="s">
        <v>185</v>
      </c>
      <c r="G189" s="1" t="s">
        <v>49</v>
      </c>
      <c r="H189" s="1" t="s">
        <v>625</v>
      </c>
      <c r="I189" s="1" t="s">
        <v>626</v>
      </c>
      <c r="J189" s="1" t="str">
        <f ca="1">IFERROR(__xludf.DUMMYFUNCTION("split(I189,"" "")"),"Alice")</f>
        <v>Alice</v>
      </c>
      <c r="K189" s="1" t="str">
        <f ca="1">IFERROR(__xludf.DUMMYFUNCTION("""COMPUTED_VALUE"""),"McCarthy")</f>
        <v>McCarthy</v>
      </c>
      <c r="L189" s="1"/>
      <c r="M189" s="1" t="s">
        <v>41</v>
      </c>
      <c r="N189" s="1" t="s">
        <v>30</v>
      </c>
      <c r="O189" s="1" t="s">
        <v>627</v>
      </c>
      <c r="P189" s="1" t="str">
        <f t="shared" si="2"/>
        <v>Grand Prairie</v>
      </c>
      <c r="Q189" s="1" t="s">
        <v>89</v>
      </c>
      <c r="R189" s="1" t="str">
        <f t="shared" si="3"/>
        <v>Texas</v>
      </c>
      <c r="S189" s="1">
        <v>75051</v>
      </c>
      <c r="T189" s="1" t="s">
        <v>90</v>
      </c>
      <c r="U189" s="1" t="s">
        <v>628</v>
      </c>
      <c r="V189" s="1" t="s">
        <v>46</v>
      </c>
      <c r="W189" s="7">
        <v>37.223999999999997</v>
      </c>
      <c r="X189" s="1">
        <v>7</v>
      </c>
      <c r="Y189" s="7">
        <v>37.03</v>
      </c>
      <c r="Z189" s="7">
        <f t="shared" ref="Z189:AA189" si="192">W189*X189</f>
        <v>260.56799999999998</v>
      </c>
      <c r="AA189" s="7">
        <f t="shared" si="192"/>
        <v>259.21000000000004</v>
      </c>
      <c r="AB189" s="7">
        <f t="shared" si="5"/>
        <v>1.3579999999999472</v>
      </c>
    </row>
    <row r="190" spans="1:28">
      <c r="A190" s="1">
        <v>189</v>
      </c>
      <c r="B190" s="1" t="s">
        <v>624</v>
      </c>
      <c r="C190" s="2">
        <v>42932</v>
      </c>
      <c r="D190" s="6" t="str">
        <f t="shared" si="0"/>
        <v>Jul</v>
      </c>
      <c r="E190" s="6" t="str">
        <f t="shared" si="1"/>
        <v>Qtr 3</v>
      </c>
      <c r="F190" s="5" t="s">
        <v>185</v>
      </c>
      <c r="G190" s="1" t="s">
        <v>49</v>
      </c>
      <c r="H190" s="1" t="s">
        <v>625</v>
      </c>
      <c r="I190" s="1" t="s">
        <v>626</v>
      </c>
      <c r="J190" s="1" t="str">
        <f ca="1">IFERROR(__xludf.DUMMYFUNCTION("split(I190,"" "")"),"Alice")</f>
        <v>Alice</v>
      </c>
      <c r="K190" s="1" t="str">
        <f ca="1">IFERROR(__xludf.DUMMYFUNCTION("""COMPUTED_VALUE"""),"McCarthy")</f>
        <v>McCarthy</v>
      </c>
      <c r="L190" s="1"/>
      <c r="M190" s="1" t="s">
        <v>41</v>
      </c>
      <c r="N190" s="1" t="s">
        <v>30</v>
      </c>
      <c r="O190" s="1" t="s">
        <v>627</v>
      </c>
      <c r="P190" s="1" t="str">
        <f t="shared" si="2"/>
        <v>Grand Prairie</v>
      </c>
      <c r="Q190" s="1" t="s">
        <v>89</v>
      </c>
      <c r="R190" s="1" t="str">
        <f t="shared" si="3"/>
        <v>Texas</v>
      </c>
      <c r="S190" s="1">
        <v>75051</v>
      </c>
      <c r="T190" s="1" t="s">
        <v>90</v>
      </c>
      <c r="U190" s="1" t="s">
        <v>525</v>
      </c>
      <c r="V190" s="1" t="s">
        <v>46</v>
      </c>
      <c r="W190" s="7">
        <v>20.015999999999998</v>
      </c>
      <c r="X190" s="1">
        <v>7</v>
      </c>
      <c r="Y190" s="7">
        <v>19.38</v>
      </c>
      <c r="Z190" s="7">
        <f t="shared" ref="Z190:AA190" si="193">W190*X190</f>
        <v>140.11199999999999</v>
      </c>
      <c r="AA190" s="7">
        <f t="shared" si="193"/>
        <v>135.66</v>
      </c>
      <c r="AB190" s="7">
        <f t="shared" si="5"/>
        <v>4.4519999999999982</v>
      </c>
    </row>
    <row r="191" spans="1:28">
      <c r="A191" s="1">
        <v>190</v>
      </c>
      <c r="B191" s="1" t="s">
        <v>629</v>
      </c>
      <c r="C191" s="2">
        <v>42714</v>
      </c>
      <c r="D191" s="6" t="str">
        <f t="shared" si="0"/>
        <v>Dec</v>
      </c>
      <c r="E191" s="6" t="str">
        <f t="shared" si="1"/>
        <v>Qtr 4</v>
      </c>
      <c r="F191" s="5" t="s">
        <v>630</v>
      </c>
      <c r="G191" s="1" t="s">
        <v>162</v>
      </c>
      <c r="H191" s="1" t="s">
        <v>631</v>
      </c>
      <c r="I191" s="1" t="s">
        <v>632</v>
      </c>
      <c r="J191" s="1" t="str">
        <f ca="1">IFERROR(__xludf.DUMMYFUNCTION("split(I191,"" "")"),"Mark")</f>
        <v>Mark</v>
      </c>
      <c r="K191" s="1" t="str">
        <f ca="1">IFERROR(__xludf.DUMMYFUNCTION("""COMPUTED_VALUE"""),"Packer")</f>
        <v>Packer</v>
      </c>
      <c r="L191" s="1"/>
      <c r="M191" s="1" t="s">
        <v>87</v>
      </c>
      <c r="N191" s="1" t="s">
        <v>30</v>
      </c>
      <c r="O191" s="1" t="s">
        <v>233</v>
      </c>
      <c r="P191" s="1" t="str">
        <f t="shared" si="2"/>
        <v>New York City</v>
      </c>
      <c r="Q191" s="1" t="s">
        <v>234</v>
      </c>
      <c r="R191" s="1" t="str">
        <f t="shared" si="3"/>
        <v>New York</v>
      </c>
      <c r="S191" s="1">
        <v>10035</v>
      </c>
      <c r="T191" s="1" t="s">
        <v>128</v>
      </c>
      <c r="U191" s="1" t="s">
        <v>633</v>
      </c>
      <c r="V191" s="1" t="s">
        <v>35</v>
      </c>
      <c r="W191" s="7">
        <v>899.13599999999997</v>
      </c>
      <c r="X191" s="1">
        <v>1</v>
      </c>
      <c r="Y191" s="7">
        <v>898.53</v>
      </c>
      <c r="Z191" s="7">
        <f t="shared" ref="Z191:AA191" si="194">W191*X191</f>
        <v>899.13599999999997</v>
      </c>
      <c r="AA191" s="7">
        <f t="shared" si="194"/>
        <v>898.53</v>
      </c>
      <c r="AB191" s="7">
        <f t="shared" si="5"/>
        <v>0.60599999999999454</v>
      </c>
    </row>
    <row r="192" spans="1:28">
      <c r="A192" s="1">
        <v>191</v>
      </c>
      <c r="B192" s="1" t="s">
        <v>629</v>
      </c>
      <c r="C192" s="2">
        <v>42714</v>
      </c>
      <c r="D192" s="6" t="str">
        <f t="shared" si="0"/>
        <v>Dec</v>
      </c>
      <c r="E192" s="6" t="str">
        <f t="shared" si="1"/>
        <v>Qtr 4</v>
      </c>
      <c r="F192" s="5" t="s">
        <v>630</v>
      </c>
      <c r="G192" s="1" t="s">
        <v>162</v>
      </c>
      <c r="H192" s="1" t="s">
        <v>631</v>
      </c>
      <c r="I192" s="1" t="s">
        <v>632</v>
      </c>
      <c r="J192" s="1" t="str">
        <f ca="1">IFERROR(__xludf.DUMMYFUNCTION("split(I192,"" "")"),"Mark")</f>
        <v>Mark</v>
      </c>
      <c r="K192" s="1" t="str">
        <f ca="1">IFERROR(__xludf.DUMMYFUNCTION("""COMPUTED_VALUE"""),"Packer")</f>
        <v>Packer</v>
      </c>
      <c r="L192" s="1"/>
      <c r="M192" s="1" t="s">
        <v>87</v>
      </c>
      <c r="N192" s="1" t="s">
        <v>30</v>
      </c>
      <c r="O192" s="1" t="s">
        <v>233</v>
      </c>
      <c r="P192" s="1" t="str">
        <f t="shared" si="2"/>
        <v>New York City</v>
      </c>
      <c r="Q192" s="1" t="s">
        <v>234</v>
      </c>
      <c r="R192" s="1" t="str">
        <f t="shared" si="3"/>
        <v>New York</v>
      </c>
      <c r="S192" s="1">
        <v>10035</v>
      </c>
      <c r="T192" s="1" t="s">
        <v>128</v>
      </c>
      <c r="U192" s="1" t="s">
        <v>634</v>
      </c>
      <c r="V192" s="1" t="s">
        <v>64</v>
      </c>
      <c r="W192" s="7">
        <v>71.760000000000005</v>
      </c>
      <c r="X192" s="1">
        <v>1</v>
      </c>
      <c r="Y192" s="7">
        <v>71.44</v>
      </c>
      <c r="Z192" s="7">
        <f t="shared" ref="Z192:AA192" si="195">W192*X192</f>
        <v>71.760000000000005</v>
      </c>
      <c r="AA192" s="7">
        <f t="shared" si="195"/>
        <v>71.44</v>
      </c>
      <c r="AB192" s="7">
        <f t="shared" si="5"/>
        <v>0.32000000000000739</v>
      </c>
    </row>
    <row r="193" spans="1:28">
      <c r="A193" s="1">
        <v>192</v>
      </c>
      <c r="B193" s="1" t="s">
        <v>629</v>
      </c>
      <c r="C193" s="2">
        <v>42714</v>
      </c>
      <c r="D193" s="6" t="str">
        <f t="shared" si="0"/>
        <v>Dec</v>
      </c>
      <c r="E193" s="6" t="str">
        <f t="shared" si="1"/>
        <v>Qtr 4</v>
      </c>
      <c r="F193" s="5" t="s">
        <v>630</v>
      </c>
      <c r="G193" s="1" t="s">
        <v>162</v>
      </c>
      <c r="H193" s="1" t="s">
        <v>631</v>
      </c>
      <c r="I193" s="1" t="s">
        <v>632</v>
      </c>
      <c r="J193" s="1" t="str">
        <f ca="1">IFERROR(__xludf.DUMMYFUNCTION("split(I193,"" "")"),"Mark")</f>
        <v>Mark</v>
      </c>
      <c r="K193" s="1" t="str">
        <f ca="1">IFERROR(__xludf.DUMMYFUNCTION("""COMPUTED_VALUE"""),"Packer")</f>
        <v>Packer</v>
      </c>
      <c r="L193" s="1"/>
      <c r="M193" s="1" t="s">
        <v>87</v>
      </c>
      <c r="N193" s="1" t="s">
        <v>30</v>
      </c>
      <c r="O193" s="1" t="s">
        <v>233</v>
      </c>
      <c r="P193" s="1" t="str">
        <f t="shared" si="2"/>
        <v>New York City</v>
      </c>
      <c r="Q193" s="1" t="s">
        <v>234</v>
      </c>
      <c r="R193" s="1" t="str">
        <f t="shared" si="3"/>
        <v>New York</v>
      </c>
      <c r="S193" s="1">
        <v>10035</v>
      </c>
      <c r="T193" s="1" t="s">
        <v>128</v>
      </c>
      <c r="U193" s="1" t="s">
        <v>635</v>
      </c>
      <c r="V193" s="1" t="s">
        <v>46</v>
      </c>
      <c r="W193" s="7">
        <v>51.84</v>
      </c>
      <c r="X193" s="1">
        <v>1</v>
      </c>
      <c r="Y193" s="7">
        <v>51.52</v>
      </c>
      <c r="Z193" s="7">
        <f t="shared" ref="Z193:AA193" si="196">W193*X193</f>
        <v>51.84</v>
      </c>
      <c r="AA193" s="7">
        <f t="shared" si="196"/>
        <v>51.52</v>
      </c>
      <c r="AB193" s="7">
        <f t="shared" si="5"/>
        <v>0.32000000000000028</v>
      </c>
    </row>
    <row r="194" spans="1:28">
      <c r="A194" s="1">
        <v>193</v>
      </c>
      <c r="B194" s="1" t="s">
        <v>629</v>
      </c>
      <c r="C194" s="2">
        <v>42714</v>
      </c>
      <c r="D194" s="6" t="str">
        <f t="shared" si="0"/>
        <v>Dec</v>
      </c>
      <c r="E194" s="6" t="str">
        <f t="shared" si="1"/>
        <v>Qtr 4</v>
      </c>
      <c r="F194" s="5" t="s">
        <v>630</v>
      </c>
      <c r="G194" s="1" t="s">
        <v>162</v>
      </c>
      <c r="H194" s="1" t="s">
        <v>631</v>
      </c>
      <c r="I194" s="1" t="s">
        <v>632</v>
      </c>
      <c r="J194" s="1" t="str">
        <f ca="1">IFERROR(__xludf.DUMMYFUNCTION("split(I194,"" "")"),"Mark")</f>
        <v>Mark</v>
      </c>
      <c r="K194" s="1" t="str">
        <f ca="1">IFERROR(__xludf.DUMMYFUNCTION("""COMPUTED_VALUE"""),"Packer")</f>
        <v>Packer</v>
      </c>
      <c r="L194" s="1"/>
      <c r="M194" s="1" t="s">
        <v>87</v>
      </c>
      <c r="N194" s="1" t="s">
        <v>30</v>
      </c>
      <c r="O194" s="1" t="s">
        <v>233</v>
      </c>
      <c r="P194" s="1" t="str">
        <f t="shared" si="2"/>
        <v>New York City</v>
      </c>
      <c r="Q194" s="1" t="s">
        <v>234</v>
      </c>
      <c r="R194" s="1" t="str">
        <f t="shared" si="3"/>
        <v>New York</v>
      </c>
      <c r="S194" s="1">
        <v>10035</v>
      </c>
      <c r="T194" s="1" t="s">
        <v>128</v>
      </c>
      <c r="U194" s="1" t="s">
        <v>174</v>
      </c>
      <c r="V194" s="1" t="s">
        <v>35</v>
      </c>
      <c r="W194" s="7">
        <v>626.35199999999998</v>
      </c>
      <c r="X194" s="1">
        <v>1</v>
      </c>
      <c r="Y194" s="7">
        <v>625.59</v>
      </c>
      <c r="Z194" s="7">
        <f t="shared" ref="Z194:AA194" si="197">W194*X194</f>
        <v>626.35199999999998</v>
      </c>
      <c r="AA194" s="7">
        <f t="shared" si="197"/>
        <v>625.59</v>
      </c>
      <c r="AB194" s="7">
        <f t="shared" si="5"/>
        <v>0.76199999999994361</v>
      </c>
    </row>
    <row r="195" spans="1:28">
      <c r="A195" s="1">
        <v>194</v>
      </c>
      <c r="B195" s="1" t="s">
        <v>629</v>
      </c>
      <c r="C195" s="2">
        <v>42714</v>
      </c>
      <c r="D195" s="6" t="str">
        <f t="shared" si="0"/>
        <v>Dec</v>
      </c>
      <c r="E195" s="6" t="str">
        <f t="shared" si="1"/>
        <v>Qtr 4</v>
      </c>
      <c r="F195" s="5" t="s">
        <v>630</v>
      </c>
      <c r="G195" s="1" t="s">
        <v>162</v>
      </c>
      <c r="H195" s="1" t="s">
        <v>631</v>
      </c>
      <c r="I195" s="1" t="s">
        <v>632</v>
      </c>
      <c r="J195" s="1" t="str">
        <f ca="1">IFERROR(__xludf.DUMMYFUNCTION("split(I195,"" "")"),"Mark")</f>
        <v>Mark</v>
      </c>
      <c r="K195" s="1" t="str">
        <f ca="1">IFERROR(__xludf.DUMMYFUNCTION("""COMPUTED_VALUE"""),"Packer")</f>
        <v>Packer</v>
      </c>
      <c r="L195" s="1"/>
      <c r="M195" s="1" t="s">
        <v>87</v>
      </c>
      <c r="N195" s="1" t="s">
        <v>30</v>
      </c>
      <c r="O195" s="1" t="s">
        <v>233</v>
      </c>
      <c r="P195" s="1" t="str">
        <f t="shared" si="2"/>
        <v>New York City</v>
      </c>
      <c r="Q195" s="1" t="s">
        <v>234</v>
      </c>
      <c r="R195" s="1" t="str">
        <f t="shared" si="3"/>
        <v>New York</v>
      </c>
      <c r="S195" s="1">
        <v>10035</v>
      </c>
      <c r="T195" s="1" t="s">
        <v>128</v>
      </c>
      <c r="U195" s="1" t="s">
        <v>636</v>
      </c>
      <c r="V195" s="1" t="s">
        <v>46</v>
      </c>
      <c r="W195" s="7">
        <v>19.899999999999999</v>
      </c>
      <c r="X195" s="1">
        <v>1</v>
      </c>
      <c r="Y195" s="7">
        <v>19.54</v>
      </c>
      <c r="Z195" s="7">
        <f t="shared" ref="Z195:AA195" si="198">W195*X195</f>
        <v>19.899999999999999</v>
      </c>
      <c r="AA195" s="7">
        <f t="shared" si="198"/>
        <v>19.54</v>
      </c>
      <c r="AB195" s="7">
        <f t="shared" si="5"/>
        <v>0.35999999999999943</v>
      </c>
    </row>
    <row r="196" spans="1:28">
      <c r="A196" s="1">
        <v>195</v>
      </c>
      <c r="B196" s="1" t="s">
        <v>637</v>
      </c>
      <c r="C196" s="2">
        <v>42674</v>
      </c>
      <c r="D196" s="6" t="str">
        <f t="shared" si="0"/>
        <v>Oct</v>
      </c>
      <c r="E196" s="6" t="str">
        <f t="shared" si="1"/>
        <v>Qtr 4</v>
      </c>
      <c r="F196" s="5">
        <v>42532</v>
      </c>
      <c r="G196" s="1" t="s">
        <v>49</v>
      </c>
      <c r="H196" s="1" t="s">
        <v>638</v>
      </c>
      <c r="I196" s="1" t="s">
        <v>639</v>
      </c>
      <c r="J196" s="1" t="str">
        <f ca="1">IFERROR(__xludf.DUMMYFUNCTION("split(I196,"" "")"),"Mary")</f>
        <v>Mary</v>
      </c>
      <c r="K196" s="1" t="str">
        <f ca="1">IFERROR(__xludf.DUMMYFUNCTION("""COMPUTED_VALUE"""),"Zewe")</f>
        <v>Zewe</v>
      </c>
      <c r="L196" s="1"/>
      <c r="M196" s="1" t="s">
        <v>41</v>
      </c>
      <c r="N196" s="1" t="s">
        <v>30</v>
      </c>
      <c r="O196" s="1" t="s">
        <v>640</v>
      </c>
      <c r="P196" s="1" t="str">
        <f t="shared" si="2"/>
        <v>Redlands</v>
      </c>
      <c r="Q196" s="1" t="s">
        <v>68</v>
      </c>
      <c r="R196" s="1" t="str">
        <f t="shared" si="3"/>
        <v>California</v>
      </c>
      <c r="S196" s="1">
        <v>92374</v>
      </c>
      <c r="T196" s="1" t="s">
        <v>44</v>
      </c>
      <c r="U196" s="1" t="s">
        <v>151</v>
      </c>
      <c r="V196" s="1" t="s">
        <v>46</v>
      </c>
      <c r="W196" s="7">
        <v>14.28</v>
      </c>
      <c r="X196" s="1">
        <v>9</v>
      </c>
      <c r="Y196" s="7">
        <v>14.19</v>
      </c>
      <c r="Z196" s="7">
        <f t="shared" ref="Z196:AA196" si="199">W196*X196</f>
        <v>128.51999999999998</v>
      </c>
      <c r="AA196" s="7">
        <f t="shared" si="199"/>
        <v>127.71</v>
      </c>
      <c r="AB196" s="7">
        <f t="shared" si="5"/>
        <v>0.80999999999998806</v>
      </c>
    </row>
    <row r="197" spans="1:28">
      <c r="A197" s="1">
        <v>196</v>
      </c>
      <c r="B197" s="1" t="s">
        <v>641</v>
      </c>
      <c r="C197" s="2">
        <v>42084</v>
      </c>
      <c r="D197" s="6" t="str">
        <f t="shared" si="0"/>
        <v>Mar</v>
      </c>
      <c r="E197" s="6" t="str">
        <f t="shared" si="1"/>
        <v>Qtr 1</v>
      </c>
      <c r="F197" s="5" t="s">
        <v>642</v>
      </c>
      <c r="G197" s="1" t="s">
        <v>49</v>
      </c>
      <c r="H197" s="1" t="s">
        <v>643</v>
      </c>
      <c r="I197" s="1" t="s">
        <v>644</v>
      </c>
      <c r="J197" s="1" t="str">
        <f ca="1">IFERROR(__xludf.DUMMYFUNCTION("split(I197,"" "")"),"Cassandra")</f>
        <v>Cassandra</v>
      </c>
      <c r="K197" s="1" t="str">
        <f ca="1">IFERROR(__xludf.DUMMYFUNCTION("""COMPUTED_VALUE"""),"Brandow")</f>
        <v>Brandow</v>
      </c>
      <c r="L197" s="1"/>
      <c r="M197" s="1" t="s">
        <v>29</v>
      </c>
      <c r="N197" s="1" t="s">
        <v>30</v>
      </c>
      <c r="O197" s="1" t="s">
        <v>645</v>
      </c>
      <c r="P197" s="1" t="str">
        <f t="shared" si="2"/>
        <v>Hamilton</v>
      </c>
      <c r="Q197" s="1" t="s">
        <v>421</v>
      </c>
      <c r="R197" s="1" t="str">
        <f t="shared" si="3"/>
        <v>Ohio</v>
      </c>
      <c r="S197" s="1">
        <v>45011</v>
      </c>
      <c r="T197" s="1" t="s">
        <v>128</v>
      </c>
      <c r="U197" s="1" t="s">
        <v>646</v>
      </c>
      <c r="V197" s="1" t="s">
        <v>46</v>
      </c>
      <c r="W197" s="7">
        <v>7.4080000000000004</v>
      </c>
      <c r="X197" s="1">
        <v>4</v>
      </c>
      <c r="Y197" s="7">
        <v>6.46</v>
      </c>
      <c r="Z197" s="7">
        <f t="shared" ref="Z197:AA197" si="200">W197*X197</f>
        <v>29.632000000000001</v>
      </c>
      <c r="AA197" s="7">
        <f t="shared" si="200"/>
        <v>25.84</v>
      </c>
      <c r="AB197" s="7">
        <f t="shared" si="5"/>
        <v>3.7920000000000016</v>
      </c>
    </row>
    <row r="198" spans="1:28">
      <c r="A198" s="1">
        <v>197</v>
      </c>
      <c r="B198" s="1" t="s">
        <v>641</v>
      </c>
      <c r="C198" s="2">
        <v>42084</v>
      </c>
      <c r="D198" s="6" t="str">
        <f t="shared" si="0"/>
        <v>Mar</v>
      </c>
      <c r="E198" s="6" t="str">
        <f t="shared" si="1"/>
        <v>Qtr 1</v>
      </c>
      <c r="F198" s="5" t="s">
        <v>642</v>
      </c>
      <c r="G198" s="1" t="s">
        <v>49</v>
      </c>
      <c r="H198" s="1" t="s">
        <v>643</v>
      </c>
      <c r="I198" s="1" t="s">
        <v>644</v>
      </c>
      <c r="J198" s="1" t="str">
        <f ca="1">IFERROR(__xludf.DUMMYFUNCTION("split(I198,"" "")"),"Cassandra")</f>
        <v>Cassandra</v>
      </c>
      <c r="K198" s="1" t="str">
        <f ca="1">IFERROR(__xludf.DUMMYFUNCTION("""COMPUTED_VALUE"""),"Brandow")</f>
        <v>Brandow</v>
      </c>
      <c r="L198" s="1"/>
      <c r="M198" s="1" t="s">
        <v>29</v>
      </c>
      <c r="N198" s="1" t="s">
        <v>30</v>
      </c>
      <c r="O198" s="1" t="s">
        <v>645</v>
      </c>
      <c r="P198" s="1" t="str">
        <f t="shared" si="2"/>
        <v>Hamilton</v>
      </c>
      <c r="Q198" s="1" t="s">
        <v>421</v>
      </c>
      <c r="R198" s="1" t="str">
        <f t="shared" si="3"/>
        <v>Ohio</v>
      </c>
      <c r="S198" s="1">
        <v>45011</v>
      </c>
      <c r="T198" s="1" t="s">
        <v>128</v>
      </c>
      <c r="U198" s="1" t="s">
        <v>647</v>
      </c>
      <c r="V198" s="1" t="s">
        <v>46</v>
      </c>
      <c r="W198" s="7">
        <v>6.048</v>
      </c>
      <c r="X198" s="1">
        <v>4</v>
      </c>
      <c r="Y198" s="7">
        <v>5.82</v>
      </c>
      <c r="Z198" s="7">
        <f t="shared" ref="Z198:AA198" si="201">W198*X198</f>
        <v>24.192</v>
      </c>
      <c r="AA198" s="7">
        <f t="shared" si="201"/>
        <v>23.28</v>
      </c>
      <c r="AB198" s="7">
        <f t="shared" si="5"/>
        <v>0.91199999999999903</v>
      </c>
    </row>
    <row r="199" spans="1:28">
      <c r="A199" s="1">
        <v>198</v>
      </c>
      <c r="B199" s="1" t="s">
        <v>648</v>
      </c>
      <c r="C199" s="2">
        <v>43262</v>
      </c>
      <c r="D199" s="6" t="str">
        <f t="shared" si="0"/>
        <v>Jun</v>
      </c>
      <c r="E199" s="6" t="str">
        <f t="shared" si="1"/>
        <v>Qtr 2</v>
      </c>
      <c r="F199" s="5" t="s">
        <v>649</v>
      </c>
      <c r="G199" s="1" t="s">
        <v>49</v>
      </c>
      <c r="H199" s="1" t="s">
        <v>650</v>
      </c>
      <c r="I199" s="1" t="s">
        <v>651</v>
      </c>
      <c r="J199" s="1" t="str">
        <f ca="1">IFERROR(__xludf.DUMMYFUNCTION("split(I199,"" "")"),"Valerie")</f>
        <v>Valerie</v>
      </c>
      <c r="K199" s="1" t="str">
        <f ca="1">IFERROR(__xludf.DUMMYFUNCTION("""COMPUTED_VALUE"""),"Mitchum")</f>
        <v>Mitchum</v>
      </c>
      <c r="L199" s="1"/>
      <c r="M199" s="1" t="s">
        <v>87</v>
      </c>
      <c r="N199" s="1" t="s">
        <v>30</v>
      </c>
      <c r="O199" s="1" t="s">
        <v>652</v>
      </c>
      <c r="P199" s="1" t="str">
        <f t="shared" si="2"/>
        <v>Westfield</v>
      </c>
      <c r="Q199" s="1" t="s">
        <v>653</v>
      </c>
      <c r="R199" s="1" t="str">
        <f t="shared" si="3"/>
        <v>New Jersey</v>
      </c>
      <c r="S199" s="1">
        <v>7090</v>
      </c>
      <c r="T199" s="1" t="s">
        <v>128</v>
      </c>
      <c r="U199" s="1" t="s">
        <v>654</v>
      </c>
      <c r="V199" s="1" t="s">
        <v>46</v>
      </c>
      <c r="W199" s="7">
        <v>46.26</v>
      </c>
      <c r="X199" s="1">
        <v>7</v>
      </c>
      <c r="Y199" s="7">
        <v>45.71</v>
      </c>
      <c r="Z199" s="7">
        <f t="shared" ref="Z199:AA199" si="202">W199*X199</f>
        <v>323.82</v>
      </c>
      <c r="AA199" s="7">
        <f t="shared" si="202"/>
        <v>319.97000000000003</v>
      </c>
      <c r="AB199" s="7">
        <f t="shared" si="5"/>
        <v>3.8499999999999659</v>
      </c>
    </row>
    <row r="200" spans="1:28">
      <c r="A200" s="1">
        <v>199</v>
      </c>
      <c r="B200" s="1" t="s">
        <v>655</v>
      </c>
      <c r="C200" s="2">
        <v>43258</v>
      </c>
      <c r="D200" s="6" t="str">
        <f t="shared" si="0"/>
        <v>Jun</v>
      </c>
      <c r="E200" s="6" t="str">
        <f t="shared" si="1"/>
        <v>Qtr 2</v>
      </c>
      <c r="F200" s="5" t="s">
        <v>656</v>
      </c>
      <c r="G200" s="1" t="s">
        <v>49</v>
      </c>
      <c r="H200" s="1" t="s">
        <v>657</v>
      </c>
      <c r="I200" s="1" t="s">
        <v>658</v>
      </c>
      <c r="J200" s="1" t="str">
        <f ca="1">IFERROR(__xludf.DUMMYFUNCTION("split(I200,"" "")"),"Fred")</f>
        <v>Fred</v>
      </c>
      <c r="K200" s="1" t="str">
        <f ca="1">IFERROR(__xludf.DUMMYFUNCTION("""COMPUTED_VALUE"""),"Hopkins")</f>
        <v>Hopkins</v>
      </c>
      <c r="L200" s="1"/>
      <c r="M200" s="1" t="s">
        <v>41</v>
      </c>
      <c r="N200" s="1" t="s">
        <v>30</v>
      </c>
      <c r="O200" s="1" t="s">
        <v>126</v>
      </c>
      <c r="P200" s="1" t="str">
        <f t="shared" si="2"/>
        <v>Philadelphia</v>
      </c>
      <c r="Q200" s="1" t="s">
        <v>127</v>
      </c>
      <c r="R200" s="1" t="str">
        <f t="shared" si="3"/>
        <v>Pennsylvania</v>
      </c>
      <c r="S200" s="1">
        <v>19120</v>
      </c>
      <c r="T200" s="1" t="s">
        <v>128</v>
      </c>
      <c r="U200" s="1" t="s">
        <v>659</v>
      </c>
      <c r="V200" s="1" t="s">
        <v>46</v>
      </c>
      <c r="W200" s="7">
        <v>2.9460000000000002</v>
      </c>
      <c r="X200" s="1">
        <v>1</v>
      </c>
      <c r="Y200" s="7">
        <v>2.85</v>
      </c>
      <c r="Z200" s="7">
        <f t="shared" ref="Z200:AA200" si="203">W200*X200</f>
        <v>2.9460000000000002</v>
      </c>
      <c r="AA200" s="7">
        <f t="shared" si="203"/>
        <v>2.85</v>
      </c>
      <c r="AB200" s="7">
        <f t="shared" si="5"/>
        <v>9.6000000000000085E-2</v>
      </c>
    </row>
    <row r="201" spans="1:28">
      <c r="A201" s="1">
        <v>200</v>
      </c>
      <c r="B201" s="1" t="s">
        <v>655</v>
      </c>
      <c r="C201" s="2">
        <v>43258</v>
      </c>
      <c r="D201" s="6" t="str">
        <f t="shared" si="0"/>
        <v>Jun</v>
      </c>
      <c r="E201" s="6" t="str">
        <f t="shared" si="1"/>
        <v>Qtr 2</v>
      </c>
      <c r="F201" s="5" t="s">
        <v>656</v>
      </c>
      <c r="G201" s="1" t="s">
        <v>49</v>
      </c>
      <c r="H201" s="1" t="s">
        <v>657</v>
      </c>
      <c r="I201" s="1" t="s">
        <v>658</v>
      </c>
      <c r="J201" s="1" t="str">
        <f ca="1">IFERROR(__xludf.DUMMYFUNCTION("split(I201,"" "")"),"Fred")</f>
        <v>Fred</v>
      </c>
      <c r="K201" s="1" t="str">
        <f ca="1">IFERROR(__xludf.DUMMYFUNCTION("""COMPUTED_VALUE"""),"Hopkins")</f>
        <v>Hopkins</v>
      </c>
      <c r="L201" s="1"/>
      <c r="M201" s="1" t="s">
        <v>41</v>
      </c>
      <c r="N201" s="1" t="s">
        <v>30</v>
      </c>
      <c r="O201" s="1" t="s">
        <v>126</v>
      </c>
      <c r="P201" s="1" t="str">
        <f t="shared" si="2"/>
        <v>Philadelphia</v>
      </c>
      <c r="Q201" s="1" t="s">
        <v>127</v>
      </c>
      <c r="R201" s="1" t="str">
        <f t="shared" si="3"/>
        <v>Pennsylvania</v>
      </c>
      <c r="S201" s="1">
        <v>19120</v>
      </c>
      <c r="T201" s="1" t="s">
        <v>128</v>
      </c>
      <c r="U201" s="1" t="s">
        <v>660</v>
      </c>
      <c r="V201" s="1" t="s">
        <v>46</v>
      </c>
      <c r="W201" s="7">
        <v>16.056000000000001</v>
      </c>
      <c r="X201" s="1">
        <v>1</v>
      </c>
      <c r="Y201" s="7">
        <v>15.84</v>
      </c>
      <c r="Z201" s="7">
        <f t="shared" ref="Z201:AA201" si="204">W201*X201</f>
        <v>16.056000000000001</v>
      </c>
      <c r="AA201" s="7">
        <f t="shared" si="204"/>
        <v>15.84</v>
      </c>
      <c r="AB201" s="7">
        <f t="shared" si="5"/>
        <v>0.21600000000000108</v>
      </c>
    </row>
    <row r="202" spans="1:28">
      <c r="A202" s="1">
        <v>201</v>
      </c>
      <c r="B202" s="1" t="s">
        <v>661</v>
      </c>
      <c r="C202" s="2">
        <v>43275</v>
      </c>
      <c r="D202" s="6" t="str">
        <f t="shared" si="0"/>
        <v>Jun</v>
      </c>
      <c r="E202" s="6" t="str">
        <f t="shared" si="1"/>
        <v>Qtr 2</v>
      </c>
      <c r="F202" s="5" t="s">
        <v>662</v>
      </c>
      <c r="G202" s="1" t="s">
        <v>49</v>
      </c>
      <c r="H202" s="1" t="s">
        <v>663</v>
      </c>
      <c r="I202" s="1" t="s">
        <v>664</v>
      </c>
      <c r="J202" s="1" t="str">
        <f ca="1">IFERROR(__xludf.DUMMYFUNCTION("split(I202,"" "")"),"Maria")</f>
        <v>Maria</v>
      </c>
      <c r="K202" s="1" t="str">
        <f ca="1">IFERROR(__xludf.DUMMYFUNCTION("""COMPUTED_VALUE"""),"Bertelson")</f>
        <v>Bertelson</v>
      </c>
      <c r="L202" s="1"/>
      <c r="M202" s="1" t="s">
        <v>29</v>
      </c>
      <c r="N202" s="1" t="s">
        <v>30</v>
      </c>
      <c r="O202" s="1" t="s">
        <v>665</v>
      </c>
      <c r="P202" s="1" t="str">
        <f t="shared" si="2"/>
        <v>Akron</v>
      </c>
      <c r="Q202" s="1" t="s">
        <v>421</v>
      </c>
      <c r="R202" s="1" t="str">
        <f t="shared" si="3"/>
        <v>Ohio</v>
      </c>
      <c r="S202" s="1">
        <v>44312</v>
      </c>
      <c r="T202" s="1" t="s">
        <v>128</v>
      </c>
      <c r="U202" s="1" t="s">
        <v>666</v>
      </c>
      <c r="V202" s="1" t="s">
        <v>46</v>
      </c>
      <c r="W202" s="7">
        <v>21.744</v>
      </c>
      <c r="X202" s="1">
        <v>4</v>
      </c>
      <c r="Y202" s="7">
        <v>21.73</v>
      </c>
      <c r="Z202" s="7">
        <f t="shared" ref="Z202:AA202" si="205">W202*X202</f>
        <v>86.975999999999999</v>
      </c>
      <c r="AA202" s="7">
        <f t="shared" si="205"/>
        <v>86.92</v>
      </c>
      <c r="AB202" s="7">
        <f t="shared" si="5"/>
        <v>5.5999999999997385E-2</v>
      </c>
    </row>
    <row r="203" spans="1:28">
      <c r="A203" s="1">
        <v>202</v>
      </c>
      <c r="B203" s="1" t="s">
        <v>667</v>
      </c>
      <c r="C203" s="2">
        <v>42071</v>
      </c>
      <c r="D203" s="6" t="str">
        <f t="shared" si="0"/>
        <v>Mar</v>
      </c>
      <c r="E203" s="6" t="str">
        <f t="shared" si="1"/>
        <v>Qtr 1</v>
      </c>
      <c r="F203" s="5">
        <v>42132</v>
      </c>
      <c r="G203" s="1" t="s">
        <v>162</v>
      </c>
      <c r="H203" s="1" t="s">
        <v>668</v>
      </c>
      <c r="I203" s="1" t="s">
        <v>669</v>
      </c>
      <c r="J203" s="1" t="str">
        <f ca="1">IFERROR(__xludf.DUMMYFUNCTION("split(I203,"" "")"),"Bruce")</f>
        <v>Bruce</v>
      </c>
      <c r="K203" s="1" t="str">
        <f ca="1">IFERROR(__xludf.DUMMYFUNCTION("""COMPUTED_VALUE"""),"Stewart")</f>
        <v>Stewart</v>
      </c>
      <c r="L203" s="1"/>
      <c r="M203" s="1" t="s">
        <v>29</v>
      </c>
      <c r="N203" s="1" t="s">
        <v>30</v>
      </c>
      <c r="O203" s="1" t="s">
        <v>670</v>
      </c>
      <c r="P203" s="1" t="str">
        <f t="shared" si="2"/>
        <v>Denver</v>
      </c>
      <c r="Q203" s="1" t="s">
        <v>386</v>
      </c>
      <c r="R203" s="1" t="str">
        <f t="shared" si="3"/>
        <v>Colorado</v>
      </c>
      <c r="S203" s="1">
        <v>80219</v>
      </c>
      <c r="T203" s="1" t="s">
        <v>44</v>
      </c>
      <c r="U203" s="1" t="s">
        <v>671</v>
      </c>
      <c r="V203" s="1" t="s">
        <v>35</v>
      </c>
      <c r="W203" s="7">
        <v>218.75</v>
      </c>
      <c r="X203" s="1">
        <v>8</v>
      </c>
      <c r="Y203" s="7">
        <v>218.11</v>
      </c>
      <c r="Z203" s="7">
        <f t="shared" ref="Z203:AA203" si="206">W203*X203</f>
        <v>1750</v>
      </c>
      <c r="AA203" s="7">
        <f t="shared" si="206"/>
        <v>1744.88</v>
      </c>
      <c r="AB203" s="7">
        <f t="shared" si="5"/>
        <v>5.1199999999998909</v>
      </c>
    </row>
    <row r="204" spans="1:28">
      <c r="A204" s="1">
        <v>203</v>
      </c>
      <c r="B204" s="1" t="s">
        <v>667</v>
      </c>
      <c r="C204" s="2">
        <v>42071</v>
      </c>
      <c r="D204" s="6" t="str">
        <f t="shared" si="0"/>
        <v>Mar</v>
      </c>
      <c r="E204" s="6" t="str">
        <f t="shared" si="1"/>
        <v>Qtr 1</v>
      </c>
      <c r="F204" s="5">
        <v>42132</v>
      </c>
      <c r="G204" s="1" t="s">
        <v>162</v>
      </c>
      <c r="H204" s="1" t="s">
        <v>668</v>
      </c>
      <c r="I204" s="1" t="s">
        <v>669</v>
      </c>
      <c r="J204" s="1" t="str">
        <f ca="1">IFERROR(__xludf.DUMMYFUNCTION("split(I204,"" "")"),"Bruce")</f>
        <v>Bruce</v>
      </c>
      <c r="K204" s="1" t="str">
        <f ca="1">IFERROR(__xludf.DUMMYFUNCTION("""COMPUTED_VALUE"""),"Stewart")</f>
        <v>Stewart</v>
      </c>
      <c r="L204" s="1"/>
      <c r="M204" s="1" t="s">
        <v>29</v>
      </c>
      <c r="N204" s="1" t="s">
        <v>30</v>
      </c>
      <c r="O204" s="1" t="s">
        <v>670</v>
      </c>
      <c r="P204" s="1" t="str">
        <f t="shared" si="2"/>
        <v>Denver</v>
      </c>
      <c r="Q204" s="1" t="s">
        <v>386</v>
      </c>
      <c r="R204" s="1" t="str">
        <f t="shared" si="3"/>
        <v>Colorado</v>
      </c>
      <c r="S204" s="1">
        <v>80219</v>
      </c>
      <c r="T204" s="1" t="s">
        <v>44</v>
      </c>
      <c r="U204" s="1" t="s">
        <v>672</v>
      </c>
      <c r="V204" s="1" t="s">
        <v>46</v>
      </c>
      <c r="W204" s="7">
        <v>2.6</v>
      </c>
      <c r="X204" s="1">
        <v>8</v>
      </c>
      <c r="Y204" s="7">
        <v>2.52</v>
      </c>
      <c r="Z204" s="7">
        <f t="shared" ref="Z204:AA204" si="207">W204*X204</f>
        <v>20.8</v>
      </c>
      <c r="AA204" s="7">
        <f t="shared" si="207"/>
        <v>20.16</v>
      </c>
      <c r="AB204" s="7">
        <f t="shared" si="5"/>
        <v>0.64000000000000057</v>
      </c>
    </row>
    <row r="205" spans="1:28">
      <c r="A205" s="1">
        <v>204</v>
      </c>
      <c r="B205" s="1" t="s">
        <v>673</v>
      </c>
      <c r="C205" s="2">
        <v>43451</v>
      </c>
      <c r="D205" s="6" t="str">
        <f t="shared" si="0"/>
        <v>Dec</v>
      </c>
      <c r="E205" s="6" t="str">
        <f t="shared" si="1"/>
        <v>Qtr 4</v>
      </c>
      <c r="F205" s="5" t="s">
        <v>674</v>
      </c>
      <c r="G205" s="1" t="s">
        <v>26</v>
      </c>
      <c r="H205" s="1" t="s">
        <v>675</v>
      </c>
      <c r="I205" s="1" t="s">
        <v>676</v>
      </c>
      <c r="J205" s="1" t="str">
        <f ca="1">IFERROR(__xludf.DUMMYFUNCTION("split(I205,"" "")"),"Logan")</f>
        <v>Logan</v>
      </c>
      <c r="K205" s="1" t="str">
        <f ca="1">IFERROR(__xludf.DUMMYFUNCTION("""COMPUTED_VALUE"""),"Currie")</f>
        <v>Currie</v>
      </c>
      <c r="L205" s="1"/>
      <c r="M205" s="1" t="s">
        <v>29</v>
      </c>
      <c r="N205" s="1" t="s">
        <v>30</v>
      </c>
      <c r="O205" s="1" t="s">
        <v>677</v>
      </c>
      <c r="P205" s="1" t="str">
        <f t="shared" si="2"/>
        <v>Dallas</v>
      </c>
      <c r="Q205" s="1" t="s">
        <v>89</v>
      </c>
      <c r="R205" s="1" t="str">
        <f t="shared" si="3"/>
        <v>Texas</v>
      </c>
      <c r="S205" s="1">
        <v>75220</v>
      </c>
      <c r="T205" s="1" t="s">
        <v>90</v>
      </c>
      <c r="U205" s="1" t="s">
        <v>678</v>
      </c>
      <c r="V205" s="1" t="s">
        <v>46</v>
      </c>
      <c r="W205" s="7">
        <v>66.284000000000006</v>
      </c>
      <c r="X205" s="1">
        <v>7</v>
      </c>
      <c r="Y205" s="7">
        <v>65.819999999999993</v>
      </c>
      <c r="Z205" s="7">
        <f t="shared" ref="Z205:AA205" si="208">W205*X205</f>
        <v>463.98800000000006</v>
      </c>
      <c r="AA205" s="7">
        <f t="shared" si="208"/>
        <v>460.73999999999995</v>
      </c>
      <c r="AB205" s="7">
        <f t="shared" si="5"/>
        <v>3.2480000000001041</v>
      </c>
    </row>
    <row r="206" spans="1:28">
      <c r="A206" s="1">
        <v>205</v>
      </c>
      <c r="B206" s="1" t="s">
        <v>679</v>
      </c>
      <c r="C206" s="2">
        <v>43165</v>
      </c>
      <c r="D206" s="6" t="str">
        <f t="shared" si="0"/>
        <v>Mar</v>
      </c>
      <c r="E206" s="6" t="str">
        <f t="shared" si="1"/>
        <v>Qtr 1</v>
      </c>
      <c r="F206" s="5">
        <v>43287</v>
      </c>
      <c r="G206" s="1" t="s">
        <v>49</v>
      </c>
      <c r="H206" s="1" t="s">
        <v>680</v>
      </c>
      <c r="I206" s="1" t="s">
        <v>681</v>
      </c>
      <c r="J206" s="1" t="str">
        <f ca="1">IFERROR(__xludf.DUMMYFUNCTION("split(I206,"" "")"),"Heather")</f>
        <v>Heather</v>
      </c>
      <c r="K206" s="1" t="str">
        <f ca="1">IFERROR(__xludf.DUMMYFUNCTION("""COMPUTED_VALUE"""),"Kirkland")</f>
        <v>Kirkland</v>
      </c>
      <c r="L206" s="1"/>
      <c r="M206" s="1" t="s">
        <v>41</v>
      </c>
      <c r="N206" s="1" t="s">
        <v>30</v>
      </c>
      <c r="O206" s="1" t="s">
        <v>510</v>
      </c>
      <c r="P206" s="1" t="str">
        <f t="shared" si="2"/>
        <v>Franklin</v>
      </c>
      <c r="Q206" s="1" t="s">
        <v>287</v>
      </c>
      <c r="R206" s="1" t="str">
        <f t="shared" si="3"/>
        <v>Tennessee</v>
      </c>
      <c r="S206" s="1">
        <v>37064</v>
      </c>
      <c r="T206" s="1" t="s">
        <v>33</v>
      </c>
      <c r="U206" s="1" t="s">
        <v>682</v>
      </c>
      <c r="V206" s="1" t="s">
        <v>35</v>
      </c>
      <c r="W206" s="7">
        <v>35.167999999999999</v>
      </c>
      <c r="X206" s="1">
        <v>3</v>
      </c>
      <c r="Y206" s="7">
        <v>34.200000000000003</v>
      </c>
      <c r="Z206" s="7">
        <f t="shared" ref="Z206:AA206" si="209">W206*X206</f>
        <v>105.50399999999999</v>
      </c>
      <c r="AA206" s="7">
        <f t="shared" si="209"/>
        <v>102.60000000000001</v>
      </c>
      <c r="AB206" s="7">
        <f t="shared" si="5"/>
        <v>2.9039999999999822</v>
      </c>
    </row>
    <row r="207" spans="1:28">
      <c r="A207" s="1">
        <v>206</v>
      </c>
      <c r="B207" s="1" t="s">
        <v>683</v>
      </c>
      <c r="C207" s="2">
        <v>43355</v>
      </c>
      <c r="D207" s="6" t="str">
        <f t="shared" si="0"/>
        <v>Sep</v>
      </c>
      <c r="E207" s="6" t="str">
        <f t="shared" si="1"/>
        <v>Qtr 3</v>
      </c>
      <c r="F207" s="5" t="s">
        <v>684</v>
      </c>
      <c r="G207" s="1" t="s">
        <v>49</v>
      </c>
      <c r="H207" s="1" t="s">
        <v>685</v>
      </c>
      <c r="I207" s="1" t="s">
        <v>686</v>
      </c>
      <c r="J207" s="1" t="str">
        <f ca="1">IFERROR(__xludf.DUMMYFUNCTION("split(I207,"" "")"),"Laurel")</f>
        <v>Laurel</v>
      </c>
      <c r="K207" s="1" t="str">
        <f ca="1">IFERROR(__xludf.DUMMYFUNCTION("""COMPUTED_VALUE"""),"Elliston")</f>
        <v>Elliston</v>
      </c>
      <c r="L207" s="1"/>
      <c r="M207" s="1" t="s">
        <v>29</v>
      </c>
      <c r="N207" s="1" t="s">
        <v>30</v>
      </c>
      <c r="O207" s="1" t="s">
        <v>687</v>
      </c>
      <c r="P207" s="1" t="str">
        <f t="shared" si="2"/>
        <v>Whittier</v>
      </c>
      <c r="Q207" s="1" t="s">
        <v>68</v>
      </c>
      <c r="R207" s="1" t="str">
        <f t="shared" si="3"/>
        <v>California</v>
      </c>
      <c r="S207" s="1">
        <v>90604</v>
      </c>
      <c r="T207" s="1" t="s">
        <v>44</v>
      </c>
      <c r="U207" s="1" t="s">
        <v>688</v>
      </c>
      <c r="V207" s="1" t="s">
        <v>64</v>
      </c>
      <c r="W207" s="7">
        <v>444.76799999999997</v>
      </c>
      <c r="X207" s="1">
        <v>9</v>
      </c>
      <c r="Y207" s="7">
        <v>444.02</v>
      </c>
      <c r="Z207" s="7">
        <f t="shared" ref="Z207:AA207" si="210">W207*X207</f>
        <v>4002.9119999999998</v>
      </c>
      <c r="AA207" s="7">
        <f t="shared" si="210"/>
        <v>3996.18</v>
      </c>
      <c r="AB207" s="7">
        <f t="shared" si="5"/>
        <v>6.7319999999999709</v>
      </c>
    </row>
    <row r="208" spans="1:28">
      <c r="A208" s="1">
        <v>207</v>
      </c>
      <c r="B208" s="1" t="s">
        <v>689</v>
      </c>
      <c r="C208" s="2">
        <v>43112</v>
      </c>
      <c r="D208" s="6" t="str">
        <f t="shared" si="0"/>
        <v>Jan</v>
      </c>
      <c r="E208" s="6" t="str">
        <f t="shared" si="1"/>
        <v>Qtr 1</v>
      </c>
      <c r="F208" s="5">
        <v>43293</v>
      </c>
      <c r="G208" s="1" t="s">
        <v>49</v>
      </c>
      <c r="H208" s="1" t="s">
        <v>690</v>
      </c>
      <c r="I208" s="1" t="s">
        <v>691</v>
      </c>
      <c r="J208" s="1" t="str">
        <f ca="1">IFERROR(__xludf.DUMMYFUNCTION("split(I208,"" "")"),"Joseph")</f>
        <v>Joseph</v>
      </c>
      <c r="K208" s="1" t="str">
        <f ca="1">IFERROR(__xludf.DUMMYFUNCTION("""COMPUTED_VALUE"""),"Holt")</f>
        <v>Holt</v>
      </c>
      <c r="L208" s="1"/>
      <c r="M208" s="1" t="s">
        <v>29</v>
      </c>
      <c r="N208" s="1" t="s">
        <v>30</v>
      </c>
      <c r="O208" s="1" t="s">
        <v>692</v>
      </c>
      <c r="P208" s="1" t="str">
        <f t="shared" si="2"/>
        <v>Saginaw</v>
      </c>
      <c r="Q208" s="1" t="s">
        <v>209</v>
      </c>
      <c r="R208" s="1" t="str">
        <f t="shared" si="3"/>
        <v>Michigan</v>
      </c>
      <c r="S208" s="1">
        <v>48601</v>
      </c>
      <c r="T208" s="1" t="s">
        <v>90</v>
      </c>
      <c r="U208" s="1" t="s">
        <v>693</v>
      </c>
      <c r="V208" s="1" t="s">
        <v>46</v>
      </c>
      <c r="W208" s="7">
        <v>83.92</v>
      </c>
      <c r="X208" s="1">
        <v>4</v>
      </c>
      <c r="Y208" s="7">
        <v>83.79</v>
      </c>
      <c r="Z208" s="7">
        <f t="shared" ref="Z208:AA208" si="211">W208*X208</f>
        <v>335.68</v>
      </c>
      <c r="AA208" s="7">
        <f t="shared" si="211"/>
        <v>335.16</v>
      </c>
      <c r="AB208" s="7">
        <f t="shared" si="5"/>
        <v>0.51999999999998181</v>
      </c>
    </row>
    <row r="209" spans="1:28">
      <c r="A209" s="1">
        <v>208</v>
      </c>
      <c r="B209" s="1" t="s">
        <v>689</v>
      </c>
      <c r="C209" s="2">
        <v>43112</v>
      </c>
      <c r="D209" s="6" t="str">
        <f t="shared" si="0"/>
        <v>Jan</v>
      </c>
      <c r="E209" s="6" t="str">
        <f t="shared" si="1"/>
        <v>Qtr 1</v>
      </c>
      <c r="F209" s="5">
        <v>43293</v>
      </c>
      <c r="G209" s="1" t="s">
        <v>49</v>
      </c>
      <c r="H209" s="1" t="s">
        <v>690</v>
      </c>
      <c r="I209" s="1" t="s">
        <v>691</v>
      </c>
      <c r="J209" s="1" t="str">
        <f ca="1">IFERROR(__xludf.DUMMYFUNCTION("split(I209,"" "")"),"Joseph")</f>
        <v>Joseph</v>
      </c>
      <c r="K209" s="1" t="str">
        <f ca="1">IFERROR(__xludf.DUMMYFUNCTION("""COMPUTED_VALUE"""),"Holt")</f>
        <v>Holt</v>
      </c>
      <c r="L209" s="1"/>
      <c r="M209" s="1" t="s">
        <v>29</v>
      </c>
      <c r="N209" s="1" t="s">
        <v>30</v>
      </c>
      <c r="O209" s="1" t="s">
        <v>692</v>
      </c>
      <c r="P209" s="1" t="str">
        <f t="shared" si="2"/>
        <v>Saginaw</v>
      </c>
      <c r="Q209" s="1" t="s">
        <v>209</v>
      </c>
      <c r="R209" s="1" t="str">
        <f t="shared" si="3"/>
        <v>Michigan</v>
      </c>
      <c r="S209" s="1">
        <v>48601</v>
      </c>
      <c r="T209" s="1" t="s">
        <v>90</v>
      </c>
      <c r="U209" s="1" t="s">
        <v>694</v>
      </c>
      <c r="V209" s="1" t="s">
        <v>64</v>
      </c>
      <c r="W209" s="7">
        <v>131.97999999999999</v>
      </c>
      <c r="X209" s="1">
        <v>4</v>
      </c>
      <c r="Y209" s="7">
        <v>131.38</v>
      </c>
      <c r="Z209" s="7">
        <f t="shared" ref="Z209:AA209" si="212">W209*X209</f>
        <v>527.91999999999996</v>
      </c>
      <c r="AA209" s="7">
        <f t="shared" si="212"/>
        <v>525.52</v>
      </c>
      <c r="AB209" s="7">
        <f t="shared" si="5"/>
        <v>2.3999999999999773</v>
      </c>
    </row>
    <row r="210" spans="1:28">
      <c r="A210" s="1">
        <v>209</v>
      </c>
      <c r="B210" s="1" t="s">
        <v>689</v>
      </c>
      <c r="C210" s="2">
        <v>43112</v>
      </c>
      <c r="D210" s="6" t="str">
        <f t="shared" si="0"/>
        <v>Jan</v>
      </c>
      <c r="E210" s="6" t="str">
        <f t="shared" si="1"/>
        <v>Qtr 1</v>
      </c>
      <c r="F210" s="5">
        <v>43293</v>
      </c>
      <c r="G210" s="1" t="s">
        <v>49</v>
      </c>
      <c r="H210" s="1" t="s">
        <v>690</v>
      </c>
      <c r="I210" s="1" t="s">
        <v>691</v>
      </c>
      <c r="J210" s="1" t="str">
        <f ca="1">IFERROR(__xludf.DUMMYFUNCTION("split(I210,"" "")"),"Joseph")</f>
        <v>Joseph</v>
      </c>
      <c r="K210" s="1" t="str">
        <f ca="1">IFERROR(__xludf.DUMMYFUNCTION("""COMPUTED_VALUE"""),"Holt")</f>
        <v>Holt</v>
      </c>
      <c r="L210" s="1"/>
      <c r="M210" s="1" t="s">
        <v>29</v>
      </c>
      <c r="N210" s="1" t="s">
        <v>30</v>
      </c>
      <c r="O210" s="1" t="s">
        <v>692</v>
      </c>
      <c r="P210" s="1" t="str">
        <f t="shared" si="2"/>
        <v>Saginaw</v>
      </c>
      <c r="Q210" s="1" t="s">
        <v>209</v>
      </c>
      <c r="R210" s="1" t="str">
        <f t="shared" si="3"/>
        <v>Michigan</v>
      </c>
      <c r="S210" s="1">
        <v>48601</v>
      </c>
      <c r="T210" s="1" t="s">
        <v>90</v>
      </c>
      <c r="U210" s="1" t="s">
        <v>458</v>
      </c>
      <c r="V210" s="1" t="s">
        <v>46</v>
      </c>
      <c r="W210" s="7">
        <v>15.92</v>
      </c>
      <c r="X210" s="1">
        <v>4</v>
      </c>
      <c r="Y210" s="7">
        <v>15.35</v>
      </c>
      <c r="Z210" s="7">
        <f t="shared" ref="Z210:AA210" si="213">W210*X210</f>
        <v>63.68</v>
      </c>
      <c r="AA210" s="7">
        <f t="shared" si="213"/>
        <v>61.4</v>
      </c>
      <c r="AB210" s="7">
        <f t="shared" si="5"/>
        <v>2.2800000000000011</v>
      </c>
    </row>
    <row r="211" spans="1:28">
      <c r="A211" s="1">
        <v>210</v>
      </c>
      <c r="B211" s="1" t="s">
        <v>689</v>
      </c>
      <c r="C211" s="2">
        <v>43112</v>
      </c>
      <c r="D211" s="6" t="str">
        <f t="shared" si="0"/>
        <v>Jan</v>
      </c>
      <c r="E211" s="6" t="str">
        <f t="shared" si="1"/>
        <v>Qtr 1</v>
      </c>
      <c r="F211" s="5">
        <v>43293</v>
      </c>
      <c r="G211" s="1" t="s">
        <v>49</v>
      </c>
      <c r="H211" s="1" t="s">
        <v>690</v>
      </c>
      <c r="I211" s="1" t="s">
        <v>691</v>
      </c>
      <c r="J211" s="1" t="str">
        <f ca="1">IFERROR(__xludf.DUMMYFUNCTION("split(I211,"" "")"),"Joseph")</f>
        <v>Joseph</v>
      </c>
      <c r="K211" s="1" t="str">
        <f ca="1">IFERROR(__xludf.DUMMYFUNCTION("""COMPUTED_VALUE"""),"Holt")</f>
        <v>Holt</v>
      </c>
      <c r="L211" s="1"/>
      <c r="M211" s="1" t="s">
        <v>29</v>
      </c>
      <c r="N211" s="1" t="s">
        <v>30</v>
      </c>
      <c r="O211" s="1" t="s">
        <v>692</v>
      </c>
      <c r="P211" s="1" t="str">
        <f t="shared" si="2"/>
        <v>Saginaw</v>
      </c>
      <c r="Q211" s="1" t="s">
        <v>209</v>
      </c>
      <c r="R211" s="1" t="str">
        <f t="shared" si="3"/>
        <v>Michigan</v>
      </c>
      <c r="S211" s="1">
        <v>48601</v>
      </c>
      <c r="T211" s="1" t="s">
        <v>90</v>
      </c>
      <c r="U211" s="1" t="s">
        <v>695</v>
      </c>
      <c r="V211" s="1" t="s">
        <v>46</v>
      </c>
      <c r="W211" s="7">
        <v>52.29</v>
      </c>
      <c r="X211" s="1">
        <v>4</v>
      </c>
      <c r="Y211" s="7">
        <v>51.64</v>
      </c>
      <c r="Z211" s="7">
        <f t="shared" ref="Z211:AA211" si="214">W211*X211</f>
        <v>209.16</v>
      </c>
      <c r="AA211" s="7">
        <f t="shared" si="214"/>
        <v>206.56</v>
      </c>
      <c r="AB211" s="7">
        <f t="shared" si="5"/>
        <v>2.5999999999999943</v>
      </c>
    </row>
    <row r="212" spans="1:28">
      <c r="A212" s="1">
        <v>211</v>
      </c>
      <c r="B212" s="1" t="s">
        <v>689</v>
      </c>
      <c r="C212" s="2">
        <v>43112</v>
      </c>
      <c r="D212" s="6" t="str">
        <f t="shared" si="0"/>
        <v>Jan</v>
      </c>
      <c r="E212" s="6" t="str">
        <f t="shared" si="1"/>
        <v>Qtr 1</v>
      </c>
      <c r="F212" s="5">
        <v>43293</v>
      </c>
      <c r="G212" s="1" t="s">
        <v>49</v>
      </c>
      <c r="H212" s="1" t="s">
        <v>690</v>
      </c>
      <c r="I212" s="1" t="s">
        <v>691</v>
      </c>
      <c r="J212" s="1" t="str">
        <f ca="1">IFERROR(__xludf.DUMMYFUNCTION("split(I212,"" "")"),"Joseph")</f>
        <v>Joseph</v>
      </c>
      <c r="K212" s="1" t="str">
        <f ca="1">IFERROR(__xludf.DUMMYFUNCTION("""COMPUTED_VALUE"""),"Holt")</f>
        <v>Holt</v>
      </c>
      <c r="L212" s="1"/>
      <c r="M212" s="1" t="s">
        <v>29</v>
      </c>
      <c r="N212" s="1" t="s">
        <v>30</v>
      </c>
      <c r="O212" s="1" t="s">
        <v>692</v>
      </c>
      <c r="P212" s="1" t="str">
        <f t="shared" si="2"/>
        <v>Saginaw</v>
      </c>
      <c r="Q212" s="1" t="s">
        <v>209</v>
      </c>
      <c r="R212" s="1" t="str">
        <f t="shared" si="3"/>
        <v>Michigan</v>
      </c>
      <c r="S212" s="1">
        <v>48601</v>
      </c>
      <c r="T212" s="1" t="s">
        <v>90</v>
      </c>
      <c r="U212" s="1" t="s">
        <v>696</v>
      </c>
      <c r="V212" s="1" t="s">
        <v>46</v>
      </c>
      <c r="W212" s="7">
        <v>91.99</v>
      </c>
      <c r="X212" s="1">
        <v>4</v>
      </c>
      <c r="Y212" s="7">
        <v>91.9</v>
      </c>
      <c r="Z212" s="7">
        <f t="shared" ref="Z212:AA212" si="215">W212*X212</f>
        <v>367.96</v>
      </c>
      <c r="AA212" s="7">
        <f t="shared" si="215"/>
        <v>367.6</v>
      </c>
      <c r="AB212" s="7">
        <f t="shared" si="5"/>
        <v>0.3599999999999568</v>
      </c>
    </row>
    <row r="213" spans="1:28">
      <c r="A213" s="1">
        <v>212</v>
      </c>
      <c r="B213" s="1" t="s">
        <v>697</v>
      </c>
      <c r="C213" s="2">
        <v>42615</v>
      </c>
      <c r="D213" s="6" t="str">
        <f t="shared" si="0"/>
        <v>Sep</v>
      </c>
      <c r="E213" s="6" t="str">
        <f t="shared" si="1"/>
        <v>Qtr 3</v>
      </c>
      <c r="F213" s="5" t="s">
        <v>698</v>
      </c>
      <c r="G213" s="1" t="s">
        <v>26</v>
      </c>
      <c r="H213" s="1" t="s">
        <v>699</v>
      </c>
      <c r="I213" s="1" t="s">
        <v>700</v>
      </c>
      <c r="J213" s="1" t="str">
        <f ca="1">IFERROR(__xludf.DUMMYFUNCTION("split(I213,"" "")"),"Michael")</f>
        <v>Michael</v>
      </c>
      <c r="K213" s="1" t="str">
        <f ca="1">IFERROR(__xludf.DUMMYFUNCTION("""COMPUTED_VALUE"""),"Stewart")</f>
        <v>Stewart</v>
      </c>
      <c r="L213" s="1"/>
      <c r="M213" s="1" t="s">
        <v>41</v>
      </c>
      <c r="N213" s="1" t="s">
        <v>30</v>
      </c>
      <c r="O213" s="1" t="s">
        <v>677</v>
      </c>
      <c r="P213" s="1" t="str">
        <f t="shared" si="2"/>
        <v>Dallas</v>
      </c>
      <c r="Q213" s="1" t="s">
        <v>89</v>
      </c>
      <c r="R213" s="1" t="str">
        <f t="shared" si="3"/>
        <v>Texas</v>
      </c>
      <c r="S213" s="1">
        <v>75220</v>
      </c>
      <c r="T213" s="1" t="s">
        <v>90</v>
      </c>
      <c r="U213" s="1" t="s">
        <v>701</v>
      </c>
      <c r="V213" s="1" t="s">
        <v>64</v>
      </c>
      <c r="W213" s="7">
        <v>20.8</v>
      </c>
      <c r="X213" s="1">
        <v>7</v>
      </c>
      <c r="Y213" s="7">
        <v>20.41</v>
      </c>
      <c r="Z213" s="7">
        <f t="shared" ref="Z213:AA213" si="216">W213*X213</f>
        <v>145.6</v>
      </c>
      <c r="AA213" s="7">
        <f t="shared" si="216"/>
        <v>142.87</v>
      </c>
      <c r="AB213" s="7">
        <f t="shared" si="5"/>
        <v>2.7299999999999898</v>
      </c>
    </row>
    <row r="214" spans="1:28">
      <c r="A214" s="1">
        <v>213</v>
      </c>
      <c r="B214" s="1" t="s">
        <v>702</v>
      </c>
      <c r="C214" s="2">
        <v>42401</v>
      </c>
      <c r="D214" s="6" t="str">
        <f t="shared" si="0"/>
        <v>Feb</v>
      </c>
      <c r="E214" s="6" t="str">
        <f t="shared" si="1"/>
        <v>Qtr 1</v>
      </c>
      <c r="F214" s="5">
        <v>42614</v>
      </c>
      <c r="G214" s="1" t="s">
        <v>49</v>
      </c>
      <c r="H214" s="1" t="s">
        <v>703</v>
      </c>
      <c r="I214" s="1" t="s">
        <v>704</v>
      </c>
      <c r="J214" s="1" t="str">
        <f ca="1">IFERROR(__xludf.DUMMYFUNCTION("split(I214,"" "")"),"Victoria")</f>
        <v>Victoria</v>
      </c>
      <c r="K214" s="1" t="str">
        <f ca="1">IFERROR(__xludf.DUMMYFUNCTION("""COMPUTED_VALUE"""),"Wilson")</f>
        <v>Wilson</v>
      </c>
      <c r="L214" s="1"/>
      <c r="M214" s="1" t="s">
        <v>41</v>
      </c>
      <c r="N214" s="1" t="s">
        <v>30</v>
      </c>
      <c r="O214" s="1" t="s">
        <v>705</v>
      </c>
      <c r="P214" s="1" t="str">
        <f t="shared" si="2"/>
        <v>Medina</v>
      </c>
      <c r="Q214" s="1" t="s">
        <v>421</v>
      </c>
      <c r="R214" s="1" t="str">
        <f t="shared" si="3"/>
        <v>Ohio</v>
      </c>
      <c r="S214" s="1">
        <v>44256</v>
      </c>
      <c r="T214" s="1" t="s">
        <v>128</v>
      </c>
      <c r="U214" s="1" t="s">
        <v>706</v>
      </c>
      <c r="V214" s="1" t="s">
        <v>46</v>
      </c>
      <c r="W214" s="7">
        <v>23.68</v>
      </c>
      <c r="X214" s="1">
        <v>4</v>
      </c>
      <c r="Y214" s="7">
        <v>22.79</v>
      </c>
      <c r="Z214" s="7">
        <f t="shared" ref="Z214:AA214" si="217">W214*X214</f>
        <v>94.72</v>
      </c>
      <c r="AA214" s="7">
        <f t="shared" si="217"/>
        <v>91.16</v>
      </c>
      <c r="AB214" s="7">
        <f t="shared" si="5"/>
        <v>3.5600000000000023</v>
      </c>
    </row>
    <row r="215" spans="1:28">
      <c r="A215" s="1">
        <v>214</v>
      </c>
      <c r="B215" s="1" t="s">
        <v>702</v>
      </c>
      <c r="C215" s="2">
        <v>42401</v>
      </c>
      <c r="D215" s="6" t="str">
        <f t="shared" si="0"/>
        <v>Feb</v>
      </c>
      <c r="E215" s="6" t="str">
        <f t="shared" si="1"/>
        <v>Qtr 1</v>
      </c>
      <c r="F215" s="5">
        <v>42614</v>
      </c>
      <c r="G215" s="1" t="s">
        <v>49</v>
      </c>
      <c r="H215" s="1" t="s">
        <v>703</v>
      </c>
      <c r="I215" s="1" t="s">
        <v>704</v>
      </c>
      <c r="J215" s="1" t="str">
        <f ca="1">IFERROR(__xludf.DUMMYFUNCTION("split(I215,"" "")"),"Victoria")</f>
        <v>Victoria</v>
      </c>
      <c r="K215" s="1" t="str">
        <f ca="1">IFERROR(__xludf.DUMMYFUNCTION("""COMPUTED_VALUE"""),"Wilson")</f>
        <v>Wilson</v>
      </c>
      <c r="L215" s="1"/>
      <c r="M215" s="1" t="s">
        <v>41</v>
      </c>
      <c r="N215" s="1" t="s">
        <v>30</v>
      </c>
      <c r="O215" s="1" t="s">
        <v>705</v>
      </c>
      <c r="P215" s="1" t="str">
        <f t="shared" si="2"/>
        <v>Medina</v>
      </c>
      <c r="Q215" s="1" t="s">
        <v>421</v>
      </c>
      <c r="R215" s="1" t="str">
        <f t="shared" si="3"/>
        <v>Ohio</v>
      </c>
      <c r="S215" s="1">
        <v>44256</v>
      </c>
      <c r="T215" s="1" t="s">
        <v>128</v>
      </c>
      <c r="U215" s="1" t="s">
        <v>707</v>
      </c>
      <c r="V215" s="1" t="s">
        <v>35</v>
      </c>
      <c r="W215" s="7">
        <v>452.45</v>
      </c>
      <c r="X215" s="1">
        <v>4</v>
      </c>
      <c r="Y215" s="7">
        <v>451.96</v>
      </c>
      <c r="Z215" s="7">
        <f t="shared" ref="Z215:AA215" si="218">W215*X215</f>
        <v>1809.8</v>
      </c>
      <c r="AA215" s="7">
        <f t="shared" si="218"/>
        <v>1807.84</v>
      </c>
      <c r="AB215" s="7">
        <f t="shared" si="5"/>
        <v>1.9600000000000364</v>
      </c>
    </row>
    <row r="216" spans="1:28">
      <c r="A216" s="1">
        <v>215</v>
      </c>
      <c r="B216" s="1" t="s">
        <v>702</v>
      </c>
      <c r="C216" s="2">
        <v>42401</v>
      </c>
      <c r="D216" s="6" t="str">
        <f t="shared" si="0"/>
        <v>Feb</v>
      </c>
      <c r="E216" s="6" t="str">
        <f t="shared" si="1"/>
        <v>Qtr 1</v>
      </c>
      <c r="F216" s="5">
        <v>42614</v>
      </c>
      <c r="G216" s="1" t="s">
        <v>49</v>
      </c>
      <c r="H216" s="1" t="s">
        <v>703</v>
      </c>
      <c r="I216" s="1" t="s">
        <v>704</v>
      </c>
      <c r="J216" s="1" t="str">
        <f ca="1">IFERROR(__xludf.DUMMYFUNCTION("split(I216,"" "")"),"Victoria")</f>
        <v>Victoria</v>
      </c>
      <c r="K216" s="1" t="str">
        <f ca="1">IFERROR(__xludf.DUMMYFUNCTION("""COMPUTED_VALUE"""),"Wilson")</f>
        <v>Wilson</v>
      </c>
      <c r="L216" s="1"/>
      <c r="M216" s="1" t="s">
        <v>41</v>
      </c>
      <c r="N216" s="1" t="s">
        <v>30</v>
      </c>
      <c r="O216" s="1" t="s">
        <v>705</v>
      </c>
      <c r="P216" s="1" t="str">
        <f t="shared" si="2"/>
        <v>Medina</v>
      </c>
      <c r="Q216" s="1" t="s">
        <v>421</v>
      </c>
      <c r="R216" s="1" t="str">
        <f t="shared" si="3"/>
        <v>Ohio</v>
      </c>
      <c r="S216" s="1">
        <v>44256</v>
      </c>
      <c r="T216" s="1" t="s">
        <v>128</v>
      </c>
      <c r="U216" s="1" t="s">
        <v>396</v>
      </c>
      <c r="V216" s="1" t="s">
        <v>64</v>
      </c>
      <c r="W216" s="7">
        <v>62.981999999999999</v>
      </c>
      <c r="X216" s="1">
        <v>4</v>
      </c>
      <c r="Y216" s="7">
        <v>62.62</v>
      </c>
      <c r="Z216" s="7">
        <f t="shared" ref="Z216:AA216" si="219">W216*X216</f>
        <v>251.928</v>
      </c>
      <c r="AA216" s="7">
        <f t="shared" si="219"/>
        <v>250.48</v>
      </c>
      <c r="AB216" s="7">
        <f t="shared" si="5"/>
        <v>1.4480000000000075</v>
      </c>
    </row>
    <row r="217" spans="1:28">
      <c r="A217" s="1">
        <v>216</v>
      </c>
      <c r="B217" s="1" t="s">
        <v>702</v>
      </c>
      <c r="C217" s="2">
        <v>42401</v>
      </c>
      <c r="D217" s="6" t="str">
        <f t="shared" si="0"/>
        <v>Feb</v>
      </c>
      <c r="E217" s="6" t="str">
        <f t="shared" si="1"/>
        <v>Qtr 1</v>
      </c>
      <c r="F217" s="5">
        <v>42614</v>
      </c>
      <c r="G217" s="1" t="s">
        <v>49</v>
      </c>
      <c r="H217" s="1" t="s">
        <v>703</v>
      </c>
      <c r="I217" s="1" t="s">
        <v>704</v>
      </c>
      <c r="J217" s="1" t="str">
        <f ca="1">IFERROR(__xludf.DUMMYFUNCTION("split(I217,"" "")"),"Victoria")</f>
        <v>Victoria</v>
      </c>
      <c r="K217" s="1" t="str">
        <f ca="1">IFERROR(__xludf.DUMMYFUNCTION("""COMPUTED_VALUE"""),"Wilson")</f>
        <v>Wilson</v>
      </c>
      <c r="L217" s="1"/>
      <c r="M217" s="1" t="s">
        <v>41</v>
      </c>
      <c r="N217" s="1" t="s">
        <v>30</v>
      </c>
      <c r="O217" s="1" t="s">
        <v>705</v>
      </c>
      <c r="P217" s="1" t="str">
        <f t="shared" si="2"/>
        <v>Medina</v>
      </c>
      <c r="Q217" s="1" t="s">
        <v>421</v>
      </c>
      <c r="R217" s="1" t="str">
        <f t="shared" si="3"/>
        <v>Ohio</v>
      </c>
      <c r="S217" s="1">
        <v>44256</v>
      </c>
      <c r="T217" s="1" t="s">
        <v>128</v>
      </c>
      <c r="U217" s="1" t="s">
        <v>708</v>
      </c>
      <c r="V217" s="1" t="s">
        <v>64</v>
      </c>
      <c r="W217" s="7">
        <v>1188</v>
      </c>
      <c r="X217" s="1">
        <v>4</v>
      </c>
      <c r="Y217" s="7">
        <v>1187.52</v>
      </c>
      <c r="Z217" s="7">
        <f t="shared" ref="Z217:AA217" si="220">W217*X217</f>
        <v>4752</v>
      </c>
      <c r="AA217" s="7">
        <f t="shared" si="220"/>
        <v>4750.08</v>
      </c>
      <c r="AB217" s="7">
        <f t="shared" si="5"/>
        <v>1.9200000000000728</v>
      </c>
    </row>
    <row r="218" spans="1:28">
      <c r="A218" s="1">
        <v>217</v>
      </c>
      <c r="B218" s="1" t="s">
        <v>702</v>
      </c>
      <c r="C218" s="2">
        <v>42401</v>
      </c>
      <c r="D218" s="6" t="str">
        <f t="shared" si="0"/>
        <v>Feb</v>
      </c>
      <c r="E218" s="6" t="str">
        <f t="shared" si="1"/>
        <v>Qtr 1</v>
      </c>
      <c r="F218" s="5">
        <v>42614</v>
      </c>
      <c r="G218" s="1" t="s">
        <v>49</v>
      </c>
      <c r="H218" s="1" t="s">
        <v>703</v>
      </c>
      <c r="I218" s="1" t="s">
        <v>704</v>
      </c>
      <c r="J218" s="1" t="str">
        <f ca="1">IFERROR(__xludf.DUMMYFUNCTION("split(I218,"" "")"),"Victoria")</f>
        <v>Victoria</v>
      </c>
      <c r="K218" s="1" t="str">
        <f ca="1">IFERROR(__xludf.DUMMYFUNCTION("""COMPUTED_VALUE"""),"Wilson")</f>
        <v>Wilson</v>
      </c>
      <c r="L218" s="1"/>
      <c r="M218" s="1" t="s">
        <v>41</v>
      </c>
      <c r="N218" s="1" t="s">
        <v>30</v>
      </c>
      <c r="O218" s="1" t="s">
        <v>705</v>
      </c>
      <c r="P218" s="1" t="str">
        <f t="shared" si="2"/>
        <v>Medina</v>
      </c>
      <c r="Q218" s="1" t="s">
        <v>421</v>
      </c>
      <c r="R218" s="1" t="str">
        <f t="shared" si="3"/>
        <v>Ohio</v>
      </c>
      <c r="S218" s="1">
        <v>44256</v>
      </c>
      <c r="T218" s="1" t="s">
        <v>128</v>
      </c>
      <c r="U218" s="1" t="s">
        <v>709</v>
      </c>
      <c r="V218" s="1" t="s">
        <v>64</v>
      </c>
      <c r="W218" s="7">
        <v>89.584000000000003</v>
      </c>
      <c r="X218" s="1">
        <v>4</v>
      </c>
      <c r="Y218" s="7">
        <v>88.71</v>
      </c>
      <c r="Z218" s="7">
        <f t="shared" ref="Z218:AA218" si="221">W218*X218</f>
        <v>358.33600000000001</v>
      </c>
      <c r="AA218" s="7">
        <f t="shared" si="221"/>
        <v>354.84</v>
      </c>
      <c r="AB218" s="7">
        <f t="shared" si="5"/>
        <v>3.4960000000000377</v>
      </c>
    </row>
    <row r="219" spans="1:28">
      <c r="A219" s="1">
        <v>218</v>
      </c>
      <c r="B219" s="1" t="s">
        <v>710</v>
      </c>
      <c r="C219" s="2">
        <v>43036</v>
      </c>
      <c r="D219" s="6" t="str">
        <f t="shared" si="0"/>
        <v>Oct</v>
      </c>
      <c r="E219" s="6" t="str">
        <f t="shared" si="1"/>
        <v>Qtr 4</v>
      </c>
      <c r="F219" s="5">
        <v>42746</v>
      </c>
      <c r="G219" s="1" t="s">
        <v>49</v>
      </c>
      <c r="H219" s="1" t="s">
        <v>711</v>
      </c>
      <c r="I219" s="1" t="s">
        <v>712</v>
      </c>
      <c r="J219" s="1" t="str">
        <f ca="1">IFERROR(__xludf.DUMMYFUNCTION("split(I219,"" "")"),"Jonathan")</f>
        <v>Jonathan</v>
      </c>
      <c r="K219" s="1" t="str">
        <f ca="1">IFERROR(__xludf.DUMMYFUNCTION("""COMPUTED_VALUE"""),"Howell")</f>
        <v>Howell</v>
      </c>
      <c r="L219" s="1"/>
      <c r="M219" s="1" t="s">
        <v>29</v>
      </c>
      <c r="N219" s="1" t="s">
        <v>30</v>
      </c>
      <c r="O219" s="1" t="s">
        <v>42</v>
      </c>
      <c r="P219" s="1" t="str">
        <f t="shared" si="2"/>
        <v>Los Angeles</v>
      </c>
      <c r="Q219" s="1" t="s">
        <v>68</v>
      </c>
      <c r="R219" s="1" t="str">
        <f t="shared" si="3"/>
        <v>California</v>
      </c>
      <c r="S219" s="1">
        <v>90032</v>
      </c>
      <c r="T219" s="1" t="s">
        <v>44</v>
      </c>
      <c r="U219" s="1" t="s">
        <v>628</v>
      </c>
      <c r="V219" s="1" t="s">
        <v>46</v>
      </c>
      <c r="W219" s="7">
        <v>93.06</v>
      </c>
      <c r="X219" s="1">
        <v>9</v>
      </c>
      <c r="Y219" s="7">
        <v>92.37</v>
      </c>
      <c r="Z219" s="7">
        <f t="shared" ref="Z219:AA219" si="222">W219*X219</f>
        <v>837.54</v>
      </c>
      <c r="AA219" s="7">
        <f t="shared" si="222"/>
        <v>831.33</v>
      </c>
      <c r="AB219" s="7">
        <f t="shared" si="5"/>
        <v>6.2099999999999227</v>
      </c>
    </row>
    <row r="220" spans="1:28">
      <c r="A220" s="1">
        <v>219</v>
      </c>
      <c r="B220" s="1" t="s">
        <v>710</v>
      </c>
      <c r="C220" s="2">
        <v>43036</v>
      </c>
      <c r="D220" s="6" t="str">
        <f t="shared" si="0"/>
        <v>Oct</v>
      </c>
      <c r="E220" s="6" t="str">
        <f t="shared" si="1"/>
        <v>Qtr 4</v>
      </c>
      <c r="F220" s="5">
        <v>42746</v>
      </c>
      <c r="G220" s="1" t="s">
        <v>49</v>
      </c>
      <c r="H220" s="1" t="s">
        <v>711</v>
      </c>
      <c r="I220" s="1" t="s">
        <v>712</v>
      </c>
      <c r="J220" s="1" t="str">
        <f ca="1">IFERROR(__xludf.DUMMYFUNCTION("split(I220,"" "")"),"Jonathan")</f>
        <v>Jonathan</v>
      </c>
      <c r="K220" s="1" t="str">
        <f ca="1">IFERROR(__xludf.DUMMYFUNCTION("""COMPUTED_VALUE"""),"Howell")</f>
        <v>Howell</v>
      </c>
      <c r="L220" s="1"/>
      <c r="M220" s="1" t="s">
        <v>29</v>
      </c>
      <c r="N220" s="1" t="s">
        <v>30</v>
      </c>
      <c r="O220" s="1" t="s">
        <v>42</v>
      </c>
      <c r="P220" s="1" t="str">
        <f t="shared" si="2"/>
        <v>Los Angeles</v>
      </c>
      <c r="Q220" s="1" t="s">
        <v>68</v>
      </c>
      <c r="R220" s="1" t="str">
        <f t="shared" si="3"/>
        <v>California</v>
      </c>
      <c r="S220" s="1">
        <v>90032</v>
      </c>
      <c r="T220" s="1" t="s">
        <v>44</v>
      </c>
      <c r="U220" s="1" t="s">
        <v>713</v>
      </c>
      <c r="V220" s="1" t="s">
        <v>64</v>
      </c>
      <c r="W220" s="7">
        <v>302.37599999999998</v>
      </c>
      <c r="X220" s="1">
        <v>9</v>
      </c>
      <c r="Y220" s="7">
        <v>301.89</v>
      </c>
      <c r="Z220" s="7">
        <f t="shared" ref="Z220:AA220" si="223">W220*X220</f>
        <v>2721.384</v>
      </c>
      <c r="AA220" s="7">
        <f t="shared" si="223"/>
        <v>2717.0099999999998</v>
      </c>
      <c r="AB220" s="7">
        <f t="shared" si="5"/>
        <v>4.374000000000251</v>
      </c>
    </row>
    <row r="221" spans="1:28">
      <c r="A221" s="1">
        <v>220</v>
      </c>
      <c r="B221" s="1" t="s">
        <v>714</v>
      </c>
      <c r="C221" s="2">
        <v>42728</v>
      </c>
      <c r="D221" s="6" t="str">
        <f t="shared" si="0"/>
        <v>Dec</v>
      </c>
      <c r="E221" s="6" t="str">
        <f t="shared" si="1"/>
        <v>Qtr 4</v>
      </c>
      <c r="F221" s="5" t="s">
        <v>715</v>
      </c>
      <c r="G221" s="1" t="s">
        <v>162</v>
      </c>
      <c r="H221" s="1" t="s">
        <v>716</v>
      </c>
      <c r="I221" s="1" t="s">
        <v>717</v>
      </c>
      <c r="J221" s="1" t="str">
        <f ca="1">IFERROR(__xludf.DUMMYFUNCTION("split(I221,"" "")"),"Joni")</f>
        <v>Joni</v>
      </c>
      <c r="K221" s="1" t="str">
        <f ca="1">IFERROR(__xludf.DUMMYFUNCTION("""COMPUTED_VALUE"""),"Blumstein")</f>
        <v>Blumstein</v>
      </c>
      <c r="L221" s="1"/>
      <c r="M221" s="1" t="s">
        <v>29</v>
      </c>
      <c r="N221" s="1" t="s">
        <v>30</v>
      </c>
      <c r="O221" s="1" t="s">
        <v>718</v>
      </c>
      <c r="P221" s="1" t="str">
        <f t="shared" si="2"/>
        <v>Dublin</v>
      </c>
      <c r="Q221" s="1" t="s">
        <v>421</v>
      </c>
      <c r="R221" s="1" t="str">
        <f t="shared" si="3"/>
        <v>Ohio</v>
      </c>
      <c r="S221" s="1">
        <v>43017</v>
      </c>
      <c r="T221" s="1" t="s">
        <v>128</v>
      </c>
      <c r="U221" s="1" t="s">
        <v>719</v>
      </c>
      <c r="V221" s="1" t="s">
        <v>46</v>
      </c>
      <c r="W221" s="7">
        <v>5.5839999999999996</v>
      </c>
      <c r="X221" s="1">
        <v>4</v>
      </c>
      <c r="Y221" s="7">
        <v>5.29</v>
      </c>
      <c r="Z221" s="7">
        <f t="shared" ref="Z221:AA221" si="224">W221*X221</f>
        <v>22.335999999999999</v>
      </c>
      <c r="AA221" s="7">
        <f t="shared" si="224"/>
        <v>21.16</v>
      </c>
      <c r="AB221" s="7">
        <f t="shared" si="5"/>
        <v>1.1759999999999984</v>
      </c>
    </row>
    <row r="222" spans="1:28">
      <c r="A222" s="1">
        <v>221</v>
      </c>
      <c r="B222" s="1" t="s">
        <v>714</v>
      </c>
      <c r="C222" s="2">
        <v>42728</v>
      </c>
      <c r="D222" s="6" t="str">
        <f t="shared" si="0"/>
        <v>Dec</v>
      </c>
      <c r="E222" s="6" t="str">
        <f t="shared" si="1"/>
        <v>Qtr 4</v>
      </c>
      <c r="F222" s="5" t="s">
        <v>715</v>
      </c>
      <c r="G222" s="1" t="s">
        <v>162</v>
      </c>
      <c r="H222" s="1" t="s">
        <v>716</v>
      </c>
      <c r="I222" s="1" t="s">
        <v>717</v>
      </c>
      <c r="J222" s="1" t="str">
        <f ca="1">IFERROR(__xludf.DUMMYFUNCTION("split(I222,"" "")"),"Joni")</f>
        <v>Joni</v>
      </c>
      <c r="K222" s="1" t="str">
        <f ca="1">IFERROR(__xludf.DUMMYFUNCTION("""COMPUTED_VALUE"""),"Blumstein")</f>
        <v>Blumstein</v>
      </c>
      <c r="L222" s="1"/>
      <c r="M222" s="1" t="s">
        <v>29</v>
      </c>
      <c r="N222" s="1" t="s">
        <v>30</v>
      </c>
      <c r="O222" s="1" t="s">
        <v>718</v>
      </c>
      <c r="P222" s="1" t="str">
        <f t="shared" si="2"/>
        <v>Dublin</v>
      </c>
      <c r="Q222" s="1" t="s">
        <v>421</v>
      </c>
      <c r="R222" s="1" t="str">
        <f t="shared" si="3"/>
        <v>Ohio</v>
      </c>
      <c r="S222" s="1">
        <v>43017</v>
      </c>
      <c r="T222" s="1" t="s">
        <v>128</v>
      </c>
      <c r="U222" s="1" t="s">
        <v>720</v>
      </c>
      <c r="V222" s="1" t="s">
        <v>46</v>
      </c>
      <c r="W222" s="7">
        <v>22.704000000000001</v>
      </c>
      <c r="X222" s="1">
        <v>4</v>
      </c>
      <c r="Y222" s="7">
        <v>22.21</v>
      </c>
      <c r="Z222" s="7">
        <f t="shared" ref="Z222:AA222" si="225">W222*X222</f>
        <v>90.816000000000003</v>
      </c>
      <c r="AA222" s="7">
        <f t="shared" si="225"/>
        <v>88.84</v>
      </c>
      <c r="AB222" s="7">
        <f t="shared" si="5"/>
        <v>1.9759999999999991</v>
      </c>
    </row>
    <row r="223" spans="1:28">
      <c r="A223" s="1">
        <v>222</v>
      </c>
      <c r="B223" s="1" t="s">
        <v>714</v>
      </c>
      <c r="C223" s="2">
        <v>42728</v>
      </c>
      <c r="D223" s="6" t="str">
        <f t="shared" si="0"/>
        <v>Dec</v>
      </c>
      <c r="E223" s="6" t="str">
        <f t="shared" si="1"/>
        <v>Qtr 4</v>
      </c>
      <c r="F223" s="5" t="s">
        <v>715</v>
      </c>
      <c r="G223" s="1" t="s">
        <v>162</v>
      </c>
      <c r="H223" s="1" t="s">
        <v>716</v>
      </c>
      <c r="I223" s="1" t="s">
        <v>717</v>
      </c>
      <c r="J223" s="1" t="str">
        <f ca="1">IFERROR(__xludf.DUMMYFUNCTION("split(I223,"" "")"),"Joni")</f>
        <v>Joni</v>
      </c>
      <c r="K223" s="1" t="str">
        <f ca="1">IFERROR(__xludf.DUMMYFUNCTION("""COMPUTED_VALUE"""),"Blumstein")</f>
        <v>Blumstein</v>
      </c>
      <c r="L223" s="1"/>
      <c r="M223" s="1" t="s">
        <v>29</v>
      </c>
      <c r="N223" s="1" t="s">
        <v>30</v>
      </c>
      <c r="O223" s="1" t="s">
        <v>718</v>
      </c>
      <c r="P223" s="1" t="str">
        <f t="shared" si="2"/>
        <v>Dublin</v>
      </c>
      <c r="Q223" s="1" t="s">
        <v>421</v>
      </c>
      <c r="R223" s="1" t="str">
        <f t="shared" si="3"/>
        <v>Ohio</v>
      </c>
      <c r="S223" s="1">
        <v>43017</v>
      </c>
      <c r="T223" s="1" t="s">
        <v>128</v>
      </c>
      <c r="U223" s="1" t="s">
        <v>350</v>
      </c>
      <c r="V223" s="1" t="s">
        <v>46</v>
      </c>
      <c r="W223" s="7">
        <v>19.776</v>
      </c>
      <c r="X223" s="1">
        <v>4</v>
      </c>
      <c r="Y223" s="7">
        <v>18.84</v>
      </c>
      <c r="Z223" s="7">
        <f t="shared" ref="Z223:AA223" si="226">W223*X223</f>
        <v>79.103999999999999</v>
      </c>
      <c r="AA223" s="7">
        <f t="shared" si="226"/>
        <v>75.36</v>
      </c>
      <c r="AB223" s="7">
        <f t="shared" si="5"/>
        <v>3.7439999999999998</v>
      </c>
    </row>
    <row r="224" spans="1:28">
      <c r="A224" s="1">
        <v>223</v>
      </c>
      <c r="B224" s="1" t="s">
        <v>714</v>
      </c>
      <c r="C224" s="2">
        <v>42728</v>
      </c>
      <c r="D224" s="6" t="str">
        <f t="shared" si="0"/>
        <v>Dec</v>
      </c>
      <c r="E224" s="6" t="str">
        <f t="shared" si="1"/>
        <v>Qtr 4</v>
      </c>
      <c r="F224" s="5" t="s">
        <v>715</v>
      </c>
      <c r="G224" s="1" t="s">
        <v>162</v>
      </c>
      <c r="H224" s="1" t="s">
        <v>716</v>
      </c>
      <c r="I224" s="1" t="s">
        <v>717</v>
      </c>
      <c r="J224" s="1" t="str">
        <f ca="1">IFERROR(__xludf.DUMMYFUNCTION("split(I224,"" "")"),"Joni")</f>
        <v>Joni</v>
      </c>
      <c r="K224" s="1" t="str">
        <f ca="1">IFERROR(__xludf.DUMMYFUNCTION("""COMPUTED_VALUE"""),"Blumstein")</f>
        <v>Blumstein</v>
      </c>
      <c r="L224" s="1"/>
      <c r="M224" s="1" t="s">
        <v>29</v>
      </c>
      <c r="N224" s="1" t="s">
        <v>30</v>
      </c>
      <c r="O224" s="1" t="s">
        <v>718</v>
      </c>
      <c r="P224" s="1" t="str">
        <f t="shared" si="2"/>
        <v>Dublin</v>
      </c>
      <c r="Q224" s="1" t="s">
        <v>421</v>
      </c>
      <c r="R224" s="1" t="str">
        <f t="shared" si="3"/>
        <v>Ohio</v>
      </c>
      <c r="S224" s="1">
        <v>43017</v>
      </c>
      <c r="T224" s="1" t="s">
        <v>128</v>
      </c>
      <c r="U224" s="1" t="s">
        <v>721</v>
      </c>
      <c r="V224" s="1" t="s">
        <v>35</v>
      </c>
      <c r="W224" s="7">
        <v>72.703999999999994</v>
      </c>
      <c r="X224" s="1">
        <v>4</v>
      </c>
      <c r="Y224" s="7">
        <v>72.19</v>
      </c>
      <c r="Z224" s="7">
        <f t="shared" ref="Z224:AA224" si="227">W224*X224</f>
        <v>290.81599999999997</v>
      </c>
      <c r="AA224" s="7">
        <f t="shared" si="227"/>
        <v>288.76</v>
      </c>
      <c r="AB224" s="7">
        <f t="shared" si="5"/>
        <v>2.0559999999999832</v>
      </c>
    </row>
    <row r="225" spans="1:28">
      <c r="A225" s="1">
        <v>224</v>
      </c>
      <c r="B225" s="1" t="s">
        <v>714</v>
      </c>
      <c r="C225" s="2">
        <v>42728</v>
      </c>
      <c r="D225" s="6" t="str">
        <f t="shared" si="0"/>
        <v>Dec</v>
      </c>
      <c r="E225" s="6" t="str">
        <f t="shared" si="1"/>
        <v>Qtr 4</v>
      </c>
      <c r="F225" s="5" t="s">
        <v>715</v>
      </c>
      <c r="G225" s="1" t="s">
        <v>162</v>
      </c>
      <c r="H225" s="1" t="s">
        <v>716</v>
      </c>
      <c r="I225" s="1" t="s">
        <v>717</v>
      </c>
      <c r="J225" s="1" t="str">
        <f ca="1">IFERROR(__xludf.DUMMYFUNCTION("split(I225,"" "")"),"Joni")</f>
        <v>Joni</v>
      </c>
      <c r="K225" s="1" t="str">
        <f ca="1">IFERROR(__xludf.DUMMYFUNCTION("""COMPUTED_VALUE"""),"Blumstein")</f>
        <v>Blumstein</v>
      </c>
      <c r="L225" s="1"/>
      <c r="M225" s="1" t="s">
        <v>29</v>
      </c>
      <c r="N225" s="1" t="s">
        <v>30</v>
      </c>
      <c r="O225" s="1" t="s">
        <v>718</v>
      </c>
      <c r="P225" s="1" t="str">
        <f t="shared" si="2"/>
        <v>Dublin</v>
      </c>
      <c r="Q225" s="1" t="s">
        <v>421</v>
      </c>
      <c r="R225" s="1" t="str">
        <f t="shared" si="3"/>
        <v>Ohio</v>
      </c>
      <c r="S225" s="1">
        <v>43017</v>
      </c>
      <c r="T225" s="1" t="s">
        <v>128</v>
      </c>
      <c r="U225" s="1" t="s">
        <v>722</v>
      </c>
      <c r="V225" s="1" t="s">
        <v>64</v>
      </c>
      <c r="W225" s="7">
        <v>479.988</v>
      </c>
      <c r="X225" s="1">
        <v>4</v>
      </c>
      <c r="Y225" s="7">
        <v>479.35</v>
      </c>
      <c r="Z225" s="7">
        <f t="shared" ref="Z225:AA225" si="228">W225*X225</f>
        <v>1919.952</v>
      </c>
      <c r="AA225" s="7">
        <f t="shared" si="228"/>
        <v>1917.4</v>
      </c>
      <c r="AB225" s="7">
        <f t="shared" si="5"/>
        <v>2.5519999999999072</v>
      </c>
    </row>
    <row r="226" spans="1:28">
      <c r="A226" s="1">
        <v>225</v>
      </c>
      <c r="B226" s="1" t="s">
        <v>714</v>
      </c>
      <c r="C226" s="2">
        <v>42728</v>
      </c>
      <c r="D226" s="6" t="str">
        <f t="shared" si="0"/>
        <v>Dec</v>
      </c>
      <c r="E226" s="6" t="str">
        <f t="shared" si="1"/>
        <v>Qtr 4</v>
      </c>
      <c r="F226" s="5" t="s">
        <v>715</v>
      </c>
      <c r="G226" s="1" t="s">
        <v>162</v>
      </c>
      <c r="H226" s="1" t="s">
        <v>716</v>
      </c>
      <c r="I226" s="1" t="s">
        <v>717</v>
      </c>
      <c r="J226" s="1" t="str">
        <f ca="1">IFERROR(__xludf.DUMMYFUNCTION("split(I226,"" "")"),"Joni")</f>
        <v>Joni</v>
      </c>
      <c r="K226" s="1" t="str">
        <f ca="1">IFERROR(__xludf.DUMMYFUNCTION("""COMPUTED_VALUE"""),"Blumstein")</f>
        <v>Blumstein</v>
      </c>
      <c r="L226" s="1"/>
      <c r="M226" s="1" t="s">
        <v>29</v>
      </c>
      <c r="N226" s="1" t="s">
        <v>30</v>
      </c>
      <c r="O226" s="1" t="s">
        <v>718</v>
      </c>
      <c r="P226" s="1" t="str">
        <f t="shared" si="2"/>
        <v>Dublin</v>
      </c>
      <c r="Q226" s="1" t="s">
        <v>421</v>
      </c>
      <c r="R226" s="1" t="str">
        <f t="shared" si="3"/>
        <v>Ohio</v>
      </c>
      <c r="S226" s="1">
        <v>43017</v>
      </c>
      <c r="T226" s="1" t="s">
        <v>128</v>
      </c>
      <c r="U226" s="1" t="s">
        <v>723</v>
      </c>
      <c r="V226" s="1" t="s">
        <v>46</v>
      </c>
      <c r="W226" s="7">
        <v>27.167999999999999</v>
      </c>
      <c r="X226" s="1">
        <v>4</v>
      </c>
      <c r="Y226" s="7">
        <v>26.83</v>
      </c>
      <c r="Z226" s="7">
        <f t="shared" ref="Z226:AA226" si="229">W226*X226</f>
        <v>108.672</v>
      </c>
      <c r="AA226" s="7">
        <f t="shared" si="229"/>
        <v>107.32</v>
      </c>
      <c r="AB226" s="7">
        <f t="shared" si="5"/>
        <v>1.3520000000000039</v>
      </c>
    </row>
    <row r="227" spans="1:28">
      <c r="A227" s="1">
        <v>226</v>
      </c>
      <c r="B227" s="1" t="s">
        <v>724</v>
      </c>
      <c r="C227" s="2">
        <v>42621</v>
      </c>
      <c r="D227" s="6" t="str">
        <f t="shared" si="0"/>
        <v>Sep</v>
      </c>
      <c r="E227" s="6" t="str">
        <f t="shared" si="1"/>
        <v>Qtr 3</v>
      </c>
      <c r="F227" s="5" t="s">
        <v>725</v>
      </c>
      <c r="G227" s="1" t="s">
        <v>49</v>
      </c>
      <c r="H227" s="1" t="s">
        <v>726</v>
      </c>
      <c r="I227" s="1" t="s">
        <v>727</v>
      </c>
      <c r="J227" s="1" t="str">
        <f ca="1">IFERROR(__xludf.DUMMYFUNCTION("split(I227,"" "")"),"David")</f>
        <v>David</v>
      </c>
      <c r="K227" s="1" t="str">
        <f ca="1">IFERROR(__xludf.DUMMYFUNCTION("""COMPUTED_VALUE"""),"Smith")</f>
        <v>Smith</v>
      </c>
      <c r="L227" s="1"/>
      <c r="M227" s="1" t="s">
        <v>41</v>
      </c>
      <c r="N227" s="1" t="s">
        <v>30</v>
      </c>
      <c r="O227" s="1" t="s">
        <v>728</v>
      </c>
      <c r="P227" s="1" t="str">
        <f t="shared" si="2"/>
        <v>Detroit</v>
      </c>
      <c r="Q227" s="1" t="s">
        <v>209</v>
      </c>
      <c r="R227" s="1" t="str">
        <f t="shared" si="3"/>
        <v>Michigan</v>
      </c>
      <c r="S227" s="1">
        <v>48227</v>
      </c>
      <c r="T227" s="1" t="s">
        <v>90</v>
      </c>
      <c r="U227" s="1" t="s">
        <v>729</v>
      </c>
      <c r="V227" s="1" t="s">
        <v>46</v>
      </c>
      <c r="W227" s="7">
        <v>2.2000000000000002</v>
      </c>
      <c r="X227" s="1">
        <v>4</v>
      </c>
      <c r="Y227" s="7">
        <v>2.12</v>
      </c>
      <c r="Z227" s="7">
        <f t="shared" ref="Z227:AA227" si="230">W227*X227</f>
        <v>8.8000000000000007</v>
      </c>
      <c r="AA227" s="7">
        <f t="shared" si="230"/>
        <v>8.48</v>
      </c>
      <c r="AB227" s="7">
        <f t="shared" si="5"/>
        <v>0.32000000000000028</v>
      </c>
    </row>
    <row r="228" spans="1:28">
      <c r="A228" s="1">
        <v>227</v>
      </c>
      <c r="B228" s="1" t="s">
        <v>724</v>
      </c>
      <c r="C228" s="2">
        <v>42621</v>
      </c>
      <c r="D228" s="6" t="str">
        <f t="shared" si="0"/>
        <v>Sep</v>
      </c>
      <c r="E228" s="6" t="str">
        <f t="shared" si="1"/>
        <v>Qtr 3</v>
      </c>
      <c r="F228" s="5" t="s">
        <v>725</v>
      </c>
      <c r="G228" s="1" t="s">
        <v>49</v>
      </c>
      <c r="H228" s="1" t="s">
        <v>726</v>
      </c>
      <c r="I228" s="1" t="s">
        <v>727</v>
      </c>
      <c r="J228" s="1" t="str">
        <f ca="1">IFERROR(__xludf.DUMMYFUNCTION("split(I228,"" "")"),"David")</f>
        <v>David</v>
      </c>
      <c r="K228" s="1" t="str">
        <f ca="1">IFERROR(__xludf.DUMMYFUNCTION("""COMPUTED_VALUE"""),"Smith")</f>
        <v>Smith</v>
      </c>
      <c r="L228" s="1"/>
      <c r="M228" s="1" t="s">
        <v>41</v>
      </c>
      <c r="N228" s="1" t="s">
        <v>30</v>
      </c>
      <c r="O228" s="1" t="s">
        <v>728</v>
      </c>
      <c r="P228" s="1" t="str">
        <f t="shared" si="2"/>
        <v>Detroit</v>
      </c>
      <c r="Q228" s="1" t="s">
        <v>209</v>
      </c>
      <c r="R228" s="1" t="str">
        <f t="shared" si="3"/>
        <v>Michigan</v>
      </c>
      <c r="S228" s="1">
        <v>48227</v>
      </c>
      <c r="T228" s="1" t="s">
        <v>90</v>
      </c>
      <c r="U228" s="1" t="s">
        <v>730</v>
      </c>
      <c r="V228" s="1" t="s">
        <v>35</v>
      </c>
      <c r="W228" s="7">
        <v>622.45000000000005</v>
      </c>
      <c r="X228" s="1">
        <v>4</v>
      </c>
      <c r="Y228" s="7">
        <v>622.09</v>
      </c>
      <c r="Z228" s="7">
        <f t="shared" ref="Z228:AA228" si="231">W228*X228</f>
        <v>2489.8000000000002</v>
      </c>
      <c r="AA228" s="7">
        <f t="shared" si="231"/>
        <v>2488.36</v>
      </c>
      <c r="AB228" s="7">
        <f t="shared" si="5"/>
        <v>1.4400000000000546</v>
      </c>
    </row>
    <row r="229" spans="1:28">
      <c r="A229" s="1">
        <v>228</v>
      </c>
      <c r="B229" s="1" t="s">
        <v>724</v>
      </c>
      <c r="C229" s="2">
        <v>42621</v>
      </c>
      <c r="D229" s="6" t="str">
        <f t="shared" si="0"/>
        <v>Sep</v>
      </c>
      <c r="E229" s="6" t="str">
        <f t="shared" si="1"/>
        <v>Qtr 3</v>
      </c>
      <c r="F229" s="5" t="s">
        <v>725</v>
      </c>
      <c r="G229" s="1" t="s">
        <v>49</v>
      </c>
      <c r="H229" s="1" t="s">
        <v>726</v>
      </c>
      <c r="I229" s="1" t="s">
        <v>727</v>
      </c>
      <c r="J229" s="1" t="str">
        <f ca="1">IFERROR(__xludf.DUMMYFUNCTION("split(I229,"" "")"),"David")</f>
        <v>David</v>
      </c>
      <c r="K229" s="1" t="str">
        <f ca="1">IFERROR(__xludf.DUMMYFUNCTION("""COMPUTED_VALUE"""),"Smith")</f>
        <v>Smith</v>
      </c>
      <c r="L229" s="1"/>
      <c r="M229" s="1" t="s">
        <v>41</v>
      </c>
      <c r="N229" s="1" t="s">
        <v>30</v>
      </c>
      <c r="O229" s="1" t="s">
        <v>728</v>
      </c>
      <c r="P229" s="1" t="str">
        <f t="shared" si="2"/>
        <v>Detroit</v>
      </c>
      <c r="Q229" s="1" t="s">
        <v>209</v>
      </c>
      <c r="R229" s="1" t="str">
        <f t="shared" si="3"/>
        <v>Michigan</v>
      </c>
      <c r="S229" s="1">
        <v>48227</v>
      </c>
      <c r="T229" s="1" t="s">
        <v>90</v>
      </c>
      <c r="U229" s="1" t="s">
        <v>731</v>
      </c>
      <c r="V229" s="1" t="s">
        <v>46</v>
      </c>
      <c r="W229" s="7">
        <v>21.98</v>
      </c>
      <c r="X229" s="1">
        <v>4</v>
      </c>
      <c r="Y229" s="7">
        <v>21.78</v>
      </c>
      <c r="Z229" s="7">
        <f t="shared" ref="Z229:AA229" si="232">W229*X229</f>
        <v>87.92</v>
      </c>
      <c r="AA229" s="7">
        <f t="shared" si="232"/>
        <v>87.12</v>
      </c>
      <c r="AB229" s="7">
        <f t="shared" si="5"/>
        <v>0.79999999999999716</v>
      </c>
    </row>
    <row r="230" spans="1:28">
      <c r="A230" s="1">
        <v>229</v>
      </c>
      <c r="B230" s="1" t="s">
        <v>732</v>
      </c>
      <c r="C230" s="2">
        <v>42428</v>
      </c>
      <c r="D230" s="6" t="str">
        <f t="shared" si="0"/>
        <v>Feb</v>
      </c>
      <c r="E230" s="6" t="str">
        <f t="shared" si="1"/>
        <v>Qtr 1</v>
      </c>
      <c r="F230" s="5">
        <v>42463</v>
      </c>
      <c r="G230" s="1" t="s">
        <v>49</v>
      </c>
      <c r="H230" s="1" t="s">
        <v>733</v>
      </c>
      <c r="I230" s="1" t="s">
        <v>734</v>
      </c>
      <c r="J230" s="1" t="str">
        <f ca="1">IFERROR(__xludf.DUMMYFUNCTION("split(I230,"" "")"),"Valerie")</f>
        <v>Valerie</v>
      </c>
      <c r="K230" s="1" t="str">
        <f ca="1">IFERROR(__xludf.DUMMYFUNCTION("""COMPUTED_VALUE"""),"Dominguez")</f>
        <v>Dominguez</v>
      </c>
      <c r="L230" s="1"/>
      <c r="M230" s="1" t="s">
        <v>29</v>
      </c>
      <c r="N230" s="1" t="s">
        <v>30</v>
      </c>
      <c r="O230" s="1" t="s">
        <v>325</v>
      </c>
      <c r="P230" s="1" t="str">
        <f t="shared" si="2"/>
        <v>Columbia</v>
      </c>
      <c r="Q230" s="1" t="s">
        <v>287</v>
      </c>
      <c r="R230" s="1" t="str">
        <f t="shared" si="3"/>
        <v>Tennessee</v>
      </c>
      <c r="S230" s="1">
        <v>38401</v>
      </c>
      <c r="T230" s="1" t="s">
        <v>33</v>
      </c>
      <c r="U230" s="1" t="s">
        <v>735</v>
      </c>
      <c r="V230" s="1" t="s">
        <v>35</v>
      </c>
      <c r="W230" s="7">
        <v>161.56800000000001</v>
      </c>
      <c r="X230" s="1">
        <v>3</v>
      </c>
      <c r="Y230" s="7">
        <v>161.03</v>
      </c>
      <c r="Z230" s="7">
        <f t="shared" ref="Z230:AA230" si="233">W230*X230</f>
        <v>484.70400000000006</v>
      </c>
      <c r="AA230" s="7">
        <f t="shared" si="233"/>
        <v>483.09000000000003</v>
      </c>
      <c r="AB230" s="7">
        <f t="shared" si="5"/>
        <v>1.6140000000000327</v>
      </c>
    </row>
    <row r="231" spans="1:28">
      <c r="A231" s="1">
        <v>230</v>
      </c>
      <c r="B231" s="1" t="s">
        <v>732</v>
      </c>
      <c r="C231" s="2">
        <v>42428</v>
      </c>
      <c r="D231" s="6" t="str">
        <f t="shared" si="0"/>
        <v>Feb</v>
      </c>
      <c r="E231" s="6" t="str">
        <f t="shared" si="1"/>
        <v>Qtr 1</v>
      </c>
      <c r="F231" s="5">
        <v>42463</v>
      </c>
      <c r="G231" s="1" t="s">
        <v>49</v>
      </c>
      <c r="H231" s="1" t="s">
        <v>733</v>
      </c>
      <c r="I231" s="1" t="s">
        <v>734</v>
      </c>
      <c r="J231" s="1" t="str">
        <f ca="1">IFERROR(__xludf.DUMMYFUNCTION("split(I231,"" "")"),"Valerie")</f>
        <v>Valerie</v>
      </c>
      <c r="K231" s="1" t="str">
        <f ca="1">IFERROR(__xludf.DUMMYFUNCTION("""COMPUTED_VALUE"""),"Dominguez")</f>
        <v>Dominguez</v>
      </c>
      <c r="L231" s="1"/>
      <c r="M231" s="1" t="s">
        <v>29</v>
      </c>
      <c r="N231" s="1" t="s">
        <v>30</v>
      </c>
      <c r="O231" s="1" t="s">
        <v>325</v>
      </c>
      <c r="P231" s="1" t="str">
        <f t="shared" si="2"/>
        <v>Columbia</v>
      </c>
      <c r="Q231" s="1" t="s">
        <v>287</v>
      </c>
      <c r="R231" s="1" t="str">
        <f t="shared" si="3"/>
        <v>Tennessee</v>
      </c>
      <c r="S231" s="1">
        <v>38401</v>
      </c>
      <c r="T231" s="1" t="s">
        <v>33</v>
      </c>
      <c r="U231" s="1" t="s">
        <v>736</v>
      </c>
      <c r="V231" s="1" t="s">
        <v>35</v>
      </c>
      <c r="W231" s="7">
        <v>389.69600000000003</v>
      </c>
      <c r="X231" s="1">
        <v>3</v>
      </c>
      <c r="Y231" s="7">
        <v>389.21</v>
      </c>
      <c r="Z231" s="7">
        <f t="shared" ref="Z231:AA231" si="234">W231*X231</f>
        <v>1169.0880000000002</v>
      </c>
      <c r="AA231" s="7">
        <f t="shared" si="234"/>
        <v>1167.6299999999999</v>
      </c>
      <c r="AB231" s="7">
        <f t="shared" si="5"/>
        <v>1.458000000000311</v>
      </c>
    </row>
    <row r="232" spans="1:28">
      <c r="A232" s="1">
        <v>231</v>
      </c>
      <c r="B232" s="1" t="s">
        <v>737</v>
      </c>
      <c r="C232" s="2">
        <v>42260</v>
      </c>
      <c r="D232" s="6" t="str">
        <f t="shared" si="0"/>
        <v>Sep</v>
      </c>
      <c r="E232" s="6" t="str">
        <f t="shared" si="1"/>
        <v>Qtr 3</v>
      </c>
      <c r="F232" s="5" t="s">
        <v>738</v>
      </c>
      <c r="G232" s="1" t="s">
        <v>49</v>
      </c>
      <c r="H232" s="1" t="s">
        <v>739</v>
      </c>
      <c r="I232" s="1" t="s">
        <v>740</v>
      </c>
      <c r="J232" s="1" t="str">
        <f ca="1">IFERROR(__xludf.DUMMYFUNCTION("split(I232,"" "")"),"Erin")</f>
        <v>Erin</v>
      </c>
      <c r="K232" s="1" t="str">
        <f ca="1">IFERROR(__xludf.DUMMYFUNCTION("""COMPUTED_VALUE"""),"Ashbrook")</f>
        <v>Ashbrook</v>
      </c>
      <c r="L232" s="1"/>
      <c r="M232" s="1" t="s">
        <v>41</v>
      </c>
      <c r="N232" s="1" t="s">
        <v>30</v>
      </c>
      <c r="O232" s="1" t="s">
        <v>394</v>
      </c>
      <c r="P232" s="1" t="str">
        <f t="shared" si="2"/>
        <v>Charlotte</v>
      </c>
      <c r="Q232" s="1" t="s">
        <v>75</v>
      </c>
      <c r="R232" s="1" t="str">
        <f t="shared" si="3"/>
        <v>North Carolina</v>
      </c>
      <c r="S232" s="1">
        <v>28205</v>
      </c>
      <c r="T232" s="1" t="s">
        <v>33</v>
      </c>
      <c r="U232" s="1" t="s">
        <v>741</v>
      </c>
      <c r="V232" s="1" t="s">
        <v>46</v>
      </c>
      <c r="W232" s="7">
        <v>18.648</v>
      </c>
      <c r="X232" s="1">
        <v>2</v>
      </c>
      <c r="Y232" s="7">
        <v>18.45</v>
      </c>
      <c r="Z232" s="7">
        <f t="shared" ref="Z232:AA232" si="235">W232*X232</f>
        <v>37.295999999999999</v>
      </c>
      <c r="AA232" s="7">
        <f t="shared" si="235"/>
        <v>36.9</v>
      </c>
      <c r="AB232" s="7">
        <f t="shared" si="5"/>
        <v>0.3960000000000008</v>
      </c>
    </row>
    <row r="233" spans="1:28">
      <c r="A233" s="1">
        <v>232</v>
      </c>
      <c r="B233" s="1" t="s">
        <v>742</v>
      </c>
      <c r="C233" s="2">
        <v>43285</v>
      </c>
      <c r="D233" s="6" t="str">
        <f t="shared" si="0"/>
        <v>Jul</v>
      </c>
      <c r="E233" s="6" t="str">
        <f t="shared" si="1"/>
        <v>Qtr 3</v>
      </c>
      <c r="F233" s="5">
        <v>43438</v>
      </c>
      <c r="G233" s="1" t="s">
        <v>49</v>
      </c>
      <c r="H233" s="1" t="s">
        <v>320</v>
      </c>
      <c r="I233" s="1" t="s">
        <v>321</v>
      </c>
      <c r="J233" s="1" t="str">
        <f ca="1">IFERROR(__xludf.DUMMYFUNCTION("split(I233,"" "")"),"Christopher")</f>
        <v>Christopher</v>
      </c>
      <c r="K233" s="1" t="str">
        <f ca="1">IFERROR(__xludf.DUMMYFUNCTION("""COMPUTED_VALUE"""),"Schild")</f>
        <v>Schild</v>
      </c>
      <c r="L233" s="1"/>
      <c r="M233" s="1" t="s">
        <v>87</v>
      </c>
      <c r="N233" s="1" t="s">
        <v>30</v>
      </c>
      <c r="O233" s="1" t="s">
        <v>743</v>
      </c>
      <c r="P233" s="1" t="str">
        <f t="shared" si="2"/>
        <v>Tampa</v>
      </c>
      <c r="Q233" s="1" t="s">
        <v>194</v>
      </c>
      <c r="R233" s="1" t="str">
        <f t="shared" si="3"/>
        <v>Florida</v>
      </c>
      <c r="S233" s="1">
        <v>33614</v>
      </c>
      <c r="T233" s="1" t="s">
        <v>33</v>
      </c>
      <c r="U233" s="1" t="s">
        <v>744</v>
      </c>
      <c r="V233" s="1" t="s">
        <v>35</v>
      </c>
      <c r="W233" s="7">
        <v>233.86</v>
      </c>
      <c r="X233" s="1">
        <v>3</v>
      </c>
      <c r="Y233" s="7">
        <v>233.41</v>
      </c>
      <c r="Z233" s="7">
        <f t="shared" ref="Z233:AA233" si="236">W233*X233</f>
        <v>701.58</v>
      </c>
      <c r="AA233" s="7">
        <f t="shared" si="236"/>
        <v>700.23</v>
      </c>
      <c r="AB233" s="7">
        <f t="shared" si="5"/>
        <v>1.3500000000000227</v>
      </c>
    </row>
    <row r="234" spans="1:28">
      <c r="A234" s="1">
        <v>233</v>
      </c>
      <c r="B234" s="1" t="s">
        <v>742</v>
      </c>
      <c r="C234" s="2">
        <v>43285</v>
      </c>
      <c r="D234" s="6" t="str">
        <f t="shared" si="0"/>
        <v>Jul</v>
      </c>
      <c r="E234" s="6" t="str">
        <f t="shared" si="1"/>
        <v>Qtr 3</v>
      </c>
      <c r="F234" s="5">
        <v>43438</v>
      </c>
      <c r="G234" s="1" t="s">
        <v>49</v>
      </c>
      <c r="H234" s="1" t="s">
        <v>320</v>
      </c>
      <c r="I234" s="1" t="s">
        <v>321</v>
      </c>
      <c r="J234" s="1" t="str">
        <f ca="1">IFERROR(__xludf.DUMMYFUNCTION("split(I234,"" "")"),"Christopher")</f>
        <v>Christopher</v>
      </c>
      <c r="K234" s="1" t="str">
        <f ca="1">IFERROR(__xludf.DUMMYFUNCTION("""COMPUTED_VALUE"""),"Schild")</f>
        <v>Schild</v>
      </c>
      <c r="L234" s="1"/>
      <c r="M234" s="1" t="s">
        <v>87</v>
      </c>
      <c r="N234" s="1" t="s">
        <v>30</v>
      </c>
      <c r="O234" s="1" t="s">
        <v>743</v>
      </c>
      <c r="P234" s="1" t="str">
        <f t="shared" si="2"/>
        <v>Tampa</v>
      </c>
      <c r="Q234" s="1" t="s">
        <v>194</v>
      </c>
      <c r="R234" s="1" t="str">
        <f t="shared" si="3"/>
        <v>Florida</v>
      </c>
      <c r="S234" s="1">
        <v>33614</v>
      </c>
      <c r="T234" s="1" t="s">
        <v>33</v>
      </c>
      <c r="U234" s="1" t="s">
        <v>745</v>
      </c>
      <c r="V234" s="1" t="s">
        <v>35</v>
      </c>
      <c r="W234" s="7">
        <v>620.61450000000002</v>
      </c>
      <c r="X234" s="1">
        <v>3</v>
      </c>
      <c r="Y234" s="7">
        <v>620.39</v>
      </c>
      <c r="Z234" s="7">
        <f t="shared" ref="Z234:AA234" si="237">W234*X234</f>
        <v>1861.8434999999999</v>
      </c>
      <c r="AA234" s="7">
        <f t="shared" si="237"/>
        <v>1861.17</v>
      </c>
      <c r="AB234" s="7">
        <f t="shared" si="5"/>
        <v>0.67349999999987631</v>
      </c>
    </row>
    <row r="235" spans="1:28">
      <c r="A235" s="1">
        <v>234</v>
      </c>
      <c r="B235" s="1" t="s">
        <v>742</v>
      </c>
      <c r="C235" s="2">
        <v>43285</v>
      </c>
      <c r="D235" s="6" t="str">
        <f t="shared" si="0"/>
        <v>Jul</v>
      </c>
      <c r="E235" s="6" t="str">
        <f t="shared" si="1"/>
        <v>Qtr 3</v>
      </c>
      <c r="F235" s="5">
        <v>43438</v>
      </c>
      <c r="G235" s="1" t="s">
        <v>49</v>
      </c>
      <c r="H235" s="1" t="s">
        <v>320</v>
      </c>
      <c r="I235" s="1" t="s">
        <v>321</v>
      </c>
      <c r="J235" s="1" t="str">
        <f ca="1">IFERROR(__xludf.DUMMYFUNCTION("split(I235,"" "")"),"Christopher")</f>
        <v>Christopher</v>
      </c>
      <c r="K235" s="1" t="str">
        <f ca="1">IFERROR(__xludf.DUMMYFUNCTION("""COMPUTED_VALUE"""),"Schild")</f>
        <v>Schild</v>
      </c>
      <c r="L235" s="1"/>
      <c r="M235" s="1" t="s">
        <v>87</v>
      </c>
      <c r="N235" s="1" t="s">
        <v>30</v>
      </c>
      <c r="O235" s="1" t="s">
        <v>743</v>
      </c>
      <c r="P235" s="1" t="str">
        <f t="shared" si="2"/>
        <v>Tampa</v>
      </c>
      <c r="Q235" s="1" t="s">
        <v>194</v>
      </c>
      <c r="R235" s="1" t="str">
        <f t="shared" si="3"/>
        <v>Florida</v>
      </c>
      <c r="S235" s="1">
        <v>33614</v>
      </c>
      <c r="T235" s="1" t="s">
        <v>33</v>
      </c>
      <c r="U235" s="1" t="s">
        <v>741</v>
      </c>
      <c r="V235" s="1" t="s">
        <v>46</v>
      </c>
      <c r="W235" s="7">
        <v>5.3280000000000003</v>
      </c>
      <c r="X235" s="1">
        <v>3</v>
      </c>
      <c r="Y235" s="7">
        <v>4.57</v>
      </c>
      <c r="Z235" s="7">
        <f t="shared" ref="Z235:AA235" si="238">W235*X235</f>
        <v>15.984000000000002</v>
      </c>
      <c r="AA235" s="7">
        <f t="shared" si="238"/>
        <v>13.71</v>
      </c>
      <c r="AB235" s="7">
        <f t="shared" si="5"/>
        <v>2.2740000000000009</v>
      </c>
    </row>
    <row r="236" spans="1:28">
      <c r="A236" s="1">
        <v>235</v>
      </c>
      <c r="B236" s="1" t="s">
        <v>742</v>
      </c>
      <c r="C236" s="2">
        <v>43285</v>
      </c>
      <c r="D236" s="6" t="str">
        <f t="shared" si="0"/>
        <v>Jul</v>
      </c>
      <c r="E236" s="6" t="str">
        <f t="shared" si="1"/>
        <v>Qtr 3</v>
      </c>
      <c r="F236" s="5">
        <v>43438</v>
      </c>
      <c r="G236" s="1" t="s">
        <v>49</v>
      </c>
      <c r="H236" s="1" t="s">
        <v>320</v>
      </c>
      <c r="I236" s="1" t="s">
        <v>321</v>
      </c>
      <c r="J236" s="1" t="str">
        <f ca="1">IFERROR(__xludf.DUMMYFUNCTION("split(I236,"" "")"),"Christopher")</f>
        <v>Christopher</v>
      </c>
      <c r="K236" s="1" t="str">
        <f ca="1">IFERROR(__xludf.DUMMYFUNCTION("""COMPUTED_VALUE"""),"Schild")</f>
        <v>Schild</v>
      </c>
      <c r="L236" s="1"/>
      <c r="M236" s="1" t="s">
        <v>87</v>
      </c>
      <c r="N236" s="1" t="s">
        <v>30</v>
      </c>
      <c r="O236" s="1" t="s">
        <v>743</v>
      </c>
      <c r="P236" s="1" t="str">
        <f t="shared" si="2"/>
        <v>Tampa</v>
      </c>
      <c r="Q236" s="1" t="s">
        <v>194</v>
      </c>
      <c r="R236" s="1" t="str">
        <f t="shared" si="3"/>
        <v>Florida</v>
      </c>
      <c r="S236" s="1">
        <v>33614</v>
      </c>
      <c r="T236" s="1" t="s">
        <v>33</v>
      </c>
      <c r="U236" s="1" t="s">
        <v>746</v>
      </c>
      <c r="V236" s="1" t="s">
        <v>35</v>
      </c>
      <c r="W236" s="7">
        <v>258.072</v>
      </c>
      <c r="X236" s="1">
        <v>3</v>
      </c>
      <c r="Y236" s="7">
        <v>258.02999999999997</v>
      </c>
      <c r="Z236" s="7">
        <f t="shared" ref="Z236:AA236" si="239">W236*X236</f>
        <v>774.21600000000001</v>
      </c>
      <c r="AA236" s="7">
        <f t="shared" si="239"/>
        <v>774.08999999999992</v>
      </c>
      <c r="AB236" s="7">
        <f t="shared" si="5"/>
        <v>0.12600000000009004</v>
      </c>
    </row>
    <row r="237" spans="1:28">
      <c r="A237" s="1">
        <v>236</v>
      </c>
      <c r="B237" s="1" t="s">
        <v>742</v>
      </c>
      <c r="C237" s="2">
        <v>43285</v>
      </c>
      <c r="D237" s="6" t="str">
        <f t="shared" si="0"/>
        <v>Jul</v>
      </c>
      <c r="E237" s="6" t="str">
        <f t="shared" si="1"/>
        <v>Qtr 3</v>
      </c>
      <c r="F237" s="5">
        <v>43438</v>
      </c>
      <c r="G237" s="1" t="s">
        <v>49</v>
      </c>
      <c r="H237" s="1" t="s">
        <v>320</v>
      </c>
      <c r="I237" s="1" t="s">
        <v>321</v>
      </c>
      <c r="J237" s="1" t="str">
        <f ca="1">IFERROR(__xludf.DUMMYFUNCTION("split(I237,"" "")"),"Christopher")</f>
        <v>Christopher</v>
      </c>
      <c r="K237" s="1" t="str">
        <f ca="1">IFERROR(__xludf.DUMMYFUNCTION("""COMPUTED_VALUE"""),"Schild")</f>
        <v>Schild</v>
      </c>
      <c r="L237" s="1"/>
      <c r="M237" s="1" t="s">
        <v>87</v>
      </c>
      <c r="N237" s="1" t="s">
        <v>30</v>
      </c>
      <c r="O237" s="1" t="s">
        <v>743</v>
      </c>
      <c r="P237" s="1" t="str">
        <f t="shared" si="2"/>
        <v>Tampa</v>
      </c>
      <c r="Q237" s="1" t="s">
        <v>194</v>
      </c>
      <c r="R237" s="1" t="str">
        <f t="shared" si="3"/>
        <v>Florida</v>
      </c>
      <c r="S237" s="1">
        <v>33614</v>
      </c>
      <c r="T237" s="1" t="s">
        <v>33</v>
      </c>
      <c r="U237" s="1" t="s">
        <v>747</v>
      </c>
      <c r="V237" s="1" t="s">
        <v>64</v>
      </c>
      <c r="W237" s="7">
        <v>617.976</v>
      </c>
      <c r="X237" s="1">
        <v>3</v>
      </c>
      <c r="Y237" s="7">
        <v>617</v>
      </c>
      <c r="Z237" s="7">
        <f t="shared" ref="Z237:AA237" si="240">W237*X237</f>
        <v>1853.9279999999999</v>
      </c>
      <c r="AA237" s="7">
        <f t="shared" si="240"/>
        <v>1851</v>
      </c>
      <c r="AB237" s="7">
        <f t="shared" si="5"/>
        <v>2.9279999999998836</v>
      </c>
    </row>
    <row r="238" spans="1:28">
      <c r="A238" s="1">
        <v>237</v>
      </c>
      <c r="B238" s="1" t="s">
        <v>748</v>
      </c>
      <c r="C238" s="2">
        <v>43445</v>
      </c>
      <c r="D238" s="6" t="str">
        <f t="shared" si="0"/>
        <v>Dec</v>
      </c>
      <c r="E238" s="6" t="str">
        <f t="shared" si="1"/>
        <v>Qtr 4</v>
      </c>
      <c r="F238" s="5" t="s">
        <v>319</v>
      </c>
      <c r="G238" s="1" t="s">
        <v>49</v>
      </c>
      <c r="H238" s="1" t="s">
        <v>749</v>
      </c>
      <c r="I238" s="1" t="s">
        <v>750</v>
      </c>
      <c r="J238" s="1" t="str">
        <f ca="1">IFERROR(__xludf.DUMMYFUNCTION("split(I238,"" "")"),"David")</f>
        <v>David</v>
      </c>
      <c r="K238" s="1" t="str">
        <f ca="1">IFERROR(__xludf.DUMMYFUNCTION("""COMPUTED_VALUE"""),"Bremer")</f>
        <v>Bremer</v>
      </c>
      <c r="L238" s="1"/>
      <c r="M238" s="1" t="s">
        <v>41</v>
      </c>
      <c r="N238" s="1" t="s">
        <v>30</v>
      </c>
      <c r="O238" s="1" t="s">
        <v>751</v>
      </c>
      <c r="P238" s="1" t="str">
        <f t="shared" si="2"/>
        <v>Santa Clara</v>
      </c>
      <c r="Q238" s="1" t="s">
        <v>68</v>
      </c>
      <c r="R238" s="1" t="str">
        <f t="shared" si="3"/>
        <v>California</v>
      </c>
      <c r="S238" s="1">
        <v>95051</v>
      </c>
      <c r="T238" s="1" t="s">
        <v>44</v>
      </c>
      <c r="U238" s="1" t="s">
        <v>752</v>
      </c>
      <c r="V238" s="1" t="s">
        <v>46</v>
      </c>
      <c r="W238" s="7">
        <v>10.56</v>
      </c>
      <c r="X238" s="1">
        <v>9</v>
      </c>
      <c r="Y238" s="7">
        <v>9.7100000000000009</v>
      </c>
      <c r="Z238" s="7">
        <f t="shared" ref="Z238:AA238" si="241">W238*X238</f>
        <v>95.04</v>
      </c>
      <c r="AA238" s="7">
        <f t="shared" si="241"/>
        <v>87.390000000000015</v>
      </c>
      <c r="AB238" s="7">
        <f t="shared" si="5"/>
        <v>7.6499999999999915</v>
      </c>
    </row>
    <row r="239" spans="1:28">
      <c r="A239" s="1">
        <v>238</v>
      </c>
      <c r="B239" s="1" t="s">
        <v>753</v>
      </c>
      <c r="C239" s="2">
        <v>42831</v>
      </c>
      <c r="D239" s="6" t="str">
        <f t="shared" si="0"/>
        <v>Apr</v>
      </c>
      <c r="E239" s="6" t="str">
        <f t="shared" si="1"/>
        <v>Qtr 2</v>
      </c>
      <c r="F239" s="5">
        <v>42984</v>
      </c>
      <c r="G239" s="1" t="s">
        <v>26</v>
      </c>
      <c r="H239" s="1" t="s">
        <v>754</v>
      </c>
      <c r="I239" s="1" t="s">
        <v>755</v>
      </c>
      <c r="J239" s="1" t="str">
        <f ca="1">IFERROR(__xludf.DUMMYFUNCTION("split(I239,"" "")"),"Ken")</f>
        <v>Ken</v>
      </c>
      <c r="K239" s="1" t="str">
        <f ca="1">IFERROR(__xludf.DUMMYFUNCTION("""COMPUTED_VALUE"""),"Lonsdale")</f>
        <v>Lonsdale</v>
      </c>
      <c r="L239" s="1"/>
      <c r="M239" s="1" t="s">
        <v>29</v>
      </c>
      <c r="N239" s="1" t="s">
        <v>30</v>
      </c>
      <c r="O239" s="1" t="s">
        <v>259</v>
      </c>
      <c r="P239" s="1" t="str">
        <f t="shared" si="2"/>
        <v>Chicago</v>
      </c>
      <c r="Q239" s="1" t="s">
        <v>182</v>
      </c>
      <c r="R239" s="1" t="str">
        <f t="shared" si="3"/>
        <v>Illinois</v>
      </c>
      <c r="S239" s="1">
        <v>60610</v>
      </c>
      <c r="T239" s="1" t="s">
        <v>90</v>
      </c>
      <c r="U239" s="1" t="s">
        <v>756</v>
      </c>
      <c r="V239" s="1" t="s">
        <v>46</v>
      </c>
      <c r="W239" s="7">
        <v>25.92</v>
      </c>
      <c r="X239" s="1">
        <v>6</v>
      </c>
      <c r="Y239" s="7">
        <v>25.59</v>
      </c>
      <c r="Z239" s="7">
        <f t="shared" ref="Z239:AA239" si="242">W239*X239</f>
        <v>155.52000000000001</v>
      </c>
      <c r="AA239" s="7">
        <f t="shared" si="242"/>
        <v>153.54</v>
      </c>
      <c r="AB239" s="7">
        <f t="shared" si="5"/>
        <v>1.9800000000000182</v>
      </c>
    </row>
    <row r="240" spans="1:28">
      <c r="A240" s="1">
        <v>239</v>
      </c>
      <c r="B240" s="1" t="s">
        <v>753</v>
      </c>
      <c r="C240" s="2">
        <v>42831</v>
      </c>
      <c r="D240" s="6" t="str">
        <f t="shared" si="0"/>
        <v>Apr</v>
      </c>
      <c r="E240" s="6" t="str">
        <f t="shared" si="1"/>
        <v>Qtr 2</v>
      </c>
      <c r="F240" s="5">
        <v>42984</v>
      </c>
      <c r="G240" s="1" t="s">
        <v>26</v>
      </c>
      <c r="H240" s="1" t="s">
        <v>754</v>
      </c>
      <c r="I240" s="1" t="s">
        <v>755</v>
      </c>
      <c r="J240" s="1" t="str">
        <f ca="1">IFERROR(__xludf.DUMMYFUNCTION("split(I240,"" "")"),"Ken")</f>
        <v>Ken</v>
      </c>
      <c r="K240" s="1" t="str">
        <f ca="1">IFERROR(__xludf.DUMMYFUNCTION("""COMPUTED_VALUE"""),"Lonsdale")</f>
        <v>Lonsdale</v>
      </c>
      <c r="L240" s="1"/>
      <c r="M240" s="1" t="s">
        <v>29</v>
      </c>
      <c r="N240" s="1" t="s">
        <v>30</v>
      </c>
      <c r="O240" s="1" t="s">
        <v>259</v>
      </c>
      <c r="P240" s="1" t="str">
        <f t="shared" si="2"/>
        <v>Chicago</v>
      </c>
      <c r="Q240" s="1" t="s">
        <v>182</v>
      </c>
      <c r="R240" s="1" t="str">
        <f t="shared" si="3"/>
        <v>Illinois</v>
      </c>
      <c r="S240" s="1">
        <v>60610</v>
      </c>
      <c r="T240" s="1" t="s">
        <v>90</v>
      </c>
      <c r="U240" s="1" t="s">
        <v>757</v>
      </c>
      <c r="V240" s="1" t="s">
        <v>35</v>
      </c>
      <c r="W240" s="7">
        <v>419.68</v>
      </c>
      <c r="X240" s="1">
        <v>6</v>
      </c>
      <c r="Y240" s="7">
        <v>418.98</v>
      </c>
      <c r="Z240" s="7">
        <f t="shared" ref="Z240:AA240" si="243">W240*X240</f>
        <v>2518.08</v>
      </c>
      <c r="AA240" s="7">
        <f t="shared" si="243"/>
        <v>2513.88</v>
      </c>
      <c r="AB240" s="7">
        <f t="shared" si="5"/>
        <v>4.1999999999998181</v>
      </c>
    </row>
    <row r="241" spans="1:28">
      <c r="A241" s="1">
        <v>240</v>
      </c>
      <c r="B241" s="1" t="s">
        <v>753</v>
      </c>
      <c r="C241" s="2">
        <v>42831</v>
      </c>
      <c r="D241" s="6" t="str">
        <f t="shared" si="0"/>
        <v>Apr</v>
      </c>
      <c r="E241" s="6" t="str">
        <f t="shared" si="1"/>
        <v>Qtr 2</v>
      </c>
      <c r="F241" s="5">
        <v>42984</v>
      </c>
      <c r="G241" s="1" t="s">
        <v>26</v>
      </c>
      <c r="H241" s="1" t="s">
        <v>754</v>
      </c>
      <c r="I241" s="1" t="s">
        <v>755</v>
      </c>
      <c r="J241" s="1" t="str">
        <f ca="1">IFERROR(__xludf.DUMMYFUNCTION("split(I241,"" "")"),"Ken")</f>
        <v>Ken</v>
      </c>
      <c r="K241" s="1" t="str">
        <f ca="1">IFERROR(__xludf.DUMMYFUNCTION("""COMPUTED_VALUE"""),"Lonsdale")</f>
        <v>Lonsdale</v>
      </c>
      <c r="L241" s="1"/>
      <c r="M241" s="1" t="s">
        <v>29</v>
      </c>
      <c r="N241" s="1" t="s">
        <v>30</v>
      </c>
      <c r="O241" s="1" t="s">
        <v>259</v>
      </c>
      <c r="P241" s="1" t="str">
        <f t="shared" si="2"/>
        <v>Chicago</v>
      </c>
      <c r="Q241" s="1" t="s">
        <v>182</v>
      </c>
      <c r="R241" s="1" t="str">
        <f t="shared" si="3"/>
        <v>Illinois</v>
      </c>
      <c r="S241" s="1">
        <v>60610</v>
      </c>
      <c r="T241" s="1" t="s">
        <v>90</v>
      </c>
      <c r="U241" s="1" t="s">
        <v>758</v>
      </c>
      <c r="V241" s="1" t="s">
        <v>35</v>
      </c>
      <c r="W241" s="7">
        <v>11.688000000000001</v>
      </c>
      <c r="X241" s="1">
        <v>6</v>
      </c>
      <c r="Y241" s="7">
        <v>10.99</v>
      </c>
      <c r="Z241" s="7">
        <f t="shared" ref="Z241:AA241" si="244">W241*X241</f>
        <v>70.128</v>
      </c>
      <c r="AA241" s="7">
        <f t="shared" si="244"/>
        <v>65.94</v>
      </c>
      <c r="AB241" s="7">
        <f t="shared" si="5"/>
        <v>4.1880000000000024</v>
      </c>
    </row>
    <row r="242" spans="1:28">
      <c r="A242" s="1">
        <v>241</v>
      </c>
      <c r="B242" s="1" t="s">
        <v>753</v>
      </c>
      <c r="C242" s="2">
        <v>42831</v>
      </c>
      <c r="D242" s="6" t="str">
        <f t="shared" si="0"/>
        <v>Apr</v>
      </c>
      <c r="E242" s="6" t="str">
        <f t="shared" si="1"/>
        <v>Qtr 2</v>
      </c>
      <c r="F242" s="5">
        <v>42984</v>
      </c>
      <c r="G242" s="1" t="s">
        <v>26</v>
      </c>
      <c r="H242" s="1" t="s">
        <v>754</v>
      </c>
      <c r="I242" s="1" t="s">
        <v>755</v>
      </c>
      <c r="J242" s="1" t="str">
        <f ca="1">IFERROR(__xludf.DUMMYFUNCTION("split(I242,"" "")"),"Ken")</f>
        <v>Ken</v>
      </c>
      <c r="K242" s="1" t="str">
        <f ca="1">IFERROR(__xludf.DUMMYFUNCTION("""COMPUTED_VALUE"""),"Lonsdale")</f>
        <v>Lonsdale</v>
      </c>
      <c r="L242" s="1"/>
      <c r="M242" s="1" t="s">
        <v>29</v>
      </c>
      <c r="N242" s="1" t="s">
        <v>30</v>
      </c>
      <c r="O242" s="1" t="s">
        <v>259</v>
      </c>
      <c r="P242" s="1" t="str">
        <f t="shared" si="2"/>
        <v>Chicago</v>
      </c>
      <c r="Q242" s="1" t="s">
        <v>182</v>
      </c>
      <c r="R242" s="1" t="str">
        <f t="shared" si="3"/>
        <v>Illinois</v>
      </c>
      <c r="S242" s="1">
        <v>60610</v>
      </c>
      <c r="T242" s="1" t="s">
        <v>90</v>
      </c>
      <c r="U242" s="1" t="s">
        <v>759</v>
      </c>
      <c r="V242" s="1" t="s">
        <v>64</v>
      </c>
      <c r="W242" s="7">
        <v>31.984000000000002</v>
      </c>
      <c r="X242" s="1">
        <v>6</v>
      </c>
      <c r="Y242" s="7">
        <v>31.54</v>
      </c>
      <c r="Z242" s="7">
        <f t="shared" ref="Z242:AA242" si="245">W242*X242</f>
        <v>191.904</v>
      </c>
      <c r="AA242" s="7">
        <f t="shared" si="245"/>
        <v>189.24</v>
      </c>
      <c r="AB242" s="7">
        <f t="shared" si="5"/>
        <v>2.6639999999999873</v>
      </c>
    </row>
    <row r="243" spans="1:28">
      <c r="A243" s="1">
        <v>242</v>
      </c>
      <c r="B243" s="1" t="s">
        <v>753</v>
      </c>
      <c r="C243" s="2">
        <v>42831</v>
      </c>
      <c r="D243" s="6" t="str">
        <f t="shared" si="0"/>
        <v>Apr</v>
      </c>
      <c r="E243" s="6" t="str">
        <f t="shared" si="1"/>
        <v>Qtr 2</v>
      </c>
      <c r="F243" s="5">
        <v>42984</v>
      </c>
      <c r="G243" s="1" t="s">
        <v>26</v>
      </c>
      <c r="H243" s="1" t="s">
        <v>754</v>
      </c>
      <c r="I243" s="1" t="s">
        <v>755</v>
      </c>
      <c r="J243" s="1" t="str">
        <f ca="1">IFERROR(__xludf.DUMMYFUNCTION("split(I243,"" "")"),"Ken")</f>
        <v>Ken</v>
      </c>
      <c r="K243" s="1" t="str">
        <f ca="1">IFERROR(__xludf.DUMMYFUNCTION("""COMPUTED_VALUE"""),"Lonsdale")</f>
        <v>Lonsdale</v>
      </c>
      <c r="L243" s="1"/>
      <c r="M243" s="1" t="s">
        <v>29</v>
      </c>
      <c r="N243" s="1" t="s">
        <v>30</v>
      </c>
      <c r="O243" s="1" t="s">
        <v>259</v>
      </c>
      <c r="P243" s="1" t="str">
        <f t="shared" si="2"/>
        <v>Chicago</v>
      </c>
      <c r="Q243" s="1" t="s">
        <v>182</v>
      </c>
      <c r="R243" s="1" t="str">
        <f t="shared" si="3"/>
        <v>Illinois</v>
      </c>
      <c r="S243" s="1">
        <v>60610</v>
      </c>
      <c r="T243" s="1" t="s">
        <v>90</v>
      </c>
      <c r="U243" s="1" t="s">
        <v>760</v>
      </c>
      <c r="V243" s="1" t="s">
        <v>35</v>
      </c>
      <c r="W243" s="7">
        <v>177.22499999999999</v>
      </c>
      <c r="X243" s="1">
        <v>6</v>
      </c>
      <c r="Y243" s="7">
        <v>177.17</v>
      </c>
      <c r="Z243" s="7">
        <f t="shared" ref="Z243:AA243" si="246">W243*X243</f>
        <v>1063.3499999999999</v>
      </c>
      <c r="AA243" s="7">
        <f t="shared" si="246"/>
        <v>1063.02</v>
      </c>
      <c r="AB243" s="7">
        <f t="shared" si="5"/>
        <v>0.32999999999992724</v>
      </c>
    </row>
    <row r="244" spans="1:28">
      <c r="A244" s="1">
        <v>243</v>
      </c>
      <c r="B244" s="1" t="s">
        <v>753</v>
      </c>
      <c r="C244" s="2">
        <v>42831</v>
      </c>
      <c r="D244" s="6" t="str">
        <f t="shared" si="0"/>
        <v>Apr</v>
      </c>
      <c r="E244" s="6" t="str">
        <f t="shared" si="1"/>
        <v>Qtr 2</v>
      </c>
      <c r="F244" s="5">
        <v>42984</v>
      </c>
      <c r="G244" s="1" t="s">
        <v>26</v>
      </c>
      <c r="H244" s="1" t="s">
        <v>754</v>
      </c>
      <c r="I244" s="1" t="s">
        <v>755</v>
      </c>
      <c r="J244" s="1" t="str">
        <f ca="1">IFERROR(__xludf.DUMMYFUNCTION("split(I244,"" "")"),"Ken")</f>
        <v>Ken</v>
      </c>
      <c r="K244" s="1" t="str">
        <f ca="1">IFERROR(__xludf.DUMMYFUNCTION("""COMPUTED_VALUE"""),"Lonsdale")</f>
        <v>Lonsdale</v>
      </c>
      <c r="L244" s="1"/>
      <c r="M244" s="1" t="s">
        <v>29</v>
      </c>
      <c r="N244" s="1" t="s">
        <v>30</v>
      </c>
      <c r="O244" s="1" t="s">
        <v>259</v>
      </c>
      <c r="P244" s="1" t="str">
        <f t="shared" si="2"/>
        <v>Chicago</v>
      </c>
      <c r="Q244" s="1" t="s">
        <v>182</v>
      </c>
      <c r="R244" s="1" t="str">
        <f t="shared" si="3"/>
        <v>Illinois</v>
      </c>
      <c r="S244" s="1">
        <v>60610</v>
      </c>
      <c r="T244" s="1" t="s">
        <v>90</v>
      </c>
      <c r="U244" s="1" t="s">
        <v>761</v>
      </c>
      <c r="V244" s="1" t="s">
        <v>35</v>
      </c>
      <c r="W244" s="7">
        <v>4.0439999999999996</v>
      </c>
      <c r="X244" s="1">
        <v>6</v>
      </c>
      <c r="Y244" s="7">
        <v>3.17</v>
      </c>
      <c r="Z244" s="7">
        <f t="shared" ref="Z244:AA244" si="247">W244*X244</f>
        <v>24.263999999999996</v>
      </c>
      <c r="AA244" s="7">
        <f t="shared" si="247"/>
        <v>19.02</v>
      </c>
      <c r="AB244" s="7">
        <f t="shared" si="5"/>
        <v>5.2439999999999962</v>
      </c>
    </row>
    <row r="245" spans="1:28">
      <c r="A245" s="1">
        <v>244</v>
      </c>
      <c r="B245" s="1" t="s">
        <v>753</v>
      </c>
      <c r="C245" s="2">
        <v>42831</v>
      </c>
      <c r="D245" s="6" t="str">
        <f t="shared" si="0"/>
        <v>Apr</v>
      </c>
      <c r="E245" s="6" t="str">
        <f t="shared" si="1"/>
        <v>Qtr 2</v>
      </c>
      <c r="F245" s="5">
        <v>42984</v>
      </c>
      <c r="G245" s="1" t="s">
        <v>26</v>
      </c>
      <c r="H245" s="1" t="s">
        <v>754</v>
      </c>
      <c r="I245" s="1" t="s">
        <v>755</v>
      </c>
      <c r="J245" s="1" t="str">
        <f ca="1">IFERROR(__xludf.DUMMYFUNCTION("split(I245,"" "")"),"Ken")</f>
        <v>Ken</v>
      </c>
      <c r="K245" s="1" t="str">
        <f ca="1">IFERROR(__xludf.DUMMYFUNCTION("""COMPUTED_VALUE"""),"Lonsdale")</f>
        <v>Lonsdale</v>
      </c>
      <c r="L245" s="1"/>
      <c r="M245" s="1" t="s">
        <v>29</v>
      </c>
      <c r="N245" s="1" t="s">
        <v>30</v>
      </c>
      <c r="O245" s="1" t="s">
        <v>259</v>
      </c>
      <c r="P245" s="1" t="str">
        <f t="shared" si="2"/>
        <v>Chicago</v>
      </c>
      <c r="Q245" s="1" t="s">
        <v>182</v>
      </c>
      <c r="R245" s="1" t="str">
        <f t="shared" si="3"/>
        <v>Illinois</v>
      </c>
      <c r="S245" s="1">
        <v>60610</v>
      </c>
      <c r="T245" s="1" t="s">
        <v>90</v>
      </c>
      <c r="U245" s="1" t="s">
        <v>646</v>
      </c>
      <c r="V245" s="1" t="s">
        <v>46</v>
      </c>
      <c r="W245" s="7">
        <v>7.4080000000000004</v>
      </c>
      <c r="X245" s="1">
        <v>6</v>
      </c>
      <c r="Y245" s="7">
        <v>6.77</v>
      </c>
      <c r="Z245" s="7">
        <f t="shared" ref="Z245:AA245" si="248">W245*X245</f>
        <v>44.448</v>
      </c>
      <c r="AA245" s="7">
        <f t="shared" si="248"/>
        <v>40.619999999999997</v>
      </c>
      <c r="AB245" s="7">
        <f t="shared" si="5"/>
        <v>3.828000000000003</v>
      </c>
    </row>
    <row r="246" spans="1:28">
      <c r="A246" s="1">
        <v>245</v>
      </c>
      <c r="B246" s="1" t="s">
        <v>762</v>
      </c>
      <c r="C246" s="2">
        <v>42010</v>
      </c>
      <c r="D246" s="6" t="str">
        <f t="shared" si="0"/>
        <v>Jan</v>
      </c>
      <c r="E246" s="6" t="str">
        <f t="shared" si="1"/>
        <v>Qtr 1</v>
      </c>
      <c r="F246" s="5">
        <v>42161</v>
      </c>
      <c r="G246" s="1" t="s">
        <v>26</v>
      </c>
      <c r="H246" s="1" t="s">
        <v>763</v>
      </c>
      <c r="I246" s="1" t="s">
        <v>764</v>
      </c>
      <c r="J246" s="1" t="str">
        <f ca="1">IFERROR(__xludf.DUMMYFUNCTION("split(I246,"" "")"),"Dianna")</f>
        <v>Dianna</v>
      </c>
      <c r="K246" s="1" t="str">
        <f ca="1">IFERROR(__xludf.DUMMYFUNCTION("""COMPUTED_VALUE"""),"Wilson")</f>
        <v>Wilson</v>
      </c>
      <c r="L246" s="1"/>
      <c r="M246" s="1" t="s">
        <v>87</v>
      </c>
      <c r="N246" s="1" t="s">
        <v>30</v>
      </c>
      <c r="O246" s="1" t="s">
        <v>765</v>
      </c>
      <c r="P246" s="1" t="str">
        <f t="shared" si="2"/>
        <v>Lakeville</v>
      </c>
      <c r="Q246" s="1" t="s">
        <v>201</v>
      </c>
      <c r="R246" s="1" t="str">
        <f t="shared" si="3"/>
        <v>Minnesota</v>
      </c>
      <c r="S246" s="1">
        <v>55044</v>
      </c>
      <c r="T246" s="1" t="s">
        <v>90</v>
      </c>
      <c r="U246" s="1" t="s">
        <v>447</v>
      </c>
      <c r="V246" s="1" t="s">
        <v>35</v>
      </c>
      <c r="W246" s="7">
        <v>2001.86</v>
      </c>
      <c r="X246" s="1">
        <v>5</v>
      </c>
      <c r="Y246" s="7">
        <v>2001.35</v>
      </c>
      <c r="Z246" s="7">
        <f t="shared" ref="Z246:AA246" si="249">W246*X246</f>
        <v>10009.299999999999</v>
      </c>
      <c r="AA246" s="7">
        <f t="shared" si="249"/>
        <v>10006.75</v>
      </c>
      <c r="AB246" s="7">
        <f t="shared" si="5"/>
        <v>2.5499999999992724</v>
      </c>
    </row>
    <row r="247" spans="1:28">
      <c r="A247" s="1">
        <v>246</v>
      </c>
      <c r="B247" s="1" t="s">
        <v>762</v>
      </c>
      <c r="C247" s="2">
        <v>42010</v>
      </c>
      <c r="D247" s="6" t="str">
        <f t="shared" si="0"/>
        <v>Jan</v>
      </c>
      <c r="E247" s="6" t="str">
        <f t="shared" si="1"/>
        <v>Qtr 1</v>
      </c>
      <c r="F247" s="5">
        <v>42161</v>
      </c>
      <c r="G247" s="1" t="s">
        <v>26</v>
      </c>
      <c r="H247" s="1" t="s">
        <v>763</v>
      </c>
      <c r="I247" s="1" t="s">
        <v>764</v>
      </c>
      <c r="J247" s="1" t="str">
        <f ca="1">IFERROR(__xludf.DUMMYFUNCTION("split(I247,"" "")"),"Dianna")</f>
        <v>Dianna</v>
      </c>
      <c r="K247" s="1" t="str">
        <f ca="1">IFERROR(__xludf.DUMMYFUNCTION("""COMPUTED_VALUE"""),"Wilson")</f>
        <v>Wilson</v>
      </c>
      <c r="L247" s="1"/>
      <c r="M247" s="1" t="s">
        <v>87</v>
      </c>
      <c r="N247" s="1" t="s">
        <v>30</v>
      </c>
      <c r="O247" s="1" t="s">
        <v>765</v>
      </c>
      <c r="P247" s="1" t="str">
        <f t="shared" si="2"/>
        <v>Lakeville</v>
      </c>
      <c r="Q247" s="1" t="s">
        <v>201</v>
      </c>
      <c r="R247" s="1" t="str">
        <f t="shared" si="3"/>
        <v>Minnesota</v>
      </c>
      <c r="S247" s="1">
        <v>55044</v>
      </c>
      <c r="T247" s="1" t="s">
        <v>90</v>
      </c>
      <c r="U247" s="1" t="s">
        <v>766</v>
      </c>
      <c r="V247" s="1" t="s">
        <v>46</v>
      </c>
      <c r="W247" s="7">
        <v>166.72</v>
      </c>
      <c r="X247" s="1">
        <v>5</v>
      </c>
      <c r="Y247" s="7">
        <v>166.12</v>
      </c>
      <c r="Z247" s="7">
        <f t="shared" ref="Z247:AA247" si="250">W247*X247</f>
        <v>833.6</v>
      </c>
      <c r="AA247" s="7">
        <f t="shared" si="250"/>
        <v>830.6</v>
      </c>
      <c r="AB247" s="7">
        <f t="shared" si="5"/>
        <v>3</v>
      </c>
    </row>
    <row r="248" spans="1:28">
      <c r="A248" s="1">
        <v>247</v>
      </c>
      <c r="B248" s="1" t="s">
        <v>762</v>
      </c>
      <c r="C248" s="2">
        <v>42010</v>
      </c>
      <c r="D248" s="6" t="str">
        <f t="shared" si="0"/>
        <v>Jan</v>
      </c>
      <c r="E248" s="6" t="str">
        <f t="shared" si="1"/>
        <v>Qtr 1</v>
      </c>
      <c r="F248" s="5">
        <v>42161</v>
      </c>
      <c r="G248" s="1" t="s">
        <v>26</v>
      </c>
      <c r="H248" s="1" t="s">
        <v>763</v>
      </c>
      <c r="I248" s="1" t="s">
        <v>764</v>
      </c>
      <c r="J248" s="1" t="str">
        <f ca="1">IFERROR(__xludf.DUMMYFUNCTION("split(I248,"" "")"),"Dianna")</f>
        <v>Dianna</v>
      </c>
      <c r="K248" s="1" t="str">
        <f ca="1">IFERROR(__xludf.DUMMYFUNCTION("""COMPUTED_VALUE"""),"Wilson")</f>
        <v>Wilson</v>
      </c>
      <c r="L248" s="1"/>
      <c r="M248" s="1" t="s">
        <v>87</v>
      </c>
      <c r="N248" s="1" t="s">
        <v>30</v>
      </c>
      <c r="O248" s="1" t="s">
        <v>765</v>
      </c>
      <c r="P248" s="1" t="str">
        <f t="shared" si="2"/>
        <v>Lakeville</v>
      </c>
      <c r="Q248" s="1" t="s">
        <v>201</v>
      </c>
      <c r="R248" s="1" t="str">
        <f t="shared" si="3"/>
        <v>Minnesota</v>
      </c>
      <c r="S248" s="1">
        <v>55044</v>
      </c>
      <c r="T248" s="1" t="s">
        <v>90</v>
      </c>
      <c r="U248" s="1" t="s">
        <v>767</v>
      </c>
      <c r="V248" s="1" t="s">
        <v>46</v>
      </c>
      <c r="W248" s="7">
        <v>47.88</v>
      </c>
      <c r="X248" s="1">
        <v>5</v>
      </c>
      <c r="Y248" s="7">
        <v>47.37</v>
      </c>
      <c r="Z248" s="7">
        <f t="shared" ref="Z248:AA248" si="251">W248*X248</f>
        <v>239.4</v>
      </c>
      <c r="AA248" s="7">
        <f t="shared" si="251"/>
        <v>236.85</v>
      </c>
      <c r="AB248" s="7">
        <f t="shared" si="5"/>
        <v>2.5500000000000114</v>
      </c>
    </row>
    <row r="249" spans="1:28">
      <c r="A249" s="1">
        <v>248</v>
      </c>
      <c r="B249" s="1" t="s">
        <v>762</v>
      </c>
      <c r="C249" s="2">
        <v>42010</v>
      </c>
      <c r="D249" s="6" t="str">
        <f t="shared" si="0"/>
        <v>Jan</v>
      </c>
      <c r="E249" s="6" t="str">
        <f t="shared" si="1"/>
        <v>Qtr 1</v>
      </c>
      <c r="F249" s="5">
        <v>42161</v>
      </c>
      <c r="G249" s="1" t="s">
        <v>26</v>
      </c>
      <c r="H249" s="1" t="s">
        <v>763</v>
      </c>
      <c r="I249" s="1" t="s">
        <v>764</v>
      </c>
      <c r="J249" s="1" t="str">
        <f ca="1">IFERROR(__xludf.DUMMYFUNCTION("split(I249,"" "")"),"Dianna")</f>
        <v>Dianna</v>
      </c>
      <c r="K249" s="1" t="str">
        <f ca="1">IFERROR(__xludf.DUMMYFUNCTION("""COMPUTED_VALUE"""),"Wilson")</f>
        <v>Wilson</v>
      </c>
      <c r="L249" s="1"/>
      <c r="M249" s="1" t="s">
        <v>87</v>
      </c>
      <c r="N249" s="1" t="s">
        <v>30</v>
      </c>
      <c r="O249" s="1" t="s">
        <v>765</v>
      </c>
      <c r="P249" s="1" t="str">
        <f t="shared" si="2"/>
        <v>Lakeville</v>
      </c>
      <c r="Q249" s="1" t="s">
        <v>201</v>
      </c>
      <c r="R249" s="1" t="str">
        <f t="shared" si="3"/>
        <v>Minnesota</v>
      </c>
      <c r="S249" s="1">
        <v>55044</v>
      </c>
      <c r="T249" s="1" t="s">
        <v>90</v>
      </c>
      <c r="U249" s="1" t="s">
        <v>768</v>
      </c>
      <c r="V249" s="1" t="s">
        <v>46</v>
      </c>
      <c r="W249" s="7">
        <v>1503.25</v>
      </c>
      <c r="X249" s="1">
        <v>5</v>
      </c>
      <c r="Y249" s="7">
        <v>1502.81</v>
      </c>
      <c r="Z249" s="7">
        <f t="shared" ref="Z249:AA249" si="252">W249*X249</f>
        <v>7516.25</v>
      </c>
      <c r="AA249" s="7">
        <f t="shared" si="252"/>
        <v>7514.0499999999993</v>
      </c>
      <c r="AB249" s="7">
        <f t="shared" si="5"/>
        <v>2.2000000000007276</v>
      </c>
    </row>
    <row r="250" spans="1:28">
      <c r="A250" s="1">
        <v>249</v>
      </c>
      <c r="B250" s="1" t="s">
        <v>762</v>
      </c>
      <c r="C250" s="2">
        <v>42010</v>
      </c>
      <c r="D250" s="6" t="str">
        <f t="shared" si="0"/>
        <v>Jan</v>
      </c>
      <c r="E250" s="6" t="str">
        <f t="shared" si="1"/>
        <v>Qtr 1</v>
      </c>
      <c r="F250" s="5">
        <v>42161</v>
      </c>
      <c r="G250" s="1" t="s">
        <v>26</v>
      </c>
      <c r="H250" s="1" t="s">
        <v>763</v>
      </c>
      <c r="I250" s="1" t="s">
        <v>764</v>
      </c>
      <c r="J250" s="1" t="str">
        <f ca="1">IFERROR(__xludf.DUMMYFUNCTION("split(I250,"" "")"),"Dianna")</f>
        <v>Dianna</v>
      </c>
      <c r="K250" s="1" t="str">
        <f ca="1">IFERROR(__xludf.DUMMYFUNCTION("""COMPUTED_VALUE"""),"Wilson")</f>
        <v>Wilson</v>
      </c>
      <c r="L250" s="1"/>
      <c r="M250" s="1" t="s">
        <v>87</v>
      </c>
      <c r="N250" s="1" t="s">
        <v>30</v>
      </c>
      <c r="O250" s="1" t="s">
        <v>765</v>
      </c>
      <c r="P250" s="1" t="str">
        <f t="shared" si="2"/>
        <v>Lakeville</v>
      </c>
      <c r="Q250" s="1" t="s">
        <v>201</v>
      </c>
      <c r="R250" s="1" t="str">
        <f t="shared" si="3"/>
        <v>Minnesota</v>
      </c>
      <c r="S250" s="1">
        <v>55044</v>
      </c>
      <c r="T250" s="1" t="s">
        <v>90</v>
      </c>
      <c r="U250" s="1" t="s">
        <v>635</v>
      </c>
      <c r="V250" s="1" t="s">
        <v>46</v>
      </c>
      <c r="W250" s="7">
        <v>25.92</v>
      </c>
      <c r="X250" s="1">
        <v>5</v>
      </c>
      <c r="Y250" s="7">
        <v>25.76</v>
      </c>
      <c r="Z250" s="7">
        <f t="shared" ref="Z250:AA250" si="253">W250*X250</f>
        <v>129.60000000000002</v>
      </c>
      <c r="AA250" s="7">
        <f t="shared" si="253"/>
        <v>128.80000000000001</v>
      </c>
      <c r="AB250" s="7">
        <f t="shared" si="5"/>
        <v>0.80000000000001137</v>
      </c>
    </row>
    <row r="251" spans="1:28">
      <c r="A251" s="1">
        <v>250</v>
      </c>
      <c r="B251" s="1" t="s">
        <v>769</v>
      </c>
      <c r="C251" s="2">
        <v>43020</v>
      </c>
      <c r="D251" s="6" t="str">
        <f t="shared" si="0"/>
        <v>Oct</v>
      </c>
      <c r="E251" s="6" t="str">
        <f t="shared" si="1"/>
        <v>Qtr 4</v>
      </c>
      <c r="F251" s="5" t="s">
        <v>770</v>
      </c>
      <c r="G251" s="1" t="s">
        <v>26</v>
      </c>
      <c r="H251" s="1" t="s">
        <v>771</v>
      </c>
      <c r="I251" s="1" t="s">
        <v>772</v>
      </c>
      <c r="J251" s="1" t="str">
        <f ca="1">IFERROR(__xludf.DUMMYFUNCTION("split(I251,"" "")"),"Logan")</f>
        <v>Logan</v>
      </c>
      <c r="K251" s="1" t="str">
        <f ca="1">IFERROR(__xludf.DUMMYFUNCTION("""COMPUTED_VALUE"""),"Haushalter")</f>
        <v>Haushalter</v>
      </c>
      <c r="L251" s="1"/>
      <c r="M251" s="1" t="s">
        <v>29</v>
      </c>
      <c r="N251" s="1" t="s">
        <v>30</v>
      </c>
      <c r="O251" s="1" t="s">
        <v>110</v>
      </c>
      <c r="P251" s="1" t="str">
        <f t="shared" si="2"/>
        <v>San Francisco</v>
      </c>
      <c r="Q251" s="1" t="s">
        <v>68</v>
      </c>
      <c r="R251" s="1" t="str">
        <f t="shared" si="3"/>
        <v>California</v>
      </c>
      <c r="S251" s="1">
        <v>94109</v>
      </c>
      <c r="T251" s="1" t="s">
        <v>44</v>
      </c>
      <c r="U251" s="1" t="s">
        <v>773</v>
      </c>
      <c r="V251" s="1" t="s">
        <v>35</v>
      </c>
      <c r="W251" s="7">
        <v>321.56799999999998</v>
      </c>
      <c r="X251" s="1">
        <v>9</v>
      </c>
      <c r="Y251" s="7">
        <v>320.85000000000002</v>
      </c>
      <c r="Z251" s="7">
        <f t="shared" ref="Z251:AA251" si="254">W251*X251</f>
        <v>2894.1120000000001</v>
      </c>
      <c r="AA251" s="7">
        <f t="shared" si="254"/>
        <v>2887.65</v>
      </c>
      <c r="AB251" s="7">
        <f t="shared" si="5"/>
        <v>6.4619999999999891</v>
      </c>
    </row>
    <row r="252" spans="1:28">
      <c r="A252" s="1">
        <v>251</v>
      </c>
      <c r="B252" s="1" t="s">
        <v>774</v>
      </c>
      <c r="C252" s="2">
        <v>43048</v>
      </c>
      <c r="D252" s="6" t="str">
        <f t="shared" si="0"/>
        <v>Nov</v>
      </c>
      <c r="E252" s="6" t="str">
        <f t="shared" si="1"/>
        <v>Qtr 4</v>
      </c>
      <c r="F252" s="5" t="s">
        <v>775</v>
      </c>
      <c r="G252" s="1" t="s">
        <v>49</v>
      </c>
      <c r="H252" s="1" t="s">
        <v>776</v>
      </c>
      <c r="I252" s="1" t="s">
        <v>777</v>
      </c>
      <c r="J252" s="1" t="str">
        <f ca="1">IFERROR(__xludf.DUMMYFUNCTION("split(I252,"" "")"),"Kelly")</f>
        <v>Kelly</v>
      </c>
      <c r="K252" s="1" t="str">
        <f ca="1">IFERROR(__xludf.DUMMYFUNCTION("""COMPUTED_VALUE"""),"Collister")</f>
        <v>Collister</v>
      </c>
      <c r="L252" s="1"/>
      <c r="M252" s="1" t="s">
        <v>29</v>
      </c>
      <c r="N252" s="1" t="s">
        <v>30</v>
      </c>
      <c r="O252" s="1" t="s">
        <v>778</v>
      </c>
      <c r="P252" s="1" t="str">
        <f t="shared" si="2"/>
        <v>San Diego</v>
      </c>
      <c r="Q252" s="1" t="s">
        <v>68</v>
      </c>
      <c r="R252" s="1" t="str">
        <f t="shared" si="3"/>
        <v>California</v>
      </c>
      <c r="S252" s="1">
        <v>92037</v>
      </c>
      <c r="T252" s="1" t="s">
        <v>44</v>
      </c>
      <c r="U252" s="1" t="s">
        <v>779</v>
      </c>
      <c r="V252" s="1" t="s">
        <v>46</v>
      </c>
      <c r="W252" s="7">
        <v>7.61</v>
      </c>
      <c r="X252" s="1">
        <v>9</v>
      </c>
      <c r="Y252" s="7">
        <v>7.3</v>
      </c>
      <c r="Z252" s="7">
        <f t="shared" ref="Z252:AA252" si="255">W252*X252</f>
        <v>68.490000000000009</v>
      </c>
      <c r="AA252" s="7">
        <f t="shared" si="255"/>
        <v>65.7</v>
      </c>
      <c r="AB252" s="7">
        <f t="shared" si="5"/>
        <v>2.7900000000000063</v>
      </c>
    </row>
    <row r="253" spans="1:28">
      <c r="A253" s="1">
        <v>252</v>
      </c>
      <c r="B253" s="1" t="s">
        <v>774</v>
      </c>
      <c r="C253" s="2">
        <v>43048</v>
      </c>
      <c r="D253" s="6" t="str">
        <f t="shared" si="0"/>
        <v>Nov</v>
      </c>
      <c r="E253" s="6" t="str">
        <f t="shared" si="1"/>
        <v>Qtr 4</v>
      </c>
      <c r="F253" s="5" t="s">
        <v>775</v>
      </c>
      <c r="G253" s="1" t="s">
        <v>49</v>
      </c>
      <c r="H253" s="1" t="s">
        <v>776</v>
      </c>
      <c r="I253" s="1" t="s">
        <v>777</v>
      </c>
      <c r="J253" s="1" t="str">
        <f ca="1">IFERROR(__xludf.DUMMYFUNCTION("split(I253,"" "")"),"Kelly")</f>
        <v>Kelly</v>
      </c>
      <c r="K253" s="1" t="str">
        <f ca="1">IFERROR(__xludf.DUMMYFUNCTION("""COMPUTED_VALUE"""),"Collister")</f>
        <v>Collister</v>
      </c>
      <c r="L253" s="1"/>
      <c r="M253" s="1" t="s">
        <v>29</v>
      </c>
      <c r="N253" s="1" t="s">
        <v>30</v>
      </c>
      <c r="O253" s="1" t="s">
        <v>778</v>
      </c>
      <c r="P253" s="1" t="str">
        <f t="shared" si="2"/>
        <v>San Diego</v>
      </c>
      <c r="Q253" s="1" t="s">
        <v>68</v>
      </c>
      <c r="R253" s="1" t="str">
        <f t="shared" si="3"/>
        <v>California</v>
      </c>
      <c r="S253" s="1">
        <v>92037</v>
      </c>
      <c r="T253" s="1" t="s">
        <v>44</v>
      </c>
      <c r="U253" s="1" t="s">
        <v>747</v>
      </c>
      <c r="V253" s="1" t="s">
        <v>64</v>
      </c>
      <c r="W253" s="7">
        <v>3347.37</v>
      </c>
      <c r="X253" s="1">
        <v>9</v>
      </c>
      <c r="Y253" s="7">
        <v>3347.33</v>
      </c>
      <c r="Z253" s="7">
        <f t="shared" ref="Z253:AA253" si="256">W253*X253</f>
        <v>30126.329999999998</v>
      </c>
      <c r="AA253" s="7">
        <f t="shared" si="256"/>
        <v>30125.97</v>
      </c>
      <c r="AB253" s="7">
        <f t="shared" si="5"/>
        <v>0.3599999999969441</v>
      </c>
    </row>
    <row r="254" spans="1:28">
      <c r="A254" s="1">
        <v>253</v>
      </c>
      <c r="B254" s="1" t="s">
        <v>780</v>
      </c>
      <c r="C254" s="2">
        <v>43020</v>
      </c>
      <c r="D254" s="6" t="str">
        <f t="shared" si="0"/>
        <v>Oct</v>
      </c>
      <c r="E254" s="6" t="str">
        <f t="shared" si="1"/>
        <v>Qtr 4</v>
      </c>
      <c r="F254" s="5" t="s">
        <v>115</v>
      </c>
      <c r="G254" s="1" t="s">
        <v>162</v>
      </c>
      <c r="H254" s="1" t="s">
        <v>781</v>
      </c>
      <c r="I254" s="1" t="s">
        <v>782</v>
      </c>
      <c r="J254" s="1" t="str">
        <f ca="1">IFERROR(__xludf.DUMMYFUNCTION("split(I254,"" "")"),"Delfina")</f>
        <v>Delfina</v>
      </c>
      <c r="K254" s="1" t="str">
        <f ca="1">IFERROR(__xludf.DUMMYFUNCTION("""COMPUTED_VALUE"""),"Latchford")</f>
        <v>Latchford</v>
      </c>
      <c r="L254" s="1"/>
      <c r="M254" s="1" t="s">
        <v>29</v>
      </c>
      <c r="N254" s="1" t="s">
        <v>30</v>
      </c>
      <c r="O254" s="1" t="s">
        <v>233</v>
      </c>
      <c r="P254" s="1" t="str">
        <f t="shared" si="2"/>
        <v>New York City</v>
      </c>
      <c r="Q254" s="1" t="s">
        <v>234</v>
      </c>
      <c r="R254" s="1" t="str">
        <f t="shared" si="3"/>
        <v>New York</v>
      </c>
      <c r="S254" s="1">
        <v>10024</v>
      </c>
      <c r="T254" s="1" t="s">
        <v>128</v>
      </c>
      <c r="U254" s="1" t="s">
        <v>783</v>
      </c>
      <c r="V254" s="1" t="s">
        <v>46</v>
      </c>
      <c r="W254" s="7">
        <v>80.58</v>
      </c>
      <c r="X254" s="1">
        <v>1</v>
      </c>
      <c r="Y254" s="7">
        <v>79.760000000000005</v>
      </c>
      <c r="Z254" s="7">
        <f t="shared" ref="Z254:AA254" si="257">W254*X254</f>
        <v>80.58</v>
      </c>
      <c r="AA254" s="7">
        <f t="shared" si="257"/>
        <v>79.760000000000005</v>
      </c>
      <c r="AB254" s="7">
        <f t="shared" si="5"/>
        <v>0.81999999999999318</v>
      </c>
    </row>
    <row r="255" spans="1:28">
      <c r="A255" s="1">
        <v>254</v>
      </c>
      <c r="B255" s="1" t="s">
        <v>780</v>
      </c>
      <c r="C255" s="2">
        <v>43020</v>
      </c>
      <c r="D255" s="6" t="str">
        <f t="shared" si="0"/>
        <v>Oct</v>
      </c>
      <c r="E255" s="6" t="str">
        <f t="shared" si="1"/>
        <v>Qtr 4</v>
      </c>
      <c r="F255" s="5" t="s">
        <v>115</v>
      </c>
      <c r="G255" s="1" t="s">
        <v>162</v>
      </c>
      <c r="H255" s="1" t="s">
        <v>781</v>
      </c>
      <c r="I255" s="1" t="s">
        <v>782</v>
      </c>
      <c r="J255" s="1" t="str">
        <f ca="1">IFERROR(__xludf.DUMMYFUNCTION("split(I255,"" "")"),"Delfina")</f>
        <v>Delfina</v>
      </c>
      <c r="K255" s="1" t="str">
        <f ca="1">IFERROR(__xludf.DUMMYFUNCTION("""COMPUTED_VALUE"""),"Latchford")</f>
        <v>Latchford</v>
      </c>
      <c r="L255" s="1"/>
      <c r="M255" s="1" t="s">
        <v>29</v>
      </c>
      <c r="N255" s="1" t="s">
        <v>30</v>
      </c>
      <c r="O255" s="1" t="s">
        <v>233</v>
      </c>
      <c r="P255" s="1" t="str">
        <f t="shared" si="2"/>
        <v>New York City</v>
      </c>
      <c r="Q255" s="1" t="s">
        <v>234</v>
      </c>
      <c r="R255" s="1" t="str">
        <f t="shared" si="3"/>
        <v>New York</v>
      </c>
      <c r="S255" s="1">
        <v>10024</v>
      </c>
      <c r="T255" s="1" t="s">
        <v>128</v>
      </c>
      <c r="U255" s="1" t="s">
        <v>784</v>
      </c>
      <c r="V255" s="1" t="s">
        <v>46</v>
      </c>
      <c r="W255" s="7">
        <v>361.92</v>
      </c>
      <c r="X255" s="1">
        <v>1</v>
      </c>
      <c r="Y255" s="7">
        <v>361.13</v>
      </c>
      <c r="Z255" s="7">
        <f t="shared" ref="Z255:AA255" si="258">W255*X255</f>
        <v>361.92</v>
      </c>
      <c r="AA255" s="7">
        <f t="shared" si="258"/>
        <v>361.13</v>
      </c>
      <c r="AB255" s="7">
        <f t="shared" si="5"/>
        <v>0.79000000000002046</v>
      </c>
    </row>
    <row r="256" spans="1:28">
      <c r="A256" s="1">
        <v>255</v>
      </c>
      <c r="B256" s="1" t="s">
        <v>785</v>
      </c>
      <c r="C256" s="2">
        <v>42702</v>
      </c>
      <c r="D256" s="6" t="str">
        <f t="shared" si="0"/>
        <v>Nov</v>
      </c>
      <c r="E256" s="6" t="str">
        <f t="shared" si="1"/>
        <v>Qtr 4</v>
      </c>
      <c r="F256" s="5">
        <v>42472</v>
      </c>
      <c r="G256" s="1" t="s">
        <v>49</v>
      </c>
      <c r="H256" s="1" t="s">
        <v>786</v>
      </c>
      <c r="I256" s="1" t="s">
        <v>787</v>
      </c>
      <c r="J256" s="1" t="str">
        <f ca="1">IFERROR(__xludf.DUMMYFUNCTION("split(I256,"" "")"),"Dan")</f>
        <v>Dan</v>
      </c>
      <c r="K256" s="1" t="str">
        <f ca="1">IFERROR(__xludf.DUMMYFUNCTION("""COMPUTED_VALUE"""),"Reichenbach")</f>
        <v>Reichenbach</v>
      </c>
      <c r="L256" s="1"/>
      <c r="M256" s="1" t="s">
        <v>41</v>
      </c>
      <c r="N256" s="1" t="s">
        <v>30</v>
      </c>
      <c r="O256" s="1" t="s">
        <v>259</v>
      </c>
      <c r="P256" s="1" t="str">
        <f t="shared" si="2"/>
        <v>Chicago</v>
      </c>
      <c r="Q256" s="1" t="s">
        <v>182</v>
      </c>
      <c r="R256" s="1" t="str">
        <f t="shared" si="3"/>
        <v>Illinois</v>
      </c>
      <c r="S256" s="1">
        <v>60623</v>
      </c>
      <c r="T256" s="1" t="s">
        <v>90</v>
      </c>
      <c r="U256" s="1" t="s">
        <v>761</v>
      </c>
      <c r="V256" s="1" t="s">
        <v>35</v>
      </c>
      <c r="W256" s="7">
        <v>12.132</v>
      </c>
      <c r="X256" s="1">
        <v>6</v>
      </c>
      <c r="Y256" s="7">
        <v>11.56</v>
      </c>
      <c r="Z256" s="7">
        <f t="shared" ref="Z256:AA256" si="259">W256*X256</f>
        <v>72.792000000000002</v>
      </c>
      <c r="AA256" s="7">
        <f t="shared" si="259"/>
        <v>69.36</v>
      </c>
      <c r="AB256" s="7">
        <f t="shared" si="5"/>
        <v>3.4320000000000022</v>
      </c>
    </row>
    <row r="257" spans="1:28">
      <c r="A257" s="1">
        <v>256</v>
      </c>
      <c r="B257" s="1" t="s">
        <v>785</v>
      </c>
      <c r="C257" s="2">
        <v>42702</v>
      </c>
      <c r="D257" s="6" t="str">
        <f t="shared" ref="D257:D511" si="260">TEXT(C257,"MMM")</f>
        <v>Nov</v>
      </c>
      <c r="E257" s="6" t="str">
        <f t="shared" ref="E257:E511" si="261">"Qtr "&amp;INT((MONTH(C257)+2)/3)</f>
        <v>Qtr 4</v>
      </c>
      <c r="F257" s="5">
        <v>42472</v>
      </c>
      <c r="G257" s="1" t="s">
        <v>49</v>
      </c>
      <c r="H257" s="1" t="s">
        <v>786</v>
      </c>
      <c r="I257" s="1" t="s">
        <v>787</v>
      </c>
      <c r="J257" s="1" t="str">
        <f ca="1">IFERROR(__xludf.DUMMYFUNCTION("split(I257,"" "")"),"Dan")</f>
        <v>Dan</v>
      </c>
      <c r="K257" s="1" t="str">
        <f ca="1">IFERROR(__xludf.DUMMYFUNCTION("""COMPUTED_VALUE"""),"Reichenbach")</f>
        <v>Reichenbach</v>
      </c>
      <c r="L257" s="1"/>
      <c r="M257" s="1" t="s">
        <v>41</v>
      </c>
      <c r="N257" s="1" t="s">
        <v>30</v>
      </c>
      <c r="O257" s="1" t="s">
        <v>259</v>
      </c>
      <c r="P257" s="1" t="str">
        <f t="shared" ref="P257:P511" si="262">PROPER(O257)</f>
        <v>Chicago</v>
      </c>
      <c r="Q257" s="1" t="s">
        <v>182</v>
      </c>
      <c r="R257" s="1" t="str">
        <f t="shared" ref="R257:R511" si="263">PROPER(Q257)</f>
        <v>Illinois</v>
      </c>
      <c r="S257" s="1">
        <v>60623</v>
      </c>
      <c r="T257" s="1" t="s">
        <v>90</v>
      </c>
      <c r="U257" s="1" t="s">
        <v>788</v>
      </c>
      <c r="V257" s="1" t="s">
        <v>46</v>
      </c>
      <c r="W257" s="7">
        <v>82.367999999999995</v>
      </c>
      <c r="X257" s="1">
        <v>6</v>
      </c>
      <c r="Y257" s="7">
        <v>81.400000000000006</v>
      </c>
      <c r="Z257" s="7">
        <f t="shared" ref="Z257:AA257" si="264">W257*X257</f>
        <v>494.20799999999997</v>
      </c>
      <c r="AA257" s="7">
        <f t="shared" si="264"/>
        <v>488.40000000000003</v>
      </c>
      <c r="AB257" s="7">
        <f t="shared" ref="AB257:AB511" si="265">Z257-AA257</f>
        <v>5.8079999999999359</v>
      </c>
    </row>
    <row r="258" spans="1:28">
      <c r="A258" s="1">
        <v>257</v>
      </c>
      <c r="B258" s="1" t="s">
        <v>785</v>
      </c>
      <c r="C258" s="2">
        <v>42702</v>
      </c>
      <c r="D258" s="6" t="str">
        <f t="shared" si="260"/>
        <v>Nov</v>
      </c>
      <c r="E258" s="6" t="str">
        <f t="shared" si="261"/>
        <v>Qtr 4</v>
      </c>
      <c r="F258" s="5">
        <v>42472</v>
      </c>
      <c r="G258" s="1" t="s">
        <v>49</v>
      </c>
      <c r="H258" s="1" t="s">
        <v>786</v>
      </c>
      <c r="I258" s="1" t="s">
        <v>787</v>
      </c>
      <c r="J258" s="1" t="str">
        <f ca="1">IFERROR(__xludf.DUMMYFUNCTION("split(I258,"" "")"),"Dan")</f>
        <v>Dan</v>
      </c>
      <c r="K258" s="1" t="str">
        <f ca="1">IFERROR(__xludf.DUMMYFUNCTION("""COMPUTED_VALUE"""),"Reichenbach")</f>
        <v>Reichenbach</v>
      </c>
      <c r="L258" s="1"/>
      <c r="M258" s="1" t="s">
        <v>41</v>
      </c>
      <c r="N258" s="1" t="s">
        <v>30</v>
      </c>
      <c r="O258" s="1" t="s">
        <v>259</v>
      </c>
      <c r="P258" s="1" t="str">
        <f t="shared" si="262"/>
        <v>Chicago</v>
      </c>
      <c r="Q258" s="1" t="s">
        <v>182</v>
      </c>
      <c r="R258" s="1" t="str">
        <f t="shared" si="263"/>
        <v>Illinois</v>
      </c>
      <c r="S258" s="1">
        <v>60623</v>
      </c>
      <c r="T258" s="1" t="s">
        <v>90</v>
      </c>
      <c r="U258" s="1" t="s">
        <v>527</v>
      </c>
      <c r="V258" s="1" t="s">
        <v>46</v>
      </c>
      <c r="W258" s="7">
        <v>53.92</v>
      </c>
      <c r="X258" s="1">
        <v>6</v>
      </c>
      <c r="Y258" s="7">
        <v>53.56</v>
      </c>
      <c r="Z258" s="7">
        <f t="shared" ref="Z258:AA258" si="266">W258*X258</f>
        <v>323.52</v>
      </c>
      <c r="AA258" s="7">
        <f t="shared" si="266"/>
        <v>321.36</v>
      </c>
      <c r="AB258" s="7">
        <f t="shared" si="265"/>
        <v>2.1599999999999682</v>
      </c>
    </row>
    <row r="259" spans="1:28">
      <c r="A259" s="1">
        <v>258</v>
      </c>
      <c r="B259" s="1" t="s">
        <v>785</v>
      </c>
      <c r="C259" s="2">
        <v>42702</v>
      </c>
      <c r="D259" s="6" t="str">
        <f t="shared" si="260"/>
        <v>Nov</v>
      </c>
      <c r="E259" s="6" t="str">
        <f t="shared" si="261"/>
        <v>Qtr 4</v>
      </c>
      <c r="F259" s="5">
        <v>42472</v>
      </c>
      <c r="G259" s="1" t="s">
        <v>49</v>
      </c>
      <c r="H259" s="1" t="s">
        <v>786</v>
      </c>
      <c r="I259" s="1" t="s">
        <v>787</v>
      </c>
      <c r="J259" s="1" t="str">
        <f ca="1">IFERROR(__xludf.DUMMYFUNCTION("split(I259,"" "")"),"Dan")</f>
        <v>Dan</v>
      </c>
      <c r="K259" s="1" t="str">
        <f ca="1">IFERROR(__xludf.DUMMYFUNCTION("""COMPUTED_VALUE"""),"Reichenbach")</f>
        <v>Reichenbach</v>
      </c>
      <c r="L259" s="1"/>
      <c r="M259" s="1" t="s">
        <v>41</v>
      </c>
      <c r="N259" s="1" t="s">
        <v>30</v>
      </c>
      <c r="O259" s="1" t="s">
        <v>259</v>
      </c>
      <c r="P259" s="1" t="str">
        <f t="shared" si="262"/>
        <v>Chicago</v>
      </c>
      <c r="Q259" s="1" t="s">
        <v>182</v>
      </c>
      <c r="R259" s="1" t="str">
        <f t="shared" si="263"/>
        <v>Illinois</v>
      </c>
      <c r="S259" s="1">
        <v>60623</v>
      </c>
      <c r="T259" s="1" t="s">
        <v>90</v>
      </c>
      <c r="U259" s="1" t="s">
        <v>789</v>
      </c>
      <c r="V259" s="1" t="s">
        <v>64</v>
      </c>
      <c r="W259" s="7">
        <v>647.904</v>
      </c>
      <c r="X259" s="1">
        <v>6</v>
      </c>
      <c r="Y259" s="7">
        <v>647.48</v>
      </c>
      <c r="Z259" s="7">
        <f t="shared" ref="Z259:AA259" si="267">W259*X259</f>
        <v>3887.424</v>
      </c>
      <c r="AA259" s="7">
        <f t="shared" si="267"/>
        <v>3884.88</v>
      </c>
      <c r="AB259" s="7">
        <f t="shared" si="265"/>
        <v>2.543999999999869</v>
      </c>
    </row>
    <row r="260" spans="1:28">
      <c r="A260" s="1">
        <v>259</v>
      </c>
      <c r="B260" s="1" t="s">
        <v>790</v>
      </c>
      <c r="C260" s="2">
        <v>43112</v>
      </c>
      <c r="D260" s="6" t="str">
        <f t="shared" si="260"/>
        <v>Jan</v>
      </c>
      <c r="E260" s="6" t="str">
        <f t="shared" si="261"/>
        <v>Qtr 1</v>
      </c>
      <c r="F260" s="5">
        <v>43171</v>
      </c>
      <c r="G260" s="1" t="s">
        <v>26</v>
      </c>
      <c r="H260" s="1" t="s">
        <v>791</v>
      </c>
      <c r="I260" s="1" t="s">
        <v>792</v>
      </c>
      <c r="J260" s="1" t="str">
        <f ca="1">IFERROR(__xludf.DUMMYFUNCTION("split(I260,"" "")"),"Craig")</f>
        <v>Craig</v>
      </c>
      <c r="K260" s="1" t="str">
        <f ca="1">IFERROR(__xludf.DUMMYFUNCTION("""COMPUTED_VALUE"""),"Carreira")</f>
        <v>Carreira</v>
      </c>
      <c r="L260" s="1"/>
      <c r="M260" s="1" t="s">
        <v>29</v>
      </c>
      <c r="N260" s="1" t="s">
        <v>30</v>
      </c>
      <c r="O260" s="1" t="s">
        <v>233</v>
      </c>
      <c r="P260" s="1" t="str">
        <f t="shared" si="262"/>
        <v>New York City</v>
      </c>
      <c r="Q260" s="1" t="s">
        <v>234</v>
      </c>
      <c r="R260" s="1" t="str">
        <f t="shared" si="263"/>
        <v>New York</v>
      </c>
      <c r="S260" s="1">
        <v>10009</v>
      </c>
      <c r="T260" s="1" t="s">
        <v>128</v>
      </c>
      <c r="U260" s="1" t="s">
        <v>793</v>
      </c>
      <c r="V260" s="1" t="s">
        <v>64</v>
      </c>
      <c r="W260" s="7">
        <v>20.37</v>
      </c>
      <c r="X260" s="1">
        <v>1</v>
      </c>
      <c r="Y260" s="7">
        <v>20.03</v>
      </c>
      <c r="Z260" s="7">
        <f t="shared" ref="Z260:AA260" si="268">W260*X260</f>
        <v>20.37</v>
      </c>
      <c r="AA260" s="7">
        <f t="shared" si="268"/>
        <v>20.03</v>
      </c>
      <c r="AB260" s="7">
        <f t="shared" si="265"/>
        <v>0.33999999999999986</v>
      </c>
    </row>
    <row r="261" spans="1:28">
      <c r="A261" s="1">
        <v>260</v>
      </c>
      <c r="B261" s="1" t="s">
        <v>790</v>
      </c>
      <c r="C261" s="2">
        <v>43112</v>
      </c>
      <c r="D261" s="6" t="str">
        <f t="shared" si="260"/>
        <v>Jan</v>
      </c>
      <c r="E261" s="6" t="str">
        <f t="shared" si="261"/>
        <v>Qtr 1</v>
      </c>
      <c r="F261" s="5">
        <v>43171</v>
      </c>
      <c r="G261" s="1" t="s">
        <v>26</v>
      </c>
      <c r="H261" s="1" t="s">
        <v>791</v>
      </c>
      <c r="I261" s="1" t="s">
        <v>792</v>
      </c>
      <c r="J261" s="1" t="str">
        <f ca="1">IFERROR(__xludf.DUMMYFUNCTION("split(I261,"" "")"),"Craig")</f>
        <v>Craig</v>
      </c>
      <c r="K261" s="1" t="str">
        <f ca="1">IFERROR(__xludf.DUMMYFUNCTION("""COMPUTED_VALUE"""),"Carreira")</f>
        <v>Carreira</v>
      </c>
      <c r="L261" s="1"/>
      <c r="M261" s="1" t="s">
        <v>29</v>
      </c>
      <c r="N261" s="1" t="s">
        <v>30</v>
      </c>
      <c r="O261" s="1" t="s">
        <v>233</v>
      </c>
      <c r="P261" s="1" t="str">
        <f t="shared" si="262"/>
        <v>New York City</v>
      </c>
      <c r="Q261" s="1" t="s">
        <v>234</v>
      </c>
      <c r="R261" s="1" t="str">
        <f t="shared" si="263"/>
        <v>New York</v>
      </c>
      <c r="S261" s="1">
        <v>10009</v>
      </c>
      <c r="T261" s="1" t="s">
        <v>128</v>
      </c>
      <c r="U261" s="1" t="s">
        <v>794</v>
      </c>
      <c r="V261" s="1" t="s">
        <v>46</v>
      </c>
      <c r="W261" s="7">
        <v>221.55</v>
      </c>
      <c r="X261" s="1">
        <v>1</v>
      </c>
      <c r="Y261" s="7">
        <v>220.87</v>
      </c>
      <c r="Z261" s="7">
        <f t="shared" ref="Z261:AA261" si="269">W261*X261</f>
        <v>221.55</v>
      </c>
      <c r="AA261" s="7">
        <f t="shared" si="269"/>
        <v>220.87</v>
      </c>
      <c r="AB261" s="7">
        <f t="shared" si="265"/>
        <v>0.68000000000000682</v>
      </c>
    </row>
    <row r="262" spans="1:28">
      <c r="A262" s="1">
        <v>261</v>
      </c>
      <c r="B262" s="1" t="s">
        <v>790</v>
      </c>
      <c r="C262" s="2">
        <v>43112</v>
      </c>
      <c r="D262" s="6" t="str">
        <f t="shared" si="260"/>
        <v>Jan</v>
      </c>
      <c r="E262" s="6" t="str">
        <f t="shared" si="261"/>
        <v>Qtr 1</v>
      </c>
      <c r="F262" s="5">
        <v>43171</v>
      </c>
      <c r="G262" s="1" t="s">
        <v>26</v>
      </c>
      <c r="H262" s="1" t="s">
        <v>791</v>
      </c>
      <c r="I262" s="1" t="s">
        <v>792</v>
      </c>
      <c r="J262" s="1" t="str">
        <f ca="1">IFERROR(__xludf.DUMMYFUNCTION("split(I262,"" "")"),"Craig")</f>
        <v>Craig</v>
      </c>
      <c r="K262" s="1" t="str">
        <f ca="1">IFERROR(__xludf.DUMMYFUNCTION("""COMPUTED_VALUE"""),"Carreira")</f>
        <v>Carreira</v>
      </c>
      <c r="L262" s="1"/>
      <c r="M262" s="1" t="s">
        <v>29</v>
      </c>
      <c r="N262" s="1" t="s">
        <v>30</v>
      </c>
      <c r="O262" s="1" t="s">
        <v>233</v>
      </c>
      <c r="P262" s="1" t="str">
        <f t="shared" si="262"/>
        <v>New York City</v>
      </c>
      <c r="Q262" s="1" t="s">
        <v>234</v>
      </c>
      <c r="R262" s="1" t="str">
        <f t="shared" si="263"/>
        <v>New York</v>
      </c>
      <c r="S262" s="1">
        <v>10009</v>
      </c>
      <c r="T262" s="1" t="s">
        <v>128</v>
      </c>
      <c r="U262" s="1" t="s">
        <v>795</v>
      </c>
      <c r="V262" s="1" t="s">
        <v>46</v>
      </c>
      <c r="W262" s="7">
        <v>17.52</v>
      </c>
      <c r="X262" s="1">
        <v>1</v>
      </c>
      <c r="Y262" s="7">
        <v>16.7</v>
      </c>
      <c r="Z262" s="7">
        <f t="shared" ref="Z262:AA262" si="270">W262*X262</f>
        <v>17.52</v>
      </c>
      <c r="AA262" s="7">
        <f t="shared" si="270"/>
        <v>16.7</v>
      </c>
      <c r="AB262" s="7">
        <f t="shared" si="265"/>
        <v>0.82000000000000028</v>
      </c>
    </row>
    <row r="263" spans="1:28">
      <c r="A263" s="1">
        <v>262</v>
      </c>
      <c r="B263" s="1" t="s">
        <v>796</v>
      </c>
      <c r="C263" s="2">
        <v>43318</v>
      </c>
      <c r="D263" s="6" t="str">
        <f t="shared" si="260"/>
        <v>Aug</v>
      </c>
      <c r="E263" s="6" t="str">
        <f t="shared" si="261"/>
        <v>Qtr 3</v>
      </c>
      <c r="F263" s="5">
        <v>43440</v>
      </c>
      <c r="G263" s="1" t="s">
        <v>49</v>
      </c>
      <c r="H263" s="1" t="s">
        <v>797</v>
      </c>
      <c r="I263" s="1" t="s">
        <v>798</v>
      </c>
      <c r="J263" s="1" t="str">
        <f ca="1">IFERROR(__xludf.DUMMYFUNCTION("split(I263,"" "")"),"Dorris")</f>
        <v>Dorris</v>
      </c>
      <c r="K263" s="1" t="str">
        <f ca="1">IFERROR(__xludf.DUMMYFUNCTION("""COMPUTED_VALUE"""),"liebe")</f>
        <v>liebe</v>
      </c>
      <c r="L263" s="1"/>
      <c r="M263" s="1" t="s">
        <v>41</v>
      </c>
      <c r="N263" s="1" t="s">
        <v>30</v>
      </c>
      <c r="O263" s="1" t="s">
        <v>500</v>
      </c>
      <c r="P263" s="1" t="str">
        <f t="shared" si="262"/>
        <v>Pasadena</v>
      </c>
      <c r="Q263" s="1" t="s">
        <v>89</v>
      </c>
      <c r="R263" s="1" t="str">
        <f t="shared" si="263"/>
        <v>Texas</v>
      </c>
      <c r="S263" s="1">
        <v>77506</v>
      </c>
      <c r="T263" s="1" t="s">
        <v>90</v>
      </c>
      <c r="U263" s="1" t="s">
        <v>799</v>
      </c>
      <c r="V263" s="1" t="s">
        <v>46</v>
      </c>
      <c r="W263" s="7">
        <v>1.6240000000000001</v>
      </c>
      <c r="X263" s="1">
        <v>7</v>
      </c>
      <c r="Y263" s="7">
        <v>0.85</v>
      </c>
      <c r="Z263" s="7">
        <f t="shared" ref="Z263:AA263" si="271">W263*X263</f>
        <v>11.368</v>
      </c>
      <c r="AA263" s="7">
        <f t="shared" si="271"/>
        <v>5.95</v>
      </c>
      <c r="AB263" s="7">
        <f t="shared" si="265"/>
        <v>5.4180000000000001</v>
      </c>
    </row>
    <row r="264" spans="1:28">
      <c r="A264" s="1">
        <v>263</v>
      </c>
      <c r="B264" s="1" t="s">
        <v>800</v>
      </c>
      <c r="C264" s="2">
        <v>42266</v>
      </c>
      <c r="D264" s="6" t="str">
        <f t="shared" si="260"/>
        <v>Sep</v>
      </c>
      <c r="E264" s="6" t="str">
        <f t="shared" si="261"/>
        <v>Qtr 3</v>
      </c>
      <c r="F264" s="5" t="s">
        <v>801</v>
      </c>
      <c r="G264" s="1" t="s">
        <v>26</v>
      </c>
      <c r="H264" s="1" t="s">
        <v>802</v>
      </c>
      <c r="I264" s="1" t="s">
        <v>803</v>
      </c>
      <c r="J264" s="1" t="str">
        <f ca="1">IFERROR(__xludf.DUMMYFUNCTION("split(I264,"" "")"),"Sean")</f>
        <v>Sean</v>
      </c>
      <c r="K264" s="1" t="str">
        <f ca="1">IFERROR(__xludf.DUMMYFUNCTION("""COMPUTED_VALUE"""),"Braxton")</f>
        <v>Braxton</v>
      </c>
      <c r="L264" s="1"/>
      <c r="M264" s="1" t="s">
        <v>41</v>
      </c>
      <c r="N264" s="1" t="s">
        <v>30</v>
      </c>
      <c r="O264" s="1" t="s">
        <v>172</v>
      </c>
      <c r="P264" s="1" t="str">
        <f t="shared" si="262"/>
        <v>Houston</v>
      </c>
      <c r="Q264" s="1" t="s">
        <v>89</v>
      </c>
      <c r="R264" s="1" t="str">
        <f t="shared" si="263"/>
        <v>Texas</v>
      </c>
      <c r="S264" s="1">
        <v>77036</v>
      </c>
      <c r="T264" s="1" t="s">
        <v>90</v>
      </c>
      <c r="U264" s="1" t="s">
        <v>567</v>
      </c>
      <c r="V264" s="1" t="s">
        <v>64</v>
      </c>
      <c r="W264" s="7">
        <v>3059.982</v>
      </c>
      <c r="X264" s="1">
        <v>7</v>
      </c>
      <c r="Y264" s="7">
        <v>3059.67</v>
      </c>
      <c r="Z264" s="7">
        <f t="shared" ref="Z264:AA264" si="272">W264*X264</f>
        <v>21419.874</v>
      </c>
      <c r="AA264" s="7">
        <f t="shared" si="272"/>
        <v>21417.690000000002</v>
      </c>
      <c r="AB264" s="7">
        <f t="shared" si="265"/>
        <v>2.183999999997468</v>
      </c>
    </row>
    <row r="265" spans="1:28">
      <c r="A265" s="1">
        <v>264</v>
      </c>
      <c r="B265" s="1" t="s">
        <v>800</v>
      </c>
      <c r="C265" s="2">
        <v>42266</v>
      </c>
      <c r="D265" s="6" t="str">
        <f t="shared" si="260"/>
        <v>Sep</v>
      </c>
      <c r="E265" s="6" t="str">
        <f t="shared" si="261"/>
        <v>Qtr 3</v>
      </c>
      <c r="F265" s="5" t="s">
        <v>801</v>
      </c>
      <c r="G265" s="1" t="s">
        <v>26</v>
      </c>
      <c r="H265" s="1" t="s">
        <v>802</v>
      </c>
      <c r="I265" s="1" t="s">
        <v>803</v>
      </c>
      <c r="J265" s="1" t="str">
        <f ca="1">IFERROR(__xludf.DUMMYFUNCTION("split(I265,"" "")"),"Sean")</f>
        <v>Sean</v>
      </c>
      <c r="K265" s="1" t="str">
        <f ca="1">IFERROR(__xludf.DUMMYFUNCTION("""COMPUTED_VALUE"""),"Braxton")</f>
        <v>Braxton</v>
      </c>
      <c r="L265" s="1"/>
      <c r="M265" s="1" t="s">
        <v>41</v>
      </c>
      <c r="N265" s="1" t="s">
        <v>30</v>
      </c>
      <c r="O265" s="1" t="s">
        <v>172</v>
      </c>
      <c r="P265" s="1" t="str">
        <f t="shared" si="262"/>
        <v>Houston</v>
      </c>
      <c r="Q265" s="1" t="s">
        <v>89</v>
      </c>
      <c r="R265" s="1" t="str">
        <f t="shared" si="263"/>
        <v>Texas</v>
      </c>
      <c r="S265" s="1">
        <v>77036</v>
      </c>
      <c r="T265" s="1" t="s">
        <v>90</v>
      </c>
      <c r="U265" s="1" t="s">
        <v>804</v>
      </c>
      <c r="V265" s="1" t="s">
        <v>64</v>
      </c>
      <c r="W265" s="7">
        <v>2519.9580000000001</v>
      </c>
      <c r="X265" s="1">
        <v>7</v>
      </c>
      <c r="Y265" s="7">
        <v>2519.7800000000002</v>
      </c>
      <c r="Z265" s="7">
        <f t="shared" ref="Z265:AA265" si="273">W265*X265</f>
        <v>17639.706000000002</v>
      </c>
      <c r="AA265" s="7">
        <f t="shared" si="273"/>
        <v>17638.460000000003</v>
      </c>
      <c r="AB265" s="7">
        <f t="shared" si="265"/>
        <v>1.2459999999991851</v>
      </c>
    </row>
    <row r="266" spans="1:28">
      <c r="A266" s="1">
        <v>265</v>
      </c>
      <c r="B266" s="1" t="s">
        <v>805</v>
      </c>
      <c r="C266" s="2">
        <v>42892</v>
      </c>
      <c r="D266" s="6" t="str">
        <f t="shared" si="260"/>
        <v>Jun</v>
      </c>
      <c r="E266" s="6" t="str">
        <f t="shared" si="261"/>
        <v>Qtr 2</v>
      </c>
      <c r="F266" s="5" t="s">
        <v>806</v>
      </c>
      <c r="G266" s="1" t="s">
        <v>49</v>
      </c>
      <c r="H266" s="1" t="s">
        <v>807</v>
      </c>
      <c r="I266" s="1" t="s">
        <v>808</v>
      </c>
      <c r="J266" s="1" t="str">
        <f ca="1">IFERROR(__xludf.DUMMYFUNCTION("split(I266,"" "")"),"Roy")</f>
        <v>Roy</v>
      </c>
      <c r="K266" s="1" t="str">
        <f ca="1">IFERROR(__xludf.DUMMYFUNCTION("""COMPUTED_VALUE"""),"Collins")</f>
        <v>Collins</v>
      </c>
      <c r="L266" s="1"/>
      <c r="M266" s="1" t="s">
        <v>29</v>
      </c>
      <c r="N266" s="1" t="s">
        <v>30</v>
      </c>
      <c r="O266" s="1" t="s">
        <v>259</v>
      </c>
      <c r="P266" s="1" t="str">
        <f t="shared" si="262"/>
        <v>Chicago</v>
      </c>
      <c r="Q266" s="1" t="s">
        <v>182</v>
      </c>
      <c r="R266" s="1" t="str">
        <f t="shared" si="263"/>
        <v>Illinois</v>
      </c>
      <c r="S266" s="1">
        <v>60610</v>
      </c>
      <c r="T266" s="1" t="s">
        <v>90</v>
      </c>
      <c r="U266" s="1" t="s">
        <v>809</v>
      </c>
      <c r="V266" s="1" t="s">
        <v>64</v>
      </c>
      <c r="W266" s="7">
        <v>328.22399999999999</v>
      </c>
      <c r="X266" s="1">
        <v>6</v>
      </c>
      <c r="Y266" s="7">
        <v>328.16</v>
      </c>
      <c r="Z266" s="7">
        <f t="shared" ref="Z266:AA266" si="274">W266*X266</f>
        <v>1969.3440000000001</v>
      </c>
      <c r="AA266" s="7">
        <f t="shared" si="274"/>
        <v>1968.96</v>
      </c>
      <c r="AB266" s="7">
        <f t="shared" si="265"/>
        <v>0.38400000000001455</v>
      </c>
    </row>
    <row r="267" spans="1:28">
      <c r="A267" s="1">
        <v>266</v>
      </c>
      <c r="B267" s="1" t="s">
        <v>810</v>
      </c>
      <c r="C267" s="2">
        <v>42654</v>
      </c>
      <c r="D267" s="6" t="str">
        <f t="shared" si="260"/>
        <v>Oct</v>
      </c>
      <c r="E267" s="6" t="str">
        <f t="shared" si="261"/>
        <v>Qtr 4</v>
      </c>
      <c r="F267" s="5" t="s">
        <v>811</v>
      </c>
      <c r="G267" s="1" t="s">
        <v>49</v>
      </c>
      <c r="H267" s="1" t="s">
        <v>812</v>
      </c>
      <c r="I267" s="1" t="s">
        <v>813</v>
      </c>
      <c r="J267" s="1" t="str">
        <f ca="1">IFERROR(__xludf.DUMMYFUNCTION("split(I267,"" "")"),"Alan")</f>
        <v>Alan</v>
      </c>
      <c r="K267" s="1" t="str">
        <f ca="1">IFERROR(__xludf.DUMMYFUNCTION("""COMPUTED_VALUE"""),"Hwang")</f>
        <v>Hwang</v>
      </c>
      <c r="L267" s="1"/>
      <c r="M267" s="1" t="s">
        <v>29</v>
      </c>
      <c r="N267" s="1" t="s">
        <v>30</v>
      </c>
      <c r="O267" s="1" t="s">
        <v>814</v>
      </c>
      <c r="P267" s="1" t="str">
        <f t="shared" si="262"/>
        <v>Brentwood</v>
      </c>
      <c r="Q267" s="1" t="s">
        <v>68</v>
      </c>
      <c r="R267" s="1" t="str">
        <f t="shared" si="263"/>
        <v>California</v>
      </c>
      <c r="S267" s="1">
        <v>94513</v>
      </c>
      <c r="T267" s="1" t="s">
        <v>44</v>
      </c>
      <c r="U267" s="1" t="s">
        <v>815</v>
      </c>
      <c r="V267" s="1" t="s">
        <v>64</v>
      </c>
      <c r="W267" s="7">
        <v>79.900000000000006</v>
      </c>
      <c r="X267" s="1">
        <v>9</v>
      </c>
      <c r="Y267" s="7">
        <v>79.2</v>
      </c>
      <c r="Z267" s="7">
        <f t="shared" ref="Z267:AA267" si="275">W267*X267</f>
        <v>719.1</v>
      </c>
      <c r="AA267" s="7">
        <f t="shared" si="275"/>
        <v>712.80000000000007</v>
      </c>
      <c r="AB267" s="7">
        <f t="shared" si="265"/>
        <v>6.2999999999999545</v>
      </c>
    </row>
    <row r="268" spans="1:28">
      <c r="A268" s="1">
        <v>267</v>
      </c>
      <c r="B268" s="1" t="s">
        <v>816</v>
      </c>
      <c r="C268" s="2">
        <v>43267</v>
      </c>
      <c r="D268" s="6" t="str">
        <f t="shared" si="260"/>
        <v>Jun</v>
      </c>
      <c r="E268" s="6" t="str">
        <f t="shared" si="261"/>
        <v>Qtr 2</v>
      </c>
      <c r="F268" s="5" t="s">
        <v>362</v>
      </c>
      <c r="G268" s="1" t="s">
        <v>49</v>
      </c>
      <c r="H268" s="1" t="s">
        <v>817</v>
      </c>
      <c r="I268" s="1" t="s">
        <v>818</v>
      </c>
      <c r="J268" s="1" t="str">
        <f ca="1">IFERROR(__xludf.DUMMYFUNCTION("split(I268,"" "")"),"Claudia")</f>
        <v>Claudia</v>
      </c>
      <c r="K268" s="1" t="str">
        <f ca="1">IFERROR(__xludf.DUMMYFUNCTION("""COMPUTED_VALUE"""),"Bergmann")</f>
        <v>Bergmann</v>
      </c>
      <c r="L268" s="1"/>
      <c r="M268" s="1" t="s">
        <v>41</v>
      </c>
      <c r="N268" s="1" t="s">
        <v>30</v>
      </c>
      <c r="O268" s="1" t="s">
        <v>819</v>
      </c>
      <c r="P268" s="1" t="str">
        <f t="shared" si="262"/>
        <v>Chapel Hill</v>
      </c>
      <c r="Q268" s="1" t="s">
        <v>75</v>
      </c>
      <c r="R268" s="1" t="str">
        <f t="shared" si="263"/>
        <v>North Carolina</v>
      </c>
      <c r="S268" s="1">
        <v>27514</v>
      </c>
      <c r="T268" s="1" t="s">
        <v>33</v>
      </c>
      <c r="U268" s="1" t="s">
        <v>820</v>
      </c>
      <c r="V268" s="1" t="s">
        <v>46</v>
      </c>
      <c r="W268" s="7">
        <v>14.016</v>
      </c>
      <c r="X268" s="1">
        <v>2</v>
      </c>
      <c r="Y268" s="7">
        <v>13.92</v>
      </c>
      <c r="Z268" s="7">
        <f t="shared" ref="Z268:AA268" si="276">W268*X268</f>
        <v>28.032</v>
      </c>
      <c r="AA268" s="7">
        <f t="shared" si="276"/>
        <v>27.84</v>
      </c>
      <c r="AB268" s="7">
        <f t="shared" si="265"/>
        <v>0.19200000000000017</v>
      </c>
    </row>
    <row r="269" spans="1:28">
      <c r="A269" s="1">
        <v>268</v>
      </c>
      <c r="B269" s="1" t="s">
        <v>821</v>
      </c>
      <c r="C269" s="2">
        <v>42757</v>
      </c>
      <c r="D269" s="6" t="str">
        <f t="shared" si="260"/>
        <v>Jan</v>
      </c>
      <c r="E269" s="6" t="str">
        <f t="shared" si="261"/>
        <v>Qtr 1</v>
      </c>
      <c r="F269" s="5" t="s">
        <v>822</v>
      </c>
      <c r="G269" s="1" t="s">
        <v>49</v>
      </c>
      <c r="H269" s="1" t="s">
        <v>329</v>
      </c>
      <c r="I269" s="1" t="s">
        <v>330</v>
      </c>
      <c r="J269" s="1" t="str">
        <f ca="1">IFERROR(__xludf.DUMMYFUNCTION("split(I269,"" "")"),"Paul")</f>
        <v>Paul</v>
      </c>
      <c r="K269" s="1" t="str">
        <f ca="1">IFERROR(__xludf.DUMMYFUNCTION("""COMPUTED_VALUE"""),"Gonzalez")</f>
        <v>Gonzalez</v>
      </c>
      <c r="L269" s="1"/>
      <c r="M269" s="1" t="s">
        <v>29</v>
      </c>
      <c r="N269" s="1" t="s">
        <v>30</v>
      </c>
      <c r="O269" s="1" t="s">
        <v>823</v>
      </c>
      <c r="P269" s="1" t="str">
        <f t="shared" si="262"/>
        <v>Morristown</v>
      </c>
      <c r="Q269" s="1" t="s">
        <v>653</v>
      </c>
      <c r="R269" s="1" t="str">
        <f t="shared" si="263"/>
        <v>New Jersey</v>
      </c>
      <c r="S269" s="1">
        <v>7960</v>
      </c>
      <c r="T269" s="1" t="s">
        <v>128</v>
      </c>
      <c r="U269" s="1" t="s">
        <v>824</v>
      </c>
      <c r="V269" s="1" t="s">
        <v>46</v>
      </c>
      <c r="W269" s="7">
        <v>7.56</v>
      </c>
      <c r="X269" s="1">
        <v>7</v>
      </c>
      <c r="Y269" s="7">
        <v>6.82</v>
      </c>
      <c r="Z269" s="7">
        <f t="shared" ref="Z269:AA269" si="277">W269*X269</f>
        <v>52.919999999999995</v>
      </c>
      <c r="AA269" s="7">
        <f t="shared" si="277"/>
        <v>47.74</v>
      </c>
      <c r="AB269" s="7">
        <f t="shared" si="265"/>
        <v>5.1799999999999926</v>
      </c>
    </row>
    <row r="270" spans="1:28">
      <c r="A270" s="1">
        <v>269</v>
      </c>
      <c r="B270" s="1" t="s">
        <v>825</v>
      </c>
      <c r="C270" s="2">
        <v>43355</v>
      </c>
      <c r="D270" s="6" t="str">
        <f t="shared" si="260"/>
        <v>Sep</v>
      </c>
      <c r="E270" s="6" t="str">
        <f t="shared" si="261"/>
        <v>Qtr 3</v>
      </c>
      <c r="F270" s="5" t="s">
        <v>826</v>
      </c>
      <c r="G270" s="1" t="s">
        <v>49</v>
      </c>
      <c r="H270" s="1" t="s">
        <v>827</v>
      </c>
      <c r="I270" s="1" t="s">
        <v>828</v>
      </c>
      <c r="J270" s="1" t="str">
        <f ca="1">IFERROR(__xludf.DUMMYFUNCTION("split(I270,"" "")"),"Christine")</f>
        <v>Christine</v>
      </c>
      <c r="K270" s="1" t="str">
        <f ca="1">IFERROR(__xludf.DUMMYFUNCTION("""COMPUTED_VALUE"""),"Abelman")</f>
        <v>Abelman</v>
      </c>
      <c r="L270" s="1"/>
      <c r="M270" s="1" t="s">
        <v>41</v>
      </c>
      <c r="N270" s="1" t="s">
        <v>30</v>
      </c>
      <c r="O270" s="1" t="s">
        <v>829</v>
      </c>
      <c r="P270" s="1" t="str">
        <f t="shared" si="262"/>
        <v>Cincinnati</v>
      </c>
      <c r="Q270" s="1" t="s">
        <v>421</v>
      </c>
      <c r="R270" s="1" t="str">
        <f t="shared" si="263"/>
        <v>Ohio</v>
      </c>
      <c r="S270" s="1">
        <v>45231</v>
      </c>
      <c r="T270" s="1" t="s">
        <v>128</v>
      </c>
      <c r="U270" s="1" t="s">
        <v>830</v>
      </c>
      <c r="V270" s="1" t="s">
        <v>46</v>
      </c>
      <c r="W270" s="7">
        <v>37.207999999999998</v>
      </c>
      <c r="X270" s="1">
        <v>4</v>
      </c>
      <c r="Y270" s="7">
        <v>36.950000000000003</v>
      </c>
      <c r="Z270" s="7">
        <f t="shared" ref="Z270:AA270" si="278">W270*X270</f>
        <v>148.83199999999999</v>
      </c>
      <c r="AA270" s="7">
        <f t="shared" si="278"/>
        <v>147.80000000000001</v>
      </c>
      <c r="AB270" s="7">
        <f t="shared" si="265"/>
        <v>1.0319999999999823</v>
      </c>
    </row>
    <row r="271" spans="1:28">
      <c r="A271" s="1">
        <v>270</v>
      </c>
      <c r="B271" s="1" t="s">
        <v>825</v>
      </c>
      <c r="C271" s="2">
        <v>43355</v>
      </c>
      <c r="D271" s="6" t="str">
        <f t="shared" si="260"/>
        <v>Sep</v>
      </c>
      <c r="E271" s="6" t="str">
        <f t="shared" si="261"/>
        <v>Qtr 3</v>
      </c>
      <c r="F271" s="5" t="s">
        <v>826</v>
      </c>
      <c r="G271" s="1" t="s">
        <v>49</v>
      </c>
      <c r="H271" s="1" t="s">
        <v>827</v>
      </c>
      <c r="I271" s="1" t="s">
        <v>828</v>
      </c>
      <c r="J271" s="1" t="str">
        <f ca="1">IFERROR(__xludf.DUMMYFUNCTION("split(I271,"" "")"),"Christine")</f>
        <v>Christine</v>
      </c>
      <c r="K271" s="1" t="str">
        <f ca="1">IFERROR(__xludf.DUMMYFUNCTION("""COMPUTED_VALUE"""),"Abelman")</f>
        <v>Abelman</v>
      </c>
      <c r="L271" s="1"/>
      <c r="M271" s="1" t="s">
        <v>41</v>
      </c>
      <c r="N271" s="1" t="s">
        <v>30</v>
      </c>
      <c r="O271" s="1" t="s">
        <v>829</v>
      </c>
      <c r="P271" s="1" t="str">
        <f t="shared" si="262"/>
        <v>Cincinnati</v>
      </c>
      <c r="Q271" s="1" t="s">
        <v>421</v>
      </c>
      <c r="R271" s="1" t="str">
        <f t="shared" si="263"/>
        <v>Ohio</v>
      </c>
      <c r="S271" s="1">
        <v>45231</v>
      </c>
      <c r="T271" s="1" t="s">
        <v>128</v>
      </c>
      <c r="U271" s="1" t="s">
        <v>831</v>
      </c>
      <c r="V271" s="1" t="s">
        <v>46</v>
      </c>
      <c r="W271" s="7">
        <v>57.576000000000001</v>
      </c>
      <c r="X271" s="1">
        <v>4</v>
      </c>
      <c r="Y271" s="7">
        <v>56.83</v>
      </c>
      <c r="Z271" s="7">
        <f t="shared" ref="Z271:AA271" si="279">W271*X271</f>
        <v>230.304</v>
      </c>
      <c r="AA271" s="7">
        <f t="shared" si="279"/>
        <v>227.32</v>
      </c>
      <c r="AB271" s="7">
        <f t="shared" si="265"/>
        <v>2.9840000000000089</v>
      </c>
    </row>
    <row r="272" spans="1:28">
      <c r="A272" s="1">
        <v>271</v>
      </c>
      <c r="B272" s="1" t="s">
        <v>832</v>
      </c>
      <c r="C272" s="2">
        <v>43462</v>
      </c>
      <c r="D272" s="6" t="str">
        <f t="shared" si="260"/>
        <v>Dec</v>
      </c>
      <c r="E272" s="6" t="str">
        <f t="shared" si="261"/>
        <v>Qtr 4</v>
      </c>
      <c r="F272" s="5">
        <v>43497</v>
      </c>
      <c r="G272" s="1" t="s">
        <v>26</v>
      </c>
      <c r="H272" s="1" t="s">
        <v>833</v>
      </c>
      <c r="I272" s="1" t="s">
        <v>834</v>
      </c>
      <c r="J272" s="1" t="str">
        <f ca="1">IFERROR(__xludf.DUMMYFUNCTION("split(I272,"" "")"),"Kristen")</f>
        <v>Kristen</v>
      </c>
      <c r="K272" s="1" t="str">
        <f ca="1">IFERROR(__xludf.DUMMYFUNCTION("""COMPUTED_VALUE"""),"Hastings")</f>
        <v>Hastings</v>
      </c>
      <c r="L272" s="1"/>
      <c r="M272" s="1" t="s">
        <v>41</v>
      </c>
      <c r="N272" s="1" t="s">
        <v>30</v>
      </c>
      <c r="O272" s="1" t="s">
        <v>110</v>
      </c>
      <c r="P272" s="1" t="str">
        <f t="shared" si="262"/>
        <v>San Francisco</v>
      </c>
      <c r="Q272" s="1" t="s">
        <v>68</v>
      </c>
      <c r="R272" s="1" t="str">
        <f t="shared" si="263"/>
        <v>California</v>
      </c>
      <c r="S272" s="1">
        <v>94110</v>
      </c>
      <c r="T272" s="1" t="s">
        <v>44</v>
      </c>
      <c r="U272" s="1" t="s">
        <v>835</v>
      </c>
      <c r="V272" s="1" t="s">
        <v>46</v>
      </c>
      <c r="W272" s="7">
        <v>725.84</v>
      </c>
      <c r="X272" s="1">
        <v>9</v>
      </c>
      <c r="Y272" s="7">
        <v>725.11</v>
      </c>
      <c r="Z272" s="7">
        <f t="shared" ref="Z272:AA272" si="280">W272*X272</f>
        <v>6532.56</v>
      </c>
      <c r="AA272" s="7">
        <f t="shared" si="280"/>
        <v>6525.99</v>
      </c>
      <c r="AB272" s="7">
        <f t="shared" si="265"/>
        <v>6.5700000000006185</v>
      </c>
    </row>
    <row r="273" spans="1:28">
      <c r="A273" s="1">
        <v>272</v>
      </c>
      <c r="B273" s="1" t="s">
        <v>836</v>
      </c>
      <c r="C273" s="2">
        <v>42581</v>
      </c>
      <c r="D273" s="6" t="str">
        <f t="shared" si="260"/>
        <v>Jul</v>
      </c>
      <c r="E273" s="6" t="str">
        <f t="shared" si="261"/>
        <v>Qtr 3</v>
      </c>
      <c r="F273" s="5" t="s">
        <v>837</v>
      </c>
      <c r="G273" s="1" t="s">
        <v>162</v>
      </c>
      <c r="H273" s="1" t="s">
        <v>498</v>
      </c>
      <c r="I273" s="1" t="s">
        <v>499</v>
      </c>
      <c r="J273" s="1" t="str">
        <f ca="1">IFERROR(__xludf.DUMMYFUNCTION("split(I273,"" "")"),"Helen")</f>
        <v>Helen</v>
      </c>
      <c r="K273" s="1" t="str">
        <f ca="1">IFERROR(__xludf.DUMMYFUNCTION("""COMPUTED_VALUE"""),"Andreada")</f>
        <v>Andreada</v>
      </c>
      <c r="L273" s="1"/>
      <c r="M273" s="1" t="s">
        <v>29</v>
      </c>
      <c r="N273" s="1" t="s">
        <v>30</v>
      </c>
      <c r="O273" s="1" t="s">
        <v>110</v>
      </c>
      <c r="P273" s="1" t="str">
        <f t="shared" si="262"/>
        <v>San Francisco</v>
      </c>
      <c r="Q273" s="1" t="s">
        <v>68</v>
      </c>
      <c r="R273" s="1" t="str">
        <f t="shared" si="263"/>
        <v>California</v>
      </c>
      <c r="S273" s="1">
        <v>94109</v>
      </c>
      <c r="T273" s="1" t="s">
        <v>44</v>
      </c>
      <c r="U273" s="1" t="s">
        <v>838</v>
      </c>
      <c r="V273" s="1" t="s">
        <v>64</v>
      </c>
      <c r="W273" s="7">
        <v>209.93</v>
      </c>
      <c r="X273" s="1">
        <v>9</v>
      </c>
      <c r="Y273" s="7">
        <v>209.15</v>
      </c>
      <c r="Z273" s="7">
        <f t="shared" ref="Z273:AA273" si="281">W273*X273</f>
        <v>1889.3700000000001</v>
      </c>
      <c r="AA273" s="7">
        <f t="shared" si="281"/>
        <v>1882.3500000000001</v>
      </c>
      <c r="AB273" s="7">
        <f t="shared" si="265"/>
        <v>7.0199999999999818</v>
      </c>
    </row>
    <row r="274" spans="1:28">
      <c r="A274" s="1">
        <v>273</v>
      </c>
      <c r="B274" s="1" t="s">
        <v>836</v>
      </c>
      <c r="C274" s="2">
        <v>42581</v>
      </c>
      <c r="D274" s="6" t="str">
        <f t="shared" si="260"/>
        <v>Jul</v>
      </c>
      <c r="E274" s="6" t="str">
        <f t="shared" si="261"/>
        <v>Qtr 3</v>
      </c>
      <c r="F274" s="5" t="s">
        <v>837</v>
      </c>
      <c r="G274" s="1" t="s">
        <v>162</v>
      </c>
      <c r="H274" s="1" t="s">
        <v>498</v>
      </c>
      <c r="I274" s="1" t="s">
        <v>499</v>
      </c>
      <c r="J274" s="1" t="str">
        <f ca="1">IFERROR(__xludf.DUMMYFUNCTION("split(I274,"" "")"),"Helen")</f>
        <v>Helen</v>
      </c>
      <c r="K274" s="1" t="str">
        <f ca="1">IFERROR(__xludf.DUMMYFUNCTION("""COMPUTED_VALUE"""),"Andreada")</f>
        <v>Andreada</v>
      </c>
      <c r="L274" s="1"/>
      <c r="M274" s="1" t="s">
        <v>29</v>
      </c>
      <c r="N274" s="1" t="s">
        <v>30</v>
      </c>
      <c r="O274" s="1" t="s">
        <v>110</v>
      </c>
      <c r="P274" s="1" t="str">
        <f t="shared" si="262"/>
        <v>San Francisco</v>
      </c>
      <c r="Q274" s="1" t="s">
        <v>68</v>
      </c>
      <c r="R274" s="1" t="str">
        <f t="shared" si="263"/>
        <v>California</v>
      </c>
      <c r="S274" s="1">
        <v>94109</v>
      </c>
      <c r="T274" s="1" t="s">
        <v>44</v>
      </c>
      <c r="U274" s="1" t="s">
        <v>839</v>
      </c>
      <c r="V274" s="1" t="s">
        <v>35</v>
      </c>
      <c r="W274" s="7">
        <v>5.28</v>
      </c>
      <c r="X274" s="1">
        <v>9</v>
      </c>
      <c r="Y274" s="7">
        <v>4.8600000000000003</v>
      </c>
      <c r="Z274" s="7">
        <f t="shared" ref="Z274:AA274" si="282">W274*X274</f>
        <v>47.52</v>
      </c>
      <c r="AA274" s="7">
        <f t="shared" si="282"/>
        <v>43.74</v>
      </c>
      <c r="AB274" s="7">
        <f t="shared" si="265"/>
        <v>3.7800000000000011</v>
      </c>
    </row>
    <row r="275" spans="1:28">
      <c r="A275" s="1">
        <v>274</v>
      </c>
      <c r="B275" s="1" t="s">
        <v>836</v>
      </c>
      <c r="C275" s="2">
        <v>42581</v>
      </c>
      <c r="D275" s="6" t="str">
        <f t="shared" si="260"/>
        <v>Jul</v>
      </c>
      <c r="E275" s="6" t="str">
        <f t="shared" si="261"/>
        <v>Qtr 3</v>
      </c>
      <c r="F275" s="5" t="s">
        <v>837</v>
      </c>
      <c r="G275" s="1" t="s">
        <v>162</v>
      </c>
      <c r="H275" s="1" t="s">
        <v>498</v>
      </c>
      <c r="I275" s="1" t="s">
        <v>499</v>
      </c>
      <c r="J275" s="1" t="str">
        <f ca="1">IFERROR(__xludf.DUMMYFUNCTION("split(I275,"" "")"),"Helen")</f>
        <v>Helen</v>
      </c>
      <c r="K275" s="1" t="str">
        <f ca="1">IFERROR(__xludf.DUMMYFUNCTION("""COMPUTED_VALUE"""),"Andreada")</f>
        <v>Andreada</v>
      </c>
      <c r="L275" s="1"/>
      <c r="M275" s="1" t="s">
        <v>29</v>
      </c>
      <c r="N275" s="1" t="s">
        <v>30</v>
      </c>
      <c r="O275" s="1" t="s">
        <v>110</v>
      </c>
      <c r="P275" s="1" t="str">
        <f t="shared" si="262"/>
        <v>San Francisco</v>
      </c>
      <c r="Q275" s="1" t="s">
        <v>68</v>
      </c>
      <c r="R275" s="1" t="str">
        <f t="shared" si="263"/>
        <v>California</v>
      </c>
      <c r="S275" s="1">
        <v>94109</v>
      </c>
      <c r="T275" s="1" t="s">
        <v>44</v>
      </c>
      <c r="U275" s="1" t="s">
        <v>840</v>
      </c>
      <c r="V275" s="1" t="s">
        <v>46</v>
      </c>
      <c r="W275" s="7">
        <v>10.92</v>
      </c>
      <c r="X275" s="1">
        <v>9</v>
      </c>
      <c r="Y275" s="7">
        <v>10.3</v>
      </c>
      <c r="Z275" s="7">
        <f t="shared" ref="Z275:AA275" si="283">W275*X275</f>
        <v>98.28</v>
      </c>
      <c r="AA275" s="7">
        <f t="shared" si="283"/>
        <v>92.7</v>
      </c>
      <c r="AB275" s="7">
        <f t="shared" si="265"/>
        <v>5.5799999999999983</v>
      </c>
    </row>
    <row r="276" spans="1:28">
      <c r="A276" s="1">
        <v>275</v>
      </c>
      <c r="B276" s="1" t="s">
        <v>841</v>
      </c>
      <c r="C276" s="2">
        <v>43359</v>
      </c>
      <c r="D276" s="6" t="str">
        <f t="shared" si="260"/>
        <v>Sep</v>
      </c>
      <c r="E276" s="6" t="str">
        <f t="shared" si="261"/>
        <v>Qtr 3</v>
      </c>
      <c r="F276" s="5" t="s">
        <v>280</v>
      </c>
      <c r="G276" s="1" t="s">
        <v>162</v>
      </c>
      <c r="H276" s="1" t="s">
        <v>842</v>
      </c>
      <c r="I276" s="1" t="s">
        <v>843</v>
      </c>
      <c r="J276" s="1" t="str">
        <f ca="1">IFERROR(__xludf.DUMMYFUNCTION("split(I276,"" "")"),"Barry")</f>
        <v>Barry</v>
      </c>
      <c r="K276" s="1" t="str">
        <f ca="1">IFERROR(__xludf.DUMMYFUNCTION("""COMPUTED_VALUE"""),"Blumstein")</f>
        <v>Blumstein</v>
      </c>
      <c r="L276" s="1"/>
      <c r="M276" s="1" t="s">
        <v>41</v>
      </c>
      <c r="N276" s="1" t="s">
        <v>30</v>
      </c>
      <c r="O276" s="1" t="s">
        <v>844</v>
      </c>
      <c r="P276" s="1" t="str">
        <f t="shared" si="262"/>
        <v>Inglewood</v>
      </c>
      <c r="Q276" s="1" t="s">
        <v>68</v>
      </c>
      <c r="R276" s="1" t="str">
        <f t="shared" si="263"/>
        <v>California</v>
      </c>
      <c r="S276" s="1">
        <v>90301</v>
      </c>
      <c r="T276" s="1" t="s">
        <v>44</v>
      </c>
      <c r="U276" s="1" t="s">
        <v>845</v>
      </c>
      <c r="V276" s="1" t="s">
        <v>46</v>
      </c>
      <c r="W276" s="7">
        <v>8.82</v>
      </c>
      <c r="X276" s="1">
        <v>9</v>
      </c>
      <c r="Y276" s="7">
        <v>8.48</v>
      </c>
      <c r="Z276" s="7">
        <f t="shared" ref="Z276:AA276" si="284">W276*X276</f>
        <v>79.38</v>
      </c>
      <c r="AA276" s="7">
        <f t="shared" si="284"/>
        <v>76.320000000000007</v>
      </c>
      <c r="AB276" s="7">
        <f t="shared" si="265"/>
        <v>3.0599999999999881</v>
      </c>
    </row>
    <row r="277" spans="1:28">
      <c r="A277" s="1">
        <v>276</v>
      </c>
      <c r="B277" s="1" t="s">
        <v>841</v>
      </c>
      <c r="C277" s="2">
        <v>43359</v>
      </c>
      <c r="D277" s="6" t="str">
        <f t="shared" si="260"/>
        <v>Sep</v>
      </c>
      <c r="E277" s="6" t="str">
        <f t="shared" si="261"/>
        <v>Qtr 3</v>
      </c>
      <c r="F277" s="5" t="s">
        <v>280</v>
      </c>
      <c r="G277" s="1" t="s">
        <v>162</v>
      </c>
      <c r="H277" s="1" t="s">
        <v>842</v>
      </c>
      <c r="I277" s="1" t="s">
        <v>843</v>
      </c>
      <c r="J277" s="1" t="str">
        <f ca="1">IFERROR(__xludf.DUMMYFUNCTION("split(I277,"" "")"),"Barry")</f>
        <v>Barry</v>
      </c>
      <c r="K277" s="1" t="str">
        <f ca="1">IFERROR(__xludf.DUMMYFUNCTION("""COMPUTED_VALUE"""),"Blumstein")</f>
        <v>Blumstein</v>
      </c>
      <c r="L277" s="1"/>
      <c r="M277" s="1" t="s">
        <v>41</v>
      </c>
      <c r="N277" s="1" t="s">
        <v>30</v>
      </c>
      <c r="O277" s="1" t="s">
        <v>844</v>
      </c>
      <c r="P277" s="1" t="str">
        <f t="shared" si="262"/>
        <v>Inglewood</v>
      </c>
      <c r="Q277" s="1" t="s">
        <v>68</v>
      </c>
      <c r="R277" s="1" t="str">
        <f t="shared" si="263"/>
        <v>California</v>
      </c>
      <c r="S277" s="1">
        <v>90301</v>
      </c>
      <c r="T277" s="1" t="s">
        <v>44</v>
      </c>
      <c r="U277" s="1" t="s">
        <v>846</v>
      </c>
      <c r="V277" s="1" t="s">
        <v>46</v>
      </c>
      <c r="W277" s="7">
        <v>5.98</v>
      </c>
      <c r="X277" s="1">
        <v>9</v>
      </c>
      <c r="Y277" s="7">
        <v>5.94</v>
      </c>
      <c r="Z277" s="7">
        <f t="shared" ref="Z277:AA277" si="285">W277*X277</f>
        <v>53.820000000000007</v>
      </c>
      <c r="AA277" s="7">
        <f t="shared" si="285"/>
        <v>53.46</v>
      </c>
      <c r="AB277" s="7">
        <f t="shared" si="265"/>
        <v>0.36000000000000654</v>
      </c>
    </row>
    <row r="278" spans="1:28">
      <c r="A278" s="1">
        <v>277</v>
      </c>
      <c r="B278" s="1" t="s">
        <v>847</v>
      </c>
      <c r="C278" s="2">
        <v>43386</v>
      </c>
      <c r="D278" s="6" t="str">
        <f t="shared" si="260"/>
        <v>Oct</v>
      </c>
      <c r="E278" s="6" t="str">
        <f t="shared" si="261"/>
        <v>Qtr 4</v>
      </c>
      <c r="F278" s="5" t="s">
        <v>848</v>
      </c>
      <c r="G278" s="1" t="s">
        <v>49</v>
      </c>
      <c r="H278" s="1" t="s">
        <v>849</v>
      </c>
      <c r="I278" s="1" t="s">
        <v>850</v>
      </c>
      <c r="J278" s="1" t="str">
        <f ca="1">IFERROR(__xludf.DUMMYFUNCTION("split(I278,"" "")"),"Andrew")</f>
        <v>Andrew</v>
      </c>
      <c r="K278" s="1" t="str">
        <f ca="1">IFERROR(__xludf.DUMMYFUNCTION("""COMPUTED_VALUE"""),"Gjertsen")</f>
        <v>Gjertsen</v>
      </c>
      <c r="L278" s="1"/>
      <c r="M278" s="1" t="s">
        <v>41</v>
      </c>
      <c r="N278" s="1" t="s">
        <v>30</v>
      </c>
      <c r="O278" s="1" t="s">
        <v>126</v>
      </c>
      <c r="P278" s="1" t="str">
        <f t="shared" si="262"/>
        <v>Philadelphia</v>
      </c>
      <c r="Q278" s="1" t="s">
        <v>127</v>
      </c>
      <c r="R278" s="1" t="str">
        <f t="shared" si="263"/>
        <v>Pennsylvania</v>
      </c>
      <c r="S278" s="1">
        <v>19140</v>
      </c>
      <c r="T278" s="1" t="s">
        <v>128</v>
      </c>
      <c r="U278" s="1" t="s">
        <v>851</v>
      </c>
      <c r="V278" s="1" t="s">
        <v>46</v>
      </c>
      <c r="W278" s="7">
        <v>11.648</v>
      </c>
      <c r="X278" s="1">
        <v>1</v>
      </c>
      <c r="Y278" s="7">
        <v>11.42</v>
      </c>
      <c r="Z278" s="7">
        <f t="shared" ref="Z278:AA278" si="286">W278*X278</f>
        <v>11.648</v>
      </c>
      <c r="AA278" s="7">
        <f t="shared" si="286"/>
        <v>11.42</v>
      </c>
      <c r="AB278" s="7">
        <f t="shared" si="265"/>
        <v>0.22799999999999976</v>
      </c>
    </row>
    <row r="279" spans="1:28">
      <c r="A279" s="1">
        <v>278</v>
      </c>
      <c r="B279" s="1" t="s">
        <v>847</v>
      </c>
      <c r="C279" s="2">
        <v>43386</v>
      </c>
      <c r="D279" s="6" t="str">
        <f t="shared" si="260"/>
        <v>Oct</v>
      </c>
      <c r="E279" s="6" t="str">
        <f t="shared" si="261"/>
        <v>Qtr 4</v>
      </c>
      <c r="F279" s="5" t="s">
        <v>848</v>
      </c>
      <c r="G279" s="1" t="s">
        <v>49</v>
      </c>
      <c r="H279" s="1" t="s">
        <v>849</v>
      </c>
      <c r="I279" s="1" t="s">
        <v>850</v>
      </c>
      <c r="J279" s="1" t="str">
        <f ca="1">IFERROR(__xludf.DUMMYFUNCTION("split(I279,"" "")"),"Andrew")</f>
        <v>Andrew</v>
      </c>
      <c r="K279" s="1" t="str">
        <f ca="1">IFERROR(__xludf.DUMMYFUNCTION("""COMPUTED_VALUE"""),"Gjertsen")</f>
        <v>Gjertsen</v>
      </c>
      <c r="L279" s="1"/>
      <c r="M279" s="1" t="s">
        <v>41</v>
      </c>
      <c r="N279" s="1" t="s">
        <v>30</v>
      </c>
      <c r="O279" s="1" t="s">
        <v>126</v>
      </c>
      <c r="P279" s="1" t="str">
        <f t="shared" si="262"/>
        <v>Philadelphia</v>
      </c>
      <c r="Q279" s="1" t="s">
        <v>127</v>
      </c>
      <c r="R279" s="1" t="str">
        <f t="shared" si="263"/>
        <v>Pennsylvania</v>
      </c>
      <c r="S279" s="1">
        <v>19140</v>
      </c>
      <c r="T279" s="1" t="s">
        <v>128</v>
      </c>
      <c r="U279" s="1" t="s">
        <v>852</v>
      </c>
      <c r="V279" s="1" t="s">
        <v>46</v>
      </c>
      <c r="W279" s="7">
        <v>18.175999999999998</v>
      </c>
      <c r="X279" s="1">
        <v>1</v>
      </c>
      <c r="Y279" s="7">
        <v>18.170000000000002</v>
      </c>
      <c r="Z279" s="7">
        <f t="shared" ref="Z279:AA279" si="287">W279*X279</f>
        <v>18.175999999999998</v>
      </c>
      <c r="AA279" s="7">
        <f t="shared" si="287"/>
        <v>18.170000000000002</v>
      </c>
      <c r="AB279" s="7">
        <f t="shared" si="265"/>
        <v>5.9999999999966747E-3</v>
      </c>
    </row>
    <row r="280" spans="1:28">
      <c r="A280" s="1">
        <v>279</v>
      </c>
      <c r="B280" s="1" t="s">
        <v>847</v>
      </c>
      <c r="C280" s="2">
        <v>43386</v>
      </c>
      <c r="D280" s="6" t="str">
        <f t="shared" si="260"/>
        <v>Oct</v>
      </c>
      <c r="E280" s="6" t="str">
        <f t="shared" si="261"/>
        <v>Qtr 4</v>
      </c>
      <c r="F280" s="5" t="s">
        <v>848</v>
      </c>
      <c r="G280" s="1" t="s">
        <v>49</v>
      </c>
      <c r="H280" s="1" t="s">
        <v>849</v>
      </c>
      <c r="I280" s="1" t="s">
        <v>850</v>
      </c>
      <c r="J280" s="1" t="str">
        <f ca="1">IFERROR(__xludf.DUMMYFUNCTION("split(I280,"" "")"),"Andrew")</f>
        <v>Andrew</v>
      </c>
      <c r="K280" s="1" t="str">
        <f ca="1">IFERROR(__xludf.DUMMYFUNCTION("""COMPUTED_VALUE"""),"Gjertsen")</f>
        <v>Gjertsen</v>
      </c>
      <c r="L280" s="1"/>
      <c r="M280" s="1" t="s">
        <v>41</v>
      </c>
      <c r="N280" s="1" t="s">
        <v>30</v>
      </c>
      <c r="O280" s="1" t="s">
        <v>126</v>
      </c>
      <c r="P280" s="1" t="str">
        <f t="shared" si="262"/>
        <v>Philadelphia</v>
      </c>
      <c r="Q280" s="1" t="s">
        <v>127</v>
      </c>
      <c r="R280" s="1" t="str">
        <f t="shared" si="263"/>
        <v>Pennsylvania</v>
      </c>
      <c r="S280" s="1">
        <v>19140</v>
      </c>
      <c r="T280" s="1" t="s">
        <v>128</v>
      </c>
      <c r="U280" s="1" t="s">
        <v>853</v>
      </c>
      <c r="V280" s="1" t="s">
        <v>46</v>
      </c>
      <c r="W280" s="7">
        <v>59.712000000000003</v>
      </c>
      <c r="X280" s="1">
        <v>1</v>
      </c>
      <c r="Y280" s="7">
        <v>59.13</v>
      </c>
      <c r="Z280" s="7">
        <f t="shared" ref="Z280:AA280" si="288">W280*X280</f>
        <v>59.712000000000003</v>
      </c>
      <c r="AA280" s="7">
        <f t="shared" si="288"/>
        <v>59.13</v>
      </c>
      <c r="AB280" s="7">
        <f t="shared" si="265"/>
        <v>0.58200000000000074</v>
      </c>
    </row>
    <row r="281" spans="1:28">
      <c r="A281" s="1">
        <v>280</v>
      </c>
      <c r="B281" s="1" t="s">
        <v>847</v>
      </c>
      <c r="C281" s="2">
        <v>43386</v>
      </c>
      <c r="D281" s="6" t="str">
        <f t="shared" si="260"/>
        <v>Oct</v>
      </c>
      <c r="E281" s="6" t="str">
        <f t="shared" si="261"/>
        <v>Qtr 4</v>
      </c>
      <c r="F281" s="5" t="s">
        <v>848</v>
      </c>
      <c r="G281" s="1" t="s">
        <v>49</v>
      </c>
      <c r="H281" s="1" t="s">
        <v>849</v>
      </c>
      <c r="I281" s="1" t="s">
        <v>850</v>
      </c>
      <c r="J281" s="1" t="str">
        <f ca="1">IFERROR(__xludf.DUMMYFUNCTION("split(I281,"" "")"),"Andrew")</f>
        <v>Andrew</v>
      </c>
      <c r="K281" s="1" t="str">
        <f ca="1">IFERROR(__xludf.DUMMYFUNCTION("""COMPUTED_VALUE"""),"Gjertsen")</f>
        <v>Gjertsen</v>
      </c>
      <c r="L281" s="1"/>
      <c r="M281" s="1" t="s">
        <v>41</v>
      </c>
      <c r="N281" s="1" t="s">
        <v>30</v>
      </c>
      <c r="O281" s="1" t="s">
        <v>126</v>
      </c>
      <c r="P281" s="1" t="str">
        <f t="shared" si="262"/>
        <v>Philadelphia</v>
      </c>
      <c r="Q281" s="1" t="s">
        <v>127</v>
      </c>
      <c r="R281" s="1" t="str">
        <f t="shared" si="263"/>
        <v>Pennsylvania</v>
      </c>
      <c r="S281" s="1">
        <v>19140</v>
      </c>
      <c r="T281" s="1" t="s">
        <v>128</v>
      </c>
      <c r="U281" s="1" t="s">
        <v>854</v>
      </c>
      <c r="V281" s="1" t="s">
        <v>46</v>
      </c>
      <c r="W281" s="7">
        <v>24.84</v>
      </c>
      <c r="X281" s="1">
        <v>1</v>
      </c>
      <c r="Y281" s="7">
        <v>24.29</v>
      </c>
      <c r="Z281" s="7">
        <f t="shared" ref="Z281:AA281" si="289">W281*X281</f>
        <v>24.84</v>
      </c>
      <c r="AA281" s="7">
        <f t="shared" si="289"/>
        <v>24.29</v>
      </c>
      <c r="AB281" s="7">
        <f t="shared" si="265"/>
        <v>0.55000000000000071</v>
      </c>
    </row>
    <row r="282" spans="1:28">
      <c r="A282" s="1">
        <v>281</v>
      </c>
      <c r="B282" s="1" t="s">
        <v>855</v>
      </c>
      <c r="C282" s="2">
        <v>42639</v>
      </c>
      <c r="D282" s="6" t="str">
        <f t="shared" si="260"/>
        <v>Sep</v>
      </c>
      <c r="E282" s="6" t="str">
        <f t="shared" si="261"/>
        <v>Qtr 3</v>
      </c>
      <c r="F282" s="5" t="s">
        <v>856</v>
      </c>
      <c r="G282" s="1" t="s">
        <v>26</v>
      </c>
      <c r="H282" s="1" t="s">
        <v>436</v>
      </c>
      <c r="I282" s="1" t="s">
        <v>437</v>
      </c>
      <c r="J282" s="1" t="str">
        <f ca="1">IFERROR(__xludf.DUMMYFUNCTION("split(I282,"" "")"),"Steven")</f>
        <v>Steven</v>
      </c>
      <c r="K282" s="1" t="str">
        <f ca="1">IFERROR(__xludf.DUMMYFUNCTION("""COMPUTED_VALUE"""),"Cartwright")</f>
        <v>Cartwright</v>
      </c>
      <c r="L282" s="1"/>
      <c r="M282" s="1" t="s">
        <v>29</v>
      </c>
      <c r="N282" s="1" t="s">
        <v>30</v>
      </c>
      <c r="O282" s="1" t="s">
        <v>172</v>
      </c>
      <c r="P282" s="1" t="str">
        <f t="shared" si="262"/>
        <v>Houston</v>
      </c>
      <c r="Q282" s="1" t="s">
        <v>89</v>
      </c>
      <c r="R282" s="1" t="str">
        <f t="shared" si="263"/>
        <v>Texas</v>
      </c>
      <c r="S282" s="1">
        <v>77070</v>
      </c>
      <c r="T282" s="1" t="s">
        <v>90</v>
      </c>
      <c r="U282" s="1" t="s">
        <v>857</v>
      </c>
      <c r="V282" s="1" t="s">
        <v>46</v>
      </c>
      <c r="W282" s="7">
        <v>2.08</v>
      </c>
      <c r="X282" s="1">
        <v>7</v>
      </c>
      <c r="Y282" s="7">
        <v>1.98</v>
      </c>
      <c r="Z282" s="7">
        <f t="shared" ref="Z282:AA282" si="290">W282*X282</f>
        <v>14.56</v>
      </c>
      <c r="AA282" s="7">
        <f t="shared" si="290"/>
        <v>13.86</v>
      </c>
      <c r="AB282" s="7">
        <f t="shared" si="265"/>
        <v>0.70000000000000107</v>
      </c>
    </row>
    <row r="283" spans="1:28">
      <c r="A283" s="1">
        <v>282</v>
      </c>
      <c r="B283" s="1" t="s">
        <v>855</v>
      </c>
      <c r="C283" s="2">
        <v>42639</v>
      </c>
      <c r="D283" s="6" t="str">
        <f t="shared" si="260"/>
        <v>Sep</v>
      </c>
      <c r="E283" s="6" t="str">
        <f t="shared" si="261"/>
        <v>Qtr 3</v>
      </c>
      <c r="F283" s="5" t="s">
        <v>856</v>
      </c>
      <c r="G283" s="1" t="s">
        <v>26</v>
      </c>
      <c r="H283" s="1" t="s">
        <v>436</v>
      </c>
      <c r="I283" s="1" t="s">
        <v>437</v>
      </c>
      <c r="J283" s="1" t="str">
        <f ca="1">IFERROR(__xludf.DUMMYFUNCTION("split(I283,"" "")"),"Steven")</f>
        <v>Steven</v>
      </c>
      <c r="K283" s="1" t="str">
        <f ca="1">IFERROR(__xludf.DUMMYFUNCTION("""COMPUTED_VALUE"""),"Cartwright")</f>
        <v>Cartwright</v>
      </c>
      <c r="L283" s="1"/>
      <c r="M283" s="1" t="s">
        <v>29</v>
      </c>
      <c r="N283" s="1" t="s">
        <v>30</v>
      </c>
      <c r="O283" s="1" t="s">
        <v>172</v>
      </c>
      <c r="P283" s="1" t="str">
        <f t="shared" si="262"/>
        <v>Houston</v>
      </c>
      <c r="Q283" s="1" t="s">
        <v>89</v>
      </c>
      <c r="R283" s="1" t="str">
        <f t="shared" si="263"/>
        <v>Texas</v>
      </c>
      <c r="S283" s="1">
        <v>77070</v>
      </c>
      <c r="T283" s="1" t="s">
        <v>90</v>
      </c>
      <c r="U283" s="1" t="s">
        <v>858</v>
      </c>
      <c r="V283" s="1" t="s">
        <v>64</v>
      </c>
      <c r="W283" s="7">
        <v>1114.4000000000001</v>
      </c>
      <c r="X283" s="1">
        <v>7</v>
      </c>
      <c r="Y283" s="7">
        <v>1113.53</v>
      </c>
      <c r="Z283" s="7">
        <f t="shared" ref="Z283:AA283" si="291">W283*X283</f>
        <v>7800.8000000000011</v>
      </c>
      <c r="AA283" s="7">
        <f t="shared" si="291"/>
        <v>7794.71</v>
      </c>
      <c r="AB283" s="7">
        <f t="shared" si="265"/>
        <v>6.090000000001055</v>
      </c>
    </row>
    <row r="284" spans="1:28">
      <c r="A284" s="1">
        <v>283</v>
      </c>
      <c r="B284" s="1" t="s">
        <v>859</v>
      </c>
      <c r="C284" s="2">
        <v>42411</v>
      </c>
      <c r="D284" s="6" t="str">
        <f t="shared" si="260"/>
        <v>Feb</v>
      </c>
      <c r="E284" s="6" t="str">
        <f t="shared" si="261"/>
        <v>Qtr 1</v>
      </c>
      <c r="F284" s="5">
        <v>42532</v>
      </c>
      <c r="G284" s="1" t="s">
        <v>49</v>
      </c>
      <c r="H284" s="1" t="s">
        <v>860</v>
      </c>
      <c r="I284" s="1" t="s">
        <v>861</v>
      </c>
      <c r="J284" s="1" t="str">
        <f ca="1">IFERROR(__xludf.DUMMYFUNCTION("split(I284,"" "")"),"Jas")</f>
        <v>Jas</v>
      </c>
      <c r="K284" s="1" t="str">
        <f ca="1">IFERROR(__xludf.DUMMYFUNCTION("""COMPUTED_VALUE"""),"O'Carroll")</f>
        <v>O'Carroll</v>
      </c>
      <c r="L284" s="1"/>
      <c r="M284" s="1" t="s">
        <v>29</v>
      </c>
      <c r="N284" s="1" t="s">
        <v>30</v>
      </c>
      <c r="O284" s="1" t="s">
        <v>42</v>
      </c>
      <c r="P284" s="1" t="str">
        <f t="shared" si="262"/>
        <v>Los Angeles</v>
      </c>
      <c r="Q284" s="1" t="s">
        <v>68</v>
      </c>
      <c r="R284" s="1" t="str">
        <f t="shared" si="263"/>
        <v>California</v>
      </c>
      <c r="S284" s="1">
        <v>90004</v>
      </c>
      <c r="T284" s="1" t="s">
        <v>44</v>
      </c>
      <c r="U284" s="1" t="s">
        <v>862</v>
      </c>
      <c r="V284" s="1" t="s">
        <v>35</v>
      </c>
      <c r="W284" s="7">
        <v>1038.8399999999999</v>
      </c>
      <c r="X284" s="1">
        <v>9</v>
      </c>
      <c r="Y284" s="7">
        <v>1038.0999999999999</v>
      </c>
      <c r="Z284" s="7">
        <f t="shared" ref="Z284:AA284" si="292">W284*X284</f>
        <v>9349.56</v>
      </c>
      <c r="AA284" s="7">
        <f t="shared" si="292"/>
        <v>9342.9</v>
      </c>
      <c r="AB284" s="7">
        <f t="shared" si="265"/>
        <v>6.6599999999998545</v>
      </c>
    </row>
    <row r="285" spans="1:28">
      <c r="A285" s="1">
        <v>284</v>
      </c>
      <c r="B285" s="1" t="s">
        <v>863</v>
      </c>
      <c r="C285" s="2">
        <v>42639</v>
      </c>
      <c r="D285" s="6" t="str">
        <f t="shared" si="260"/>
        <v>Sep</v>
      </c>
      <c r="E285" s="6" t="str">
        <f t="shared" si="261"/>
        <v>Qtr 3</v>
      </c>
      <c r="F285" s="5">
        <v>42410</v>
      </c>
      <c r="G285" s="1" t="s">
        <v>49</v>
      </c>
      <c r="H285" s="1" t="s">
        <v>143</v>
      </c>
      <c r="I285" s="1" t="s">
        <v>144</v>
      </c>
      <c r="J285" s="1" t="str">
        <f ca="1">IFERROR(__xludf.DUMMYFUNCTION("split(I285,"" "")"),"Tracy")</f>
        <v>Tracy</v>
      </c>
      <c r="K285" s="1" t="str">
        <f ca="1">IFERROR(__xludf.DUMMYFUNCTION("""COMPUTED_VALUE"""),"Blumstein")</f>
        <v>Blumstein</v>
      </c>
      <c r="L285" s="1"/>
      <c r="M285" s="1" t="s">
        <v>29</v>
      </c>
      <c r="N285" s="1" t="s">
        <v>30</v>
      </c>
      <c r="O285" s="1" t="s">
        <v>354</v>
      </c>
      <c r="P285" s="1" t="str">
        <f t="shared" si="262"/>
        <v>Portland</v>
      </c>
      <c r="Q285" s="1" t="s">
        <v>355</v>
      </c>
      <c r="R285" s="1" t="str">
        <f t="shared" si="263"/>
        <v>Oregon</v>
      </c>
      <c r="S285" s="1">
        <v>97206</v>
      </c>
      <c r="T285" s="1" t="s">
        <v>44</v>
      </c>
      <c r="U285" s="1" t="s">
        <v>864</v>
      </c>
      <c r="V285" s="1" t="s">
        <v>46</v>
      </c>
      <c r="W285" s="7">
        <v>141.76</v>
      </c>
      <c r="X285" s="1">
        <v>9</v>
      </c>
      <c r="Y285" s="7">
        <v>141.38999999999999</v>
      </c>
      <c r="Z285" s="7">
        <f t="shared" ref="Z285:AA285" si="293">W285*X285</f>
        <v>1275.8399999999999</v>
      </c>
      <c r="AA285" s="7">
        <f t="shared" si="293"/>
        <v>1272.5099999999998</v>
      </c>
      <c r="AB285" s="7">
        <f t="shared" si="265"/>
        <v>3.3300000000001546</v>
      </c>
    </row>
    <row r="286" spans="1:28">
      <c r="A286" s="1">
        <v>285</v>
      </c>
      <c r="B286" s="1" t="s">
        <v>863</v>
      </c>
      <c r="C286" s="2">
        <v>42639</v>
      </c>
      <c r="D286" s="6" t="str">
        <f t="shared" si="260"/>
        <v>Sep</v>
      </c>
      <c r="E286" s="6" t="str">
        <f t="shared" si="261"/>
        <v>Qtr 3</v>
      </c>
      <c r="F286" s="5">
        <v>42410</v>
      </c>
      <c r="G286" s="1" t="s">
        <v>49</v>
      </c>
      <c r="H286" s="1" t="s">
        <v>143</v>
      </c>
      <c r="I286" s="1" t="s">
        <v>144</v>
      </c>
      <c r="J286" s="1" t="str">
        <f ca="1">IFERROR(__xludf.DUMMYFUNCTION("split(I286,"" "")"),"Tracy")</f>
        <v>Tracy</v>
      </c>
      <c r="K286" s="1" t="str">
        <f ca="1">IFERROR(__xludf.DUMMYFUNCTION("""COMPUTED_VALUE"""),"Blumstein")</f>
        <v>Blumstein</v>
      </c>
      <c r="L286" s="1"/>
      <c r="M286" s="1" t="s">
        <v>29</v>
      </c>
      <c r="N286" s="1" t="s">
        <v>30</v>
      </c>
      <c r="O286" s="1" t="s">
        <v>354</v>
      </c>
      <c r="P286" s="1" t="str">
        <f t="shared" si="262"/>
        <v>Portland</v>
      </c>
      <c r="Q286" s="1" t="s">
        <v>355</v>
      </c>
      <c r="R286" s="1" t="str">
        <f t="shared" si="263"/>
        <v>Oregon</v>
      </c>
      <c r="S286" s="1">
        <v>97206</v>
      </c>
      <c r="T286" s="1" t="s">
        <v>44</v>
      </c>
      <c r="U286" s="1" t="s">
        <v>865</v>
      </c>
      <c r="V286" s="1" t="s">
        <v>64</v>
      </c>
      <c r="W286" s="7">
        <v>239.8</v>
      </c>
      <c r="X286" s="1">
        <v>9</v>
      </c>
      <c r="Y286" s="7">
        <v>239.3</v>
      </c>
      <c r="Z286" s="7">
        <f t="shared" ref="Z286:AA286" si="294">W286*X286</f>
        <v>2158.2000000000003</v>
      </c>
      <c r="AA286" s="7">
        <f t="shared" si="294"/>
        <v>2153.7000000000003</v>
      </c>
      <c r="AB286" s="7">
        <f t="shared" si="265"/>
        <v>4.5</v>
      </c>
    </row>
    <row r="287" spans="1:28">
      <c r="A287" s="1">
        <v>286</v>
      </c>
      <c r="B287" s="1" t="s">
        <v>863</v>
      </c>
      <c r="C287" s="2">
        <v>42639</v>
      </c>
      <c r="D287" s="6" t="str">
        <f t="shared" si="260"/>
        <v>Sep</v>
      </c>
      <c r="E287" s="6" t="str">
        <f t="shared" si="261"/>
        <v>Qtr 3</v>
      </c>
      <c r="F287" s="5">
        <v>42410</v>
      </c>
      <c r="G287" s="1" t="s">
        <v>49</v>
      </c>
      <c r="H287" s="1" t="s">
        <v>143</v>
      </c>
      <c r="I287" s="1" t="s">
        <v>144</v>
      </c>
      <c r="J287" s="1" t="str">
        <f ca="1">IFERROR(__xludf.DUMMYFUNCTION("split(I287,"" "")"),"Tracy")</f>
        <v>Tracy</v>
      </c>
      <c r="K287" s="1" t="str">
        <f ca="1">IFERROR(__xludf.DUMMYFUNCTION("""COMPUTED_VALUE"""),"Blumstein")</f>
        <v>Blumstein</v>
      </c>
      <c r="L287" s="1"/>
      <c r="M287" s="1" t="s">
        <v>29</v>
      </c>
      <c r="N287" s="1" t="s">
        <v>30</v>
      </c>
      <c r="O287" s="1" t="s">
        <v>354</v>
      </c>
      <c r="P287" s="1" t="str">
        <f t="shared" si="262"/>
        <v>Portland</v>
      </c>
      <c r="Q287" s="1" t="s">
        <v>355</v>
      </c>
      <c r="R287" s="1" t="str">
        <f t="shared" si="263"/>
        <v>Oregon</v>
      </c>
      <c r="S287" s="1">
        <v>97206</v>
      </c>
      <c r="T287" s="1" t="s">
        <v>44</v>
      </c>
      <c r="U287" s="1" t="s">
        <v>866</v>
      </c>
      <c r="V287" s="1" t="s">
        <v>46</v>
      </c>
      <c r="W287" s="7">
        <v>31.103999999999999</v>
      </c>
      <c r="X287" s="1">
        <v>9</v>
      </c>
      <c r="Y287" s="7">
        <v>30.4</v>
      </c>
      <c r="Z287" s="7">
        <f t="shared" ref="Z287:AA287" si="295">W287*X287</f>
        <v>279.93599999999998</v>
      </c>
      <c r="AA287" s="7">
        <f t="shared" si="295"/>
        <v>273.59999999999997</v>
      </c>
      <c r="AB287" s="7">
        <f t="shared" si="265"/>
        <v>6.3360000000000127</v>
      </c>
    </row>
    <row r="288" spans="1:28">
      <c r="A288" s="1">
        <v>287</v>
      </c>
      <c r="B288" s="1" t="s">
        <v>867</v>
      </c>
      <c r="C288" s="2">
        <v>43087</v>
      </c>
      <c r="D288" s="6" t="str">
        <f t="shared" si="260"/>
        <v>Dec</v>
      </c>
      <c r="E288" s="6" t="str">
        <f t="shared" si="261"/>
        <v>Qtr 4</v>
      </c>
      <c r="F288" s="5" t="s">
        <v>868</v>
      </c>
      <c r="G288" s="1" t="s">
        <v>26</v>
      </c>
      <c r="H288" s="1" t="s">
        <v>869</v>
      </c>
      <c r="I288" s="1" t="s">
        <v>870</v>
      </c>
      <c r="J288" s="1" t="str">
        <f ca="1">IFERROR(__xludf.DUMMYFUNCTION("split(I288,"" "")"),"Alan")</f>
        <v>Alan</v>
      </c>
      <c r="K288" s="1" t="str">
        <f ca="1">IFERROR(__xludf.DUMMYFUNCTION("""COMPUTED_VALUE"""),"Haines")</f>
        <v>Haines</v>
      </c>
      <c r="L288" s="1"/>
      <c r="M288" s="1" t="s">
        <v>41</v>
      </c>
      <c r="N288" s="1" t="s">
        <v>30</v>
      </c>
      <c r="O288" s="1" t="s">
        <v>871</v>
      </c>
      <c r="P288" s="1" t="str">
        <f t="shared" si="262"/>
        <v>Tamarac</v>
      </c>
      <c r="Q288" s="1" t="s">
        <v>194</v>
      </c>
      <c r="R288" s="1" t="str">
        <f t="shared" si="263"/>
        <v>Florida</v>
      </c>
      <c r="S288" s="1">
        <v>33319</v>
      </c>
      <c r="T288" s="1" t="s">
        <v>33</v>
      </c>
      <c r="U288" s="1" t="s">
        <v>872</v>
      </c>
      <c r="V288" s="1" t="s">
        <v>46</v>
      </c>
      <c r="W288" s="7">
        <v>254.05799999999999</v>
      </c>
      <c r="X288" s="1">
        <v>3</v>
      </c>
      <c r="Y288" s="7">
        <v>253.74</v>
      </c>
      <c r="Z288" s="7">
        <f t="shared" ref="Z288:AA288" si="296">W288*X288</f>
        <v>762.17399999999998</v>
      </c>
      <c r="AA288" s="7">
        <f t="shared" si="296"/>
        <v>761.22</v>
      </c>
      <c r="AB288" s="7">
        <f t="shared" si="265"/>
        <v>0.95399999999995089</v>
      </c>
    </row>
    <row r="289" spans="1:28">
      <c r="A289" s="1">
        <v>288</v>
      </c>
      <c r="B289" s="1" t="s">
        <v>867</v>
      </c>
      <c r="C289" s="2">
        <v>43087</v>
      </c>
      <c r="D289" s="6" t="str">
        <f t="shared" si="260"/>
        <v>Dec</v>
      </c>
      <c r="E289" s="6" t="str">
        <f t="shared" si="261"/>
        <v>Qtr 4</v>
      </c>
      <c r="F289" s="5" t="s">
        <v>868</v>
      </c>
      <c r="G289" s="1" t="s">
        <v>26</v>
      </c>
      <c r="H289" s="1" t="s">
        <v>869</v>
      </c>
      <c r="I289" s="1" t="s">
        <v>870</v>
      </c>
      <c r="J289" s="1" t="str">
        <f ca="1">IFERROR(__xludf.DUMMYFUNCTION("split(I289,"" "")"),"Alan")</f>
        <v>Alan</v>
      </c>
      <c r="K289" s="1" t="str">
        <f ca="1">IFERROR(__xludf.DUMMYFUNCTION("""COMPUTED_VALUE"""),"Haines")</f>
        <v>Haines</v>
      </c>
      <c r="L289" s="1"/>
      <c r="M289" s="1" t="s">
        <v>41</v>
      </c>
      <c r="N289" s="1" t="s">
        <v>30</v>
      </c>
      <c r="O289" s="1" t="s">
        <v>871</v>
      </c>
      <c r="P289" s="1" t="str">
        <f t="shared" si="262"/>
        <v>Tamarac</v>
      </c>
      <c r="Q289" s="1" t="s">
        <v>194</v>
      </c>
      <c r="R289" s="1" t="str">
        <f t="shared" si="263"/>
        <v>Florida</v>
      </c>
      <c r="S289" s="1">
        <v>33319</v>
      </c>
      <c r="T289" s="1" t="s">
        <v>33</v>
      </c>
      <c r="U289" s="1" t="s">
        <v>589</v>
      </c>
      <c r="V289" s="1" t="s">
        <v>46</v>
      </c>
      <c r="W289" s="7">
        <v>194.52799999999999</v>
      </c>
      <c r="X289" s="1">
        <v>3</v>
      </c>
      <c r="Y289" s="7">
        <v>193.93</v>
      </c>
      <c r="Z289" s="7">
        <f t="shared" ref="Z289:AA289" si="297">W289*X289</f>
        <v>583.58399999999995</v>
      </c>
      <c r="AA289" s="7">
        <f t="shared" si="297"/>
        <v>581.79</v>
      </c>
      <c r="AB289" s="7">
        <f t="shared" si="265"/>
        <v>1.7939999999999827</v>
      </c>
    </row>
    <row r="290" spans="1:28">
      <c r="A290" s="1">
        <v>289</v>
      </c>
      <c r="B290" s="1" t="s">
        <v>867</v>
      </c>
      <c r="C290" s="2">
        <v>43087</v>
      </c>
      <c r="D290" s="6" t="str">
        <f t="shared" si="260"/>
        <v>Dec</v>
      </c>
      <c r="E290" s="6" t="str">
        <f t="shared" si="261"/>
        <v>Qtr 4</v>
      </c>
      <c r="F290" s="5" t="s">
        <v>868</v>
      </c>
      <c r="G290" s="1" t="s">
        <v>26</v>
      </c>
      <c r="H290" s="1" t="s">
        <v>869</v>
      </c>
      <c r="I290" s="1" t="s">
        <v>870</v>
      </c>
      <c r="J290" s="1" t="str">
        <f ca="1">IFERROR(__xludf.DUMMYFUNCTION("split(I290,"" "")"),"Alan")</f>
        <v>Alan</v>
      </c>
      <c r="K290" s="1" t="str">
        <f ca="1">IFERROR(__xludf.DUMMYFUNCTION("""COMPUTED_VALUE"""),"Haines")</f>
        <v>Haines</v>
      </c>
      <c r="L290" s="1"/>
      <c r="M290" s="1" t="s">
        <v>41</v>
      </c>
      <c r="N290" s="1" t="s">
        <v>30</v>
      </c>
      <c r="O290" s="1" t="s">
        <v>871</v>
      </c>
      <c r="P290" s="1" t="str">
        <f t="shared" si="262"/>
        <v>Tamarac</v>
      </c>
      <c r="Q290" s="1" t="s">
        <v>194</v>
      </c>
      <c r="R290" s="1" t="str">
        <f t="shared" si="263"/>
        <v>Florida</v>
      </c>
      <c r="S290" s="1">
        <v>33319</v>
      </c>
      <c r="T290" s="1" t="s">
        <v>33</v>
      </c>
      <c r="U290" s="1" t="s">
        <v>873</v>
      </c>
      <c r="V290" s="1" t="s">
        <v>46</v>
      </c>
      <c r="W290" s="7">
        <v>961.48</v>
      </c>
      <c r="X290" s="1">
        <v>3</v>
      </c>
      <c r="Y290" s="7">
        <v>961.3</v>
      </c>
      <c r="Z290" s="7">
        <f t="shared" ref="Z290:AA290" si="298">W290*X290</f>
        <v>2884.44</v>
      </c>
      <c r="AA290" s="7">
        <f t="shared" si="298"/>
        <v>2883.8999999999996</v>
      </c>
      <c r="AB290" s="7">
        <f t="shared" si="265"/>
        <v>0.54000000000041837</v>
      </c>
    </row>
    <row r="291" spans="1:28">
      <c r="A291" s="1">
        <v>290</v>
      </c>
      <c r="B291" s="1" t="s">
        <v>874</v>
      </c>
      <c r="C291" s="2">
        <v>43059</v>
      </c>
      <c r="D291" s="6" t="str">
        <f t="shared" si="260"/>
        <v>Nov</v>
      </c>
      <c r="E291" s="6" t="str">
        <f t="shared" si="261"/>
        <v>Qtr 4</v>
      </c>
      <c r="F291" s="5" t="s">
        <v>536</v>
      </c>
      <c r="G291" s="1" t="s">
        <v>26</v>
      </c>
      <c r="H291" s="1" t="s">
        <v>875</v>
      </c>
      <c r="I291" s="1" t="s">
        <v>876</v>
      </c>
      <c r="J291" s="1" t="str">
        <f ca="1">IFERROR(__xludf.DUMMYFUNCTION("split(I291,"" "")"),"Nick")</f>
        <v>Nick</v>
      </c>
      <c r="K291" s="1" t="str">
        <f ca="1">IFERROR(__xludf.DUMMYFUNCTION("""COMPUTED_VALUE"""),"Zandusky")</f>
        <v>Zandusky</v>
      </c>
      <c r="L291" s="1"/>
      <c r="M291" s="1" t="s">
        <v>87</v>
      </c>
      <c r="N291" s="1" t="s">
        <v>30</v>
      </c>
      <c r="O291" s="1" t="s">
        <v>420</v>
      </c>
      <c r="P291" s="1" t="str">
        <f t="shared" si="262"/>
        <v>Columbus</v>
      </c>
      <c r="Q291" s="1" t="s">
        <v>421</v>
      </c>
      <c r="R291" s="1" t="str">
        <f t="shared" si="263"/>
        <v>Ohio</v>
      </c>
      <c r="S291" s="1">
        <v>43229</v>
      </c>
      <c r="T291" s="1" t="s">
        <v>128</v>
      </c>
      <c r="U291" s="1" t="s">
        <v>877</v>
      </c>
      <c r="V291" s="1" t="s">
        <v>46</v>
      </c>
      <c r="W291" s="7">
        <v>19.096</v>
      </c>
      <c r="X291" s="1">
        <v>4</v>
      </c>
      <c r="Y291" s="7">
        <v>18.34</v>
      </c>
      <c r="Z291" s="7">
        <f t="shared" ref="Z291:AA291" si="299">W291*X291</f>
        <v>76.384</v>
      </c>
      <c r="AA291" s="7">
        <f t="shared" si="299"/>
        <v>73.36</v>
      </c>
      <c r="AB291" s="7">
        <f t="shared" si="265"/>
        <v>3.0240000000000009</v>
      </c>
    </row>
    <row r="292" spans="1:28">
      <c r="A292" s="1">
        <v>291</v>
      </c>
      <c r="B292" s="1" t="s">
        <v>874</v>
      </c>
      <c r="C292" s="2">
        <v>43059</v>
      </c>
      <c r="D292" s="6" t="str">
        <f t="shared" si="260"/>
        <v>Nov</v>
      </c>
      <c r="E292" s="6" t="str">
        <f t="shared" si="261"/>
        <v>Qtr 4</v>
      </c>
      <c r="F292" s="5" t="s">
        <v>536</v>
      </c>
      <c r="G292" s="1" t="s">
        <v>26</v>
      </c>
      <c r="H292" s="1" t="s">
        <v>875</v>
      </c>
      <c r="I292" s="1" t="s">
        <v>876</v>
      </c>
      <c r="J292" s="1" t="str">
        <f ca="1">IFERROR(__xludf.DUMMYFUNCTION("split(I292,"" "")"),"Nick")</f>
        <v>Nick</v>
      </c>
      <c r="K292" s="1" t="str">
        <f ca="1">IFERROR(__xludf.DUMMYFUNCTION("""COMPUTED_VALUE"""),"Zandusky")</f>
        <v>Zandusky</v>
      </c>
      <c r="L292" s="1"/>
      <c r="M292" s="1" t="s">
        <v>87</v>
      </c>
      <c r="N292" s="1" t="s">
        <v>30</v>
      </c>
      <c r="O292" s="1" t="s">
        <v>420</v>
      </c>
      <c r="P292" s="1" t="str">
        <f t="shared" si="262"/>
        <v>Columbus</v>
      </c>
      <c r="Q292" s="1" t="s">
        <v>421</v>
      </c>
      <c r="R292" s="1" t="str">
        <f t="shared" si="263"/>
        <v>Ohio</v>
      </c>
      <c r="S292" s="1">
        <v>43229</v>
      </c>
      <c r="T292" s="1" t="s">
        <v>128</v>
      </c>
      <c r="U292" s="1" t="s">
        <v>878</v>
      </c>
      <c r="V292" s="1" t="s">
        <v>46</v>
      </c>
      <c r="W292" s="7">
        <v>18.495999999999999</v>
      </c>
      <c r="X292" s="1">
        <v>4</v>
      </c>
      <c r="Y292" s="7">
        <v>18.02</v>
      </c>
      <c r="Z292" s="7">
        <f t="shared" ref="Z292:AA292" si="300">W292*X292</f>
        <v>73.983999999999995</v>
      </c>
      <c r="AA292" s="7">
        <f t="shared" si="300"/>
        <v>72.08</v>
      </c>
      <c r="AB292" s="7">
        <f t="shared" si="265"/>
        <v>1.9039999999999964</v>
      </c>
    </row>
    <row r="293" spans="1:28">
      <c r="A293" s="1">
        <v>292</v>
      </c>
      <c r="B293" s="1" t="s">
        <v>874</v>
      </c>
      <c r="C293" s="2">
        <v>43059</v>
      </c>
      <c r="D293" s="6" t="str">
        <f t="shared" si="260"/>
        <v>Nov</v>
      </c>
      <c r="E293" s="6" t="str">
        <f t="shared" si="261"/>
        <v>Qtr 4</v>
      </c>
      <c r="F293" s="5" t="s">
        <v>536</v>
      </c>
      <c r="G293" s="1" t="s">
        <v>26</v>
      </c>
      <c r="H293" s="1" t="s">
        <v>875</v>
      </c>
      <c r="I293" s="1" t="s">
        <v>876</v>
      </c>
      <c r="J293" s="1" t="str">
        <f ca="1">IFERROR(__xludf.DUMMYFUNCTION("split(I293,"" "")"),"Nick")</f>
        <v>Nick</v>
      </c>
      <c r="K293" s="1" t="str">
        <f ca="1">IFERROR(__xludf.DUMMYFUNCTION("""COMPUTED_VALUE"""),"Zandusky")</f>
        <v>Zandusky</v>
      </c>
      <c r="L293" s="1"/>
      <c r="M293" s="1" t="s">
        <v>87</v>
      </c>
      <c r="N293" s="1" t="s">
        <v>30</v>
      </c>
      <c r="O293" s="1" t="s">
        <v>420</v>
      </c>
      <c r="P293" s="1" t="str">
        <f t="shared" si="262"/>
        <v>Columbus</v>
      </c>
      <c r="Q293" s="1" t="s">
        <v>421</v>
      </c>
      <c r="R293" s="1" t="str">
        <f t="shared" si="263"/>
        <v>Ohio</v>
      </c>
      <c r="S293" s="1">
        <v>43229</v>
      </c>
      <c r="T293" s="1" t="s">
        <v>128</v>
      </c>
      <c r="U293" s="1" t="s">
        <v>879</v>
      </c>
      <c r="V293" s="1" t="s">
        <v>64</v>
      </c>
      <c r="W293" s="7">
        <v>255.98400000000001</v>
      </c>
      <c r="X293" s="1">
        <v>4</v>
      </c>
      <c r="Y293" s="7">
        <v>255.27</v>
      </c>
      <c r="Z293" s="7">
        <f t="shared" ref="Z293:AA293" si="301">W293*X293</f>
        <v>1023.936</v>
      </c>
      <c r="AA293" s="7">
        <f t="shared" si="301"/>
        <v>1021.08</v>
      </c>
      <c r="AB293" s="7">
        <f t="shared" si="265"/>
        <v>2.8559999999999945</v>
      </c>
    </row>
    <row r="294" spans="1:28">
      <c r="A294" s="1">
        <v>293</v>
      </c>
      <c r="B294" s="1" t="s">
        <v>874</v>
      </c>
      <c r="C294" s="2">
        <v>43059</v>
      </c>
      <c r="D294" s="6" t="str">
        <f t="shared" si="260"/>
        <v>Nov</v>
      </c>
      <c r="E294" s="6" t="str">
        <f t="shared" si="261"/>
        <v>Qtr 4</v>
      </c>
      <c r="F294" s="5" t="s">
        <v>536</v>
      </c>
      <c r="G294" s="1" t="s">
        <v>26</v>
      </c>
      <c r="H294" s="1" t="s">
        <v>875</v>
      </c>
      <c r="I294" s="1" t="s">
        <v>876</v>
      </c>
      <c r="J294" s="1" t="str">
        <f ca="1">IFERROR(__xludf.DUMMYFUNCTION("split(I294,"" "")"),"Nick")</f>
        <v>Nick</v>
      </c>
      <c r="K294" s="1" t="str">
        <f ca="1">IFERROR(__xludf.DUMMYFUNCTION("""COMPUTED_VALUE"""),"Zandusky")</f>
        <v>Zandusky</v>
      </c>
      <c r="L294" s="1"/>
      <c r="M294" s="1" t="s">
        <v>87</v>
      </c>
      <c r="N294" s="1" t="s">
        <v>30</v>
      </c>
      <c r="O294" s="1" t="s">
        <v>420</v>
      </c>
      <c r="P294" s="1" t="str">
        <f t="shared" si="262"/>
        <v>Columbus</v>
      </c>
      <c r="Q294" s="1" t="s">
        <v>421</v>
      </c>
      <c r="R294" s="1" t="str">
        <f t="shared" si="263"/>
        <v>Ohio</v>
      </c>
      <c r="S294" s="1">
        <v>43229</v>
      </c>
      <c r="T294" s="1" t="s">
        <v>128</v>
      </c>
      <c r="U294" s="1" t="s">
        <v>880</v>
      </c>
      <c r="V294" s="1" t="s">
        <v>35</v>
      </c>
      <c r="W294" s="7">
        <v>86.97</v>
      </c>
      <c r="X294" s="1">
        <v>4</v>
      </c>
      <c r="Y294" s="7">
        <v>86.48</v>
      </c>
      <c r="Z294" s="7">
        <f t="shared" ref="Z294:AA294" si="302">W294*X294</f>
        <v>347.88</v>
      </c>
      <c r="AA294" s="7">
        <f t="shared" si="302"/>
        <v>345.92</v>
      </c>
      <c r="AB294" s="7">
        <f t="shared" si="265"/>
        <v>1.9599999999999795</v>
      </c>
    </row>
    <row r="295" spans="1:28">
      <c r="A295" s="1">
        <v>294</v>
      </c>
      <c r="B295" s="1" t="s">
        <v>881</v>
      </c>
      <c r="C295" s="2">
        <v>42364</v>
      </c>
      <c r="D295" s="6" t="str">
        <f t="shared" si="260"/>
        <v>Dec</v>
      </c>
      <c r="E295" s="6" t="str">
        <f t="shared" si="261"/>
        <v>Qtr 4</v>
      </c>
      <c r="F295" s="5" t="s">
        <v>444</v>
      </c>
      <c r="G295" s="1" t="s">
        <v>162</v>
      </c>
      <c r="H295" s="1" t="s">
        <v>882</v>
      </c>
      <c r="I295" s="1" t="s">
        <v>883</v>
      </c>
      <c r="J295" s="1" t="str">
        <f ca="1">IFERROR(__xludf.DUMMYFUNCTION("split(I295,"" "")"),"Kelly")</f>
        <v>Kelly</v>
      </c>
      <c r="K295" s="1" t="str">
        <f ca="1">IFERROR(__xludf.DUMMYFUNCTION("""COMPUTED_VALUE"""),"Lampkin")</f>
        <v>Lampkin</v>
      </c>
      <c r="L295" s="1"/>
      <c r="M295" s="1" t="s">
        <v>41</v>
      </c>
      <c r="N295" s="1" t="s">
        <v>30</v>
      </c>
      <c r="O295" s="1" t="s">
        <v>884</v>
      </c>
      <c r="P295" s="1" t="str">
        <f t="shared" si="262"/>
        <v>Colorado Springs</v>
      </c>
      <c r="Q295" s="1" t="s">
        <v>386</v>
      </c>
      <c r="R295" s="1" t="str">
        <f t="shared" si="263"/>
        <v>Colorado</v>
      </c>
      <c r="S295" s="1">
        <v>80906</v>
      </c>
      <c r="T295" s="1" t="s">
        <v>44</v>
      </c>
      <c r="U295" s="1" t="s">
        <v>885</v>
      </c>
      <c r="V295" s="1" t="s">
        <v>35</v>
      </c>
      <c r="W295" s="7">
        <v>300.416</v>
      </c>
      <c r="X295" s="1">
        <v>8</v>
      </c>
      <c r="Y295" s="7">
        <v>299.42</v>
      </c>
      <c r="Z295" s="7">
        <f t="shared" ref="Z295:AA295" si="303">W295*X295</f>
        <v>2403.328</v>
      </c>
      <c r="AA295" s="7">
        <f t="shared" si="303"/>
        <v>2395.36</v>
      </c>
      <c r="AB295" s="7">
        <f t="shared" si="265"/>
        <v>7.9679999999998472</v>
      </c>
    </row>
    <row r="296" spans="1:28">
      <c r="A296" s="1">
        <v>295</v>
      </c>
      <c r="B296" s="1" t="s">
        <v>881</v>
      </c>
      <c r="C296" s="2">
        <v>42364</v>
      </c>
      <c r="D296" s="6" t="str">
        <f t="shared" si="260"/>
        <v>Dec</v>
      </c>
      <c r="E296" s="6" t="str">
        <f t="shared" si="261"/>
        <v>Qtr 4</v>
      </c>
      <c r="F296" s="5" t="s">
        <v>444</v>
      </c>
      <c r="G296" s="1" t="s">
        <v>162</v>
      </c>
      <c r="H296" s="1" t="s">
        <v>882</v>
      </c>
      <c r="I296" s="1" t="s">
        <v>883</v>
      </c>
      <c r="J296" s="1" t="str">
        <f ca="1">IFERROR(__xludf.DUMMYFUNCTION("split(I296,"" "")"),"Kelly")</f>
        <v>Kelly</v>
      </c>
      <c r="K296" s="1" t="str">
        <f ca="1">IFERROR(__xludf.DUMMYFUNCTION("""COMPUTED_VALUE"""),"Lampkin")</f>
        <v>Lampkin</v>
      </c>
      <c r="L296" s="1"/>
      <c r="M296" s="1" t="s">
        <v>41</v>
      </c>
      <c r="N296" s="1" t="s">
        <v>30</v>
      </c>
      <c r="O296" s="1" t="s">
        <v>884</v>
      </c>
      <c r="P296" s="1" t="str">
        <f t="shared" si="262"/>
        <v>Colorado Springs</v>
      </c>
      <c r="Q296" s="1" t="s">
        <v>386</v>
      </c>
      <c r="R296" s="1" t="str">
        <f t="shared" si="263"/>
        <v>Colorado</v>
      </c>
      <c r="S296" s="1">
        <v>80906</v>
      </c>
      <c r="T296" s="1" t="s">
        <v>44</v>
      </c>
      <c r="U296" s="1" t="s">
        <v>886</v>
      </c>
      <c r="V296" s="1" t="s">
        <v>35</v>
      </c>
      <c r="W296" s="7">
        <v>230.352</v>
      </c>
      <c r="X296" s="1">
        <v>8</v>
      </c>
      <c r="Y296" s="7">
        <v>229.78</v>
      </c>
      <c r="Z296" s="7">
        <f t="shared" ref="Z296:AA296" si="304">W296*X296</f>
        <v>1842.816</v>
      </c>
      <c r="AA296" s="7">
        <f t="shared" si="304"/>
        <v>1838.24</v>
      </c>
      <c r="AB296" s="7">
        <f t="shared" si="265"/>
        <v>4.5760000000000218</v>
      </c>
    </row>
    <row r="297" spans="1:28">
      <c r="A297" s="1">
        <v>296</v>
      </c>
      <c r="B297" s="1" t="s">
        <v>881</v>
      </c>
      <c r="C297" s="2">
        <v>42364</v>
      </c>
      <c r="D297" s="6" t="str">
        <f t="shared" si="260"/>
        <v>Dec</v>
      </c>
      <c r="E297" s="6" t="str">
        <f t="shared" si="261"/>
        <v>Qtr 4</v>
      </c>
      <c r="F297" s="5" t="s">
        <v>444</v>
      </c>
      <c r="G297" s="1" t="s">
        <v>162</v>
      </c>
      <c r="H297" s="1" t="s">
        <v>882</v>
      </c>
      <c r="I297" s="1" t="s">
        <v>883</v>
      </c>
      <c r="J297" s="1" t="str">
        <f ca="1">IFERROR(__xludf.DUMMYFUNCTION("split(I297,"" "")"),"Kelly")</f>
        <v>Kelly</v>
      </c>
      <c r="K297" s="1" t="str">
        <f ca="1">IFERROR(__xludf.DUMMYFUNCTION("""COMPUTED_VALUE"""),"Lampkin")</f>
        <v>Lampkin</v>
      </c>
      <c r="L297" s="1"/>
      <c r="M297" s="1" t="s">
        <v>41</v>
      </c>
      <c r="N297" s="1" t="s">
        <v>30</v>
      </c>
      <c r="O297" s="1" t="s">
        <v>884</v>
      </c>
      <c r="P297" s="1" t="str">
        <f t="shared" si="262"/>
        <v>Colorado Springs</v>
      </c>
      <c r="Q297" s="1" t="s">
        <v>386</v>
      </c>
      <c r="R297" s="1" t="str">
        <f t="shared" si="263"/>
        <v>Colorado</v>
      </c>
      <c r="S297" s="1">
        <v>80906</v>
      </c>
      <c r="T297" s="1" t="s">
        <v>44</v>
      </c>
      <c r="U297" s="1" t="s">
        <v>887</v>
      </c>
      <c r="V297" s="1" t="s">
        <v>35</v>
      </c>
      <c r="W297" s="7">
        <v>218.352</v>
      </c>
      <c r="X297" s="1">
        <v>8</v>
      </c>
      <c r="Y297" s="7">
        <v>218.02</v>
      </c>
      <c r="Z297" s="7">
        <f t="shared" ref="Z297:AA297" si="305">W297*X297</f>
        <v>1746.816</v>
      </c>
      <c r="AA297" s="7">
        <f t="shared" si="305"/>
        <v>1744.16</v>
      </c>
      <c r="AB297" s="7">
        <f t="shared" si="265"/>
        <v>2.6559999999999491</v>
      </c>
    </row>
    <row r="298" spans="1:28">
      <c r="A298" s="1">
        <v>297</v>
      </c>
      <c r="B298" s="1" t="s">
        <v>881</v>
      </c>
      <c r="C298" s="2">
        <v>42364</v>
      </c>
      <c r="D298" s="6" t="str">
        <f t="shared" si="260"/>
        <v>Dec</v>
      </c>
      <c r="E298" s="6" t="str">
        <f t="shared" si="261"/>
        <v>Qtr 4</v>
      </c>
      <c r="F298" s="5" t="s">
        <v>444</v>
      </c>
      <c r="G298" s="1" t="s">
        <v>162</v>
      </c>
      <c r="H298" s="1" t="s">
        <v>882</v>
      </c>
      <c r="I298" s="1" t="s">
        <v>883</v>
      </c>
      <c r="J298" s="1" t="str">
        <f ca="1">IFERROR(__xludf.DUMMYFUNCTION("split(I298,"" "")"),"Kelly")</f>
        <v>Kelly</v>
      </c>
      <c r="K298" s="1" t="str">
        <f ca="1">IFERROR(__xludf.DUMMYFUNCTION("""COMPUTED_VALUE"""),"Lampkin")</f>
        <v>Lampkin</v>
      </c>
      <c r="L298" s="1"/>
      <c r="M298" s="1" t="s">
        <v>41</v>
      </c>
      <c r="N298" s="1" t="s">
        <v>30</v>
      </c>
      <c r="O298" s="1" t="s">
        <v>884</v>
      </c>
      <c r="P298" s="1" t="str">
        <f t="shared" si="262"/>
        <v>Colorado Springs</v>
      </c>
      <c r="Q298" s="1" t="s">
        <v>386</v>
      </c>
      <c r="R298" s="1" t="str">
        <f t="shared" si="263"/>
        <v>Colorado</v>
      </c>
      <c r="S298" s="1">
        <v>80906</v>
      </c>
      <c r="T298" s="1" t="s">
        <v>44</v>
      </c>
      <c r="U298" s="1" t="s">
        <v>888</v>
      </c>
      <c r="V298" s="1" t="s">
        <v>46</v>
      </c>
      <c r="W298" s="7">
        <v>78.599999999999994</v>
      </c>
      <c r="X298" s="1">
        <v>8</v>
      </c>
      <c r="Y298" s="7">
        <v>78.290000000000006</v>
      </c>
      <c r="Z298" s="7">
        <f t="shared" ref="Z298:AA298" si="306">W298*X298</f>
        <v>628.79999999999995</v>
      </c>
      <c r="AA298" s="7">
        <f t="shared" si="306"/>
        <v>626.32000000000005</v>
      </c>
      <c r="AB298" s="7">
        <f t="shared" si="265"/>
        <v>2.4799999999999045</v>
      </c>
    </row>
    <row r="299" spans="1:28">
      <c r="A299" s="1">
        <v>298</v>
      </c>
      <c r="B299" s="1" t="s">
        <v>881</v>
      </c>
      <c r="C299" s="2">
        <v>42364</v>
      </c>
      <c r="D299" s="6" t="str">
        <f t="shared" si="260"/>
        <v>Dec</v>
      </c>
      <c r="E299" s="6" t="str">
        <f t="shared" si="261"/>
        <v>Qtr 4</v>
      </c>
      <c r="F299" s="5" t="s">
        <v>444</v>
      </c>
      <c r="G299" s="1" t="s">
        <v>162</v>
      </c>
      <c r="H299" s="1" t="s">
        <v>882</v>
      </c>
      <c r="I299" s="1" t="s">
        <v>883</v>
      </c>
      <c r="J299" s="1" t="str">
        <f ca="1">IFERROR(__xludf.DUMMYFUNCTION("split(I299,"" "")"),"Kelly")</f>
        <v>Kelly</v>
      </c>
      <c r="K299" s="1" t="str">
        <f ca="1">IFERROR(__xludf.DUMMYFUNCTION("""COMPUTED_VALUE"""),"Lampkin")</f>
        <v>Lampkin</v>
      </c>
      <c r="L299" s="1"/>
      <c r="M299" s="1" t="s">
        <v>41</v>
      </c>
      <c r="N299" s="1" t="s">
        <v>30</v>
      </c>
      <c r="O299" s="1" t="s">
        <v>884</v>
      </c>
      <c r="P299" s="1" t="str">
        <f t="shared" si="262"/>
        <v>Colorado Springs</v>
      </c>
      <c r="Q299" s="1" t="s">
        <v>386</v>
      </c>
      <c r="R299" s="1" t="str">
        <f t="shared" si="263"/>
        <v>Colorado</v>
      </c>
      <c r="S299" s="1">
        <v>80906</v>
      </c>
      <c r="T299" s="1" t="s">
        <v>44</v>
      </c>
      <c r="U299" s="1" t="s">
        <v>889</v>
      </c>
      <c r="V299" s="1" t="s">
        <v>46</v>
      </c>
      <c r="W299" s="7">
        <v>27.552</v>
      </c>
      <c r="X299" s="1">
        <v>8</v>
      </c>
      <c r="Y299" s="7">
        <v>27.54</v>
      </c>
      <c r="Z299" s="7">
        <f t="shared" ref="Z299:AA299" si="307">W299*X299</f>
        <v>220.416</v>
      </c>
      <c r="AA299" s="7">
        <f t="shared" si="307"/>
        <v>220.32</v>
      </c>
      <c r="AB299" s="7">
        <f t="shared" si="265"/>
        <v>9.6000000000003638E-2</v>
      </c>
    </row>
    <row r="300" spans="1:28">
      <c r="A300" s="1">
        <v>299</v>
      </c>
      <c r="B300" s="1" t="s">
        <v>890</v>
      </c>
      <c r="C300" s="2">
        <v>43036</v>
      </c>
      <c r="D300" s="6" t="str">
        <f t="shared" si="260"/>
        <v>Oct</v>
      </c>
      <c r="E300" s="6" t="str">
        <f t="shared" si="261"/>
        <v>Qtr 4</v>
      </c>
      <c r="F300" s="5">
        <v>42805</v>
      </c>
      <c r="G300" s="1" t="s">
        <v>49</v>
      </c>
      <c r="H300" s="1" t="s">
        <v>482</v>
      </c>
      <c r="I300" s="1" t="s">
        <v>483</v>
      </c>
      <c r="J300" s="1" t="str">
        <f ca="1">IFERROR(__xludf.DUMMYFUNCTION("split(I300,"" "")"),"Jonathan")</f>
        <v>Jonathan</v>
      </c>
      <c r="K300" s="1" t="str">
        <f ca="1">IFERROR(__xludf.DUMMYFUNCTION("""COMPUTED_VALUE"""),"Doherty")</f>
        <v>Doherty</v>
      </c>
      <c r="L300" s="1"/>
      <c r="M300" s="1" t="s">
        <v>41</v>
      </c>
      <c r="N300" s="1" t="s">
        <v>30</v>
      </c>
      <c r="O300" s="1" t="s">
        <v>891</v>
      </c>
      <c r="P300" s="1" t="str">
        <f t="shared" si="262"/>
        <v>Belleville</v>
      </c>
      <c r="Q300" s="1" t="s">
        <v>653</v>
      </c>
      <c r="R300" s="1" t="str">
        <f t="shared" si="263"/>
        <v>New Jersey</v>
      </c>
      <c r="S300" s="1">
        <v>7109</v>
      </c>
      <c r="T300" s="1" t="s">
        <v>128</v>
      </c>
      <c r="U300" s="1" t="s">
        <v>892</v>
      </c>
      <c r="V300" s="1" t="s">
        <v>46</v>
      </c>
      <c r="W300" s="7">
        <v>32.4</v>
      </c>
      <c r="X300" s="1">
        <v>7</v>
      </c>
      <c r="Y300" s="7">
        <v>32.06</v>
      </c>
      <c r="Z300" s="7">
        <f t="shared" ref="Z300:AA300" si="308">W300*X300</f>
        <v>226.79999999999998</v>
      </c>
      <c r="AA300" s="7">
        <f t="shared" si="308"/>
        <v>224.42000000000002</v>
      </c>
      <c r="AB300" s="7">
        <f t="shared" si="265"/>
        <v>2.379999999999967</v>
      </c>
    </row>
    <row r="301" spans="1:28">
      <c r="A301" s="1">
        <v>300</v>
      </c>
      <c r="B301" s="1" t="s">
        <v>890</v>
      </c>
      <c r="C301" s="2">
        <v>43036</v>
      </c>
      <c r="D301" s="6" t="str">
        <f t="shared" si="260"/>
        <v>Oct</v>
      </c>
      <c r="E301" s="6" t="str">
        <f t="shared" si="261"/>
        <v>Qtr 4</v>
      </c>
      <c r="F301" s="5">
        <v>42805</v>
      </c>
      <c r="G301" s="1" t="s">
        <v>49</v>
      </c>
      <c r="H301" s="1" t="s">
        <v>482</v>
      </c>
      <c r="I301" s="1" t="s">
        <v>483</v>
      </c>
      <c r="J301" s="1" t="str">
        <f ca="1">IFERROR(__xludf.DUMMYFUNCTION("split(I301,"" "")"),"Jonathan")</f>
        <v>Jonathan</v>
      </c>
      <c r="K301" s="1" t="str">
        <f ca="1">IFERROR(__xludf.DUMMYFUNCTION("""COMPUTED_VALUE"""),"Doherty")</f>
        <v>Doherty</v>
      </c>
      <c r="L301" s="1"/>
      <c r="M301" s="1" t="s">
        <v>41</v>
      </c>
      <c r="N301" s="1" t="s">
        <v>30</v>
      </c>
      <c r="O301" s="1" t="s">
        <v>891</v>
      </c>
      <c r="P301" s="1" t="str">
        <f t="shared" si="262"/>
        <v>Belleville</v>
      </c>
      <c r="Q301" s="1" t="s">
        <v>653</v>
      </c>
      <c r="R301" s="1" t="str">
        <f t="shared" si="263"/>
        <v>New Jersey</v>
      </c>
      <c r="S301" s="1">
        <v>7109</v>
      </c>
      <c r="T301" s="1" t="s">
        <v>128</v>
      </c>
      <c r="U301" s="1" t="s">
        <v>893</v>
      </c>
      <c r="V301" s="1" t="s">
        <v>46</v>
      </c>
      <c r="W301" s="7">
        <v>1082.48</v>
      </c>
      <c r="X301" s="1">
        <v>7</v>
      </c>
      <c r="Y301" s="7">
        <v>1081.82</v>
      </c>
      <c r="Z301" s="7">
        <f t="shared" ref="Z301:AA301" si="309">W301*X301</f>
        <v>7577.3600000000006</v>
      </c>
      <c r="AA301" s="7">
        <f t="shared" si="309"/>
        <v>7572.74</v>
      </c>
      <c r="AB301" s="7">
        <f t="shared" si="265"/>
        <v>4.6200000000008004</v>
      </c>
    </row>
    <row r="302" spans="1:28">
      <c r="A302" s="1">
        <v>301</v>
      </c>
      <c r="B302" s="1" t="s">
        <v>890</v>
      </c>
      <c r="C302" s="2">
        <v>43036</v>
      </c>
      <c r="D302" s="6" t="str">
        <f t="shared" si="260"/>
        <v>Oct</v>
      </c>
      <c r="E302" s="6" t="str">
        <f t="shared" si="261"/>
        <v>Qtr 4</v>
      </c>
      <c r="F302" s="5">
        <v>42805</v>
      </c>
      <c r="G302" s="1" t="s">
        <v>49</v>
      </c>
      <c r="H302" s="1" t="s">
        <v>482</v>
      </c>
      <c r="I302" s="1" t="s">
        <v>483</v>
      </c>
      <c r="J302" s="1" t="str">
        <f ca="1">IFERROR(__xludf.DUMMYFUNCTION("split(I302,"" "")"),"Jonathan")</f>
        <v>Jonathan</v>
      </c>
      <c r="K302" s="1" t="str">
        <f ca="1">IFERROR(__xludf.DUMMYFUNCTION("""COMPUTED_VALUE"""),"Doherty")</f>
        <v>Doherty</v>
      </c>
      <c r="L302" s="1"/>
      <c r="M302" s="1" t="s">
        <v>41</v>
      </c>
      <c r="N302" s="1" t="s">
        <v>30</v>
      </c>
      <c r="O302" s="1" t="s">
        <v>891</v>
      </c>
      <c r="P302" s="1" t="str">
        <f t="shared" si="262"/>
        <v>Belleville</v>
      </c>
      <c r="Q302" s="1" t="s">
        <v>653</v>
      </c>
      <c r="R302" s="1" t="str">
        <f t="shared" si="263"/>
        <v>New Jersey</v>
      </c>
      <c r="S302" s="1">
        <v>7109</v>
      </c>
      <c r="T302" s="1" t="s">
        <v>128</v>
      </c>
      <c r="U302" s="1" t="s">
        <v>894</v>
      </c>
      <c r="V302" s="1" t="s">
        <v>46</v>
      </c>
      <c r="W302" s="7">
        <v>56.91</v>
      </c>
      <c r="X302" s="1">
        <v>7</v>
      </c>
      <c r="Y302" s="7">
        <v>56.78</v>
      </c>
      <c r="Z302" s="7">
        <f t="shared" ref="Z302:AA302" si="310">W302*X302</f>
        <v>398.37</v>
      </c>
      <c r="AA302" s="7">
        <f t="shared" si="310"/>
        <v>397.46000000000004</v>
      </c>
      <c r="AB302" s="7">
        <f t="shared" si="265"/>
        <v>0.90999999999996817</v>
      </c>
    </row>
    <row r="303" spans="1:28">
      <c r="A303" s="1">
        <v>302</v>
      </c>
      <c r="B303" s="1" t="s">
        <v>890</v>
      </c>
      <c r="C303" s="2">
        <v>43036</v>
      </c>
      <c r="D303" s="6" t="str">
        <f t="shared" si="260"/>
        <v>Oct</v>
      </c>
      <c r="E303" s="6" t="str">
        <f t="shared" si="261"/>
        <v>Qtr 4</v>
      </c>
      <c r="F303" s="5">
        <v>42805</v>
      </c>
      <c r="G303" s="1" t="s">
        <v>49</v>
      </c>
      <c r="H303" s="1" t="s">
        <v>482</v>
      </c>
      <c r="I303" s="1" t="s">
        <v>483</v>
      </c>
      <c r="J303" s="1" t="str">
        <f ca="1">IFERROR(__xludf.DUMMYFUNCTION("split(I303,"" "")"),"Jonathan")</f>
        <v>Jonathan</v>
      </c>
      <c r="K303" s="1" t="str">
        <f ca="1">IFERROR(__xludf.DUMMYFUNCTION("""COMPUTED_VALUE"""),"Doherty")</f>
        <v>Doherty</v>
      </c>
      <c r="L303" s="1"/>
      <c r="M303" s="1" t="s">
        <v>41</v>
      </c>
      <c r="N303" s="1" t="s">
        <v>30</v>
      </c>
      <c r="O303" s="1" t="s">
        <v>891</v>
      </c>
      <c r="P303" s="1" t="str">
        <f t="shared" si="262"/>
        <v>Belleville</v>
      </c>
      <c r="Q303" s="1" t="s">
        <v>653</v>
      </c>
      <c r="R303" s="1" t="str">
        <f t="shared" si="263"/>
        <v>New Jersey</v>
      </c>
      <c r="S303" s="1">
        <v>7109</v>
      </c>
      <c r="T303" s="1" t="s">
        <v>128</v>
      </c>
      <c r="U303" s="1" t="s">
        <v>895</v>
      </c>
      <c r="V303" s="1" t="s">
        <v>35</v>
      </c>
      <c r="W303" s="7">
        <v>77.599999999999994</v>
      </c>
      <c r="X303" s="1">
        <v>7</v>
      </c>
      <c r="Y303" s="7">
        <v>76.91</v>
      </c>
      <c r="Z303" s="7">
        <f t="shared" ref="Z303:AA303" si="311">W303*X303</f>
        <v>543.19999999999993</v>
      </c>
      <c r="AA303" s="7">
        <f t="shared" si="311"/>
        <v>538.37</v>
      </c>
      <c r="AB303" s="7">
        <f t="shared" si="265"/>
        <v>4.8299999999999272</v>
      </c>
    </row>
    <row r="304" spans="1:28">
      <c r="A304" s="1">
        <v>303</v>
      </c>
      <c r="B304" s="1" t="s">
        <v>890</v>
      </c>
      <c r="C304" s="2">
        <v>43036</v>
      </c>
      <c r="D304" s="6" t="str">
        <f t="shared" si="260"/>
        <v>Oct</v>
      </c>
      <c r="E304" s="6" t="str">
        <f t="shared" si="261"/>
        <v>Qtr 4</v>
      </c>
      <c r="F304" s="5">
        <v>42805</v>
      </c>
      <c r="G304" s="1" t="s">
        <v>49</v>
      </c>
      <c r="H304" s="1" t="s">
        <v>482</v>
      </c>
      <c r="I304" s="1" t="s">
        <v>483</v>
      </c>
      <c r="J304" s="1" t="str">
        <f ca="1">IFERROR(__xludf.DUMMYFUNCTION("split(I304,"" "")"),"Jonathan")</f>
        <v>Jonathan</v>
      </c>
      <c r="K304" s="1" t="str">
        <f ca="1">IFERROR(__xludf.DUMMYFUNCTION("""COMPUTED_VALUE"""),"Doherty")</f>
        <v>Doherty</v>
      </c>
      <c r="L304" s="1"/>
      <c r="M304" s="1" t="s">
        <v>41</v>
      </c>
      <c r="N304" s="1" t="s">
        <v>30</v>
      </c>
      <c r="O304" s="1" t="s">
        <v>891</v>
      </c>
      <c r="P304" s="1" t="str">
        <f t="shared" si="262"/>
        <v>Belleville</v>
      </c>
      <c r="Q304" s="1" t="s">
        <v>653</v>
      </c>
      <c r="R304" s="1" t="str">
        <f t="shared" si="263"/>
        <v>New Jersey</v>
      </c>
      <c r="S304" s="1">
        <v>7109</v>
      </c>
      <c r="T304" s="1" t="s">
        <v>128</v>
      </c>
      <c r="U304" s="1" t="s">
        <v>896</v>
      </c>
      <c r="V304" s="1" t="s">
        <v>46</v>
      </c>
      <c r="W304" s="7">
        <v>14.28</v>
      </c>
      <c r="X304" s="1">
        <v>7</v>
      </c>
      <c r="Y304" s="7">
        <v>14.16</v>
      </c>
      <c r="Z304" s="7">
        <f t="shared" ref="Z304:AA304" si="312">W304*X304</f>
        <v>99.96</v>
      </c>
      <c r="AA304" s="7">
        <f t="shared" si="312"/>
        <v>99.12</v>
      </c>
      <c r="AB304" s="7">
        <f t="shared" si="265"/>
        <v>0.8399999999999892</v>
      </c>
    </row>
    <row r="305" spans="1:28">
      <c r="A305" s="1">
        <v>304</v>
      </c>
      <c r="B305" s="1" t="s">
        <v>897</v>
      </c>
      <c r="C305" s="2">
        <v>43423</v>
      </c>
      <c r="D305" s="6" t="str">
        <f t="shared" si="260"/>
        <v>Nov</v>
      </c>
      <c r="E305" s="6" t="str">
        <f t="shared" si="261"/>
        <v>Qtr 4</v>
      </c>
      <c r="F305" s="5" t="s">
        <v>898</v>
      </c>
      <c r="G305" s="1" t="s">
        <v>49</v>
      </c>
      <c r="H305" s="1" t="s">
        <v>711</v>
      </c>
      <c r="I305" s="1" t="s">
        <v>712</v>
      </c>
      <c r="J305" s="1" t="str">
        <f ca="1">IFERROR(__xludf.DUMMYFUNCTION("split(I305,"" "")"),"Jonathan")</f>
        <v>Jonathan</v>
      </c>
      <c r="K305" s="1" t="str">
        <f ca="1">IFERROR(__xludf.DUMMYFUNCTION("""COMPUTED_VALUE"""),"Howell")</f>
        <v>Howell</v>
      </c>
      <c r="L305" s="1"/>
      <c r="M305" s="1" t="s">
        <v>29</v>
      </c>
      <c r="N305" s="1" t="s">
        <v>30</v>
      </c>
      <c r="O305" s="1" t="s">
        <v>259</v>
      </c>
      <c r="P305" s="1" t="str">
        <f t="shared" si="262"/>
        <v>Chicago</v>
      </c>
      <c r="Q305" s="1" t="s">
        <v>182</v>
      </c>
      <c r="R305" s="1" t="str">
        <f t="shared" si="263"/>
        <v>Illinois</v>
      </c>
      <c r="S305" s="1">
        <v>60623</v>
      </c>
      <c r="T305" s="1" t="s">
        <v>90</v>
      </c>
      <c r="U305" s="1" t="s">
        <v>899</v>
      </c>
      <c r="V305" s="1" t="s">
        <v>35</v>
      </c>
      <c r="W305" s="7">
        <v>219.07499999999999</v>
      </c>
      <c r="X305" s="1">
        <v>6</v>
      </c>
      <c r="Y305" s="7">
        <v>218.6</v>
      </c>
      <c r="Z305" s="7">
        <f t="shared" ref="Z305:AA305" si="313">W305*X305</f>
        <v>1314.4499999999998</v>
      </c>
      <c r="AA305" s="7">
        <f t="shared" si="313"/>
        <v>1311.6</v>
      </c>
      <c r="AB305" s="7">
        <f t="shared" si="265"/>
        <v>2.8499999999999091</v>
      </c>
    </row>
    <row r="306" spans="1:28">
      <c r="A306" s="1">
        <v>305</v>
      </c>
      <c r="B306" s="1" t="s">
        <v>900</v>
      </c>
      <c r="C306" s="2">
        <v>42465</v>
      </c>
      <c r="D306" s="6" t="str">
        <f t="shared" si="260"/>
        <v>Apr</v>
      </c>
      <c r="E306" s="6" t="str">
        <f t="shared" si="261"/>
        <v>Qtr 2</v>
      </c>
      <c r="F306" s="5">
        <v>42618</v>
      </c>
      <c r="G306" s="1" t="s">
        <v>26</v>
      </c>
      <c r="H306" s="1" t="s">
        <v>901</v>
      </c>
      <c r="I306" s="1" t="s">
        <v>902</v>
      </c>
      <c r="J306" s="1" t="str">
        <f ca="1">IFERROR(__xludf.DUMMYFUNCTION("split(I306,"" "")"),"Alan")</f>
        <v>Alan</v>
      </c>
      <c r="K306" s="1" t="str">
        <f ca="1">IFERROR(__xludf.DUMMYFUNCTION("""COMPUTED_VALUE"""),"Schoenberger")</f>
        <v>Schoenberger</v>
      </c>
      <c r="L306" s="1"/>
      <c r="M306" s="1" t="s">
        <v>41</v>
      </c>
      <c r="N306" s="1" t="s">
        <v>30</v>
      </c>
      <c r="O306" s="1" t="s">
        <v>233</v>
      </c>
      <c r="P306" s="1" t="str">
        <f t="shared" si="262"/>
        <v>New York City</v>
      </c>
      <c r="Q306" s="1" t="s">
        <v>234</v>
      </c>
      <c r="R306" s="1" t="str">
        <f t="shared" si="263"/>
        <v>New York</v>
      </c>
      <c r="S306" s="1">
        <v>10024</v>
      </c>
      <c r="T306" s="1" t="s">
        <v>128</v>
      </c>
      <c r="U306" s="1" t="s">
        <v>903</v>
      </c>
      <c r="V306" s="1" t="s">
        <v>35</v>
      </c>
      <c r="W306" s="7">
        <v>26.8</v>
      </c>
      <c r="X306" s="1">
        <v>1</v>
      </c>
      <c r="Y306" s="7">
        <v>25.99</v>
      </c>
      <c r="Z306" s="7">
        <f t="shared" ref="Z306:AA306" si="314">W306*X306</f>
        <v>26.8</v>
      </c>
      <c r="AA306" s="7">
        <f t="shared" si="314"/>
        <v>25.99</v>
      </c>
      <c r="AB306" s="7">
        <f t="shared" si="265"/>
        <v>0.81000000000000227</v>
      </c>
    </row>
    <row r="307" spans="1:28">
      <c r="A307" s="1">
        <v>306</v>
      </c>
      <c r="B307" s="1" t="s">
        <v>904</v>
      </c>
      <c r="C307" s="2">
        <v>42368</v>
      </c>
      <c r="D307" s="6" t="str">
        <f t="shared" si="260"/>
        <v>Dec</v>
      </c>
      <c r="E307" s="6" t="str">
        <f t="shared" si="261"/>
        <v>Qtr 4</v>
      </c>
      <c r="F307" s="5">
        <v>42461</v>
      </c>
      <c r="G307" s="1" t="s">
        <v>49</v>
      </c>
      <c r="H307" s="1" t="s">
        <v>292</v>
      </c>
      <c r="I307" s="1" t="s">
        <v>293</v>
      </c>
      <c r="J307" s="1" t="str">
        <f ca="1">IFERROR(__xludf.DUMMYFUNCTION("split(I307,"" "")"),"Ken")</f>
        <v>Ken</v>
      </c>
      <c r="K307" s="1" t="str">
        <f ca="1">IFERROR(__xludf.DUMMYFUNCTION("""COMPUTED_VALUE"""),"Brennan")</f>
        <v>Brennan</v>
      </c>
      <c r="L307" s="1"/>
      <c r="M307" s="1" t="s">
        <v>41</v>
      </c>
      <c r="N307" s="1" t="s">
        <v>30</v>
      </c>
      <c r="O307" s="1" t="s">
        <v>905</v>
      </c>
      <c r="P307" s="1" t="str">
        <f t="shared" si="262"/>
        <v>Taylor</v>
      </c>
      <c r="Q307" s="1" t="s">
        <v>209</v>
      </c>
      <c r="R307" s="1" t="str">
        <f t="shared" si="263"/>
        <v>Michigan</v>
      </c>
      <c r="S307" s="1">
        <v>48180</v>
      </c>
      <c r="T307" s="1" t="s">
        <v>90</v>
      </c>
      <c r="U307" s="1" t="s">
        <v>906</v>
      </c>
      <c r="V307" s="1" t="s">
        <v>46</v>
      </c>
      <c r="W307" s="7">
        <v>9.84</v>
      </c>
      <c r="X307" s="1">
        <v>4</v>
      </c>
      <c r="Y307" s="7">
        <v>9.41</v>
      </c>
      <c r="Z307" s="7">
        <f t="shared" ref="Z307:AA307" si="315">W307*X307</f>
        <v>39.36</v>
      </c>
      <c r="AA307" s="7">
        <f t="shared" si="315"/>
        <v>37.64</v>
      </c>
      <c r="AB307" s="7">
        <f t="shared" si="265"/>
        <v>1.7199999999999989</v>
      </c>
    </row>
    <row r="308" spans="1:28">
      <c r="A308" s="1">
        <v>307</v>
      </c>
      <c r="B308" s="1" t="s">
        <v>907</v>
      </c>
      <c r="C308" s="2">
        <v>42010</v>
      </c>
      <c r="D308" s="6" t="str">
        <f t="shared" si="260"/>
        <v>Jan</v>
      </c>
      <c r="E308" s="6" t="str">
        <f t="shared" si="261"/>
        <v>Qtr 1</v>
      </c>
      <c r="F308" s="5">
        <v>42161</v>
      </c>
      <c r="G308" s="1" t="s">
        <v>49</v>
      </c>
      <c r="H308" s="1" t="s">
        <v>908</v>
      </c>
      <c r="I308" s="1" t="s">
        <v>909</v>
      </c>
      <c r="J308" s="1" t="str">
        <f ca="1">IFERROR(__xludf.DUMMYFUNCTION("split(I308,"" "")"),"Corey")</f>
        <v>Corey</v>
      </c>
      <c r="K308" s="1" t="str">
        <f ca="1">IFERROR(__xludf.DUMMYFUNCTION("""COMPUTED_VALUE"""),"Roper")</f>
        <v>Roper</v>
      </c>
      <c r="L308" s="1"/>
      <c r="M308" s="1" t="s">
        <v>87</v>
      </c>
      <c r="N308" s="1" t="s">
        <v>30</v>
      </c>
      <c r="O308" s="1" t="s">
        <v>910</v>
      </c>
      <c r="P308" s="1" t="str">
        <f t="shared" si="262"/>
        <v>Lakewood</v>
      </c>
      <c r="Q308" s="1" t="s">
        <v>653</v>
      </c>
      <c r="R308" s="1" t="str">
        <f t="shared" si="263"/>
        <v>New Jersey</v>
      </c>
      <c r="S308" s="1">
        <v>8701</v>
      </c>
      <c r="T308" s="1" t="s">
        <v>128</v>
      </c>
      <c r="U308" s="1" t="s">
        <v>911</v>
      </c>
      <c r="V308" s="1" t="s">
        <v>46</v>
      </c>
      <c r="W308" s="7">
        <v>45.48</v>
      </c>
      <c r="X308" s="1">
        <v>8</v>
      </c>
      <c r="Y308" s="7">
        <v>45.44</v>
      </c>
      <c r="Z308" s="7">
        <f t="shared" ref="Z308:AA308" si="316">W308*X308</f>
        <v>363.84</v>
      </c>
      <c r="AA308" s="7">
        <f t="shared" si="316"/>
        <v>363.52</v>
      </c>
      <c r="AB308" s="7">
        <f t="shared" si="265"/>
        <v>0.31999999999999318</v>
      </c>
    </row>
    <row r="309" spans="1:28">
      <c r="A309" s="1">
        <v>308</v>
      </c>
      <c r="B309" s="1" t="s">
        <v>907</v>
      </c>
      <c r="C309" s="2">
        <v>42010</v>
      </c>
      <c r="D309" s="6" t="str">
        <f t="shared" si="260"/>
        <v>Jan</v>
      </c>
      <c r="E309" s="6" t="str">
        <f t="shared" si="261"/>
        <v>Qtr 1</v>
      </c>
      <c r="F309" s="5">
        <v>42161</v>
      </c>
      <c r="G309" s="1" t="s">
        <v>49</v>
      </c>
      <c r="H309" s="1" t="s">
        <v>908</v>
      </c>
      <c r="I309" s="1" t="s">
        <v>909</v>
      </c>
      <c r="J309" s="1" t="str">
        <f ca="1">IFERROR(__xludf.DUMMYFUNCTION("split(I309,"" "")"),"Corey")</f>
        <v>Corey</v>
      </c>
      <c r="K309" s="1" t="str">
        <f ca="1">IFERROR(__xludf.DUMMYFUNCTION("""COMPUTED_VALUE"""),"Roper")</f>
        <v>Roper</v>
      </c>
      <c r="L309" s="1"/>
      <c r="M309" s="1" t="s">
        <v>87</v>
      </c>
      <c r="N309" s="1" t="s">
        <v>30</v>
      </c>
      <c r="O309" s="1" t="s">
        <v>910</v>
      </c>
      <c r="P309" s="1" t="str">
        <f t="shared" si="262"/>
        <v>Lakewood</v>
      </c>
      <c r="Q309" s="1" t="s">
        <v>653</v>
      </c>
      <c r="R309" s="1" t="str">
        <f t="shared" si="263"/>
        <v>New Jersey</v>
      </c>
      <c r="S309" s="1">
        <v>8701</v>
      </c>
      <c r="T309" s="1" t="s">
        <v>128</v>
      </c>
      <c r="U309" s="1" t="s">
        <v>912</v>
      </c>
      <c r="V309" s="1" t="s">
        <v>46</v>
      </c>
      <c r="W309" s="7">
        <v>289.2</v>
      </c>
      <c r="X309" s="1">
        <v>8</v>
      </c>
      <c r="Y309" s="7">
        <v>288.87</v>
      </c>
      <c r="Z309" s="7">
        <f t="shared" ref="Z309:AA309" si="317">W309*X309</f>
        <v>2313.6</v>
      </c>
      <c r="AA309" s="7">
        <f t="shared" si="317"/>
        <v>2310.96</v>
      </c>
      <c r="AB309" s="7">
        <f t="shared" si="265"/>
        <v>2.6399999999998727</v>
      </c>
    </row>
    <row r="310" spans="1:28">
      <c r="A310" s="1">
        <v>309</v>
      </c>
      <c r="B310" s="1" t="s">
        <v>913</v>
      </c>
      <c r="C310" s="2">
        <v>43205</v>
      </c>
      <c r="D310" s="6" t="str">
        <f t="shared" si="260"/>
        <v>Apr</v>
      </c>
      <c r="E310" s="6" t="str">
        <f t="shared" si="261"/>
        <v>Qtr 2</v>
      </c>
      <c r="F310" s="5" t="s">
        <v>914</v>
      </c>
      <c r="G310" s="1" t="s">
        <v>162</v>
      </c>
      <c r="H310" s="1" t="s">
        <v>915</v>
      </c>
      <c r="I310" s="1" t="s">
        <v>916</v>
      </c>
      <c r="J310" s="1" t="str">
        <f ca="1">IFERROR(__xludf.DUMMYFUNCTION("split(I310,"" "")"),"Shahid")</f>
        <v>Shahid</v>
      </c>
      <c r="K310" s="1" t="str">
        <f ca="1">IFERROR(__xludf.DUMMYFUNCTION("""COMPUTED_VALUE"""),"Hopkins")</f>
        <v>Hopkins</v>
      </c>
      <c r="L310" s="1"/>
      <c r="M310" s="1" t="s">
        <v>29</v>
      </c>
      <c r="N310" s="1" t="s">
        <v>30</v>
      </c>
      <c r="O310" s="1" t="s">
        <v>917</v>
      </c>
      <c r="P310" s="1" t="str">
        <f t="shared" si="262"/>
        <v>Arlington</v>
      </c>
      <c r="Q310" s="1" t="s">
        <v>272</v>
      </c>
      <c r="R310" s="1" t="str">
        <f t="shared" si="263"/>
        <v>Virginia</v>
      </c>
      <c r="S310" s="1">
        <v>22204</v>
      </c>
      <c r="T310" s="1" t="s">
        <v>33</v>
      </c>
      <c r="U310" s="1" t="s">
        <v>918</v>
      </c>
      <c r="V310" s="1" t="s">
        <v>46</v>
      </c>
      <c r="W310" s="7">
        <v>4.8899999999999997</v>
      </c>
      <c r="X310" s="1">
        <v>2</v>
      </c>
      <c r="Y310" s="7">
        <v>4.3600000000000003</v>
      </c>
      <c r="Z310" s="7">
        <f t="shared" ref="Z310:AA310" si="318">W310*X310</f>
        <v>9.7799999999999994</v>
      </c>
      <c r="AA310" s="7">
        <f t="shared" si="318"/>
        <v>8.7200000000000006</v>
      </c>
      <c r="AB310" s="7">
        <f t="shared" si="265"/>
        <v>1.0599999999999987</v>
      </c>
    </row>
    <row r="311" spans="1:28">
      <c r="A311" s="1">
        <v>310</v>
      </c>
      <c r="B311" s="1" t="s">
        <v>919</v>
      </c>
      <c r="C311" s="2">
        <v>43078</v>
      </c>
      <c r="D311" s="6" t="str">
        <f t="shared" si="260"/>
        <v>Dec</v>
      </c>
      <c r="E311" s="6" t="str">
        <f t="shared" si="261"/>
        <v>Qtr 4</v>
      </c>
      <c r="F311" s="5" t="s">
        <v>920</v>
      </c>
      <c r="G311" s="1" t="s">
        <v>26</v>
      </c>
      <c r="H311" s="1" t="s">
        <v>921</v>
      </c>
      <c r="I311" s="1" t="s">
        <v>922</v>
      </c>
      <c r="J311" s="1" t="str">
        <f ca="1">IFERROR(__xludf.DUMMYFUNCTION("split(I311,"" "")"),"Ben")</f>
        <v>Ben</v>
      </c>
      <c r="K311" s="1" t="str">
        <f ca="1">IFERROR(__xludf.DUMMYFUNCTION("""COMPUTED_VALUE"""),"Peterman")</f>
        <v>Peterman</v>
      </c>
      <c r="L311" s="1"/>
      <c r="M311" s="1" t="s">
        <v>41</v>
      </c>
      <c r="N311" s="1" t="s">
        <v>30</v>
      </c>
      <c r="O311" s="1" t="s">
        <v>923</v>
      </c>
      <c r="P311" s="1" t="str">
        <f t="shared" si="262"/>
        <v>Arvada</v>
      </c>
      <c r="Q311" s="1" t="s">
        <v>386</v>
      </c>
      <c r="R311" s="1" t="str">
        <f t="shared" si="263"/>
        <v>Colorado</v>
      </c>
      <c r="S311" s="1">
        <v>80004</v>
      </c>
      <c r="T311" s="1" t="s">
        <v>44</v>
      </c>
      <c r="U311" s="1" t="s">
        <v>924</v>
      </c>
      <c r="V311" s="1" t="s">
        <v>35</v>
      </c>
      <c r="W311" s="7">
        <v>15.135999999999999</v>
      </c>
      <c r="X311" s="1">
        <v>8</v>
      </c>
      <c r="Y311" s="7">
        <v>14.89</v>
      </c>
      <c r="Z311" s="7">
        <f t="shared" ref="Z311:AA311" si="319">W311*X311</f>
        <v>121.08799999999999</v>
      </c>
      <c r="AA311" s="7">
        <f t="shared" si="319"/>
        <v>119.12</v>
      </c>
      <c r="AB311" s="7">
        <f t="shared" si="265"/>
        <v>1.9679999999999893</v>
      </c>
    </row>
    <row r="312" spans="1:28">
      <c r="A312" s="1">
        <v>311</v>
      </c>
      <c r="B312" s="1" t="s">
        <v>919</v>
      </c>
      <c r="C312" s="2">
        <v>43078</v>
      </c>
      <c r="D312" s="6" t="str">
        <f t="shared" si="260"/>
        <v>Dec</v>
      </c>
      <c r="E312" s="6" t="str">
        <f t="shared" si="261"/>
        <v>Qtr 4</v>
      </c>
      <c r="F312" s="5" t="s">
        <v>920</v>
      </c>
      <c r="G312" s="1" t="s">
        <v>26</v>
      </c>
      <c r="H312" s="1" t="s">
        <v>921</v>
      </c>
      <c r="I312" s="1" t="s">
        <v>922</v>
      </c>
      <c r="J312" s="1" t="str">
        <f ca="1">IFERROR(__xludf.DUMMYFUNCTION("split(I312,"" "")"),"Ben")</f>
        <v>Ben</v>
      </c>
      <c r="K312" s="1" t="str">
        <f ca="1">IFERROR(__xludf.DUMMYFUNCTION("""COMPUTED_VALUE"""),"Peterman")</f>
        <v>Peterman</v>
      </c>
      <c r="L312" s="1"/>
      <c r="M312" s="1" t="s">
        <v>41</v>
      </c>
      <c r="N312" s="1" t="s">
        <v>30</v>
      </c>
      <c r="O312" s="1" t="s">
        <v>923</v>
      </c>
      <c r="P312" s="1" t="str">
        <f t="shared" si="262"/>
        <v>Arvada</v>
      </c>
      <c r="Q312" s="1" t="s">
        <v>386</v>
      </c>
      <c r="R312" s="1" t="str">
        <f t="shared" si="263"/>
        <v>Colorado</v>
      </c>
      <c r="S312" s="1">
        <v>80004</v>
      </c>
      <c r="T312" s="1" t="s">
        <v>44</v>
      </c>
      <c r="U312" s="1" t="s">
        <v>925</v>
      </c>
      <c r="V312" s="1" t="s">
        <v>35</v>
      </c>
      <c r="W312" s="7">
        <v>466.76799999999997</v>
      </c>
      <c r="X312" s="1">
        <v>8</v>
      </c>
      <c r="Y312" s="7">
        <v>465.9</v>
      </c>
      <c r="Z312" s="7">
        <f t="shared" ref="Z312:AA312" si="320">W312*X312</f>
        <v>3734.1439999999998</v>
      </c>
      <c r="AA312" s="7">
        <f t="shared" si="320"/>
        <v>3727.2</v>
      </c>
      <c r="AB312" s="7">
        <f t="shared" si="265"/>
        <v>6.94399999999996</v>
      </c>
    </row>
    <row r="313" spans="1:28">
      <c r="A313" s="1">
        <v>312</v>
      </c>
      <c r="B313" s="1" t="s">
        <v>919</v>
      </c>
      <c r="C313" s="2">
        <v>43078</v>
      </c>
      <c r="D313" s="6" t="str">
        <f t="shared" si="260"/>
        <v>Dec</v>
      </c>
      <c r="E313" s="6" t="str">
        <f t="shared" si="261"/>
        <v>Qtr 4</v>
      </c>
      <c r="F313" s="5" t="s">
        <v>920</v>
      </c>
      <c r="G313" s="1" t="s">
        <v>26</v>
      </c>
      <c r="H313" s="1" t="s">
        <v>921</v>
      </c>
      <c r="I313" s="1" t="s">
        <v>922</v>
      </c>
      <c r="J313" s="1" t="str">
        <f ca="1">IFERROR(__xludf.DUMMYFUNCTION("split(I313,"" "")"),"Ben")</f>
        <v>Ben</v>
      </c>
      <c r="K313" s="1" t="str">
        <f ca="1">IFERROR(__xludf.DUMMYFUNCTION("""COMPUTED_VALUE"""),"Peterman")</f>
        <v>Peterman</v>
      </c>
      <c r="L313" s="1"/>
      <c r="M313" s="1" t="s">
        <v>41</v>
      </c>
      <c r="N313" s="1" t="s">
        <v>30</v>
      </c>
      <c r="O313" s="1" t="s">
        <v>923</v>
      </c>
      <c r="P313" s="1" t="str">
        <f t="shared" si="262"/>
        <v>Arvada</v>
      </c>
      <c r="Q313" s="1" t="s">
        <v>386</v>
      </c>
      <c r="R313" s="1" t="str">
        <f t="shared" si="263"/>
        <v>Colorado</v>
      </c>
      <c r="S313" s="1">
        <v>80004</v>
      </c>
      <c r="T313" s="1" t="s">
        <v>44</v>
      </c>
      <c r="U313" s="1" t="s">
        <v>926</v>
      </c>
      <c r="V313" s="1" t="s">
        <v>35</v>
      </c>
      <c r="W313" s="7">
        <v>15.231999999999999</v>
      </c>
      <c r="X313" s="1">
        <v>8</v>
      </c>
      <c r="Y313" s="7">
        <v>14.76</v>
      </c>
      <c r="Z313" s="7">
        <f t="shared" ref="Z313:AA313" si="321">W313*X313</f>
        <v>121.85599999999999</v>
      </c>
      <c r="AA313" s="7">
        <f t="shared" si="321"/>
        <v>118.08</v>
      </c>
      <c r="AB313" s="7">
        <f t="shared" si="265"/>
        <v>3.7759999999999962</v>
      </c>
    </row>
    <row r="314" spans="1:28">
      <c r="A314" s="1">
        <v>313</v>
      </c>
      <c r="B314" s="1" t="s">
        <v>919</v>
      </c>
      <c r="C314" s="2">
        <v>43078</v>
      </c>
      <c r="D314" s="6" t="str">
        <f t="shared" si="260"/>
        <v>Dec</v>
      </c>
      <c r="E314" s="6" t="str">
        <f t="shared" si="261"/>
        <v>Qtr 4</v>
      </c>
      <c r="F314" s="5" t="s">
        <v>920</v>
      </c>
      <c r="G314" s="1" t="s">
        <v>26</v>
      </c>
      <c r="H314" s="1" t="s">
        <v>921</v>
      </c>
      <c r="I314" s="1" t="s">
        <v>922</v>
      </c>
      <c r="J314" s="1" t="str">
        <f ca="1">IFERROR(__xludf.DUMMYFUNCTION("split(I314,"" "")"),"Ben")</f>
        <v>Ben</v>
      </c>
      <c r="K314" s="1" t="str">
        <f ca="1">IFERROR(__xludf.DUMMYFUNCTION("""COMPUTED_VALUE"""),"Peterman")</f>
        <v>Peterman</v>
      </c>
      <c r="L314" s="1"/>
      <c r="M314" s="1" t="s">
        <v>41</v>
      </c>
      <c r="N314" s="1" t="s">
        <v>30</v>
      </c>
      <c r="O314" s="1" t="s">
        <v>923</v>
      </c>
      <c r="P314" s="1" t="str">
        <f t="shared" si="262"/>
        <v>Arvada</v>
      </c>
      <c r="Q314" s="1" t="s">
        <v>386</v>
      </c>
      <c r="R314" s="1" t="str">
        <f t="shared" si="263"/>
        <v>Colorado</v>
      </c>
      <c r="S314" s="1">
        <v>80004</v>
      </c>
      <c r="T314" s="1" t="s">
        <v>44</v>
      </c>
      <c r="U314" s="1" t="s">
        <v>927</v>
      </c>
      <c r="V314" s="1" t="s">
        <v>46</v>
      </c>
      <c r="W314" s="7">
        <v>6.2640000000000002</v>
      </c>
      <c r="X314" s="1">
        <v>8</v>
      </c>
      <c r="Y314" s="7">
        <v>5.52</v>
      </c>
      <c r="Z314" s="7">
        <f t="shared" ref="Z314:AA314" si="322">W314*X314</f>
        <v>50.112000000000002</v>
      </c>
      <c r="AA314" s="7">
        <f t="shared" si="322"/>
        <v>44.16</v>
      </c>
      <c r="AB314" s="7">
        <f t="shared" si="265"/>
        <v>5.9520000000000053</v>
      </c>
    </row>
    <row r="315" spans="1:28">
      <c r="A315" s="1">
        <v>314</v>
      </c>
      <c r="B315" s="1" t="s">
        <v>928</v>
      </c>
      <c r="C315" s="2">
        <v>42274</v>
      </c>
      <c r="D315" s="6" t="str">
        <f t="shared" si="260"/>
        <v>Sep</v>
      </c>
      <c r="E315" s="6" t="str">
        <f t="shared" si="261"/>
        <v>Qtr 3</v>
      </c>
      <c r="F315" s="5">
        <v>42073</v>
      </c>
      <c r="G315" s="1" t="s">
        <v>49</v>
      </c>
      <c r="H315" s="1" t="s">
        <v>929</v>
      </c>
      <c r="I315" s="1" t="s">
        <v>930</v>
      </c>
      <c r="J315" s="1" t="str">
        <f ca="1">IFERROR(__xludf.DUMMYFUNCTION("split(I315,"" "")"),"Thomas")</f>
        <v>Thomas</v>
      </c>
      <c r="K315" s="1" t="str">
        <f ca="1">IFERROR(__xludf.DUMMYFUNCTION("""COMPUTED_VALUE"""),"Seio")</f>
        <v>Seio</v>
      </c>
      <c r="L315" s="1"/>
      <c r="M315" s="1" t="s">
        <v>41</v>
      </c>
      <c r="N315" s="1" t="s">
        <v>30</v>
      </c>
      <c r="O315" s="1" t="s">
        <v>931</v>
      </c>
      <c r="P315" s="1" t="str">
        <f t="shared" si="262"/>
        <v>Hackensack</v>
      </c>
      <c r="Q315" s="1" t="s">
        <v>653</v>
      </c>
      <c r="R315" s="1" t="str">
        <f t="shared" si="263"/>
        <v>New Jersey</v>
      </c>
      <c r="S315" s="1">
        <v>7601</v>
      </c>
      <c r="T315" s="1" t="s">
        <v>128</v>
      </c>
      <c r="U315" s="1" t="s">
        <v>932</v>
      </c>
      <c r="V315" s="1" t="s">
        <v>35</v>
      </c>
      <c r="W315" s="7">
        <v>87.54</v>
      </c>
      <c r="X315" s="1">
        <v>7</v>
      </c>
      <c r="Y315" s="7">
        <v>87.11</v>
      </c>
      <c r="Z315" s="7">
        <f t="shared" ref="Z315:AA315" si="323">W315*X315</f>
        <v>612.78000000000009</v>
      </c>
      <c r="AA315" s="7">
        <f t="shared" si="323"/>
        <v>609.77</v>
      </c>
      <c r="AB315" s="7">
        <f t="shared" si="265"/>
        <v>3.0100000000001046</v>
      </c>
    </row>
    <row r="316" spans="1:28">
      <c r="A316" s="1">
        <v>315</v>
      </c>
      <c r="B316" s="1" t="s">
        <v>933</v>
      </c>
      <c r="C316" s="2">
        <v>42255</v>
      </c>
      <c r="D316" s="6" t="str">
        <f t="shared" si="260"/>
        <v>Sep</v>
      </c>
      <c r="E316" s="6" t="str">
        <f t="shared" si="261"/>
        <v>Qtr 3</v>
      </c>
      <c r="F316" s="5" t="s">
        <v>934</v>
      </c>
      <c r="G316" s="1" t="s">
        <v>49</v>
      </c>
      <c r="H316" s="1" t="s">
        <v>935</v>
      </c>
      <c r="I316" s="1" t="s">
        <v>936</v>
      </c>
      <c r="J316" s="1" t="str">
        <f ca="1">IFERROR(__xludf.DUMMYFUNCTION("split(I316,"" "")"),"Andy")</f>
        <v>Andy</v>
      </c>
      <c r="K316" s="1" t="str">
        <f ca="1">IFERROR(__xludf.DUMMYFUNCTION("""COMPUTED_VALUE"""),"Gerbode")</f>
        <v>Gerbode</v>
      </c>
      <c r="L316" s="1"/>
      <c r="M316" s="1" t="s">
        <v>41</v>
      </c>
      <c r="N316" s="1" t="s">
        <v>30</v>
      </c>
      <c r="O316" s="1" t="s">
        <v>937</v>
      </c>
      <c r="P316" s="1" t="str">
        <f t="shared" si="262"/>
        <v>Saint Petersburg</v>
      </c>
      <c r="Q316" s="1" t="s">
        <v>194</v>
      </c>
      <c r="R316" s="1" t="str">
        <f t="shared" si="263"/>
        <v>Florida</v>
      </c>
      <c r="S316" s="1">
        <v>33710</v>
      </c>
      <c r="T316" s="1" t="s">
        <v>33</v>
      </c>
      <c r="U316" s="1" t="s">
        <v>938</v>
      </c>
      <c r="V316" s="1" t="s">
        <v>64</v>
      </c>
      <c r="W316" s="7">
        <v>178.38399999999999</v>
      </c>
      <c r="X316" s="1">
        <v>3</v>
      </c>
      <c r="Y316" s="7">
        <v>178.32</v>
      </c>
      <c r="Z316" s="7">
        <f t="shared" ref="Z316:AA316" si="324">W316*X316</f>
        <v>535.15199999999993</v>
      </c>
      <c r="AA316" s="7">
        <f t="shared" si="324"/>
        <v>534.96</v>
      </c>
      <c r="AB316" s="7">
        <f t="shared" si="265"/>
        <v>0.19199999999989359</v>
      </c>
    </row>
    <row r="317" spans="1:28">
      <c r="A317" s="1">
        <v>316</v>
      </c>
      <c r="B317" s="1" t="s">
        <v>933</v>
      </c>
      <c r="C317" s="2">
        <v>42255</v>
      </c>
      <c r="D317" s="6" t="str">
        <f t="shared" si="260"/>
        <v>Sep</v>
      </c>
      <c r="E317" s="6" t="str">
        <f t="shared" si="261"/>
        <v>Qtr 3</v>
      </c>
      <c r="F317" s="5" t="s">
        <v>934</v>
      </c>
      <c r="G317" s="1" t="s">
        <v>49</v>
      </c>
      <c r="H317" s="1" t="s">
        <v>935</v>
      </c>
      <c r="I317" s="1" t="s">
        <v>936</v>
      </c>
      <c r="J317" s="1" t="str">
        <f ca="1">IFERROR(__xludf.DUMMYFUNCTION("split(I317,"" "")"),"Andy")</f>
        <v>Andy</v>
      </c>
      <c r="K317" s="1" t="str">
        <f ca="1">IFERROR(__xludf.DUMMYFUNCTION("""COMPUTED_VALUE"""),"Gerbode")</f>
        <v>Gerbode</v>
      </c>
      <c r="L317" s="1"/>
      <c r="M317" s="1" t="s">
        <v>41</v>
      </c>
      <c r="N317" s="1" t="s">
        <v>30</v>
      </c>
      <c r="O317" s="1" t="s">
        <v>937</v>
      </c>
      <c r="P317" s="1" t="str">
        <f t="shared" si="262"/>
        <v>Saint Petersburg</v>
      </c>
      <c r="Q317" s="1" t="s">
        <v>194</v>
      </c>
      <c r="R317" s="1" t="str">
        <f t="shared" si="263"/>
        <v>Florida</v>
      </c>
      <c r="S317" s="1">
        <v>33710</v>
      </c>
      <c r="T317" s="1" t="s">
        <v>33</v>
      </c>
      <c r="U317" s="1" t="s">
        <v>939</v>
      </c>
      <c r="V317" s="1" t="s">
        <v>46</v>
      </c>
      <c r="W317" s="7">
        <v>15.552</v>
      </c>
      <c r="X317" s="1">
        <v>3</v>
      </c>
      <c r="Y317" s="7">
        <v>15.28</v>
      </c>
      <c r="Z317" s="7">
        <f t="shared" ref="Z317:AA317" si="325">W317*X317</f>
        <v>46.655999999999999</v>
      </c>
      <c r="AA317" s="7">
        <f t="shared" si="325"/>
        <v>45.839999999999996</v>
      </c>
      <c r="AB317" s="7">
        <f t="shared" si="265"/>
        <v>0.8160000000000025</v>
      </c>
    </row>
    <row r="318" spans="1:28">
      <c r="A318" s="1">
        <v>317</v>
      </c>
      <c r="B318" s="1" t="s">
        <v>940</v>
      </c>
      <c r="C318" s="2">
        <v>42366</v>
      </c>
      <c r="D318" s="6" t="str">
        <f t="shared" si="260"/>
        <v>Dec</v>
      </c>
      <c r="E318" s="6" t="str">
        <f t="shared" si="261"/>
        <v>Qtr 4</v>
      </c>
      <c r="F318" s="5" t="s">
        <v>941</v>
      </c>
      <c r="G318" s="1" t="s">
        <v>162</v>
      </c>
      <c r="H318" s="1" t="s">
        <v>942</v>
      </c>
      <c r="I318" s="1" t="s">
        <v>943</v>
      </c>
      <c r="J318" s="1" t="str">
        <f ca="1">IFERROR(__xludf.DUMMYFUNCTION("split(I318,"" "")"),"Sung")</f>
        <v>Sung</v>
      </c>
      <c r="K318" s="1" t="str">
        <f ca="1">IFERROR(__xludf.DUMMYFUNCTION("""COMPUTED_VALUE"""),"Pak")</f>
        <v>Pak</v>
      </c>
      <c r="L318" s="1"/>
      <c r="M318" s="1" t="s">
        <v>41</v>
      </c>
      <c r="N318" s="1" t="s">
        <v>30</v>
      </c>
      <c r="O318" s="1" t="s">
        <v>126</v>
      </c>
      <c r="P318" s="1" t="str">
        <f t="shared" si="262"/>
        <v>Philadelphia</v>
      </c>
      <c r="Q318" s="1" t="s">
        <v>127</v>
      </c>
      <c r="R318" s="1" t="str">
        <f t="shared" si="263"/>
        <v>Pennsylvania</v>
      </c>
      <c r="S318" s="1">
        <v>19143</v>
      </c>
      <c r="T318" s="1" t="s">
        <v>128</v>
      </c>
      <c r="U318" s="1" t="s">
        <v>944</v>
      </c>
      <c r="V318" s="1" t="s">
        <v>46</v>
      </c>
      <c r="W318" s="7">
        <v>99.135999999999996</v>
      </c>
      <c r="X318" s="1">
        <v>1</v>
      </c>
      <c r="Y318" s="7">
        <v>99.02</v>
      </c>
      <c r="Z318" s="7">
        <f t="shared" ref="Z318:AA318" si="326">W318*X318</f>
        <v>99.135999999999996</v>
      </c>
      <c r="AA318" s="7">
        <f t="shared" si="326"/>
        <v>99.02</v>
      </c>
      <c r="AB318" s="7">
        <f t="shared" si="265"/>
        <v>0.11599999999999966</v>
      </c>
    </row>
    <row r="319" spans="1:28">
      <c r="A319" s="1">
        <v>318</v>
      </c>
      <c r="B319" s="1" t="s">
        <v>945</v>
      </c>
      <c r="C319" s="2">
        <v>42105</v>
      </c>
      <c r="D319" s="6" t="str">
        <f t="shared" si="260"/>
        <v>Apr</v>
      </c>
      <c r="E319" s="6" t="str">
        <f t="shared" si="261"/>
        <v>Qtr 2</v>
      </c>
      <c r="F319" s="5">
        <v>42258</v>
      </c>
      <c r="G319" s="1" t="s">
        <v>49</v>
      </c>
      <c r="H319" s="1" t="s">
        <v>946</v>
      </c>
      <c r="I319" s="1" t="s">
        <v>947</v>
      </c>
      <c r="J319" s="1" t="str">
        <f ca="1">IFERROR(__xludf.DUMMYFUNCTION("split(I319,"" "")"),"Nathan")</f>
        <v>Nathan</v>
      </c>
      <c r="K319" s="1" t="str">
        <f ca="1">IFERROR(__xludf.DUMMYFUNCTION("""COMPUTED_VALUE"""),"Mautz")</f>
        <v>Mautz</v>
      </c>
      <c r="L319" s="1"/>
      <c r="M319" s="1" t="s">
        <v>87</v>
      </c>
      <c r="N319" s="1" t="s">
        <v>30</v>
      </c>
      <c r="O319" s="1" t="s">
        <v>233</v>
      </c>
      <c r="P319" s="1" t="str">
        <f t="shared" si="262"/>
        <v>New York City</v>
      </c>
      <c r="Q319" s="1" t="s">
        <v>234</v>
      </c>
      <c r="R319" s="1" t="str">
        <f t="shared" si="263"/>
        <v>New York</v>
      </c>
      <c r="S319" s="1">
        <v>10024</v>
      </c>
      <c r="T319" s="1" t="s">
        <v>128</v>
      </c>
      <c r="U319" s="1" t="s">
        <v>948</v>
      </c>
      <c r="V319" s="1" t="s">
        <v>35</v>
      </c>
      <c r="W319" s="7">
        <v>135.88200000000001</v>
      </c>
      <c r="X319" s="1">
        <v>1</v>
      </c>
      <c r="Y319" s="7">
        <v>135.21</v>
      </c>
      <c r="Z319" s="7">
        <f t="shared" ref="Z319:AA319" si="327">W319*X319</f>
        <v>135.88200000000001</v>
      </c>
      <c r="AA319" s="7">
        <f t="shared" si="327"/>
        <v>135.21</v>
      </c>
      <c r="AB319" s="7">
        <f t="shared" si="265"/>
        <v>0.67199999999999704</v>
      </c>
    </row>
    <row r="320" spans="1:28">
      <c r="A320" s="1">
        <v>319</v>
      </c>
      <c r="B320" s="1" t="s">
        <v>945</v>
      </c>
      <c r="C320" s="2">
        <v>42105</v>
      </c>
      <c r="D320" s="6" t="str">
        <f t="shared" si="260"/>
        <v>Apr</v>
      </c>
      <c r="E320" s="6" t="str">
        <f t="shared" si="261"/>
        <v>Qtr 2</v>
      </c>
      <c r="F320" s="5">
        <v>42258</v>
      </c>
      <c r="G320" s="1" t="s">
        <v>49</v>
      </c>
      <c r="H320" s="1" t="s">
        <v>946</v>
      </c>
      <c r="I320" s="1" t="s">
        <v>947</v>
      </c>
      <c r="J320" s="1" t="str">
        <f ca="1">IFERROR(__xludf.DUMMYFUNCTION("split(I320,"" "")"),"Nathan")</f>
        <v>Nathan</v>
      </c>
      <c r="K320" s="1" t="str">
        <f ca="1">IFERROR(__xludf.DUMMYFUNCTION("""COMPUTED_VALUE"""),"Mautz")</f>
        <v>Mautz</v>
      </c>
      <c r="L320" s="1"/>
      <c r="M320" s="1" t="s">
        <v>87</v>
      </c>
      <c r="N320" s="1" t="s">
        <v>30</v>
      </c>
      <c r="O320" s="1" t="s">
        <v>233</v>
      </c>
      <c r="P320" s="1" t="str">
        <f t="shared" si="262"/>
        <v>New York City</v>
      </c>
      <c r="Q320" s="1" t="s">
        <v>234</v>
      </c>
      <c r="R320" s="1" t="str">
        <f t="shared" si="263"/>
        <v>New York</v>
      </c>
      <c r="S320" s="1">
        <v>10024</v>
      </c>
      <c r="T320" s="1" t="s">
        <v>128</v>
      </c>
      <c r="U320" s="1" t="s">
        <v>949</v>
      </c>
      <c r="V320" s="1" t="s">
        <v>64</v>
      </c>
      <c r="W320" s="7">
        <v>3991.98</v>
      </c>
      <c r="X320" s="1">
        <v>1</v>
      </c>
      <c r="Y320" s="7">
        <v>3991.36</v>
      </c>
      <c r="Z320" s="7">
        <f t="shared" ref="Z320:AA320" si="328">W320*X320</f>
        <v>3991.98</v>
      </c>
      <c r="AA320" s="7">
        <f t="shared" si="328"/>
        <v>3991.36</v>
      </c>
      <c r="AB320" s="7">
        <f t="shared" si="265"/>
        <v>0.61999999999989086</v>
      </c>
    </row>
    <row r="321" spans="1:28">
      <c r="A321" s="1">
        <v>320</v>
      </c>
      <c r="B321" s="1" t="s">
        <v>945</v>
      </c>
      <c r="C321" s="2">
        <v>42105</v>
      </c>
      <c r="D321" s="6" t="str">
        <f t="shared" si="260"/>
        <v>Apr</v>
      </c>
      <c r="E321" s="6" t="str">
        <f t="shared" si="261"/>
        <v>Qtr 2</v>
      </c>
      <c r="F321" s="5">
        <v>42258</v>
      </c>
      <c r="G321" s="1" t="s">
        <v>49</v>
      </c>
      <c r="H321" s="1" t="s">
        <v>946</v>
      </c>
      <c r="I321" s="1" t="s">
        <v>947</v>
      </c>
      <c r="J321" s="1" t="str">
        <f ca="1">IFERROR(__xludf.DUMMYFUNCTION("split(I321,"" "")"),"Nathan")</f>
        <v>Nathan</v>
      </c>
      <c r="K321" s="1" t="str">
        <f ca="1">IFERROR(__xludf.DUMMYFUNCTION("""COMPUTED_VALUE"""),"Mautz")</f>
        <v>Mautz</v>
      </c>
      <c r="L321" s="1"/>
      <c r="M321" s="1" t="s">
        <v>87</v>
      </c>
      <c r="N321" s="1" t="s">
        <v>30</v>
      </c>
      <c r="O321" s="1" t="s">
        <v>233</v>
      </c>
      <c r="P321" s="1" t="str">
        <f t="shared" si="262"/>
        <v>New York City</v>
      </c>
      <c r="Q321" s="1" t="s">
        <v>234</v>
      </c>
      <c r="R321" s="1" t="str">
        <f t="shared" si="263"/>
        <v>New York</v>
      </c>
      <c r="S321" s="1">
        <v>10024</v>
      </c>
      <c r="T321" s="1" t="s">
        <v>128</v>
      </c>
      <c r="U321" s="1" t="s">
        <v>183</v>
      </c>
      <c r="V321" s="1" t="s">
        <v>64</v>
      </c>
      <c r="W321" s="7">
        <v>275.94</v>
      </c>
      <c r="X321" s="1">
        <v>1</v>
      </c>
      <c r="Y321" s="7">
        <v>275.36</v>
      </c>
      <c r="Z321" s="7">
        <f t="shared" ref="Z321:AA321" si="329">W321*X321</f>
        <v>275.94</v>
      </c>
      <c r="AA321" s="7">
        <f t="shared" si="329"/>
        <v>275.36</v>
      </c>
      <c r="AB321" s="7">
        <f t="shared" si="265"/>
        <v>0.57999999999998408</v>
      </c>
    </row>
    <row r="322" spans="1:28">
      <c r="A322" s="1">
        <v>321</v>
      </c>
      <c r="B322" s="1" t="s">
        <v>945</v>
      </c>
      <c r="C322" s="2">
        <v>42105</v>
      </c>
      <c r="D322" s="6" t="str">
        <f t="shared" si="260"/>
        <v>Apr</v>
      </c>
      <c r="E322" s="6" t="str">
        <f t="shared" si="261"/>
        <v>Qtr 2</v>
      </c>
      <c r="F322" s="5">
        <v>42258</v>
      </c>
      <c r="G322" s="1" t="s">
        <v>49</v>
      </c>
      <c r="H322" s="1" t="s">
        <v>946</v>
      </c>
      <c r="I322" s="1" t="s">
        <v>947</v>
      </c>
      <c r="J322" s="1" t="str">
        <f ca="1">IFERROR(__xludf.DUMMYFUNCTION("split(I322,"" "")"),"Nathan")</f>
        <v>Nathan</v>
      </c>
      <c r="K322" s="1" t="str">
        <f ca="1">IFERROR(__xludf.DUMMYFUNCTION("""COMPUTED_VALUE"""),"Mautz")</f>
        <v>Mautz</v>
      </c>
      <c r="L322" s="1"/>
      <c r="M322" s="1" t="s">
        <v>87</v>
      </c>
      <c r="N322" s="1" t="s">
        <v>30</v>
      </c>
      <c r="O322" s="1" t="s">
        <v>233</v>
      </c>
      <c r="P322" s="1" t="str">
        <f t="shared" si="262"/>
        <v>New York City</v>
      </c>
      <c r="Q322" s="1" t="s">
        <v>234</v>
      </c>
      <c r="R322" s="1" t="str">
        <f t="shared" si="263"/>
        <v>New York</v>
      </c>
      <c r="S322" s="1">
        <v>10024</v>
      </c>
      <c r="T322" s="1" t="s">
        <v>128</v>
      </c>
      <c r="U322" s="1" t="s">
        <v>950</v>
      </c>
      <c r="V322" s="1" t="s">
        <v>64</v>
      </c>
      <c r="W322" s="7">
        <v>360</v>
      </c>
      <c r="X322" s="1">
        <v>1</v>
      </c>
      <c r="Y322" s="7">
        <v>359.42</v>
      </c>
      <c r="Z322" s="7">
        <f t="shared" ref="Z322:AA322" si="330">W322*X322</f>
        <v>360</v>
      </c>
      <c r="AA322" s="7">
        <f t="shared" si="330"/>
        <v>359.42</v>
      </c>
      <c r="AB322" s="7">
        <f t="shared" si="265"/>
        <v>0.57999999999998408</v>
      </c>
    </row>
    <row r="323" spans="1:28">
      <c r="A323" s="1">
        <v>322</v>
      </c>
      <c r="B323" s="1" t="s">
        <v>945</v>
      </c>
      <c r="C323" s="2">
        <v>42105</v>
      </c>
      <c r="D323" s="6" t="str">
        <f t="shared" si="260"/>
        <v>Apr</v>
      </c>
      <c r="E323" s="6" t="str">
        <f t="shared" si="261"/>
        <v>Qtr 2</v>
      </c>
      <c r="F323" s="5">
        <v>42258</v>
      </c>
      <c r="G323" s="1" t="s">
        <v>49</v>
      </c>
      <c r="H323" s="1" t="s">
        <v>946</v>
      </c>
      <c r="I323" s="1" t="s">
        <v>947</v>
      </c>
      <c r="J323" s="1" t="str">
        <f ca="1">IFERROR(__xludf.DUMMYFUNCTION("split(I323,"" "")"),"Nathan")</f>
        <v>Nathan</v>
      </c>
      <c r="K323" s="1" t="str">
        <f ca="1">IFERROR(__xludf.DUMMYFUNCTION("""COMPUTED_VALUE"""),"Mautz")</f>
        <v>Mautz</v>
      </c>
      <c r="L323" s="1"/>
      <c r="M323" s="1" t="s">
        <v>87</v>
      </c>
      <c r="N323" s="1" t="s">
        <v>30</v>
      </c>
      <c r="O323" s="1" t="s">
        <v>233</v>
      </c>
      <c r="P323" s="1" t="str">
        <f t="shared" si="262"/>
        <v>New York City</v>
      </c>
      <c r="Q323" s="1" t="s">
        <v>234</v>
      </c>
      <c r="R323" s="1" t="str">
        <f t="shared" si="263"/>
        <v>New York</v>
      </c>
      <c r="S323" s="1">
        <v>10024</v>
      </c>
      <c r="T323" s="1" t="s">
        <v>128</v>
      </c>
      <c r="U323" s="1" t="s">
        <v>459</v>
      </c>
      <c r="V323" s="1" t="s">
        <v>46</v>
      </c>
      <c r="W323" s="7">
        <v>43.57</v>
      </c>
      <c r="X323" s="1">
        <v>1</v>
      </c>
      <c r="Y323" s="7">
        <v>43.4</v>
      </c>
      <c r="Z323" s="7">
        <f t="shared" ref="Z323:AA323" si="331">W323*X323</f>
        <v>43.57</v>
      </c>
      <c r="AA323" s="7">
        <f t="shared" si="331"/>
        <v>43.4</v>
      </c>
      <c r="AB323" s="7">
        <f t="shared" si="265"/>
        <v>0.17000000000000171</v>
      </c>
    </row>
    <row r="324" spans="1:28">
      <c r="A324" s="1">
        <v>323</v>
      </c>
      <c r="B324" s="1" t="s">
        <v>951</v>
      </c>
      <c r="C324" s="2">
        <v>42266</v>
      </c>
      <c r="D324" s="6" t="str">
        <f t="shared" si="260"/>
        <v>Sep</v>
      </c>
      <c r="E324" s="6" t="str">
        <f t="shared" si="261"/>
        <v>Qtr 3</v>
      </c>
      <c r="F324" s="5" t="s">
        <v>952</v>
      </c>
      <c r="G324" s="1" t="s">
        <v>49</v>
      </c>
      <c r="H324" s="1" t="s">
        <v>953</v>
      </c>
      <c r="I324" s="1" t="s">
        <v>954</v>
      </c>
      <c r="J324" s="1" t="str">
        <f ca="1">IFERROR(__xludf.DUMMYFUNCTION("split(I324,"" "")"),"Frank")</f>
        <v>Frank</v>
      </c>
      <c r="K324" s="1" t="str">
        <f ca="1">IFERROR(__xludf.DUMMYFUNCTION("""COMPUTED_VALUE"""),"Atkinson")</f>
        <v>Atkinson</v>
      </c>
      <c r="L324" s="1"/>
      <c r="M324" s="1" t="s">
        <v>41</v>
      </c>
      <c r="N324" s="1" t="s">
        <v>30</v>
      </c>
      <c r="O324" s="1" t="s">
        <v>955</v>
      </c>
      <c r="P324" s="1" t="str">
        <f t="shared" si="262"/>
        <v>Long Beach</v>
      </c>
      <c r="Q324" s="1" t="s">
        <v>68</v>
      </c>
      <c r="R324" s="1" t="str">
        <f t="shared" si="263"/>
        <v>California</v>
      </c>
      <c r="S324" s="1">
        <v>90805</v>
      </c>
      <c r="T324" s="1" t="s">
        <v>44</v>
      </c>
      <c r="U324" s="1" t="s">
        <v>956</v>
      </c>
      <c r="V324" s="1" t="s">
        <v>46</v>
      </c>
      <c r="W324" s="7">
        <v>7.16</v>
      </c>
      <c r="X324" s="1">
        <v>9</v>
      </c>
      <c r="Y324" s="7">
        <v>6.57</v>
      </c>
      <c r="Z324" s="7">
        <f t="shared" ref="Z324:AA324" si="332">W324*X324</f>
        <v>64.44</v>
      </c>
      <c r="AA324" s="7">
        <f t="shared" si="332"/>
        <v>59.13</v>
      </c>
      <c r="AB324" s="7">
        <f t="shared" si="265"/>
        <v>5.3099999999999952</v>
      </c>
    </row>
    <row r="325" spans="1:28">
      <c r="A325" s="1">
        <v>324</v>
      </c>
      <c r="B325" s="1" t="s">
        <v>957</v>
      </c>
      <c r="C325" s="2">
        <v>42848</v>
      </c>
      <c r="D325" s="6" t="str">
        <f t="shared" si="260"/>
        <v>Apr</v>
      </c>
      <c r="E325" s="6" t="str">
        <f t="shared" si="261"/>
        <v>Qtr 2</v>
      </c>
      <c r="F325" s="5" t="s">
        <v>958</v>
      </c>
      <c r="G325" s="1" t="s">
        <v>49</v>
      </c>
      <c r="H325" s="1" t="s">
        <v>959</v>
      </c>
      <c r="I325" s="1" t="s">
        <v>960</v>
      </c>
      <c r="J325" s="1" t="str">
        <f ca="1">IFERROR(__xludf.DUMMYFUNCTION("split(I325,"" "")"),"Grace")</f>
        <v>Grace</v>
      </c>
      <c r="K325" s="1" t="str">
        <f ca="1">IFERROR(__xludf.DUMMYFUNCTION("""COMPUTED_VALUE"""),"Kelly")</f>
        <v>Kelly</v>
      </c>
      <c r="L325" s="1"/>
      <c r="M325" s="1" t="s">
        <v>41</v>
      </c>
      <c r="N325" s="1" t="s">
        <v>30</v>
      </c>
      <c r="O325" s="1" t="s">
        <v>961</v>
      </c>
      <c r="P325" s="1" t="str">
        <f t="shared" si="262"/>
        <v>Hesperia</v>
      </c>
      <c r="Q325" s="1" t="s">
        <v>68</v>
      </c>
      <c r="R325" s="1" t="str">
        <f t="shared" si="263"/>
        <v>California</v>
      </c>
      <c r="S325" s="1">
        <v>92345</v>
      </c>
      <c r="T325" s="1" t="s">
        <v>44</v>
      </c>
      <c r="U325" s="1" t="s">
        <v>888</v>
      </c>
      <c r="V325" s="1" t="s">
        <v>46</v>
      </c>
      <c r="W325" s="7">
        <v>251.52</v>
      </c>
      <c r="X325" s="1">
        <v>9</v>
      </c>
      <c r="Y325" s="7">
        <v>250.57</v>
      </c>
      <c r="Z325" s="7">
        <f t="shared" ref="Z325:AA325" si="333">W325*X325</f>
        <v>2263.6800000000003</v>
      </c>
      <c r="AA325" s="7">
        <f t="shared" si="333"/>
        <v>2255.13</v>
      </c>
      <c r="AB325" s="7">
        <f t="shared" si="265"/>
        <v>8.5500000000001819</v>
      </c>
    </row>
    <row r="326" spans="1:28">
      <c r="A326" s="1">
        <v>325</v>
      </c>
      <c r="B326" s="1" t="s">
        <v>957</v>
      </c>
      <c r="C326" s="2">
        <v>42848</v>
      </c>
      <c r="D326" s="6" t="str">
        <f t="shared" si="260"/>
        <v>Apr</v>
      </c>
      <c r="E326" s="6" t="str">
        <f t="shared" si="261"/>
        <v>Qtr 2</v>
      </c>
      <c r="F326" s="5" t="s">
        <v>958</v>
      </c>
      <c r="G326" s="1" t="s">
        <v>49</v>
      </c>
      <c r="H326" s="1" t="s">
        <v>959</v>
      </c>
      <c r="I326" s="1" t="s">
        <v>960</v>
      </c>
      <c r="J326" s="1" t="str">
        <f ca="1">IFERROR(__xludf.DUMMYFUNCTION("split(I326,"" "")"),"Grace")</f>
        <v>Grace</v>
      </c>
      <c r="K326" s="1" t="str">
        <f ca="1">IFERROR(__xludf.DUMMYFUNCTION("""COMPUTED_VALUE"""),"Kelly")</f>
        <v>Kelly</v>
      </c>
      <c r="L326" s="1"/>
      <c r="M326" s="1" t="s">
        <v>41</v>
      </c>
      <c r="N326" s="1" t="s">
        <v>30</v>
      </c>
      <c r="O326" s="1" t="s">
        <v>961</v>
      </c>
      <c r="P326" s="1" t="str">
        <f t="shared" si="262"/>
        <v>Hesperia</v>
      </c>
      <c r="Q326" s="1" t="s">
        <v>68</v>
      </c>
      <c r="R326" s="1" t="str">
        <f t="shared" si="263"/>
        <v>California</v>
      </c>
      <c r="S326" s="1">
        <v>92345</v>
      </c>
      <c r="T326" s="1" t="s">
        <v>44</v>
      </c>
      <c r="U326" s="1" t="s">
        <v>962</v>
      </c>
      <c r="V326" s="1" t="s">
        <v>64</v>
      </c>
      <c r="W326" s="7">
        <v>99.99</v>
      </c>
      <c r="X326" s="1">
        <v>9</v>
      </c>
      <c r="Y326" s="7">
        <v>99.99</v>
      </c>
      <c r="Z326" s="7">
        <f t="shared" ref="Z326:AA326" si="334">W326*X326</f>
        <v>899.91</v>
      </c>
      <c r="AA326" s="7">
        <f t="shared" si="334"/>
        <v>899.91</v>
      </c>
      <c r="AB326" s="7">
        <f t="shared" si="265"/>
        <v>0</v>
      </c>
    </row>
    <row r="327" spans="1:28">
      <c r="A327" s="1">
        <v>326</v>
      </c>
      <c r="B327" s="1" t="s">
        <v>963</v>
      </c>
      <c r="C327" s="2">
        <v>43170</v>
      </c>
      <c r="D327" s="6" t="str">
        <f t="shared" si="260"/>
        <v>Mar</v>
      </c>
      <c r="E327" s="6" t="str">
        <f t="shared" si="261"/>
        <v>Qtr 1</v>
      </c>
      <c r="F327" s="5">
        <v>43231</v>
      </c>
      <c r="G327" s="1" t="s">
        <v>26</v>
      </c>
      <c r="H327" s="1" t="s">
        <v>964</v>
      </c>
      <c r="I327" s="1" t="s">
        <v>965</v>
      </c>
      <c r="J327" s="1" t="str">
        <f ca="1">IFERROR(__xludf.DUMMYFUNCTION("split(I327,"" "")"),"Don")</f>
        <v>Don</v>
      </c>
      <c r="K327" s="1" t="str">
        <f ca="1">IFERROR(__xludf.DUMMYFUNCTION("""COMPUTED_VALUE"""),"Jones")</f>
        <v>Jones</v>
      </c>
      <c r="L327" s="1"/>
      <c r="M327" s="1" t="s">
        <v>41</v>
      </c>
      <c r="N327" s="1" t="s">
        <v>30</v>
      </c>
      <c r="O327" s="1" t="s">
        <v>966</v>
      </c>
      <c r="P327" s="1" t="str">
        <f t="shared" si="262"/>
        <v>Murfreesboro</v>
      </c>
      <c r="Q327" s="1" t="s">
        <v>287</v>
      </c>
      <c r="R327" s="1" t="str">
        <f t="shared" si="263"/>
        <v>Tennessee</v>
      </c>
      <c r="S327" s="1">
        <v>37130</v>
      </c>
      <c r="T327" s="1" t="s">
        <v>33</v>
      </c>
      <c r="U327" s="1" t="s">
        <v>967</v>
      </c>
      <c r="V327" s="1" t="s">
        <v>35</v>
      </c>
      <c r="W327" s="7">
        <v>15.992000000000001</v>
      </c>
      <c r="X327" s="1">
        <v>3</v>
      </c>
      <c r="Y327" s="7">
        <v>15.43</v>
      </c>
      <c r="Z327" s="7">
        <f t="shared" ref="Z327:AA327" si="335">W327*X327</f>
        <v>47.975999999999999</v>
      </c>
      <c r="AA327" s="7">
        <f t="shared" si="335"/>
        <v>46.29</v>
      </c>
      <c r="AB327" s="7">
        <f t="shared" si="265"/>
        <v>1.6859999999999999</v>
      </c>
    </row>
    <row r="328" spans="1:28">
      <c r="A328" s="1">
        <v>327</v>
      </c>
      <c r="B328" s="1" t="s">
        <v>968</v>
      </c>
      <c r="C328" s="2">
        <v>42977</v>
      </c>
      <c r="D328" s="6" t="str">
        <f t="shared" si="260"/>
        <v>Aug</v>
      </c>
      <c r="E328" s="6" t="str">
        <f t="shared" si="261"/>
        <v>Qtr 3</v>
      </c>
      <c r="F328" s="5">
        <v>42744</v>
      </c>
      <c r="G328" s="1" t="s">
        <v>162</v>
      </c>
      <c r="H328" s="1" t="s">
        <v>969</v>
      </c>
      <c r="I328" s="1" t="s">
        <v>970</v>
      </c>
      <c r="J328" s="1" t="str">
        <f ca="1">IFERROR(__xludf.DUMMYFUNCTION("split(I328,"" "")"),"Patrick")</f>
        <v>Patrick</v>
      </c>
      <c r="K328" s="1" t="str">
        <f ca="1">IFERROR(__xludf.DUMMYFUNCTION("""COMPUTED_VALUE"""),"O'Brill")</f>
        <v>O'Brill</v>
      </c>
      <c r="L328" s="1"/>
      <c r="M328" s="1" t="s">
        <v>29</v>
      </c>
      <c r="N328" s="1" t="s">
        <v>30</v>
      </c>
      <c r="O328" s="1" t="s">
        <v>126</v>
      </c>
      <c r="P328" s="1" t="str">
        <f t="shared" si="262"/>
        <v>Philadelphia</v>
      </c>
      <c r="Q328" s="1" t="s">
        <v>127</v>
      </c>
      <c r="R328" s="1" t="str">
        <f t="shared" si="263"/>
        <v>Pennsylvania</v>
      </c>
      <c r="S328" s="1">
        <v>19143</v>
      </c>
      <c r="T328" s="1" t="s">
        <v>128</v>
      </c>
      <c r="U328" s="1" t="s">
        <v>971</v>
      </c>
      <c r="V328" s="1" t="s">
        <v>64</v>
      </c>
      <c r="W328" s="7">
        <v>290.89800000000002</v>
      </c>
      <c r="X328" s="1">
        <v>1</v>
      </c>
      <c r="Y328" s="7">
        <v>290.29000000000002</v>
      </c>
      <c r="Z328" s="7">
        <f t="shared" ref="Z328:AA328" si="336">W328*X328</f>
        <v>290.89800000000002</v>
      </c>
      <c r="AA328" s="7">
        <f t="shared" si="336"/>
        <v>290.29000000000002</v>
      </c>
      <c r="AB328" s="7">
        <f t="shared" si="265"/>
        <v>0.60800000000000409</v>
      </c>
    </row>
    <row r="329" spans="1:28">
      <c r="A329" s="1">
        <v>328</v>
      </c>
      <c r="B329" s="1" t="s">
        <v>968</v>
      </c>
      <c r="C329" s="2">
        <v>42977</v>
      </c>
      <c r="D329" s="6" t="str">
        <f t="shared" si="260"/>
        <v>Aug</v>
      </c>
      <c r="E329" s="6" t="str">
        <f t="shared" si="261"/>
        <v>Qtr 3</v>
      </c>
      <c r="F329" s="5">
        <v>42744</v>
      </c>
      <c r="G329" s="1" t="s">
        <v>162</v>
      </c>
      <c r="H329" s="1" t="s">
        <v>969</v>
      </c>
      <c r="I329" s="1" t="s">
        <v>970</v>
      </c>
      <c r="J329" s="1" t="str">
        <f ca="1">IFERROR(__xludf.DUMMYFUNCTION("split(I329,"" "")"),"Patrick")</f>
        <v>Patrick</v>
      </c>
      <c r="K329" s="1" t="str">
        <f ca="1">IFERROR(__xludf.DUMMYFUNCTION("""COMPUTED_VALUE"""),"O'Brill")</f>
        <v>O'Brill</v>
      </c>
      <c r="L329" s="1"/>
      <c r="M329" s="1" t="s">
        <v>29</v>
      </c>
      <c r="N329" s="1" t="s">
        <v>30</v>
      </c>
      <c r="O329" s="1" t="s">
        <v>126</v>
      </c>
      <c r="P329" s="1" t="str">
        <f t="shared" si="262"/>
        <v>Philadelphia</v>
      </c>
      <c r="Q329" s="1" t="s">
        <v>127</v>
      </c>
      <c r="R329" s="1" t="str">
        <f t="shared" si="263"/>
        <v>Pennsylvania</v>
      </c>
      <c r="S329" s="1">
        <v>19143</v>
      </c>
      <c r="T329" s="1" t="s">
        <v>128</v>
      </c>
      <c r="U329" s="1" t="s">
        <v>972</v>
      </c>
      <c r="V329" s="1" t="s">
        <v>46</v>
      </c>
      <c r="W329" s="7">
        <v>54.223999999999997</v>
      </c>
      <c r="X329" s="1">
        <v>1</v>
      </c>
      <c r="Y329" s="7">
        <v>53.98</v>
      </c>
      <c r="Z329" s="7">
        <f t="shared" ref="Z329:AA329" si="337">W329*X329</f>
        <v>54.223999999999997</v>
      </c>
      <c r="AA329" s="7">
        <f t="shared" si="337"/>
        <v>53.98</v>
      </c>
      <c r="AB329" s="7">
        <f t="shared" si="265"/>
        <v>0.24399999999999977</v>
      </c>
    </row>
    <row r="330" spans="1:28">
      <c r="A330" s="1">
        <v>329</v>
      </c>
      <c r="B330" s="1" t="s">
        <v>968</v>
      </c>
      <c r="C330" s="2">
        <v>42977</v>
      </c>
      <c r="D330" s="6" t="str">
        <f t="shared" si="260"/>
        <v>Aug</v>
      </c>
      <c r="E330" s="6" t="str">
        <f t="shared" si="261"/>
        <v>Qtr 3</v>
      </c>
      <c r="F330" s="5">
        <v>42744</v>
      </c>
      <c r="G330" s="1" t="s">
        <v>162</v>
      </c>
      <c r="H330" s="1" t="s">
        <v>969</v>
      </c>
      <c r="I330" s="1" t="s">
        <v>970</v>
      </c>
      <c r="J330" s="1" t="str">
        <f ca="1">IFERROR(__xludf.DUMMYFUNCTION("split(I330,"" "")"),"Patrick")</f>
        <v>Patrick</v>
      </c>
      <c r="K330" s="1" t="str">
        <f ca="1">IFERROR(__xludf.DUMMYFUNCTION("""COMPUTED_VALUE"""),"O'Brill")</f>
        <v>O'Brill</v>
      </c>
      <c r="L330" s="1"/>
      <c r="M330" s="1" t="s">
        <v>29</v>
      </c>
      <c r="N330" s="1" t="s">
        <v>30</v>
      </c>
      <c r="O330" s="1" t="s">
        <v>126</v>
      </c>
      <c r="P330" s="1" t="str">
        <f t="shared" si="262"/>
        <v>Philadelphia</v>
      </c>
      <c r="Q330" s="1" t="s">
        <v>127</v>
      </c>
      <c r="R330" s="1" t="str">
        <f t="shared" si="263"/>
        <v>Pennsylvania</v>
      </c>
      <c r="S330" s="1">
        <v>19143</v>
      </c>
      <c r="T330" s="1" t="s">
        <v>128</v>
      </c>
      <c r="U330" s="1" t="s">
        <v>973</v>
      </c>
      <c r="V330" s="1" t="s">
        <v>35</v>
      </c>
      <c r="W330" s="7">
        <v>786.74400000000003</v>
      </c>
      <c r="X330" s="1">
        <v>1</v>
      </c>
      <c r="Y330" s="7">
        <v>786.38</v>
      </c>
      <c r="Z330" s="7">
        <f t="shared" ref="Z330:AA330" si="338">W330*X330</f>
        <v>786.74400000000003</v>
      </c>
      <c r="AA330" s="7">
        <f t="shared" si="338"/>
        <v>786.38</v>
      </c>
      <c r="AB330" s="7">
        <f t="shared" si="265"/>
        <v>0.36400000000003274</v>
      </c>
    </row>
    <row r="331" spans="1:28">
      <c r="A331" s="1">
        <v>330</v>
      </c>
      <c r="B331" s="1" t="s">
        <v>968</v>
      </c>
      <c r="C331" s="2">
        <v>42977</v>
      </c>
      <c r="D331" s="6" t="str">
        <f t="shared" si="260"/>
        <v>Aug</v>
      </c>
      <c r="E331" s="6" t="str">
        <f t="shared" si="261"/>
        <v>Qtr 3</v>
      </c>
      <c r="F331" s="5">
        <v>42744</v>
      </c>
      <c r="G331" s="1" t="s">
        <v>162</v>
      </c>
      <c r="H331" s="1" t="s">
        <v>969</v>
      </c>
      <c r="I331" s="1" t="s">
        <v>970</v>
      </c>
      <c r="J331" s="1" t="str">
        <f ca="1">IFERROR(__xludf.DUMMYFUNCTION("split(I331,"" "")"),"Patrick")</f>
        <v>Patrick</v>
      </c>
      <c r="K331" s="1" t="str">
        <f ca="1">IFERROR(__xludf.DUMMYFUNCTION("""COMPUTED_VALUE"""),"O'Brill")</f>
        <v>O'Brill</v>
      </c>
      <c r="L331" s="1"/>
      <c r="M331" s="1" t="s">
        <v>29</v>
      </c>
      <c r="N331" s="1" t="s">
        <v>30</v>
      </c>
      <c r="O331" s="1" t="s">
        <v>126</v>
      </c>
      <c r="P331" s="1" t="str">
        <f t="shared" si="262"/>
        <v>Philadelphia</v>
      </c>
      <c r="Q331" s="1" t="s">
        <v>127</v>
      </c>
      <c r="R331" s="1" t="str">
        <f t="shared" si="263"/>
        <v>Pennsylvania</v>
      </c>
      <c r="S331" s="1">
        <v>19143</v>
      </c>
      <c r="T331" s="1" t="s">
        <v>128</v>
      </c>
      <c r="U331" s="1" t="s">
        <v>974</v>
      </c>
      <c r="V331" s="1" t="s">
        <v>46</v>
      </c>
      <c r="W331" s="7">
        <v>100.24</v>
      </c>
      <c r="X331" s="1">
        <v>1</v>
      </c>
      <c r="Y331" s="7">
        <v>99.24</v>
      </c>
      <c r="Z331" s="7">
        <f t="shared" ref="Z331:AA331" si="339">W331*X331</f>
        <v>100.24</v>
      </c>
      <c r="AA331" s="7">
        <f t="shared" si="339"/>
        <v>99.24</v>
      </c>
      <c r="AB331" s="7">
        <f t="shared" si="265"/>
        <v>1</v>
      </c>
    </row>
    <row r="332" spans="1:28">
      <c r="A332" s="1">
        <v>331</v>
      </c>
      <c r="B332" s="1" t="s">
        <v>968</v>
      </c>
      <c r="C332" s="2">
        <v>42977</v>
      </c>
      <c r="D332" s="6" t="str">
        <f t="shared" si="260"/>
        <v>Aug</v>
      </c>
      <c r="E332" s="6" t="str">
        <f t="shared" si="261"/>
        <v>Qtr 3</v>
      </c>
      <c r="F332" s="5">
        <v>42744</v>
      </c>
      <c r="G332" s="1" t="s">
        <v>162</v>
      </c>
      <c r="H332" s="1" t="s">
        <v>969</v>
      </c>
      <c r="I332" s="1" t="s">
        <v>970</v>
      </c>
      <c r="J332" s="1" t="str">
        <f ca="1">IFERROR(__xludf.DUMMYFUNCTION("split(I332,"" "")"),"Patrick")</f>
        <v>Patrick</v>
      </c>
      <c r="K332" s="1" t="str">
        <f ca="1">IFERROR(__xludf.DUMMYFUNCTION("""COMPUTED_VALUE"""),"O'Brill")</f>
        <v>O'Brill</v>
      </c>
      <c r="L332" s="1"/>
      <c r="M332" s="1" t="s">
        <v>29</v>
      </c>
      <c r="N332" s="1" t="s">
        <v>30</v>
      </c>
      <c r="O332" s="1" t="s">
        <v>126</v>
      </c>
      <c r="P332" s="1" t="str">
        <f t="shared" si="262"/>
        <v>Philadelphia</v>
      </c>
      <c r="Q332" s="1" t="s">
        <v>127</v>
      </c>
      <c r="R332" s="1" t="str">
        <f t="shared" si="263"/>
        <v>Pennsylvania</v>
      </c>
      <c r="S332" s="1">
        <v>19143</v>
      </c>
      <c r="T332" s="1" t="s">
        <v>128</v>
      </c>
      <c r="U332" s="1" t="s">
        <v>975</v>
      </c>
      <c r="V332" s="1" t="s">
        <v>46</v>
      </c>
      <c r="W332" s="7">
        <v>37.764000000000003</v>
      </c>
      <c r="X332" s="1">
        <v>1</v>
      </c>
      <c r="Y332" s="7">
        <v>37.700000000000003</v>
      </c>
      <c r="Z332" s="7">
        <f t="shared" ref="Z332:AA332" si="340">W332*X332</f>
        <v>37.764000000000003</v>
      </c>
      <c r="AA332" s="7">
        <f t="shared" si="340"/>
        <v>37.700000000000003</v>
      </c>
      <c r="AB332" s="7">
        <f t="shared" si="265"/>
        <v>6.4000000000000057E-2</v>
      </c>
    </row>
    <row r="333" spans="1:28">
      <c r="A333" s="1">
        <v>332</v>
      </c>
      <c r="B333" s="1" t="s">
        <v>976</v>
      </c>
      <c r="C333" s="2">
        <v>42850</v>
      </c>
      <c r="D333" s="6" t="str">
        <f t="shared" si="260"/>
        <v>Apr</v>
      </c>
      <c r="E333" s="6" t="str">
        <f t="shared" si="261"/>
        <v>Qtr 2</v>
      </c>
      <c r="F333" s="5" t="s">
        <v>977</v>
      </c>
      <c r="G333" s="1" t="s">
        <v>26</v>
      </c>
      <c r="H333" s="1" t="s">
        <v>978</v>
      </c>
      <c r="I333" s="1" t="s">
        <v>979</v>
      </c>
      <c r="J333" s="1" t="str">
        <f ca="1">IFERROR(__xludf.DUMMYFUNCTION("split(I333,"" "")"),"John")</f>
        <v>John</v>
      </c>
      <c r="K333" s="1" t="str">
        <f ca="1">IFERROR(__xludf.DUMMYFUNCTION("""COMPUTED_VALUE"""),"Lucas")</f>
        <v>Lucas</v>
      </c>
      <c r="L333" s="1"/>
      <c r="M333" s="1" t="s">
        <v>29</v>
      </c>
      <c r="N333" s="1" t="s">
        <v>30</v>
      </c>
      <c r="O333" s="1" t="s">
        <v>126</v>
      </c>
      <c r="P333" s="1" t="str">
        <f t="shared" si="262"/>
        <v>Philadelphia</v>
      </c>
      <c r="Q333" s="1" t="s">
        <v>127</v>
      </c>
      <c r="R333" s="1" t="str">
        <f t="shared" si="263"/>
        <v>Pennsylvania</v>
      </c>
      <c r="S333" s="1">
        <v>19134</v>
      </c>
      <c r="T333" s="1" t="s">
        <v>128</v>
      </c>
      <c r="U333" s="1" t="s">
        <v>980</v>
      </c>
      <c r="V333" s="1" t="s">
        <v>64</v>
      </c>
      <c r="W333" s="7">
        <v>82.8</v>
      </c>
      <c r="X333" s="1">
        <v>1</v>
      </c>
      <c r="Y333" s="7">
        <v>82.11</v>
      </c>
      <c r="Z333" s="7">
        <f t="shared" ref="Z333:AA333" si="341">W333*X333</f>
        <v>82.8</v>
      </c>
      <c r="AA333" s="7">
        <f t="shared" si="341"/>
        <v>82.11</v>
      </c>
      <c r="AB333" s="7">
        <f t="shared" si="265"/>
        <v>0.68999999999999773</v>
      </c>
    </row>
    <row r="334" spans="1:28">
      <c r="A334" s="1">
        <v>333</v>
      </c>
      <c r="B334" s="1" t="s">
        <v>976</v>
      </c>
      <c r="C334" s="2">
        <v>42850</v>
      </c>
      <c r="D334" s="6" t="str">
        <f t="shared" si="260"/>
        <v>Apr</v>
      </c>
      <c r="E334" s="6" t="str">
        <f t="shared" si="261"/>
        <v>Qtr 2</v>
      </c>
      <c r="F334" s="5" t="s">
        <v>977</v>
      </c>
      <c r="G334" s="1" t="s">
        <v>26</v>
      </c>
      <c r="H334" s="1" t="s">
        <v>978</v>
      </c>
      <c r="I334" s="1" t="s">
        <v>979</v>
      </c>
      <c r="J334" s="1" t="str">
        <f ca="1">IFERROR(__xludf.DUMMYFUNCTION("split(I334,"" "")"),"John")</f>
        <v>John</v>
      </c>
      <c r="K334" s="1" t="str">
        <f ca="1">IFERROR(__xludf.DUMMYFUNCTION("""COMPUTED_VALUE"""),"Lucas")</f>
        <v>Lucas</v>
      </c>
      <c r="L334" s="1"/>
      <c r="M334" s="1" t="s">
        <v>29</v>
      </c>
      <c r="N334" s="1" t="s">
        <v>30</v>
      </c>
      <c r="O334" s="1" t="s">
        <v>126</v>
      </c>
      <c r="P334" s="1" t="str">
        <f t="shared" si="262"/>
        <v>Philadelphia</v>
      </c>
      <c r="Q334" s="1" t="s">
        <v>127</v>
      </c>
      <c r="R334" s="1" t="str">
        <f t="shared" si="263"/>
        <v>Pennsylvania</v>
      </c>
      <c r="S334" s="1">
        <v>19134</v>
      </c>
      <c r="T334" s="1" t="s">
        <v>128</v>
      </c>
      <c r="U334" s="1" t="s">
        <v>981</v>
      </c>
      <c r="V334" s="1" t="s">
        <v>46</v>
      </c>
      <c r="W334" s="7">
        <v>20.724</v>
      </c>
      <c r="X334" s="1">
        <v>1</v>
      </c>
      <c r="Y334" s="7">
        <v>20.190000000000001</v>
      </c>
      <c r="Z334" s="7">
        <f t="shared" ref="Z334:AA334" si="342">W334*X334</f>
        <v>20.724</v>
      </c>
      <c r="AA334" s="7">
        <f t="shared" si="342"/>
        <v>20.190000000000001</v>
      </c>
      <c r="AB334" s="7">
        <f t="shared" si="265"/>
        <v>0.53399999999999892</v>
      </c>
    </row>
    <row r="335" spans="1:28">
      <c r="A335" s="1">
        <v>334</v>
      </c>
      <c r="B335" s="1" t="s">
        <v>976</v>
      </c>
      <c r="C335" s="2">
        <v>42850</v>
      </c>
      <c r="D335" s="6" t="str">
        <f t="shared" si="260"/>
        <v>Apr</v>
      </c>
      <c r="E335" s="6" t="str">
        <f t="shared" si="261"/>
        <v>Qtr 2</v>
      </c>
      <c r="F335" s="5" t="s">
        <v>977</v>
      </c>
      <c r="G335" s="1" t="s">
        <v>26</v>
      </c>
      <c r="H335" s="1" t="s">
        <v>978</v>
      </c>
      <c r="I335" s="1" t="s">
        <v>979</v>
      </c>
      <c r="J335" s="1" t="str">
        <f ca="1">IFERROR(__xludf.DUMMYFUNCTION("split(I335,"" "")"),"John")</f>
        <v>John</v>
      </c>
      <c r="K335" s="1" t="str">
        <f ca="1">IFERROR(__xludf.DUMMYFUNCTION("""COMPUTED_VALUE"""),"Lucas")</f>
        <v>Lucas</v>
      </c>
      <c r="L335" s="1"/>
      <c r="M335" s="1" t="s">
        <v>29</v>
      </c>
      <c r="N335" s="1" t="s">
        <v>30</v>
      </c>
      <c r="O335" s="1" t="s">
        <v>126</v>
      </c>
      <c r="P335" s="1" t="str">
        <f t="shared" si="262"/>
        <v>Philadelphia</v>
      </c>
      <c r="Q335" s="1" t="s">
        <v>127</v>
      </c>
      <c r="R335" s="1" t="str">
        <f t="shared" si="263"/>
        <v>Pennsylvania</v>
      </c>
      <c r="S335" s="1">
        <v>19134</v>
      </c>
      <c r="T335" s="1" t="s">
        <v>128</v>
      </c>
      <c r="U335" s="1" t="s">
        <v>982</v>
      </c>
      <c r="V335" s="1" t="s">
        <v>46</v>
      </c>
      <c r="W335" s="7">
        <v>4.8959999999999999</v>
      </c>
      <c r="X335" s="1">
        <v>1</v>
      </c>
      <c r="Y335" s="7">
        <v>4.8</v>
      </c>
      <c r="Z335" s="7">
        <f t="shared" ref="Z335:AA335" si="343">W335*X335</f>
        <v>4.8959999999999999</v>
      </c>
      <c r="AA335" s="7">
        <f t="shared" si="343"/>
        <v>4.8</v>
      </c>
      <c r="AB335" s="7">
        <f t="shared" si="265"/>
        <v>9.6000000000000085E-2</v>
      </c>
    </row>
    <row r="336" spans="1:28">
      <c r="A336" s="1">
        <v>335</v>
      </c>
      <c r="B336" s="1" t="s">
        <v>983</v>
      </c>
      <c r="C336" s="2">
        <v>42378</v>
      </c>
      <c r="D336" s="6" t="str">
        <f t="shared" si="260"/>
        <v>Jan</v>
      </c>
      <c r="E336" s="6" t="str">
        <f t="shared" si="261"/>
        <v>Qtr 1</v>
      </c>
      <c r="F336" s="5">
        <v>42469</v>
      </c>
      <c r="G336" s="1" t="s">
        <v>26</v>
      </c>
      <c r="H336" s="1" t="s">
        <v>984</v>
      </c>
      <c r="I336" s="1" t="s">
        <v>985</v>
      </c>
      <c r="J336" s="1" t="str">
        <f ca="1">IFERROR(__xludf.DUMMYFUNCTION("split(I336,"" "")"),"Doug")</f>
        <v>Doug</v>
      </c>
      <c r="K336" s="1" t="str">
        <f ca="1">IFERROR(__xludf.DUMMYFUNCTION("""COMPUTED_VALUE"""),"Bickford")</f>
        <v>Bickford</v>
      </c>
      <c r="L336" s="1"/>
      <c r="M336" s="1" t="s">
        <v>29</v>
      </c>
      <c r="N336" s="1" t="s">
        <v>30</v>
      </c>
      <c r="O336" s="1" t="s">
        <v>42</v>
      </c>
      <c r="P336" s="1" t="str">
        <f t="shared" si="262"/>
        <v>Los Angeles</v>
      </c>
      <c r="Q336" s="1" t="s">
        <v>68</v>
      </c>
      <c r="R336" s="1" t="str">
        <f t="shared" si="263"/>
        <v>California</v>
      </c>
      <c r="S336" s="1">
        <v>90045</v>
      </c>
      <c r="T336" s="1" t="s">
        <v>44</v>
      </c>
      <c r="U336" s="1" t="s">
        <v>986</v>
      </c>
      <c r="V336" s="1" t="s">
        <v>46</v>
      </c>
      <c r="W336" s="7">
        <v>4.7519999999999998</v>
      </c>
      <c r="X336" s="1">
        <v>9</v>
      </c>
      <c r="Y336" s="7">
        <v>4.63</v>
      </c>
      <c r="Z336" s="7">
        <f t="shared" ref="Z336:AA336" si="344">W336*X336</f>
        <v>42.768000000000001</v>
      </c>
      <c r="AA336" s="7">
        <f t="shared" si="344"/>
        <v>41.67</v>
      </c>
      <c r="AB336" s="7">
        <f t="shared" si="265"/>
        <v>1.097999999999999</v>
      </c>
    </row>
    <row r="337" spans="1:28">
      <c r="A337" s="1">
        <v>336</v>
      </c>
      <c r="B337" s="1" t="s">
        <v>983</v>
      </c>
      <c r="C337" s="2">
        <v>42378</v>
      </c>
      <c r="D337" s="6" t="str">
        <f t="shared" si="260"/>
        <v>Jan</v>
      </c>
      <c r="E337" s="6" t="str">
        <f t="shared" si="261"/>
        <v>Qtr 1</v>
      </c>
      <c r="F337" s="5">
        <v>42469</v>
      </c>
      <c r="G337" s="1" t="s">
        <v>26</v>
      </c>
      <c r="H337" s="1" t="s">
        <v>984</v>
      </c>
      <c r="I337" s="1" t="s">
        <v>985</v>
      </c>
      <c r="J337" s="1" t="str">
        <f ca="1">IFERROR(__xludf.DUMMYFUNCTION("split(I337,"" "")"),"Doug")</f>
        <v>Doug</v>
      </c>
      <c r="K337" s="1" t="str">
        <f ca="1">IFERROR(__xludf.DUMMYFUNCTION("""COMPUTED_VALUE"""),"Bickford")</f>
        <v>Bickford</v>
      </c>
      <c r="L337" s="1"/>
      <c r="M337" s="1" t="s">
        <v>29</v>
      </c>
      <c r="N337" s="1" t="s">
        <v>30</v>
      </c>
      <c r="O337" s="1" t="s">
        <v>42</v>
      </c>
      <c r="P337" s="1" t="str">
        <f t="shared" si="262"/>
        <v>Los Angeles</v>
      </c>
      <c r="Q337" s="1" t="s">
        <v>68</v>
      </c>
      <c r="R337" s="1" t="str">
        <f t="shared" si="263"/>
        <v>California</v>
      </c>
      <c r="S337" s="1">
        <v>90045</v>
      </c>
      <c r="T337" s="1" t="s">
        <v>44</v>
      </c>
      <c r="U337" s="1" t="s">
        <v>987</v>
      </c>
      <c r="V337" s="1" t="s">
        <v>64</v>
      </c>
      <c r="W337" s="7">
        <v>959.98400000000004</v>
      </c>
      <c r="X337" s="1">
        <v>9</v>
      </c>
      <c r="Y337" s="7">
        <v>959.68</v>
      </c>
      <c r="Z337" s="7">
        <f t="shared" ref="Z337:AA337" si="345">W337*X337</f>
        <v>8639.8559999999998</v>
      </c>
      <c r="AA337" s="7">
        <f t="shared" si="345"/>
        <v>8637.119999999999</v>
      </c>
      <c r="AB337" s="7">
        <f t="shared" si="265"/>
        <v>2.7360000000007858</v>
      </c>
    </row>
    <row r="338" spans="1:28">
      <c r="A338" s="1">
        <v>337</v>
      </c>
      <c r="B338" s="1" t="s">
        <v>983</v>
      </c>
      <c r="C338" s="2">
        <v>42378</v>
      </c>
      <c r="D338" s="6" t="str">
        <f t="shared" si="260"/>
        <v>Jan</v>
      </c>
      <c r="E338" s="6" t="str">
        <f t="shared" si="261"/>
        <v>Qtr 1</v>
      </c>
      <c r="F338" s="5">
        <v>42469</v>
      </c>
      <c r="G338" s="1" t="s">
        <v>26</v>
      </c>
      <c r="H338" s="1" t="s">
        <v>984</v>
      </c>
      <c r="I338" s="1" t="s">
        <v>985</v>
      </c>
      <c r="J338" s="1" t="str">
        <f ca="1">IFERROR(__xludf.DUMMYFUNCTION("split(I338,"" "")"),"Doug")</f>
        <v>Doug</v>
      </c>
      <c r="K338" s="1" t="str">
        <f ca="1">IFERROR(__xludf.DUMMYFUNCTION("""COMPUTED_VALUE"""),"Bickford")</f>
        <v>Bickford</v>
      </c>
      <c r="L338" s="1"/>
      <c r="M338" s="1" t="s">
        <v>29</v>
      </c>
      <c r="N338" s="1" t="s">
        <v>30</v>
      </c>
      <c r="O338" s="1" t="s">
        <v>42</v>
      </c>
      <c r="P338" s="1" t="str">
        <f t="shared" si="262"/>
        <v>Los Angeles</v>
      </c>
      <c r="Q338" s="1" t="s">
        <v>68</v>
      </c>
      <c r="R338" s="1" t="str">
        <f t="shared" si="263"/>
        <v>California</v>
      </c>
      <c r="S338" s="1">
        <v>90045</v>
      </c>
      <c r="T338" s="1" t="s">
        <v>44</v>
      </c>
      <c r="U338" s="1" t="s">
        <v>988</v>
      </c>
      <c r="V338" s="1" t="s">
        <v>46</v>
      </c>
      <c r="W338" s="7">
        <v>14.368</v>
      </c>
      <c r="X338" s="1">
        <v>9</v>
      </c>
      <c r="Y338" s="7">
        <v>13.73</v>
      </c>
      <c r="Z338" s="7">
        <f t="shared" ref="Z338:AA338" si="346">W338*X338</f>
        <v>129.31200000000001</v>
      </c>
      <c r="AA338" s="7">
        <f t="shared" si="346"/>
        <v>123.57000000000001</v>
      </c>
      <c r="AB338" s="7">
        <f t="shared" si="265"/>
        <v>5.7420000000000044</v>
      </c>
    </row>
    <row r="339" spans="1:28">
      <c r="A339" s="1">
        <v>338</v>
      </c>
      <c r="B339" s="1" t="s">
        <v>989</v>
      </c>
      <c r="C339" s="2">
        <v>42345</v>
      </c>
      <c r="D339" s="6" t="str">
        <f t="shared" si="260"/>
        <v>Dec</v>
      </c>
      <c r="E339" s="6" t="str">
        <f t="shared" si="261"/>
        <v>Qtr 4</v>
      </c>
      <c r="F339" s="5" t="s">
        <v>990</v>
      </c>
      <c r="G339" s="1" t="s">
        <v>49</v>
      </c>
      <c r="H339" s="1" t="s">
        <v>991</v>
      </c>
      <c r="I339" s="1" t="s">
        <v>992</v>
      </c>
      <c r="J339" s="1" t="str">
        <f ca="1">IFERROR(__xludf.DUMMYFUNCTION("split(I339,"" "")"),"Alyssa")</f>
        <v>Alyssa</v>
      </c>
      <c r="K339" s="1" t="str">
        <f ca="1">IFERROR(__xludf.DUMMYFUNCTION("""COMPUTED_VALUE"""),"Crouse")</f>
        <v>Crouse</v>
      </c>
      <c r="L339" s="1"/>
      <c r="M339" s="1" t="s">
        <v>41</v>
      </c>
      <c r="N339" s="1" t="s">
        <v>30</v>
      </c>
      <c r="O339" s="1" t="s">
        <v>110</v>
      </c>
      <c r="P339" s="1" t="str">
        <f t="shared" si="262"/>
        <v>San Francisco</v>
      </c>
      <c r="Q339" s="1" t="s">
        <v>68</v>
      </c>
      <c r="R339" s="1" t="str">
        <f t="shared" si="263"/>
        <v>California</v>
      </c>
      <c r="S339" s="1">
        <v>94122</v>
      </c>
      <c r="T339" s="1" t="s">
        <v>44</v>
      </c>
      <c r="U339" s="1" t="s">
        <v>993</v>
      </c>
      <c r="V339" s="1" t="s">
        <v>46</v>
      </c>
      <c r="W339" s="7">
        <v>7.7119999999999997</v>
      </c>
      <c r="X339" s="1">
        <v>9</v>
      </c>
      <c r="Y339" s="7">
        <v>7.19</v>
      </c>
      <c r="Z339" s="7">
        <f t="shared" ref="Z339:AA339" si="347">W339*X339</f>
        <v>69.408000000000001</v>
      </c>
      <c r="AA339" s="7">
        <f t="shared" si="347"/>
        <v>64.710000000000008</v>
      </c>
      <c r="AB339" s="7">
        <f t="shared" si="265"/>
        <v>4.6979999999999933</v>
      </c>
    </row>
    <row r="340" spans="1:28">
      <c r="A340" s="1">
        <v>339</v>
      </c>
      <c r="B340" s="1" t="s">
        <v>989</v>
      </c>
      <c r="C340" s="2">
        <v>42345</v>
      </c>
      <c r="D340" s="6" t="str">
        <f t="shared" si="260"/>
        <v>Dec</v>
      </c>
      <c r="E340" s="6" t="str">
        <f t="shared" si="261"/>
        <v>Qtr 4</v>
      </c>
      <c r="F340" s="5" t="s">
        <v>990</v>
      </c>
      <c r="G340" s="1" t="s">
        <v>49</v>
      </c>
      <c r="H340" s="1" t="s">
        <v>991</v>
      </c>
      <c r="I340" s="1" t="s">
        <v>992</v>
      </c>
      <c r="J340" s="1" t="str">
        <f ca="1">IFERROR(__xludf.DUMMYFUNCTION("split(I340,"" "")"),"Alyssa")</f>
        <v>Alyssa</v>
      </c>
      <c r="K340" s="1" t="str">
        <f ca="1">IFERROR(__xludf.DUMMYFUNCTION("""COMPUTED_VALUE"""),"Crouse")</f>
        <v>Crouse</v>
      </c>
      <c r="L340" s="1"/>
      <c r="M340" s="1" t="s">
        <v>41</v>
      </c>
      <c r="N340" s="1" t="s">
        <v>30</v>
      </c>
      <c r="O340" s="1" t="s">
        <v>110</v>
      </c>
      <c r="P340" s="1" t="str">
        <f t="shared" si="262"/>
        <v>San Francisco</v>
      </c>
      <c r="Q340" s="1" t="s">
        <v>68</v>
      </c>
      <c r="R340" s="1" t="str">
        <f t="shared" si="263"/>
        <v>California</v>
      </c>
      <c r="S340" s="1">
        <v>94122</v>
      </c>
      <c r="T340" s="1" t="s">
        <v>44</v>
      </c>
      <c r="U340" s="1" t="s">
        <v>994</v>
      </c>
      <c r="V340" s="1" t="s">
        <v>35</v>
      </c>
      <c r="W340" s="7">
        <v>698.35199999999998</v>
      </c>
      <c r="X340" s="1">
        <v>9</v>
      </c>
      <c r="Y340" s="7">
        <v>698.24</v>
      </c>
      <c r="Z340" s="7">
        <f t="shared" ref="Z340:AA340" si="348">W340*X340</f>
        <v>6285.1679999999997</v>
      </c>
      <c r="AA340" s="7">
        <f t="shared" si="348"/>
        <v>6284.16</v>
      </c>
      <c r="AB340" s="7">
        <f t="shared" si="265"/>
        <v>1.0079999999998108</v>
      </c>
    </row>
    <row r="341" spans="1:28">
      <c r="A341" s="1">
        <v>340</v>
      </c>
      <c r="B341" s="1" t="s">
        <v>995</v>
      </c>
      <c r="C341" s="2">
        <v>42543</v>
      </c>
      <c r="D341" s="6" t="str">
        <f t="shared" si="260"/>
        <v>Jun</v>
      </c>
      <c r="E341" s="6" t="str">
        <f t="shared" si="261"/>
        <v>Qtr 2</v>
      </c>
      <c r="F341" s="5" t="s">
        <v>996</v>
      </c>
      <c r="G341" s="1" t="s">
        <v>26</v>
      </c>
      <c r="H341" s="1" t="s">
        <v>754</v>
      </c>
      <c r="I341" s="1" t="s">
        <v>755</v>
      </c>
      <c r="J341" s="1" t="str">
        <f ca="1">IFERROR(__xludf.DUMMYFUNCTION("split(I341,"" "")"),"Ken")</f>
        <v>Ken</v>
      </c>
      <c r="K341" s="1" t="str">
        <f ca="1">IFERROR(__xludf.DUMMYFUNCTION("""COMPUTED_VALUE"""),"Lonsdale")</f>
        <v>Lonsdale</v>
      </c>
      <c r="L341" s="1"/>
      <c r="M341" s="1" t="s">
        <v>29</v>
      </c>
      <c r="N341" s="1" t="s">
        <v>30</v>
      </c>
      <c r="O341" s="1" t="s">
        <v>997</v>
      </c>
      <c r="P341" s="1" t="str">
        <f t="shared" si="262"/>
        <v>Layton</v>
      </c>
      <c r="Q341" s="1" t="s">
        <v>105</v>
      </c>
      <c r="R341" s="1" t="str">
        <f t="shared" si="263"/>
        <v>Utah</v>
      </c>
      <c r="S341" s="1">
        <v>84041</v>
      </c>
      <c r="T341" s="1" t="s">
        <v>44</v>
      </c>
      <c r="U341" s="1" t="s">
        <v>998</v>
      </c>
      <c r="V341" s="1" t="s">
        <v>46</v>
      </c>
      <c r="W341" s="7">
        <v>4.96</v>
      </c>
      <c r="X341" s="1">
        <v>8</v>
      </c>
      <c r="Y341" s="7">
        <v>4.45</v>
      </c>
      <c r="Z341" s="7">
        <f t="shared" ref="Z341:AA341" si="349">W341*X341</f>
        <v>39.68</v>
      </c>
      <c r="AA341" s="7">
        <f t="shared" si="349"/>
        <v>35.6</v>
      </c>
      <c r="AB341" s="7">
        <f t="shared" si="265"/>
        <v>4.0799999999999983</v>
      </c>
    </row>
    <row r="342" spans="1:28">
      <c r="A342" s="1">
        <v>341</v>
      </c>
      <c r="B342" s="1" t="s">
        <v>999</v>
      </c>
      <c r="C342" s="2">
        <v>42107</v>
      </c>
      <c r="D342" s="6" t="str">
        <f t="shared" si="260"/>
        <v>Apr</v>
      </c>
      <c r="E342" s="6" t="str">
        <f t="shared" si="261"/>
        <v>Qtr 2</v>
      </c>
      <c r="F342" s="5" t="s">
        <v>1000</v>
      </c>
      <c r="G342" s="1" t="s">
        <v>26</v>
      </c>
      <c r="H342" s="1" t="s">
        <v>482</v>
      </c>
      <c r="I342" s="1" t="s">
        <v>483</v>
      </c>
      <c r="J342" s="1" t="str">
        <f ca="1">IFERROR(__xludf.DUMMYFUNCTION("split(I342,"" "")"),"Jonathan")</f>
        <v>Jonathan</v>
      </c>
      <c r="K342" s="1" t="str">
        <f ca="1">IFERROR(__xludf.DUMMYFUNCTION("""COMPUTED_VALUE"""),"Doherty")</f>
        <v>Doherty</v>
      </c>
      <c r="L342" s="1"/>
      <c r="M342" s="1" t="s">
        <v>41</v>
      </c>
      <c r="N342" s="1" t="s">
        <v>30</v>
      </c>
      <c r="O342" s="1" t="s">
        <v>126</v>
      </c>
      <c r="P342" s="1" t="str">
        <f t="shared" si="262"/>
        <v>Philadelphia</v>
      </c>
      <c r="Q342" s="1" t="s">
        <v>127</v>
      </c>
      <c r="R342" s="1" t="str">
        <f t="shared" si="263"/>
        <v>Pennsylvania</v>
      </c>
      <c r="S342" s="1">
        <v>19140</v>
      </c>
      <c r="T342" s="1" t="s">
        <v>128</v>
      </c>
      <c r="U342" s="1" t="s">
        <v>1001</v>
      </c>
      <c r="V342" s="1" t="s">
        <v>46</v>
      </c>
      <c r="W342" s="7">
        <v>17.856000000000002</v>
      </c>
      <c r="X342" s="1">
        <v>1</v>
      </c>
      <c r="Y342" s="7">
        <v>17.12</v>
      </c>
      <c r="Z342" s="7">
        <f t="shared" ref="Z342:AA342" si="350">W342*X342</f>
        <v>17.856000000000002</v>
      </c>
      <c r="AA342" s="7">
        <f t="shared" si="350"/>
        <v>17.12</v>
      </c>
      <c r="AB342" s="7">
        <f t="shared" si="265"/>
        <v>0.73600000000000065</v>
      </c>
    </row>
    <row r="343" spans="1:28">
      <c r="A343" s="1">
        <v>342</v>
      </c>
      <c r="B343" s="1" t="s">
        <v>999</v>
      </c>
      <c r="C343" s="2">
        <v>42107</v>
      </c>
      <c r="D343" s="6" t="str">
        <f t="shared" si="260"/>
        <v>Apr</v>
      </c>
      <c r="E343" s="6" t="str">
        <f t="shared" si="261"/>
        <v>Qtr 2</v>
      </c>
      <c r="F343" s="5" t="s">
        <v>1000</v>
      </c>
      <c r="G343" s="1" t="s">
        <v>26</v>
      </c>
      <c r="H343" s="1" t="s">
        <v>482</v>
      </c>
      <c r="I343" s="1" t="s">
        <v>483</v>
      </c>
      <c r="J343" s="1" t="str">
        <f ca="1">IFERROR(__xludf.DUMMYFUNCTION("split(I343,"" "")"),"Jonathan")</f>
        <v>Jonathan</v>
      </c>
      <c r="K343" s="1" t="str">
        <f ca="1">IFERROR(__xludf.DUMMYFUNCTION("""COMPUTED_VALUE"""),"Doherty")</f>
        <v>Doherty</v>
      </c>
      <c r="L343" s="1"/>
      <c r="M343" s="1" t="s">
        <v>41</v>
      </c>
      <c r="N343" s="1" t="s">
        <v>30</v>
      </c>
      <c r="O343" s="1" t="s">
        <v>126</v>
      </c>
      <c r="P343" s="1" t="str">
        <f t="shared" si="262"/>
        <v>Philadelphia</v>
      </c>
      <c r="Q343" s="1" t="s">
        <v>127</v>
      </c>
      <c r="R343" s="1" t="str">
        <f t="shared" si="263"/>
        <v>Pennsylvania</v>
      </c>
      <c r="S343" s="1">
        <v>19140</v>
      </c>
      <c r="T343" s="1" t="s">
        <v>128</v>
      </c>
      <c r="U343" s="1" t="s">
        <v>82</v>
      </c>
      <c r="V343" s="1" t="s">
        <v>46</v>
      </c>
      <c r="W343" s="7">
        <v>509.97</v>
      </c>
      <c r="X343" s="1">
        <v>1</v>
      </c>
      <c r="Y343" s="7">
        <v>509.93</v>
      </c>
      <c r="Z343" s="7">
        <f t="shared" ref="Z343:AA343" si="351">W343*X343</f>
        <v>509.97</v>
      </c>
      <c r="AA343" s="7">
        <f t="shared" si="351"/>
        <v>509.93</v>
      </c>
      <c r="AB343" s="7">
        <f t="shared" si="265"/>
        <v>4.0000000000020464E-2</v>
      </c>
    </row>
    <row r="344" spans="1:28">
      <c r="A344" s="1">
        <v>343</v>
      </c>
      <c r="B344" s="1" t="s">
        <v>999</v>
      </c>
      <c r="C344" s="2">
        <v>42107</v>
      </c>
      <c r="D344" s="6" t="str">
        <f t="shared" si="260"/>
        <v>Apr</v>
      </c>
      <c r="E344" s="6" t="str">
        <f t="shared" si="261"/>
        <v>Qtr 2</v>
      </c>
      <c r="F344" s="5" t="s">
        <v>1000</v>
      </c>
      <c r="G344" s="1" t="s">
        <v>26</v>
      </c>
      <c r="H344" s="1" t="s">
        <v>482</v>
      </c>
      <c r="I344" s="1" t="s">
        <v>483</v>
      </c>
      <c r="J344" s="1" t="str">
        <f ca="1">IFERROR(__xludf.DUMMYFUNCTION("split(I344,"" "")"),"Jonathan")</f>
        <v>Jonathan</v>
      </c>
      <c r="K344" s="1" t="str">
        <f ca="1">IFERROR(__xludf.DUMMYFUNCTION("""COMPUTED_VALUE"""),"Doherty")</f>
        <v>Doherty</v>
      </c>
      <c r="L344" s="1"/>
      <c r="M344" s="1" t="s">
        <v>41</v>
      </c>
      <c r="N344" s="1" t="s">
        <v>30</v>
      </c>
      <c r="O344" s="1" t="s">
        <v>126</v>
      </c>
      <c r="P344" s="1" t="str">
        <f t="shared" si="262"/>
        <v>Philadelphia</v>
      </c>
      <c r="Q344" s="1" t="s">
        <v>127</v>
      </c>
      <c r="R344" s="1" t="str">
        <f t="shared" si="263"/>
        <v>Pennsylvania</v>
      </c>
      <c r="S344" s="1">
        <v>19140</v>
      </c>
      <c r="T344" s="1" t="s">
        <v>128</v>
      </c>
      <c r="U344" s="1" t="s">
        <v>469</v>
      </c>
      <c r="V344" s="1" t="s">
        <v>46</v>
      </c>
      <c r="W344" s="7">
        <v>30.992000000000001</v>
      </c>
      <c r="X344" s="1">
        <v>1</v>
      </c>
      <c r="Y344" s="7">
        <v>30.06</v>
      </c>
      <c r="Z344" s="7">
        <f t="shared" ref="Z344:AA344" si="352">W344*X344</f>
        <v>30.992000000000001</v>
      </c>
      <c r="AA344" s="7">
        <f t="shared" si="352"/>
        <v>30.06</v>
      </c>
      <c r="AB344" s="7">
        <f t="shared" si="265"/>
        <v>0.93200000000000216</v>
      </c>
    </row>
    <row r="345" spans="1:28">
      <c r="A345" s="1">
        <v>344</v>
      </c>
      <c r="B345" s="1" t="s">
        <v>999</v>
      </c>
      <c r="C345" s="2">
        <v>42107</v>
      </c>
      <c r="D345" s="6" t="str">
        <f t="shared" si="260"/>
        <v>Apr</v>
      </c>
      <c r="E345" s="6" t="str">
        <f t="shared" si="261"/>
        <v>Qtr 2</v>
      </c>
      <c r="F345" s="5" t="s">
        <v>1000</v>
      </c>
      <c r="G345" s="1" t="s">
        <v>26</v>
      </c>
      <c r="H345" s="1" t="s">
        <v>482</v>
      </c>
      <c r="I345" s="1" t="s">
        <v>483</v>
      </c>
      <c r="J345" s="1" t="str">
        <f ca="1">IFERROR(__xludf.DUMMYFUNCTION("split(I345,"" "")"),"Jonathan")</f>
        <v>Jonathan</v>
      </c>
      <c r="K345" s="1" t="str">
        <f ca="1">IFERROR(__xludf.DUMMYFUNCTION("""COMPUTED_VALUE"""),"Doherty")</f>
        <v>Doherty</v>
      </c>
      <c r="L345" s="1"/>
      <c r="M345" s="1" t="s">
        <v>41</v>
      </c>
      <c r="N345" s="1" t="s">
        <v>30</v>
      </c>
      <c r="O345" s="1" t="s">
        <v>126</v>
      </c>
      <c r="P345" s="1" t="str">
        <f t="shared" si="262"/>
        <v>Philadelphia</v>
      </c>
      <c r="Q345" s="1" t="s">
        <v>127</v>
      </c>
      <c r="R345" s="1" t="str">
        <f t="shared" si="263"/>
        <v>Pennsylvania</v>
      </c>
      <c r="S345" s="1">
        <v>19140</v>
      </c>
      <c r="T345" s="1" t="s">
        <v>128</v>
      </c>
      <c r="U345" s="1" t="s">
        <v>1002</v>
      </c>
      <c r="V345" s="1" t="s">
        <v>64</v>
      </c>
      <c r="W345" s="7">
        <v>71.927999999999997</v>
      </c>
      <c r="X345" s="1">
        <v>1</v>
      </c>
      <c r="Y345" s="7">
        <v>71.77</v>
      </c>
      <c r="Z345" s="7">
        <f t="shared" ref="Z345:AA345" si="353">W345*X345</f>
        <v>71.927999999999997</v>
      </c>
      <c r="AA345" s="7">
        <f t="shared" si="353"/>
        <v>71.77</v>
      </c>
      <c r="AB345" s="7">
        <f t="shared" si="265"/>
        <v>0.15800000000000125</v>
      </c>
    </row>
    <row r="346" spans="1:28">
      <c r="A346" s="1">
        <v>345</v>
      </c>
      <c r="B346" s="1" t="s">
        <v>1003</v>
      </c>
      <c r="C346" s="2">
        <v>42724</v>
      </c>
      <c r="D346" s="6" t="str">
        <f t="shared" si="260"/>
        <v>Dec</v>
      </c>
      <c r="E346" s="6" t="str">
        <f t="shared" si="261"/>
        <v>Qtr 4</v>
      </c>
      <c r="F346" s="5" t="s">
        <v>1004</v>
      </c>
      <c r="G346" s="1" t="s">
        <v>49</v>
      </c>
      <c r="H346" s="1" t="s">
        <v>574</v>
      </c>
      <c r="I346" s="1" t="s">
        <v>575</v>
      </c>
      <c r="J346" s="1" t="str">
        <f ca="1">IFERROR(__xludf.DUMMYFUNCTION("split(I346,"" "")"),"Chad")</f>
        <v>Chad</v>
      </c>
      <c r="K346" s="1" t="str">
        <f ca="1">IFERROR(__xludf.DUMMYFUNCTION("""COMPUTED_VALUE"""),"Sievert")</f>
        <v>Sievert</v>
      </c>
      <c r="L346" s="1"/>
      <c r="M346" s="1" t="s">
        <v>29</v>
      </c>
      <c r="N346" s="1" t="s">
        <v>30</v>
      </c>
      <c r="O346" s="1" t="s">
        <v>1005</v>
      </c>
      <c r="P346" s="1" t="str">
        <f t="shared" si="262"/>
        <v>Austin</v>
      </c>
      <c r="Q346" s="1" t="s">
        <v>89</v>
      </c>
      <c r="R346" s="1" t="str">
        <f t="shared" si="263"/>
        <v>Texas</v>
      </c>
      <c r="S346" s="1">
        <v>78745</v>
      </c>
      <c r="T346" s="1" t="s">
        <v>90</v>
      </c>
      <c r="U346" s="1" t="s">
        <v>106</v>
      </c>
      <c r="V346" s="1" t="s">
        <v>46</v>
      </c>
      <c r="W346" s="7">
        <v>88.8</v>
      </c>
      <c r="X346" s="1">
        <v>7</v>
      </c>
      <c r="Y346" s="7">
        <v>88.41</v>
      </c>
      <c r="Z346" s="7">
        <f t="shared" ref="Z346:AA346" si="354">W346*X346</f>
        <v>621.6</v>
      </c>
      <c r="AA346" s="7">
        <f t="shared" si="354"/>
        <v>618.87</v>
      </c>
      <c r="AB346" s="7">
        <f t="shared" si="265"/>
        <v>2.7300000000000182</v>
      </c>
    </row>
    <row r="347" spans="1:28">
      <c r="A347" s="1">
        <v>346</v>
      </c>
      <c r="B347" s="1" t="s">
        <v>1006</v>
      </c>
      <c r="C347" s="2">
        <v>43266</v>
      </c>
      <c r="D347" s="6" t="str">
        <f t="shared" si="260"/>
        <v>Jun</v>
      </c>
      <c r="E347" s="6" t="str">
        <f t="shared" si="261"/>
        <v>Qtr 2</v>
      </c>
      <c r="F347" s="5" t="s">
        <v>1007</v>
      </c>
      <c r="G347" s="1" t="s">
        <v>49</v>
      </c>
      <c r="H347" s="1" t="s">
        <v>1008</v>
      </c>
      <c r="I347" s="1" t="s">
        <v>1009</v>
      </c>
      <c r="J347" s="1" t="str">
        <f ca="1">IFERROR(__xludf.DUMMYFUNCTION("split(I347,"" "")"),"Clay")</f>
        <v>Clay</v>
      </c>
      <c r="K347" s="1" t="str">
        <f ca="1">IFERROR(__xludf.DUMMYFUNCTION("""COMPUTED_VALUE"""),"Cheatham")</f>
        <v>Cheatham</v>
      </c>
      <c r="L347" s="1"/>
      <c r="M347" s="1" t="s">
        <v>29</v>
      </c>
      <c r="N347" s="1" t="s">
        <v>30</v>
      </c>
      <c r="O347" s="1" t="s">
        <v>110</v>
      </c>
      <c r="P347" s="1" t="str">
        <f t="shared" si="262"/>
        <v>San Francisco</v>
      </c>
      <c r="Q347" s="1" t="s">
        <v>68</v>
      </c>
      <c r="R347" s="1" t="str">
        <f t="shared" si="263"/>
        <v>California</v>
      </c>
      <c r="S347" s="1">
        <v>94122</v>
      </c>
      <c r="T347" s="1" t="s">
        <v>44</v>
      </c>
      <c r="U347" s="1" t="s">
        <v>467</v>
      </c>
      <c r="V347" s="1" t="s">
        <v>64</v>
      </c>
      <c r="W347" s="7">
        <v>47.975999999999999</v>
      </c>
      <c r="X347" s="1">
        <v>9</v>
      </c>
      <c r="Y347" s="7">
        <v>47.57</v>
      </c>
      <c r="Z347" s="7">
        <f t="shared" ref="Z347:AA347" si="355">W347*X347</f>
        <v>431.78399999999999</v>
      </c>
      <c r="AA347" s="7">
        <f t="shared" si="355"/>
        <v>428.13</v>
      </c>
      <c r="AB347" s="7">
        <f t="shared" si="265"/>
        <v>3.6539999999999964</v>
      </c>
    </row>
    <row r="348" spans="1:28">
      <c r="A348" s="1">
        <v>347</v>
      </c>
      <c r="B348" s="1" t="s">
        <v>1010</v>
      </c>
      <c r="C348" s="2">
        <v>43319</v>
      </c>
      <c r="D348" s="6" t="str">
        <f t="shared" si="260"/>
        <v>Aug</v>
      </c>
      <c r="E348" s="6" t="str">
        <f t="shared" si="261"/>
        <v>Qtr 3</v>
      </c>
      <c r="F348" s="5">
        <v>43441</v>
      </c>
      <c r="G348" s="1" t="s">
        <v>49</v>
      </c>
      <c r="H348" s="1" t="s">
        <v>1011</v>
      </c>
      <c r="I348" s="1" t="s">
        <v>1012</v>
      </c>
      <c r="J348" s="1" t="str">
        <f ca="1">IFERROR(__xludf.DUMMYFUNCTION("split(I348,"" "")"),"Tamara")</f>
        <v>Tamara</v>
      </c>
      <c r="K348" s="1" t="str">
        <f ca="1">IFERROR(__xludf.DUMMYFUNCTION("""COMPUTED_VALUE"""),"Dahlen")</f>
        <v>Dahlen</v>
      </c>
      <c r="L348" s="1"/>
      <c r="M348" s="1" t="s">
        <v>29</v>
      </c>
      <c r="N348" s="1" t="s">
        <v>30</v>
      </c>
      <c r="O348" s="1" t="s">
        <v>1013</v>
      </c>
      <c r="P348" s="1" t="str">
        <f t="shared" si="262"/>
        <v>Lowell</v>
      </c>
      <c r="Q348" s="1" t="s">
        <v>1014</v>
      </c>
      <c r="R348" s="1" t="str">
        <f t="shared" si="263"/>
        <v>Massachusetts</v>
      </c>
      <c r="S348" s="1">
        <v>1852</v>
      </c>
      <c r="T348" s="1" t="s">
        <v>128</v>
      </c>
      <c r="U348" s="1" t="s">
        <v>647</v>
      </c>
      <c r="V348" s="1" t="s">
        <v>46</v>
      </c>
      <c r="W348" s="7">
        <v>7.56</v>
      </c>
      <c r="X348" s="1">
        <v>1</v>
      </c>
      <c r="Y348" s="7">
        <v>6.69</v>
      </c>
      <c r="Z348" s="7">
        <f t="shared" ref="Z348:AA348" si="356">W348*X348</f>
        <v>7.56</v>
      </c>
      <c r="AA348" s="7">
        <f t="shared" si="356"/>
        <v>6.69</v>
      </c>
      <c r="AB348" s="7">
        <f t="shared" si="265"/>
        <v>0.86999999999999922</v>
      </c>
    </row>
    <row r="349" spans="1:28">
      <c r="A349" s="1">
        <v>348</v>
      </c>
      <c r="B349" s="1" t="s">
        <v>1010</v>
      </c>
      <c r="C349" s="2">
        <v>43319</v>
      </c>
      <c r="D349" s="6" t="str">
        <f t="shared" si="260"/>
        <v>Aug</v>
      </c>
      <c r="E349" s="6" t="str">
        <f t="shared" si="261"/>
        <v>Qtr 3</v>
      </c>
      <c r="F349" s="5">
        <v>43441</v>
      </c>
      <c r="G349" s="1" t="s">
        <v>49</v>
      </c>
      <c r="H349" s="1" t="s">
        <v>1011</v>
      </c>
      <c r="I349" s="1" t="s">
        <v>1012</v>
      </c>
      <c r="J349" s="1" t="str">
        <f ca="1">IFERROR(__xludf.DUMMYFUNCTION("split(I349,"" "")"),"Tamara")</f>
        <v>Tamara</v>
      </c>
      <c r="K349" s="1" t="str">
        <f ca="1">IFERROR(__xludf.DUMMYFUNCTION("""COMPUTED_VALUE"""),"Dahlen")</f>
        <v>Dahlen</v>
      </c>
      <c r="L349" s="1"/>
      <c r="M349" s="1" t="s">
        <v>29</v>
      </c>
      <c r="N349" s="1" t="s">
        <v>30</v>
      </c>
      <c r="O349" s="1" t="s">
        <v>1013</v>
      </c>
      <c r="P349" s="1" t="str">
        <f t="shared" si="262"/>
        <v>Lowell</v>
      </c>
      <c r="Q349" s="1" t="s">
        <v>1014</v>
      </c>
      <c r="R349" s="1" t="str">
        <f t="shared" si="263"/>
        <v>Massachusetts</v>
      </c>
      <c r="S349" s="1">
        <v>1852</v>
      </c>
      <c r="T349" s="1" t="s">
        <v>128</v>
      </c>
      <c r="U349" s="1" t="s">
        <v>160</v>
      </c>
      <c r="V349" s="1" t="s">
        <v>46</v>
      </c>
      <c r="W349" s="7">
        <v>24.56</v>
      </c>
      <c r="X349" s="1">
        <v>1</v>
      </c>
      <c r="Y349" s="7">
        <v>23.77</v>
      </c>
      <c r="Z349" s="7">
        <f t="shared" ref="Z349:AA349" si="357">W349*X349</f>
        <v>24.56</v>
      </c>
      <c r="AA349" s="7">
        <f t="shared" si="357"/>
        <v>23.77</v>
      </c>
      <c r="AB349" s="7">
        <f t="shared" si="265"/>
        <v>0.78999999999999915</v>
      </c>
    </row>
    <row r="350" spans="1:28">
      <c r="A350" s="1">
        <v>349</v>
      </c>
      <c r="B350" s="1" t="s">
        <v>1010</v>
      </c>
      <c r="C350" s="2">
        <v>43319</v>
      </c>
      <c r="D350" s="6" t="str">
        <f t="shared" si="260"/>
        <v>Aug</v>
      </c>
      <c r="E350" s="6" t="str">
        <f t="shared" si="261"/>
        <v>Qtr 3</v>
      </c>
      <c r="F350" s="5">
        <v>43441</v>
      </c>
      <c r="G350" s="1" t="s">
        <v>49</v>
      </c>
      <c r="H350" s="1" t="s">
        <v>1011</v>
      </c>
      <c r="I350" s="1" t="s">
        <v>1012</v>
      </c>
      <c r="J350" s="1" t="str">
        <f ca="1">IFERROR(__xludf.DUMMYFUNCTION("split(I350,"" "")"),"Tamara")</f>
        <v>Tamara</v>
      </c>
      <c r="K350" s="1" t="str">
        <f ca="1">IFERROR(__xludf.DUMMYFUNCTION("""COMPUTED_VALUE"""),"Dahlen")</f>
        <v>Dahlen</v>
      </c>
      <c r="L350" s="1"/>
      <c r="M350" s="1" t="s">
        <v>29</v>
      </c>
      <c r="N350" s="1" t="s">
        <v>30</v>
      </c>
      <c r="O350" s="1" t="s">
        <v>1013</v>
      </c>
      <c r="P350" s="1" t="str">
        <f t="shared" si="262"/>
        <v>Lowell</v>
      </c>
      <c r="Q350" s="1" t="s">
        <v>1014</v>
      </c>
      <c r="R350" s="1" t="str">
        <f t="shared" si="263"/>
        <v>Massachusetts</v>
      </c>
      <c r="S350" s="1">
        <v>1852</v>
      </c>
      <c r="T350" s="1" t="s">
        <v>128</v>
      </c>
      <c r="U350" s="1" t="s">
        <v>1015</v>
      </c>
      <c r="V350" s="1" t="s">
        <v>46</v>
      </c>
      <c r="W350" s="7">
        <v>12.96</v>
      </c>
      <c r="X350" s="1">
        <v>1</v>
      </c>
      <c r="Y350" s="7">
        <v>12.95</v>
      </c>
      <c r="Z350" s="7">
        <f t="shared" ref="Z350:AA350" si="358">W350*X350</f>
        <v>12.96</v>
      </c>
      <c r="AA350" s="7">
        <f t="shared" si="358"/>
        <v>12.95</v>
      </c>
      <c r="AB350" s="7">
        <f t="shared" si="265"/>
        <v>1.0000000000001563E-2</v>
      </c>
    </row>
    <row r="351" spans="1:28">
      <c r="A351" s="1">
        <v>350</v>
      </c>
      <c r="B351" s="1" t="s">
        <v>1016</v>
      </c>
      <c r="C351" s="2">
        <v>42744</v>
      </c>
      <c r="D351" s="6" t="str">
        <f t="shared" si="260"/>
        <v>Jan</v>
      </c>
      <c r="E351" s="6" t="str">
        <f t="shared" si="261"/>
        <v>Qtr 1</v>
      </c>
      <c r="F351" s="5">
        <v>42803</v>
      </c>
      <c r="G351" s="1" t="s">
        <v>162</v>
      </c>
      <c r="H351" s="1" t="s">
        <v>1017</v>
      </c>
      <c r="I351" s="1" t="s">
        <v>1018</v>
      </c>
      <c r="J351" s="1" t="str">
        <f ca="1">IFERROR(__xludf.DUMMYFUNCTION("split(I351,"" "")"),"Adam")</f>
        <v>Adam</v>
      </c>
      <c r="K351" s="1" t="str">
        <f ca="1">IFERROR(__xludf.DUMMYFUNCTION("""COMPUTED_VALUE"""),"Bellavance")</f>
        <v>Bellavance</v>
      </c>
      <c r="L351" s="1"/>
      <c r="M351" s="1" t="s">
        <v>87</v>
      </c>
      <c r="N351" s="1" t="s">
        <v>30</v>
      </c>
      <c r="O351" s="1" t="s">
        <v>233</v>
      </c>
      <c r="P351" s="1" t="str">
        <f t="shared" si="262"/>
        <v>New York City</v>
      </c>
      <c r="Q351" s="1" t="s">
        <v>234</v>
      </c>
      <c r="R351" s="1" t="str">
        <f t="shared" si="263"/>
        <v>New York</v>
      </c>
      <c r="S351" s="1">
        <v>10009</v>
      </c>
      <c r="T351" s="1" t="s">
        <v>128</v>
      </c>
      <c r="U351" s="1" t="s">
        <v>793</v>
      </c>
      <c r="V351" s="1" t="s">
        <v>64</v>
      </c>
      <c r="W351" s="7">
        <v>6.79</v>
      </c>
      <c r="X351" s="1">
        <v>1</v>
      </c>
      <c r="Y351" s="7">
        <v>6.4</v>
      </c>
      <c r="Z351" s="7">
        <f t="shared" ref="Z351:AA351" si="359">W351*X351</f>
        <v>6.79</v>
      </c>
      <c r="AA351" s="7">
        <f t="shared" si="359"/>
        <v>6.4</v>
      </c>
      <c r="AB351" s="7">
        <f t="shared" si="265"/>
        <v>0.38999999999999968</v>
      </c>
    </row>
    <row r="352" spans="1:28">
      <c r="A352" s="1">
        <v>351</v>
      </c>
      <c r="B352" s="1" t="s">
        <v>1016</v>
      </c>
      <c r="C352" s="2">
        <v>42744</v>
      </c>
      <c r="D352" s="6" t="str">
        <f t="shared" si="260"/>
        <v>Jan</v>
      </c>
      <c r="E352" s="6" t="str">
        <f t="shared" si="261"/>
        <v>Qtr 1</v>
      </c>
      <c r="F352" s="5">
        <v>42803</v>
      </c>
      <c r="G352" s="1" t="s">
        <v>162</v>
      </c>
      <c r="H352" s="1" t="s">
        <v>1017</v>
      </c>
      <c r="I352" s="1" t="s">
        <v>1018</v>
      </c>
      <c r="J352" s="1" t="str">
        <f ca="1">IFERROR(__xludf.DUMMYFUNCTION("split(I352,"" "")"),"Adam")</f>
        <v>Adam</v>
      </c>
      <c r="K352" s="1" t="str">
        <f ca="1">IFERROR(__xludf.DUMMYFUNCTION("""COMPUTED_VALUE"""),"Bellavance")</f>
        <v>Bellavance</v>
      </c>
      <c r="L352" s="1"/>
      <c r="M352" s="1" t="s">
        <v>87</v>
      </c>
      <c r="N352" s="1" t="s">
        <v>30</v>
      </c>
      <c r="O352" s="1" t="s">
        <v>233</v>
      </c>
      <c r="P352" s="1" t="str">
        <f t="shared" si="262"/>
        <v>New York City</v>
      </c>
      <c r="Q352" s="1" t="s">
        <v>234</v>
      </c>
      <c r="R352" s="1" t="str">
        <f t="shared" si="263"/>
        <v>New York</v>
      </c>
      <c r="S352" s="1">
        <v>10009</v>
      </c>
      <c r="T352" s="1" t="s">
        <v>128</v>
      </c>
      <c r="U352" s="1" t="s">
        <v>1019</v>
      </c>
      <c r="V352" s="1" t="s">
        <v>46</v>
      </c>
      <c r="W352" s="7">
        <v>24.56</v>
      </c>
      <c r="X352" s="1">
        <v>1</v>
      </c>
      <c r="Y352" s="7">
        <v>23.66</v>
      </c>
      <c r="Z352" s="7">
        <f t="shared" ref="Z352:AA352" si="360">W352*X352</f>
        <v>24.56</v>
      </c>
      <c r="AA352" s="7">
        <f t="shared" si="360"/>
        <v>23.66</v>
      </c>
      <c r="AB352" s="7">
        <f t="shared" si="265"/>
        <v>0.89999999999999858</v>
      </c>
    </row>
    <row r="353" spans="1:28">
      <c r="A353" s="1">
        <v>352</v>
      </c>
      <c r="B353" s="1" t="s">
        <v>1016</v>
      </c>
      <c r="C353" s="2">
        <v>42744</v>
      </c>
      <c r="D353" s="6" t="str">
        <f t="shared" si="260"/>
        <v>Jan</v>
      </c>
      <c r="E353" s="6" t="str">
        <f t="shared" si="261"/>
        <v>Qtr 1</v>
      </c>
      <c r="F353" s="5">
        <v>42803</v>
      </c>
      <c r="G353" s="1" t="s">
        <v>162</v>
      </c>
      <c r="H353" s="1" t="s">
        <v>1017</v>
      </c>
      <c r="I353" s="1" t="s">
        <v>1018</v>
      </c>
      <c r="J353" s="1" t="str">
        <f ca="1">IFERROR(__xludf.DUMMYFUNCTION("split(I353,"" "")"),"Adam")</f>
        <v>Adam</v>
      </c>
      <c r="K353" s="1" t="str">
        <f ca="1">IFERROR(__xludf.DUMMYFUNCTION("""COMPUTED_VALUE"""),"Bellavance")</f>
        <v>Bellavance</v>
      </c>
      <c r="L353" s="1"/>
      <c r="M353" s="1" t="s">
        <v>87</v>
      </c>
      <c r="N353" s="1" t="s">
        <v>30</v>
      </c>
      <c r="O353" s="1" t="s">
        <v>233</v>
      </c>
      <c r="P353" s="1" t="str">
        <f t="shared" si="262"/>
        <v>New York City</v>
      </c>
      <c r="Q353" s="1" t="s">
        <v>234</v>
      </c>
      <c r="R353" s="1" t="str">
        <f t="shared" si="263"/>
        <v>New York</v>
      </c>
      <c r="S353" s="1">
        <v>10009</v>
      </c>
      <c r="T353" s="1" t="s">
        <v>128</v>
      </c>
      <c r="U353" s="1" t="s">
        <v>1020</v>
      </c>
      <c r="V353" s="1" t="s">
        <v>46</v>
      </c>
      <c r="W353" s="7">
        <v>3.048</v>
      </c>
      <c r="X353" s="1">
        <v>1</v>
      </c>
      <c r="Y353" s="7">
        <v>2.2200000000000002</v>
      </c>
      <c r="Z353" s="7">
        <f t="shared" ref="Z353:AA353" si="361">W353*X353</f>
        <v>3.048</v>
      </c>
      <c r="AA353" s="7">
        <f t="shared" si="361"/>
        <v>2.2200000000000002</v>
      </c>
      <c r="AB353" s="7">
        <f t="shared" si="265"/>
        <v>0.82799999999999985</v>
      </c>
    </row>
    <row r="354" spans="1:28">
      <c r="A354" s="1">
        <v>353</v>
      </c>
      <c r="B354" s="1" t="s">
        <v>1016</v>
      </c>
      <c r="C354" s="2">
        <v>42744</v>
      </c>
      <c r="D354" s="6" t="str">
        <f t="shared" si="260"/>
        <v>Jan</v>
      </c>
      <c r="E354" s="6" t="str">
        <f t="shared" si="261"/>
        <v>Qtr 1</v>
      </c>
      <c r="F354" s="5">
        <v>42803</v>
      </c>
      <c r="G354" s="1" t="s">
        <v>162</v>
      </c>
      <c r="H354" s="1" t="s">
        <v>1017</v>
      </c>
      <c r="I354" s="1" t="s">
        <v>1018</v>
      </c>
      <c r="J354" s="1" t="str">
        <f ca="1">IFERROR(__xludf.DUMMYFUNCTION("split(I354,"" "")"),"Adam")</f>
        <v>Adam</v>
      </c>
      <c r="K354" s="1" t="str">
        <f ca="1">IFERROR(__xludf.DUMMYFUNCTION("""COMPUTED_VALUE"""),"Bellavance")</f>
        <v>Bellavance</v>
      </c>
      <c r="L354" s="1"/>
      <c r="M354" s="1" t="s">
        <v>87</v>
      </c>
      <c r="N354" s="1" t="s">
        <v>30</v>
      </c>
      <c r="O354" s="1" t="s">
        <v>233</v>
      </c>
      <c r="P354" s="1" t="str">
        <f t="shared" si="262"/>
        <v>New York City</v>
      </c>
      <c r="Q354" s="1" t="s">
        <v>234</v>
      </c>
      <c r="R354" s="1" t="str">
        <f t="shared" si="263"/>
        <v>New York</v>
      </c>
      <c r="S354" s="1">
        <v>10009</v>
      </c>
      <c r="T354" s="1" t="s">
        <v>128</v>
      </c>
      <c r="U354" s="1" t="s">
        <v>1019</v>
      </c>
      <c r="V354" s="1" t="s">
        <v>46</v>
      </c>
      <c r="W354" s="7">
        <v>49.12</v>
      </c>
      <c r="X354" s="1">
        <v>1</v>
      </c>
      <c r="Y354" s="7">
        <v>48.36</v>
      </c>
      <c r="Z354" s="7">
        <f t="shared" ref="Z354:AA354" si="362">W354*X354</f>
        <v>49.12</v>
      </c>
      <c r="AA354" s="7">
        <f t="shared" si="362"/>
        <v>48.36</v>
      </c>
      <c r="AB354" s="7">
        <f t="shared" si="265"/>
        <v>0.75999999999999801</v>
      </c>
    </row>
    <row r="355" spans="1:28">
      <c r="A355" s="1">
        <v>354</v>
      </c>
      <c r="B355" s="1" t="s">
        <v>1016</v>
      </c>
      <c r="C355" s="2">
        <v>42744</v>
      </c>
      <c r="D355" s="6" t="str">
        <f t="shared" si="260"/>
        <v>Jan</v>
      </c>
      <c r="E355" s="6" t="str">
        <f t="shared" si="261"/>
        <v>Qtr 1</v>
      </c>
      <c r="F355" s="5">
        <v>42803</v>
      </c>
      <c r="G355" s="1" t="s">
        <v>162</v>
      </c>
      <c r="H355" s="1" t="s">
        <v>1017</v>
      </c>
      <c r="I355" s="1" t="s">
        <v>1018</v>
      </c>
      <c r="J355" s="1" t="str">
        <f ca="1">IFERROR(__xludf.DUMMYFUNCTION("split(I355,"" "")"),"Adam")</f>
        <v>Adam</v>
      </c>
      <c r="K355" s="1" t="str">
        <f ca="1">IFERROR(__xludf.DUMMYFUNCTION("""COMPUTED_VALUE"""),"Bellavance")</f>
        <v>Bellavance</v>
      </c>
      <c r="L355" s="1"/>
      <c r="M355" s="1" t="s">
        <v>87</v>
      </c>
      <c r="N355" s="1" t="s">
        <v>30</v>
      </c>
      <c r="O355" s="1" t="s">
        <v>233</v>
      </c>
      <c r="P355" s="1" t="str">
        <f t="shared" si="262"/>
        <v>New York City</v>
      </c>
      <c r="Q355" s="1" t="s">
        <v>234</v>
      </c>
      <c r="R355" s="1" t="str">
        <f t="shared" si="263"/>
        <v>New York</v>
      </c>
      <c r="S355" s="1">
        <v>10009</v>
      </c>
      <c r="T355" s="1" t="s">
        <v>128</v>
      </c>
      <c r="U355" s="1" t="s">
        <v>1021</v>
      </c>
      <c r="V355" s="1" t="s">
        <v>46</v>
      </c>
      <c r="W355" s="7">
        <v>4355.1679999999997</v>
      </c>
      <c r="X355" s="1">
        <v>1</v>
      </c>
      <c r="Y355" s="7">
        <v>4355.0600000000004</v>
      </c>
      <c r="Z355" s="7">
        <f t="shared" ref="Z355:AA355" si="363">W355*X355</f>
        <v>4355.1679999999997</v>
      </c>
      <c r="AA355" s="7">
        <f t="shared" si="363"/>
        <v>4355.0600000000004</v>
      </c>
      <c r="AB355" s="7">
        <f t="shared" si="265"/>
        <v>0.10799999999926513</v>
      </c>
    </row>
    <row r="356" spans="1:28">
      <c r="A356" s="1">
        <v>355</v>
      </c>
      <c r="B356" s="1" t="s">
        <v>1022</v>
      </c>
      <c r="C356" s="2">
        <v>42951</v>
      </c>
      <c r="D356" s="6" t="str">
        <f t="shared" si="260"/>
        <v>Aug</v>
      </c>
      <c r="E356" s="6" t="str">
        <f t="shared" si="261"/>
        <v>Qtr 3</v>
      </c>
      <c r="F356" s="5" t="s">
        <v>1023</v>
      </c>
      <c r="G356" s="1" t="s">
        <v>49</v>
      </c>
      <c r="H356" s="1" t="s">
        <v>1024</v>
      </c>
      <c r="I356" s="1" t="s">
        <v>1025</v>
      </c>
      <c r="J356" s="1" t="str">
        <f ca="1">IFERROR(__xludf.DUMMYFUNCTION("split(I356,"" "")"),"Jeremy")</f>
        <v>Jeremy</v>
      </c>
      <c r="K356" s="1" t="str">
        <f ca="1">IFERROR(__xludf.DUMMYFUNCTION("""COMPUTED_VALUE"""),"Lonsdale")</f>
        <v>Lonsdale</v>
      </c>
      <c r="L356" s="1"/>
      <c r="M356" s="1" t="s">
        <v>29</v>
      </c>
      <c r="N356" s="1" t="s">
        <v>30</v>
      </c>
      <c r="O356" s="1" t="s">
        <v>233</v>
      </c>
      <c r="P356" s="1" t="str">
        <f t="shared" si="262"/>
        <v>New York City</v>
      </c>
      <c r="Q356" s="1" t="s">
        <v>234</v>
      </c>
      <c r="R356" s="1" t="str">
        <f t="shared" si="263"/>
        <v>New York</v>
      </c>
      <c r="S356" s="1">
        <v>10035</v>
      </c>
      <c r="T356" s="1" t="s">
        <v>128</v>
      </c>
      <c r="U356" s="1" t="s">
        <v>1026</v>
      </c>
      <c r="V356" s="1" t="s">
        <v>35</v>
      </c>
      <c r="W356" s="7">
        <v>388.70400000000001</v>
      </c>
      <c r="X356" s="1">
        <v>1</v>
      </c>
      <c r="Y356" s="7">
        <v>388.45</v>
      </c>
      <c r="Z356" s="7">
        <f t="shared" ref="Z356:AA356" si="364">W356*X356</f>
        <v>388.70400000000001</v>
      </c>
      <c r="AA356" s="7">
        <f t="shared" si="364"/>
        <v>388.45</v>
      </c>
      <c r="AB356" s="7">
        <f t="shared" si="265"/>
        <v>0.2540000000000191</v>
      </c>
    </row>
    <row r="357" spans="1:28">
      <c r="A357" s="1">
        <v>356</v>
      </c>
      <c r="B357" s="1" t="s">
        <v>1022</v>
      </c>
      <c r="C357" s="2">
        <v>42951</v>
      </c>
      <c r="D357" s="6" t="str">
        <f t="shared" si="260"/>
        <v>Aug</v>
      </c>
      <c r="E357" s="6" t="str">
        <f t="shared" si="261"/>
        <v>Qtr 3</v>
      </c>
      <c r="F357" s="5" t="s">
        <v>1023</v>
      </c>
      <c r="G357" s="1" t="s">
        <v>49</v>
      </c>
      <c r="H357" s="1" t="s">
        <v>1024</v>
      </c>
      <c r="I357" s="1" t="s">
        <v>1025</v>
      </c>
      <c r="J357" s="1" t="str">
        <f ca="1">IFERROR(__xludf.DUMMYFUNCTION("split(I357,"" "")"),"Jeremy")</f>
        <v>Jeremy</v>
      </c>
      <c r="K357" s="1" t="str">
        <f ca="1">IFERROR(__xludf.DUMMYFUNCTION("""COMPUTED_VALUE"""),"Lonsdale")</f>
        <v>Lonsdale</v>
      </c>
      <c r="L357" s="1"/>
      <c r="M357" s="1" t="s">
        <v>29</v>
      </c>
      <c r="N357" s="1" t="s">
        <v>30</v>
      </c>
      <c r="O357" s="1" t="s">
        <v>233</v>
      </c>
      <c r="P357" s="1" t="str">
        <f t="shared" si="262"/>
        <v>New York City</v>
      </c>
      <c r="Q357" s="1" t="s">
        <v>234</v>
      </c>
      <c r="R357" s="1" t="str">
        <f t="shared" si="263"/>
        <v>New York</v>
      </c>
      <c r="S357" s="1">
        <v>10035</v>
      </c>
      <c r="T357" s="1" t="s">
        <v>128</v>
      </c>
      <c r="U357" s="1" t="s">
        <v>1027</v>
      </c>
      <c r="V357" s="1" t="s">
        <v>46</v>
      </c>
      <c r="W357" s="7">
        <v>8.26</v>
      </c>
      <c r="X357" s="1">
        <v>1</v>
      </c>
      <c r="Y357" s="7">
        <v>7.81</v>
      </c>
      <c r="Z357" s="7">
        <f t="shared" ref="Z357:AA357" si="365">W357*X357</f>
        <v>8.26</v>
      </c>
      <c r="AA357" s="7">
        <f t="shared" si="365"/>
        <v>7.81</v>
      </c>
      <c r="AB357" s="7">
        <f t="shared" si="265"/>
        <v>0.45000000000000018</v>
      </c>
    </row>
    <row r="358" spans="1:28">
      <c r="A358" s="1">
        <v>357</v>
      </c>
      <c r="B358" s="1" t="s">
        <v>1022</v>
      </c>
      <c r="C358" s="2">
        <v>42951</v>
      </c>
      <c r="D358" s="6" t="str">
        <f t="shared" si="260"/>
        <v>Aug</v>
      </c>
      <c r="E358" s="6" t="str">
        <f t="shared" si="261"/>
        <v>Qtr 3</v>
      </c>
      <c r="F358" s="5" t="s">
        <v>1023</v>
      </c>
      <c r="G358" s="1" t="s">
        <v>49</v>
      </c>
      <c r="H358" s="1" t="s">
        <v>1024</v>
      </c>
      <c r="I358" s="1" t="s">
        <v>1025</v>
      </c>
      <c r="J358" s="1" t="str">
        <f ca="1">IFERROR(__xludf.DUMMYFUNCTION("split(I358,"" "")"),"Jeremy")</f>
        <v>Jeremy</v>
      </c>
      <c r="K358" s="1" t="str">
        <f ca="1">IFERROR(__xludf.DUMMYFUNCTION("""COMPUTED_VALUE"""),"Lonsdale")</f>
        <v>Lonsdale</v>
      </c>
      <c r="L358" s="1"/>
      <c r="M358" s="1" t="s">
        <v>29</v>
      </c>
      <c r="N358" s="1" t="s">
        <v>30</v>
      </c>
      <c r="O358" s="1" t="s">
        <v>233</v>
      </c>
      <c r="P358" s="1" t="str">
        <f t="shared" si="262"/>
        <v>New York City</v>
      </c>
      <c r="Q358" s="1" t="s">
        <v>234</v>
      </c>
      <c r="R358" s="1" t="str">
        <f t="shared" si="263"/>
        <v>New York</v>
      </c>
      <c r="S358" s="1">
        <v>10035</v>
      </c>
      <c r="T358" s="1" t="s">
        <v>128</v>
      </c>
      <c r="U358" s="1" t="s">
        <v>1028</v>
      </c>
      <c r="V358" s="1" t="s">
        <v>46</v>
      </c>
      <c r="W358" s="7">
        <v>17.04</v>
      </c>
      <c r="X358" s="1">
        <v>1</v>
      </c>
      <c r="Y358" s="7">
        <v>16.07</v>
      </c>
      <c r="Z358" s="7">
        <f t="shared" ref="Z358:AA358" si="366">W358*X358</f>
        <v>17.04</v>
      </c>
      <c r="AA358" s="7">
        <f t="shared" si="366"/>
        <v>16.07</v>
      </c>
      <c r="AB358" s="7">
        <f t="shared" si="265"/>
        <v>0.96999999999999886</v>
      </c>
    </row>
    <row r="359" spans="1:28">
      <c r="A359" s="1">
        <v>358</v>
      </c>
      <c r="B359" s="1" t="s">
        <v>1022</v>
      </c>
      <c r="C359" s="2">
        <v>42951</v>
      </c>
      <c r="D359" s="6" t="str">
        <f t="shared" si="260"/>
        <v>Aug</v>
      </c>
      <c r="E359" s="6" t="str">
        <f t="shared" si="261"/>
        <v>Qtr 3</v>
      </c>
      <c r="F359" s="5" t="s">
        <v>1023</v>
      </c>
      <c r="G359" s="1" t="s">
        <v>49</v>
      </c>
      <c r="H359" s="1" t="s">
        <v>1024</v>
      </c>
      <c r="I359" s="1" t="s">
        <v>1025</v>
      </c>
      <c r="J359" s="1" t="str">
        <f ca="1">IFERROR(__xludf.DUMMYFUNCTION("split(I359,"" "")"),"Jeremy")</f>
        <v>Jeremy</v>
      </c>
      <c r="K359" s="1" t="str">
        <f ca="1">IFERROR(__xludf.DUMMYFUNCTION("""COMPUTED_VALUE"""),"Lonsdale")</f>
        <v>Lonsdale</v>
      </c>
      <c r="L359" s="1"/>
      <c r="M359" s="1" t="s">
        <v>29</v>
      </c>
      <c r="N359" s="1" t="s">
        <v>30</v>
      </c>
      <c r="O359" s="1" t="s">
        <v>233</v>
      </c>
      <c r="P359" s="1" t="str">
        <f t="shared" si="262"/>
        <v>New York City</v>
      </c>
      <c r="Q359" s="1" t="s">
        <v>234</v>
      </c>
      <c r="R359" s="1" t="str">
        <f t="shared" si="263"/>
        <v>New York</v>
      </c>
      <c r="S359" s="1">
        <v>10035</v>
      </c>
      <c r="T359" s="1" t="s">
        <v>128</v>
      </c>
      <c r="U359" s="1" t="s">
        <v>1029</v>
      </c>
      <c r="V359" s="1" t="s">
        <v>46</v>
      </c>
      <c r="W359" s="7">
        <v>34.4</v>
      </c>
      <c r="X359" s="1">
        <v>1</v>
      </c>
      <c r="Y359" s="7">
        <v>34.1</v>
      </c>
      <c r="Z359" s="7">
        <f t="shared" ref="Z359:AA359" si="367">W359*X359</f>
        <v>34.4</v>
      </c>
      <c r="AA359" s="7">
        <f t="shared" si="367"/>
        <v>34.1</v>
      </c>
      <c r="AB359" s="7">
        <f t="shared" si="265"/>
        <v>0.29999999999999716</v>
      </c>
    </row>
    <row r="360" spans="1:28">
      <c r="A360" s="1">
        <v>359</v>
      </c>
      <c r="B360" s="1" t="s">
        <v>1030</v>
      </c>
      <c r="C360" s="2">
        <v>42848</v>
      </c>
      <c r="D360" s="6" t="str">
        <f t="shared" si="260"/>
        <v>Apr</v>
      </c>
      <c r="E360" s="6" t="str">
        <f t="shared" si="261"/>
        <v>Qtr 2</v>
      </c>
      <c r="F360" s="5" t="s">
        <v>1031</v>
      </c>
      <c r="G360" s="1" t="s">
        <v>49</v>
      </c>
      <c r="H360" s="1" t="s">
        <v>680</v>
      </c>
      <c r="I360" s="1" t="s">
        <v>681</v>
      </c>
      <c r="J360" s="1" t="str">
        <f ca="1">IFERROR(__xludf.DUMMYFUNCTION("split(I360,"" "")"),"Heather")</f>
        <v>Heather</v>
      </c>
      <c r="K360" s="1" t="str">
        <f ca="1">IFERROR(__xludf.DUMMYFUNCTION("""COMPUTED_VALUE"""),"Kirkland")</f>
        <v>Kirkland</v>
      </c>
      <c r="L360" s="1"/>
      <c r="M360" s="1" t="s">
        <v>41</v>
      </c>
      <c r="N360" s="1" t="s">
        <v>30</v>
      </c>
      <c r="O360" s="1" t="s">
        <v>394</v>
      </c>
      <c r="P360" s="1" t="str">
        <f t="shared" si="262"/>
        <v>Charlotte</v>
      </c>
      <c r="Q360" s="1" t="s">
        <v>75</v>
      </c>
      <c r="R360" s="1" t="str">
        <f t="shared" si="263"/>
        <v>North Carolina</v>
      </c>
      <c r="S360" s="1">
        <v>28205</v>
      </c>
      <c r="T360" s="1" t="s">
        <v>33</v>
      </c>
      <c r="U360" s="1" t="s">
        <v>666</v>
      </c>
      <c r="V360" s="1" t="s">
        <v>46</v>
      </c>
      <c r="W360" s="7">
        <v>36.24</v>
      </c>
      <c r="X360" s="1">
        <v>2</v>
      </c>
      <c r="Y360" s="7">
        <v>35.9</v>
      </c>
      <c r="Z360" s="7">
        <f t="shared" ref="Z360:AA360" si="368">W360*X360</f>
        <v>72.48</v>
      </c>
      <c r="AA360" s="7">
        <f t="shared" si="368"/>
        <v>71.8</v>
      </c>
      <c r="AB360" s="7">
        <f t="shared" si="265"/>
        <v>0.68000000000000682</v>
      </c>
    </row>
    <row r="361" spans="1:28">
      <c r="A361" s="1">
        <v>360</v>
      </c>
      <c r="B361" s="1" t="s">
        <v>1032</v>
      </c>
      <c r="C361" s="2">
        <v>43315</v>
      </c>
      <c r="D361" s="6" t="str">
        <f t="shared" si="260"/>
        <v>Aug</v>
      </c>
      <c r="E361" s="6" t="str">
        <f t="shared" si="261"/>
        <v>Qtr 3</v>
      </c>
      <c r="F361" s="5">
        <v>43407</v>
      </c>
      <c r="G361" s="1" t="s">
        <v>162</v>
      </c>
      <c r="H361" s="1" t="s">
        <v>1033</v>
      </c>
      <c r="I361" s="1" t="s">
        <v>1034</v>
      </c>
      <c r="J361" s="1" t="str">
        <f ca="1">IFERROR(__xludf.DUMMYFUNCTION("split(I361,"" "")"),"Victoria")</f>
        <v>Victoria</v>
      </c>
      <c r="K361" s="1" t="str">
        <f ca="1">IFERROR(__xludf.DUMMYFUNCTION("""COMPUTED_VALUE"""),"Brennan")</f>
        <v>Brennan</v>
      </c>
      <c r="L361" s="1"/>
      <c r="M361" s="1" t="s">
        <v>41</v>
      </c>
      <c r="N361" s="1" t="s">
        <v>30</v>
      </c>
      <c r="O361" s="1" t="s">
        <v>420</v>
      </c>
      <c r="P361" s="1" t="str">
        <f t="shared" si="262"/>
        <v>Columbus</v>
      </c>
      <c r="Q361" s="1" t="s">
        <v>1035</v>
      </c>
      <c r="R361" s="1" t="str">
        <f t="shared" si="263"/>
        <v>Georgia</v>
      </c>
      <c r="S361" s="1">
        <v>31907</v>
      </c>
      <c r="T361" s="1" t="s">
        <v>33</v>
      </c>
      <c r="U361" s="1" t="s">
        <v>1036</v>
      </c>
      <c r="V361" s="1" t="s">
        <v>46</v>
      </c>
      <c r="W361" s="7">
        <v>647.84</v>
      </c>
      <c r="X361" s="1">
        <v>3</v>
      </c>
      <c r="Y361" s="7">
        <v>647.21</v>
      </c>
      <c r="Z361" s="7">
        <f t="shared" ref="Z361:AA361" si="369">W361*X361</f>
        <v>1943.52</v>
      </c>
      <c r="AA361" s="7">
        <f t="shared" si="369"/>
        <v>1941.63</v>
      </c>
      <c r="AB361" s="7">
        <f t="shared" si="265"/>
        <v>1.8899999999998727</v>
      </c>
    </row>
    <row r="362" spans="1:28">
      <c r="A362" s="1">
        <v>361</v>
      </c>
      <c r="B362" s="1" t="s">
        <v>1032</v>
      </c>
      <c r="C362" s="2">
        <v>43315</v>
      </c>
      <c r="D362" s="6" t="str">
        <f t="shared" si="260"/>
        <v>Aug</v>
      </c>
      <c r="E362" s="6" t="str">
        <f t="shared" si="261"/>
        <v>Qtr 3</v>
      </c>
      <c r="F362" s="5">
        <v>43407</v>
      </c>
      <c r="G362" s="1" t="s">
        <v>162</v>
      </c>
      <c r="H362" s="1" t="s">
        <v>1033</v>
      </c>
      <c r="I362" s="1" t="s">
        <v>1034</v>
      </c>
      <c r="J362" s="1" t="str">
        <f ca="1">IFERROR(__xludf.DUMMYFUNCTION("split(I362,"" "")"),"Victoria")</f>
        <v>Victoria</v>
      </c>
      <c r="K362" s="1" t="str">
        <f ca="1">IFERROR(__xludf.DUMMYFUNCTION("""COMPUTED_VALUE"""),"Brennan")</f>
        <v>Brennan</v>
      </c>
      <c r="L362" s="1"/>
      <c r="M362" s="1" t="s">
        <v>41</v>
      </c>
      <c r="N362" s="1" t="s">
        <v>30</v>
      </c>
      <c r="O362" s="1" t="s">
        <v>420</v>
      </c>
      <c r="P362" s="1" t="str">
        <f t="shared" si="262"/>
        <v>Columbus</v>
      </c>
      <c r="Q362" s="1" t="s">
        <v>1035</v>
      </c>
      <c r="R362" s="1" t="str">
        <f t="shared" si="263"/>
        <v>Georgia</v>
      </c>
      <c r="S362" s="1">
        <v>31907</v>
      </c>
      <c r="T362" s="1" t="s">
        <v>33</v>
      </c>
      <c r="U362" s="1" t="s">
        <v>1037</v>
      </c>
      <c r="V362" s="1" t="s">
        <v>46</v>
      </c>
      <c r="W362" s="7">
        <v>20.7</v>
      </c>
      <c r="X362" s="1">
        <v>3</v>
      </c>
      <c r="Y362" s="7">
        <v>20.010000000000002</v>
      </c>
      <c r="Z362" s="7">
        <f t="shared" ref="Z362:AA362" si="370">W362*X362</f>
        <v>62.099999999999994</v>
      </c>
      <c r="AA362" s="7">
        <f t="shared" si="370"/>
        <v>60.03</v>
      </c>
      <c r="AB362" s="7">
        <f t="shared" si="265"/>
        <v>2.0699999999999932</v>
      </c>
    </row>
    <row r="363" spans="1:28">
      <c r="A363" s="1">
        <v>362</v>
      </c>
      <c r="B363" s="1" t="s">
        <v>1038</v>
      </c>
      <c r="C363" s="2">
        <v>43368</v>
      </c>
      <c r="D363" s="6" t="str">
        <f t="shared" si="260"/>
        <v>Sep</v>
      </c>
      <c r="E363" s="6" t="str">
        <f t="shared" si="261"/>
        <v>Qtr 3</v>
      </c>
      <c r="F363" s="5">
        <v>43110</v>
      </c>
      <c r="G363" s="1" t="s">
        <v>49</v>
      </c>
      <c r="H363" s="1" t="s">
        <v>1039</v>
      </c>
      <c r="I363" s="1" t="s">
        <v>1040</v>
      </c>
      <c r="J363" s="1" t="str">
        <f ca="1">IFERROR(__xludf.DUMMYFUNCTION("split(I363,"" "")"),"Katrina")</f>
        <v>Katrina</v>
      </c>
      <c r="K363" s="1" t="str">
        <f ca="1">IFERROR(__xludf.DUMMYFUNCTION("""COMPUTED_VALUE"""),"Willman")</f>
        <v>Willman</v>
      </c>
      <c r="L363" s="1"/>
      <c r="M363" s="1" t="s">
        <v>29</v>
      </c>
      <c r="N363" s="1" t="s">
        <v>30</v>
      </c>
      <c r="O363" s="1" t="s">
        <v>233</v>
      </c>
      <c r="P363" s="1" t="str">
        <f t="shared" si="262"/>
        <v>New York City</v>
      </c>
      <c r="Q363" s="1" t="s">
        <v>234</v>
      </c>
      <c r="R363" s="1" t="str">
        <f t="shared" si="263"/>
        <v>New York</v>
      </c>
      <c r="S363" s="1">
        <v>10009</v>
      </c>
      <c r="T363" s="1" t="s">
        <v>128</v>
      </c>
      <c r="U363" s="1" t="s">
        <v>1037</v>
      </c>
      <c r="V363" s="1" t="s">
        <v>46</v>
      </c>
      <c r="W363" s="7">
        <v>20.7</v>
      </c>
      <c r="X363" s="1">
        <v>1</v>
      </c>
      <c r="Y363" s="7">
        <v>20.49</v>
      </c>
      <c r="Z363" s="7">
        <f t="shared" ref="Z363:AA363" si="371">W363*X363</f>
        <v>20.7</v>
      </c>
      <c r="AA363" s="7">
        <f t="shared" si="371"/>
        <v>20.49</v>
      </c>
      <c r="AB363" s="7">
        <f t="shared" si="265"/>
        <v>0.21000000000000085</v>
      </c>
    </row>
    <row r="364" spans="1:28">
      <c r="A364" s="1">
        <v>363</v>
      </c>
      <c r="B364" s="1" t="s">
        <v>1038</v>
      </c>
      <c r="C364" s="2">
        <v>43368</v>
      </c>
      <c r="D364" s="6" t="str">
        <f t="shared" si="260"/>
        <v>Sep</v>
      </c>
      <c r="E364" s="6" t="str">
        <f t="shared" si="261"/>
        <v>Qtr 3</v>
      </c>
      <c r="F364" s="5">
        <v>43110</v>
      </c>
      <c r="G364" s="1" t="s">
        <v>49</v>
      </c>
      <c r="H364" s="1" t="s">
        <v>1039</v>
      </c>
      <c r="I364" s="1" t="s">
        <v>1040</v>
      </c>
      <c r="J364" s="1" t="str">
        <f ca="1">IFERROR(__xludf.DUMMYFUNCTION("split(I364,"" "")"),"Katrina")</f>
        <v>Katrina</v>
      </c>
      <c r="K364" s="1" t="str">
        <f ca="1">IFERROR(__xludf.DUMMYFUNCTION("""COMPUTED_VALUE"""),"Willman")</f>
        <v>Willman</v>
      </c>
      <c r="L364" s="1"/>
      <c r="M364" s="1" t="s">
        <v>29</v>
      </c>
      <c r="N364" s="1" t="s">
        <v>30</v>
      </c>
      <c r="O364" s="1" t="s">
        <v>233</v>
      </c>
      <c r="P364" s="1" t="str">
        <f t="shared" si="262"/>
        <v>New York City</v>
      </c>
      <c r="Q364" s="1" t="s">
        <v>234</v>
      </c>
      <c r="R364" s="1" t="str">
        <f t="shared" si="263"/>
        <v>New York</v>
      </c>
      <c r="S364" s="1">
        <v>10009</v>
      </c>
      <c r="T364" s="1" t="s">
        <v>128</v>
      </c>
      <c r="U364" s="1" t="s">
        <v>1041</v>
      </c>
      <c r="V364" s="1" t="s">
        <v>35</v>
      </c>
      <c r="W364" s="7">
        <v>488.64600000000002</v>
      </c>
      <c r="X364" s="1">
        <v>1</v>
      </c>
      <c r="Y364" s="7">
        <v>488.09</v>
      </c>
      <c r="Z364" s="7">
        <f t="shared" ref="Z364:AA364" si="372">W364*X364</f>
        <v>488.64600000000002</v>
      </c>
      <c r="AA364" s="7">
        <f t="shared" si="372"/>
        <v>488.09</v>
      </c>
      <c r="AB364" s="7">
        <f t="shared" si="265"/>
        <v>0.55600000000004002</v>
      </c>
    </row>
    <row r="365" spans="1:28">
      <c r="A365" s="1">
        <v>364</v>
      </c>
      <c r="B365" s="1" t="s">
        <v>1038</v>
      </c>
      <c r="C365" s="2">
        <v>43368</v>
      </c>
      <c r="D365" s="6" t="str">
        <f t="shared" si="260"/>
        <v>Sep</v>
      </c>
      <c r="E365" s="6" t="str">
        <f t="shared" si="261"/>
        <v>Qtr 3</v>
      </c>
      <c r="F365" s="5">
        <v>43110</v>
      </c>
      <c r="G365" s="1" t="s">
        <v>49</v>
      </c>
      <c r="H365" s="1" t="s">
        <v>1039</v>
      </c>
      <c r="I365" s="1" t="s">
        <v>1040</v>
      </c>
      <c r="J365" s="1" t="str">
        <f ca="1">IFERROR(__xludf.DUMMYFUNCTION("split(I365,"" "")"),"Katrina")</f>
        <v>Katrina</v>
      </c>
      <c r="K365" s="1" t="str">
        <f ca="1">IFERROR(__xludf.DUMMYFUNCTION("""COMPUTED_VALUE"""),"Willman")</f>
        <v>Willman</v>
      </c>
      <c r="L365" s="1"/>
      <c r="M365" s="1" t="s">
        <v>29</v>
      </c>
      <c r="N365" s="1" t="s">
        <v>30</v>
      </c>
      <c r="O365" s="1" t="s">
        <v>233</v>
      </c>
      <c r="P365" s="1" t="str">
        <f t="shared" si="262"/>
        <v>New York City</v>
      </c>
      <c r="Q365" s="1" t="s">
        <v>234</v>
      </c>
      <c r="R365" s="1" t="str">
        <f t="shared" si="263"/>
        <v>New York</v>
      </c>
      <c r="S365" s="1">
        <v>10009</v>
      </c>
      <c r="T365" s="1" t="s">
        <v>128</v>
      </c>
      <c r="U365" s="1" t="s">
        <v>1042</v>
      </c>
      <c r="V365" s="1" t="s">
        <v>46</v>
      </c>
      <c r="W365" s="7">
        <v>5.56</v>
      </c>
      <c r="X365" s="1">
        <v>1</v>
      </c>
      <c r="Y365" s="7">
        <v>5.19</v>
      </c>
      <c r="Z365" s="7">
        <f t="shared" ref="Z365:AA365" si="373">W365*X365</f>
        <v>5.56</v>
      </c>
      <c r="AA365" s="7">
        <f t="shared" si="373"/>
        <v>5.19</v>
      </c>
      <c r="AB365" s="7">
        <f t="shared" si="265"/>
        <v>0.36999999999999922</v>
      </c>
    </row>
    <row r="366" spans="1:28">
      <c r="A366" s="1">
        <v>365</v>
      </c>
      <c r="B366" s="1" t="s">
        <v>1038</v>
      </c>
      <c r="C366" s="2">
        <v>43368</v>
      </c>
      <c r="D366" s="6" t="str">
        <f t="shared" si="260"/>
        <v>Sep</v>
      </c>
      <c r="E366" s="6" t="str">
        <f t="shared" si="261"/>
        <v>Qtr 3</v>
      </c>
      <c r="F366" s="5">
        <v>43110</v>
      </c>
      <c r="G366" s="1" t="s">
        <v>49</v>
      </c>
      <c r="H366" s="1" t="s">
        <v>1039</v>
      </c>
      <c r="I366" s="1" t="s">
        <v>1040</v>
      </c>
      <c r="J366" s="1" t="str">
        <f ca="1">IFERROR(__xludf.DUMMYFUNCTION("split(I366,"" "")"),"Katrina")</f>
        <v>Katrina</v>
      </c>
      <c r="K366" s="1" t="str">
        <f ca="1">IFERROR(__xludf.DUMMYFUNCTION("""COMPUTED_VALUE"""),"Willman")</f>
        <v>Willman</v>
      </c>
      <c r="L366" s="1"/>
      <c r="M366" s="1" t="s">
        <v>29</v>
      </c>
      <c r="N366" s="1" t="s">
        <v>30</v>
      </c>
      <c r="O366" s="1" t="s">
        <v>233</v>
      </c>
      <c r="P366" s="1" t="str">
        <f t="shared" si="262"/>
        <v>New York City</v>
      </c>
      <c r="Q366" s="1" t="s">
        <v>234</v>
      </c>
      <c r="R366" s="1" t="str">
        <f t="shared" si="263"/>
        <v>New York</v>
      </c>
      <c r="S366" s="1">
        <v>10009</v>
      </c>
      <c r="T366" s="1" t="s">
        <v>128</v>
      </c>
      <c r="U366" s="1" t="s">
        <v>1043</v>
      </c>
      <c r="V366" s="1" t="s">
        <v>35</v>
      </c>
      <c r="W366" s="7">
        <v>47.12</v>
      </c>
      <c r="X366" s="1">
        <v>1</v>
      </c>
      <c r="Y366" s="7">
        <v>46.53</v>
      </c>
      <c r="Z366" s="7">
        <f t="shared" ref="Z366:AA366" si="374">W366*X366</f>
        <v>47.12</v>
      </c>
      <c r="AA366" s="7">
        <f t="shared" si="374"/>
        <v>46.53</v>
      </c>
      <c r="AB366" s="7">
        <f t="shared" si="265"/>
        <v>0.58999999999999631</v>
      </c>
    </row>
    <row r="367" spans="1:28">
      <c r="A367" s="1">
        <v>366</v>
      </c>
      <c r="B367" s="1" t="s">
        <v>1044</v>
      </c>
      <c r="C367" s="2">
        <v>42271</v>
      </c>
      <c r="D367" s="6" t="str">
        <f t="shared" si="260"/>
        <v>Sep</v>
      </c>
      <c r="E367" s="6" t="str">
        <f t="shared" si="261"/>
        <v>Qtr 3</v>
      </c>
      <c r="F367" s="5" t="s">
        <v>1045</v>
      </c>
      <c r="G367" s="1" t="s">
        <v>49</v>
      </c>
      <c r="H367" s="1" t="s">
        <v>1046</v>
      </c>
      <c r="I367" s="1" t="s">
        <v>1047</v>
      </c>
      <c r="J367" s="1" t="str">
        <f ca="1">IFERROR(__xludf.DUMMYFUNCTION("split(I367,"" "")"),"Julia")</f>
        <v>Julia</v>
      </c>
      <c r="K367" s="1" t="str">
        <f ca="1">IFERROR(__xludf.DUMMYFUNCTION("""COMPUTED_VALUE"""),"Dunbar")</f>
        <v>Dunbar</v>
      </c>
      <c r="L367" s="1"/>
      <c r="M367" s="1" t="s">
        <v>29</v>
      </c>
      <c r="N367" s="1" t="s">
        <v>30</v>
      </c>
      <c r="O367" s="1" t="s">
        <v>110</v>
      </c>
      <c r="P367" s="1" t="str">
        <f t="shared" si="262"/>
        <v>San Francisco</v>
      </c>
      <c r="Q367" s="1" t="s">
        <v>68</v>
      </c>
      <c r="R367" s="1" t="str">
        <f t="shared" si="263"/>
        <v>California</v>
      </c>
      <c r="S367" s="1">
        <v>94109</v>
      </c>
      <c r="T367" s="1" t="s">
        <v>44</v>
      </c>
      <c r="U367" s="1" t="s">
        <v>210</v>
      </c>
      <c r="V367" s="1" t="s">
        <v>46</v>
      </c>
      <c r="W367" s="7">
        <v>211.96</v>
      </c>
      <c r="X367" s="1">
        <v>9</v>
      </c>
      <c r="Y367" s="7">
        <v>211.15</v>
      </c>
      <c r="Z367" s="7">
        <f t="shared" ref="Z367:AA367" si="375">W367*X367</f>
        <v>1907.64</v>
      </c>
      <c r="AA367" s="7">
        <f t="shared" si="375"/>
        <v>1900.3500000000001</v>
      </c>
      <c r="AB367" s="7">
        <f t="shared" si="265"/>
        <v>7.2899999999999636</v>
      </c>
    </row>
    <row r="368" spans="1:28">
      <c r="A368" s="1">
        <v>367</v>
      </c>
      <c r="B368" s="1" t="s">
        <v>1048</v>
      </c>
      <c r="C368" s="2">
        <v>43029</v>
      </c>
      <c r="D368" s="6" t="str">
        <f t="shared" si="260"/>
        <v>Oct</v>
      </c>
      <c r="E368" s="6" t="str">
        <f t="shared" si="261"/>
        <v>Qtr 4</v>
      </c>
      <c r="F368" s="5" t="s">
        <v>1049</v>
      </c>
      <c r="G368" s="1" t="s">
        <v>1050</v>
      </c>
      <c r="H368" s="1" t="s">
        <v>1051</v>
      </c>
      <c r="I368" s="1" t="s">
        <v>1052</v>
      </c>
      <c r="J368" s="1" t="str">
        <f ca="1">IFERROR(__xludf.DUMMYFUNCTION("split(I368,"" "")"),"Michael")</f>
        <v>Michael</v>
      </c>
      <c r="K368" s="1" t="str">
        <f ca="1">IFERROR(__xludf.DUMMYFUNCTION("""COMPUTED_VALUE"""),"Kennedy")</f>
        <v>Kennedy</v>
      </c>
      <c r="L368" s="1"/>
      <c r="M368" s="1" t="s">
        <v>41</v>
      </c>
      <c r="N368" s="1" t="s">
        <v>30</v>
      </c>
      <c r="O368" s="1" t="s">
        <v>1053</v>
      </c>
      <c r="P368" s="1" t="str">
        <f t="shared" si="262"/>
        <v>Manchester</v>
      </c>
      <c r="Q368" s="1" t="s">
        <v>617</v>
      </c>
      <c r="R368" s="1" t="str">
        <f t="shared" si="263"/>
        <v>Connecticut</v>
      </c>
      <c r="S368" s="1">
        <v>6040</v>
      </c>
      <c r="T368" s="1" t="s">
        <v>128</v>
      </c>
      <c r="U368" s="1" t="s">
        <v>1054</v>
      </c>
      <c r="V368" s="1" t="s">
        <v>46</v>
      </c>
      <c r="W368" s="7">
        <v>23.2</v>
      </c>
      <c r="X368" s="1">
        <v>6</v>
      </c>
      <c r="Y368" s="7">
        <v>22.28</v>
      </c>
      <c r="Z368" s="7">
        <f t="shared" ref="Z368:AA368" si="376">W368*X368</f>
        <v>139.19999999999999</v>
      </c>
      <c r="AA368" s="7">
        <f t="shared" si="376"/>
        <v>133.68</v>
      </c>
      <c r="AB368" s="7">
        <f t="shared" si="265"/>
        <v>5.5199999999999818</v>
      </c>
    </row>
    <row r="369" spans="1:28">
      <c r="A369" s="1">
        <v>368</v>
      </c>
      <c r="B369" s="1" t="s">
        <v>1048</v>
      </c>
      <c r="C369" s="2">
        <v>43029</v>
      </c>
      <c r="D369" s="6" t="str">
        <f t="shared" si="260"/>
        <v>Oct</v>
      </c>
      <c r="E369" s="6" t="str">
        <f t="shared" si="261"/>
        <v>Qtr 4</v>
      </c>
      <c r="F369" s="5" t="s">
        <v>1049</v>
      </c>
      <c r="G369" s="1" t="s">
        <v>1050</v>
      </c>
      <c r="H369" s="1" t="s">
        <v>1051</v>
      </c>
      <c r="I369" s="1" t="s">
        <v>1052</v>
      </c>
      <c r="J369" s="1" t="str">
        <f ca="1">IFERROR(__xludf.DUMMYFUNCTION("split(I369,"" "")"),"Michael")</f>
        <v>Michael</v>
      </c>
      <c r="K369" s="1" t="str">
        <f ca="1">IFERROR(__xludf.DUMMYFUNCTION("""COMPUTED_VALUE"""),"Kennedy")</f>
        <v>Kennedy</v>
      </c>
      <c r="L369" s="1"/>
      <c r="M369" s="1" t="s">
        <v>41</v>
      </c>
      <c r="N369" s="1" t="s">
        <v>30</v>
      </c>
      <c r="O369" s="1" t="s">
        <v>1053</v>
      </c>
      <c r="P369" s="1" t="str">
        <f t="shared" si="262"/>
        <v>Manchester</v>
      </c>
      <c r="Q369" s="1" t="s">
        <v>617</v>
      </c>
      <c r="R369" s="1" t="str">
        <f t="shared" si="263"/>
        <v>Connecticut</v>
      </c>
      <c r="S369" s="1">
        <v>6040</v>
      </c>
      <c r="T369" s="1" t="s">
        <v>128</v>
      </c>
      <c r="U369" s="1" t="s">
        <v>1055</v>
      </c>
      <c r="V369" s="1" t="s">
        <v>46</v>
      </c>
      <c r="W369" s="7">
        <v>7.36</v>
      </c>
      <c r="X369" s="1">
        <v>6</v>
      </c>
      <c r="Y369" s="7">
        <v>6.65</v>
      </c>
      <c r="Z369" s="7">
        <f t="shared" ref="Z369:AA369" si="377">W369*X369</f>
        <v>44.160000000000004</v>
      </c>
      <c r="AA369" s="7">
        <f t="shared" si="377"/>
        <v>39.900000000000006</v>
      </c>
      <c r="AB369" s="7">
        <f t="shared" si="265"/>
        <v>4.259999999999998</v>
      </c>
    </row>
    <row r="370" spans="1:28">
      <c r="A370" s="1">
        <v>369</v>
      </c>
      <c r="B370" s="1" t="s">
        <v>1048</v>
      </c>
      <c r="C370" s="2">
        <v>43029</v>
      </c>
      <c r="D370" s="6" t="str">
        <f t="shared" si="260"/>
        <v>Oct</v>
      </c>
      <c r="E370" s="6" t="str">
        <f t="shared" si="261"/>
        <v>Qtr 4</v>
      </c>
      <c r="F370" s="5" t="s">
        <v>1049</v>
      </c>
      <c r="G370" s="1" t="s">
        <v>1050</v>
      </c>
      <c r="H370" s="1" t="s">
        <v>1051</v>
      </c>
      <c r="I370" s="1" t="s">
        <v>1052</v>
      </c>
      <c r="J370" s="1" t="str">
        <f ca="1">IFERROR(__xludf.DUMMYFUNCTION("split(I370,"" "")"),"Michael")</f>
        <v>Michael</v>
      </c>
      <c r="K370" s="1" t="str">
        <f ca="1">IFERROR(__xludf.DUMMYFUNCTION("""COMPUTED_VALUE"""),"Kennedy")</f>
        <v>Kennedy</v>
      </c>
      <c r="L370" s="1"/>
      <c r="M370" s="1" t="s">
        <v>41</v>
      </c>
      <c r="N370" s="1" t="s">
        <v>30</v>
      </c>
      <c r="O370" s="1" t="s">
        <v>1053</v>
      </c>
      <c r="P370" s="1" t="str">
        <f t="shared" si="262"/>
        <v>Manchester</v>
      </c>
      <c r="Q370" s="1" t="s">
        <v>617</v>
      </c>
      <c r="R370" s="1" t="str">
        <f t="shared" si="263"/>
        <v>Connecticut</v>
      </c>
      <c r="S370" s="1">
        <v>6040</v>
      </c>
      <c r="T370" s="1" t="s">
        <v>128</v>
      </c>
      <c r="U370" s="1" t="s">
        <v>1056</v>
      </c>
      <c r="V370" s="1" t="s">
        <v>46</v>
      </c>
      <c r="W370" s="7">
        <v>104.79</v>
      </c>
      <c r="X370" s="1">
        <v>6</v>
      </c>
      <c r="Y370" s="7">
        <v>104.42</v>
      </c>
      <c r="Z370" s="7">
        <f t="shared" ref="Z370:AA370" si="378">W370*X370</f>
        <v>628.74</v>
      </c>
      <c r="AA370" s="7">
        <f t="shared" si="378"/>
        <v>626.52</v>
      </c>
      <c r="AB370" s="7">
        <f t="shared" si="265"/>
        <v>2.2200000000000273</v>
      </c>
    </row>
    <row r="371" spans="1:28">
      <c r="A371" s="1">
        <v>370</v>
      </c>
      <c r="B371" s="1" t="s">
        <v>1048</v>
      </c>
      <c r="C371" s="2">
        <v>43029</v>
      </c>
      <c r="D371" s="6" t="str">
        <f t="shared" si="260"/>
        <v>Oct</v>
      </c>
      <c r="E371" s="6" t="str">
        <f t="shared" si="261"/>
        <v>Qtr 4</v>
      </c>
      <c r="F371" s="5" t="s">
        <v>1049</v>
      </c>
      <c r="G371" s="1" t="s">
        <v>1050</v>
      </c>
      <c r="H371" s="1" t="s">
        <v>1051</v>
      </c>
      <c r="I371" s="1" t="s">
        <v>1052</v>
      </c>
      <c r="J371" s="1" t="str">
        <f ca="1">IFERROR(__xludf.DUMMYFUNCTION("split(I371,"" "")"),"Michael")</f>
        <v>Michael</v>
      </c>
      <c r="K371" s="1" t="str">
        <f ca="1">IFERROR(__xludf.DUMMYFUNCTION("""COMPUTED_VALUE"""),"Kennedy")</f>
        <v>Kennedy</v>
      </c>
      <c r="L371" s="1"/>
      <c r="M371" s="1" t="s">
        <v>41</v>
      </c>
      <c r="N371" s="1" t="s">
        <v>30</v>
      </c>
      <c r="O371" s="1" t="s">
        <v>1053</v>
      </c>
      <c r="P371" s="1" t="str">
        <f t="shared" si="262"/>
        <v>Manchester</v>
      </c>
      <c r="Q371" s="1" t="s">
        <v>617</v>
      </c>
      <c r="R371" s="1" t="str">
        <f t="shared" si="263"/>
        <v>Connecticut</v>
      </c>
      <c r="S371" s="1">
        <v>6040</v>
      </c>
      <c r="T371" s="1" t="s">
        <v>128</v>
      </c>
      <c r="U371" s="1" t="s">
        <v>174</v>
      </c>
      <c r="V371" s="1" t="s">
        <v>35</v>
      </c>
      <c r="W371" s="7">
        <v>1043.92</v>
      </c>
      <c r="X371" s="1">
        <v>6</v>
      </c>
      <c r="Y371" s="7">
        <v>1042.99</v>
      </c>
      <c r="Z371" s="7">
        <f t="shared" ref="Z371:AA371" si="379">W371*X371</f>
        <v>6263.52</v>
      </c>
      <c r="AA371" s="7">
        <f t="shared" si="379"/>
        <v>6257.9400000000005</v>
      </c>
      <c r="AB371" s="7">
        <f t="shared" si="265"/>
        <v>5.5799999999999272</v>
      </c>
    </row>
    <row r="372" spans="1:28">
      <c r="A372" s="1">
        <v>371</v>
      </c>
      <c r="B372" s="1" t="s">
        <v>1057</v>
      </c>
      <c r="C372" s="2">
        <v>43249</v>
      </c>
      <c r="D372" s="6" t="str">
        <f t="shared" si="260"/>
        <v>May</v>
      </c>
      <c r="E372" s="6" t="str">
        <f t="shared" si="261"/>
        <v>Qtr 2</v>
      </c>
      <c r="F372" s="5">
        <v>43196</v>
      </c>
      <c r="G372" s="1" t="s">
        <v>49</v>
      </c>
      <c r="H372" s="1" t="s">
        <v>1058</v>
      </c>
      <c r="I372" s="1" t="s">
        <v>1059</v>
      </c>
      <c r="J372" s="1" t="str">
        <f ca="1">IFERROR(__xludf.DUMMYFUNCTION("split(I372,"" "")"),"Guy")</f>
        <v>Guy</v>
      </c>
      <c r="K372" s="1" t="str">
        <f ca="1">IFERROR(__xludf.DUMMYFUNCTION("""COMPUTED_VALUE"""),"Thornton")</f>
        <v>Thornton</v>
      </c>
      <c r="L372" s="1"/>
      <c r="M372" s="1" t="s">
        <v>29</v>
      </c>
      <c r="N372" s="1" t="s">
        <v>30</v>
      </c>
      <c r="O372" s="1" t="s">
        <v>1060</v>
      </c>
      <c r="P372" s="1" t="str">
        <f t="shared" si="262"/>
        <v>Harlingen</v>
      </c>
      <c r="Q372" s="1" t="s">
        <v>89</v>
      </c>
      <c r="R372" s="1" t="str">
        <f t="shared" si="263"/>
        <v>Texas</v>
      </c>
      <c r="S372" s="1">
        <v>78550</v>
      </c>
      <c r="T372" s="1" t="s">
        <v>90</v>
      </c>
      <c r="U372" s="1" t="s">
        <v>1061</v>
      </c>
      <c r="V372" s="1" t="s">
        <v>46</v>
      </c>
      <c r="W372" s="7">
        <v>25.92</v>
      </c>
      <c r="X372" s="1">
        <v>7</v>
      </c>
      <c r="Y372" s="7">
        <v>25.3</v>
      </c>
      <c r="Z372" s="7">
        <f t="shared" ref="Z372:AA372" si="380">W372*X372</f>
        <v>181.44</v>
      </c>
      <c r="AA372" s="7">
        <f t="shared" si="380"/>
        <v>177.1</v>
      </c>
      <c r="AB372" s="7">
        <f t="shared" si="265"/>
        <v>4.3400000000000034</v>
      </c>
    </row>
    <row r="373" spans="1:28">
      <c r="A373" s="1">
        <v>372</v>
      </c>
      <c r="B373" s="1" t="s">
        <v>1057</v>
      </c>
      <c r="C373" s="2">
        <v>43249</v>
      </c>
      <c r="D373" s="6" t="str">
        <f t="shared" si="260"/>
        <v>May</v>
      </c>
      <c r="E373" s="6" t="str">
        <f t="shared" si="261"/>
        <v>Qtr 2</v>
      </c>
      <c r="F373" s="5">
        <v>43196</v>
      </c>
      <c r="G373" s="1" t="s">
        <v>49</v>
      </c>
      <c r="H373" s="1" t="s">
        <v>1058</v>
      </c>
      <c r="I373" s="1" t="s">
        <v>1059</v>
      </c>
      <c r="J373" s="1" t="str">
        <f ca="1">IFERROR(__xludf.DUMMYFUNCTION("split(I373,"" "")"),"Guy")</f>
        <v>Guy</v>
      </c>
      <c r="K373" s="1" t="str">
        <f ca="1">IFERROR(__xludf.DUMMYFUNCTION("""COMPUTED_VALUE"""),"Thornton")</f>
        <v>Thornton</v>
      </c>
      <c r="L373" s="1"/>
      <c r="M373" s="1" t="s">
        <v>29</v>
      </c>
      <c r="N373" s="1" t="s">
        <v>30</v>
      </c>
      <c r="O373" s="1" t="s">
        <v>1060</v>
      </c>
      <c r="P373" s="1" t="str">
        <f t="shared" si="262"/>
        <v>Harlingen</v>
      </c>
      <c r="Q373" s="1" t="s">
        <v>89</v>
      </c>
      <c r="R373" s="1" t="str">
        <f t="shared" si="263"/>
        <v>Texas</v>
      </c>
      <c r="S373" s="1">
        <v>78550</v>
      </c>
      <c r="T373" s="1" t="s">
        <v>90</v>
      </c>
      <c r="U373" s="1" t="s">
        <v>1062</v>
      </c>
      <c r="V373" s="1" t="s">
        <v>46</v>
      </c>
      <c r="W373" s="7">
        <v>53.423999999999999</v>
      </c>
      <c r="X373" s="1">
        <v>7</v>
      </c>
      <c r="Y373" s="7">
        <v>52.95</v>
      </c>
      <c r="Z373" s="7">
        <f t="shared" ref="Z373:AA373" si="381">W373*X373</f>
        <v>373.96800000000002</v>
      </c>
      <c r="AA373" s="7">
        <f t="shared" si="381"/>
        <v>370.65000000000003</v>
      </c>
      <c r="AB373" s="7">
        <f t="shared" si="265"/>
        <v>3.3179999999999836</v>
      </c>
    </row>
    <row r="374" spans="1:28">
      <c r="A374" s="1">
        <v>373</v>
      </c>
      <c r="B374" s="1" t="s">
        <v>1063</v>
      </c>
      <c r="C374" s="2">
        <v>42208</v>
      </c>
      <c r="D374" s="6" t="str">
        <f t="shared" si="260"/>
        <v>Jul</v>
      </c>
      <c r="E374" s="6" t="str">
        <f t="shared" si="261"/>
        <v>Qtr 3</v>
      </c>
      <c r="F374" s="5" t="s">
        <v>1064</v>
      </c>
      <c r="G374" s="1" t="s">
        <v>49</v>
      </c>
      <c r="H374" s="1" t="s">
        <v>1065</v>
      </c>
      <c r="I374" s="1" t="s">
        <v>1066</v>
      </c>
      <c r="J374" s="1" t="str">
        <f ca="1">IFERROR(__xludf.DUMMYFUNCTION("split(I374,"" "")"),"Arthur")</f>
        <v>Arthur</v>
      </c>
      <c r="K374" s="1" t="str">
        <f ca="1">IFERROR(__xludf.DUMMYFUNCTION("""COMPUTED_VALUE"""),"Gainer")</f>
        <v>Gainer</v>
      </c>
      <c r="L374" s="1"/>
      <c r="M374" s="1" t="s">
        <v>29</v>
      </c>
      <c r="N374" s="1" t="s">
        <v>30</v>
      </c>
      <c r="O374" s="1" t="s">
        <v>1067</v>
      </c>
      <c r="P374" s="1" t="str">
        <f t="shared" si="262"/>
        <v>Tucson</v>
      </c>
      <c r="Q374" s="1" t="s">
        <v>265</v>
      </c>
      <c r="R374" s="1" t="str">
        <f t="shared" si="263"/>
        <v>Arizona</v>
      </c>
      <c r="S374" s="1">
        <v>85705</v>
      </c>
      <c r="T374" s="1" t="s">
        <v>44</v>
      </c>
      <c r="U374" s="1" t="s">
        <v>982</v>
      </c>
      <c r="V374" s="1" t="s">
        <v>46</v>
      </c>
      <c r="W374" s="7">
        <v>8.16</v>
      </c>
      <c r="X374" s="1">
        <v>8</v>
      </c>
      <c r="Y374" s="7">
        <v>7.87</v>
      </c>
      <c r="Z374" s="7">
        <f t="shared" ref="Z374:AA374" si="382">W374*X374</f>
        <v>65.28</v>
      </c>
      <c r="AA374" s="7">
        <f t="shared" si="382"/>
        <v>62.96</v>
      </c>
      <c r="AB374" s="7">
        <f t="shared" si="265"/>
        <v>2.3200000000000003</v>
      </c>
    </row>
    <row r="375" spans="1:28">
      <c r="A375" s="1">
        <v>374</v>
      </c>
      <c r="B375" s="1" t="s">
        <v>1063</v>
      </c>
      <c r="C375" s="2">
        <v>42208</v>
      </c>
      <c r="D375" s="6" t="str">
        <f t="shared" si="260"/>
        <v>Jul</v>
      </c>
      <c r="E375" s="6" t="str">
        <f t="shared" si="261"/>
        <v>Qtr 3</v>
      </c>
      <c r="F375" s="5" t="s">
        <v>1064</v>
      </c>
      <c r="G375" s="1" t="s">
        <v>49</v>
      </c>
      <c r="H375" s="1" t="s">
        <v>1065</v>
      </c>
      <c r="I375" s="1" t="s">
        <v>1066</v>
      </c>
      <c r="J375" s="1" t="str">
        <f ca="1">IFERROR(__xludf.DUMMYFUNCTION("split(I375,"" "")"),"Arthur")</f>
        <v>Arthur</v>
      </c>
      <c r="K375" s="1" t="str">
        <f ca="1">IFERROR(__xludf.DUMMYFUNCTION("""COMPUTED_VALUE"""),"Gainer")</f>
        <v>Gainer</v>
      </c>
      <c r="L375" s="1"/>
      <c r="M375" s="1" t="s">
        <v>29</v>
      </c>
      <c r="N375" s="1" t="s">
        <v>30</v>
      </c>
      <c r="O375" s="1" t="s">
        <v>1067</v>
      </c>
      <c r="P375" s="1" t="str">
        <f t="shared" si="262"/>
        <v>Tucson</v>
      </c>
      <c r="Q375" s="1" t="s">
        <v>265</v>
      </c>
      <c r="R375" s="1" t="str">
        <f t="shared" si="263"/>
        <v>Arizona</v>
      </c>
      <c r="S375" s="1">
        <v>85705</v>
      </c>
      <c r="T375" s="1" t="s">
        <v>44</v>
      </c>
      <c r="U375" s="1" t="s">
        <v>1068</v>
      </c>
      <c r="V375" s="1" t="s">
        <v>64</v>
      </c>
      <c r="W375" s="7">
        <v>1023.936</v>
      </c>
      <c r="X375" s="1">
        <v>8</v>
      </c>
      <c r="Y375" s="7">
        <v>1023.84</v>
      </c>
      <c r="Z375" s="7">
        <f t="shared" ref="Z375:AA375" si="383">W375*X375</f>
        <v>8191.4880000000003</v>
      </c>
      <c r="AA375" s="7">
        <f t="shared" si="383"/>
        <v>8190.72</v>
      </c>
      <c r="AB375" s="7">
        <f t="shared" si="265"/>
        <v>0.7680000000000291</v>
      </c>
    </row>
    <row r="376" spans="1:28">
      <c r="A376" s="1">
        <v>375</v>
      </c>
      <c r="B376" s="1" t="s">
        <v>1063</v>
      </c>
      <c r="C376" s="2">
        <v>42208</v>
      </c>
      <c r="D376" s="6" t="str">
        <f t="shared" si="260"/>
        <v>Jul</v>
      </c>
      <c r="E376" s="6" t="str">
        <f t="shared" si="261"/>
        <v>Qtr 3</v>
      </c>
      <c r="F376" s="5" t="s">
        <v>1064</v>
      </c>
      <c r="G376" s="1" t="s">
        <v>49</v>
      </c>
      <c r="H376" s="1" t="s">
        <v>1065</v>
      </c>
      <c r="I376" s="1" t="s">
        <v>1066</v>
      </c>
      <c r="J376" s="1" t="str">
        <f ca="1">IFERROR(__xludf.DUMMYFUNCTION("split(I376,"" "")"),"Arthur")</f>
        <v>Arthur</v>
      </c>
      <c r="K376" s="1" t="str">
        <f ca="1">IFERROR(__xludf.DUMMYFUNCTION("""COMPUTED_VALUE"""),"Gainer")</f>
        <v>Gainer</v>
      </c>
      <c r="L376" s="1"/>
      <c r="M376" s="1" t="s">
        <v>29</v>
      </c>
      <c r="N376" s="1" t="s">
        <v>30</v>
      </c>
      <c r="O376" s="1" t="s">
        <v>1067</v>
      </c>
      <c r="P376" s="1" t="str">
        <f t="shared" si="262"/>
        <v>Tucson</v>
      </c>
      <c r="Q376" s="1" t="s">
        <v>265</v>
      </c>
      <c r="R376" s="1" t="str">
        <f t="shared" si="263"/>
        <v>Arizona</v>
      </c>
      <c r="S376" s="1">
        <v>85705</v>
      </c>
      <c r="T376" s="1" t="s">
        <v>44</v>
      </c>
      <c r="U376" s="1" t="s">
        <v>1069</v>
      </c>
      <c r="V376" s="1" t="s">
        <v>46</v>
      </c>
      <c r="W376" s="7">
        <v>9.24</v>
      </c>
      <c r="X376" s="1">
        <v>8</v>
      </c>
      <c r="Y376" s="7">
        <v>8.58</v>
      </c>
      <c r="Z376" s="7">
        <f t="shared" ref="Z376:AA376" si="384">W376*X376</f>
        <v>73.92</v>
      </c>
      <c r="AA376" s="7">
        <f t="shared" si="384"/>
        <v>68.64</v>
      </c>
      <c r="AB376" s="7">
        <f t="shared" si="265"/>
        <v>5.2800000000000011</v>
      </c>
    </row>
    <row r="377" spans="1:28">
      <c r="A377" s="1">
        <v>376</v>
      </c>
      <c r="B377" s="1" t="s">
        <v>1063</v>
      </c>
      <c r="C377" s="2">
        <v>42208</v>
      </c>
      <c r="D377" s="6" t="str">
        <f t="shared" si="260"/>
        <v>Jul</v>
      </c>
      <c r="E377" s="6" t="str">
        <f t="shared" si="261"/>
        <v>Qtr 3</v>
      </c>
      <c r="F377" s="5" t="s">
        <v>1064</v>
      </c>
      <c r="G377" s="1" t="s">
        <v>49</v>
      </c>
      <c r="H377" s="1" t="s">
        <v>1065</v>
      </c>
      <c r="I377" s="1" t="s">
        <v>1066</v>
      </c>
      <c r="J377" s="1" t="str">
        <f ca="1">IFERROR(__xludf.DUMMYFUNCTION("split(I377,"" "")"),"Arthur")</f>
        <v>Arthur</v>
      </c>
      <c r="K377" s="1" t="str">
        <f ca="1">IFERROR(__xludf.DUMMYFUNCTION("""COMPUTED_VALUE"""),"Gainer")</f>
        <v>Gainer</v>
      </c>
      <c r="L377" s="1"/>
      <c r="M377" s="1" t="s">
        <v>29</v>
      </c>
      <c r="N377" s="1" t="s">
        <v>30</v>
      </c>
      <c r="O377" s="1" t="s">
        <v>1067</v>
      </c>
      <c r="P377" s="1" t="str">
        <f t="shared" si="262"/>
        <v>Tucson</v>
      </c>
      <c r="Q377" s="1" t="s">
        <v>265</v>
      </c>
      <c r="R377" s="1" t="str">
        <f t="shared" si="263"/>
        <v>Arizona</v>
      </c>
      <c r="S377" s="1">
        <v>85705</v>
      </c>
      <c r="T377" s="1" t="s">
        <v>44</v>
      </c>
      <c r="U377" s="1" t="s">
        <v>1070</v>
      </c>
      <c r="V377" s="1" t="s">
        <v>64</v>
      </c>
      <c r="W377" s="7">
        <v>479.04</v>
      </c>
      <c r="X377" s="1">
        <v>8</v>
      </c>
      <c r="Y377" s="7">
        <v>478.19</v>
      </c>
      <c r="Z377" s="7">
        <f t="shared" ref="Z377:AA377" si="385">W377*X377</f>
        <v>3832.32</v>
      </c>
      <c r="AA377" s="7">
        <f t="shared" si="385"/>
        <v>3825.52</v>
      </c>
      <c r="AB377" s="7">
        <f t="shared" si="265"/>
        <v>6.8000000000001819</v>
      </c>
    </row>
    <row r="378" spans="1:28">
      <c r="A378" s="1">
        <v>377</v>
      </c>
      <c r="B378" s="1" t="s">
        <v>1071</v>
      </c>
      <c r="C378" s="2">
        <v>43006</v>
      </c>
      <c r="D378" s="6" t="str">
        <f t="shared" si="260"/>
        <v>Sep</v>
      </c>
      <c r="E378" s="6" t="str">
        <f t="shared" si="261"/>
        <v>Qtr 3</v>
      </c>
      <c r="F378" s="5">
        <v>42745</v>
      </c>
      <c r="G378" s="1" t="s">
        <v>162</v>
      </c>
      <c r="H378" s="1" t="s">
        <v>1072</v>
      </c>
      <c r="I378" s="1" t="s">
        <v>1073</v>
      </c>
      <c r="J378" s="1" t="str">
        <f ca="1">IFERROR(__xludf.DUMMYFUNCTION("split(I378,"" "")"),"Muhammed")</f>
        <v>Muhammed</v>
      </c>
      <c r="K378" s="1" t="str">
        <f ca="1">IFERROR(__xludf.DUMMYFUNCTION("""COMPUTED_VALUE"""),"MacIntyre")</f>
        <v>MacIntyre</v>
      </c>
      <c r="L378" s="1"/>
      <c r="M378" s="1" t="s">
        <v>41</v>
      </c>
      <c r="N378" s="1" t="s">
        <v>30</v>
      </c>
      <c r="O378" s="1" t="s">
        <v>1074</v>
      </c>
      <c r="P378" s="1" t="str">
        <f t="shared" si="262"/>
        <v>Quincy</v>
      </c>
      <c r="Q378" s="1" t="s">
        <v>182</v>
      </c>
      <c r="R378" s="1" t="str">
        <f t="shared" si="263"/>
        <v>Illinois</v>
      </c>
      <c r="S378" s="1">
        <v>62301</v>
      </c>
      <c r="T378" s="1" t="s">
        <v>90</v>
      </c>
      <c r="U378" s="1" t="s">
        <v>1075</v>
      </c>
      <c r="V378" s="1" t="s">
        <v>46</v>
      </c>
      <c r="W378" s="7">
        <v>99.135999999999996</v>
      </c>
      <c r="X378" s="1">
        <v>6</v>
      </c>
      <c r="Y378" s="7">
        <v>98.18</v>
      </c>
      <c r="Z378" s="7">
        <f t="shared" ref="Z378:AA378" si="386">W378*X378</f>
        <v>594.81600000000003</v>
      </c>
      <c r="AA378" s="7">
        <f t="shared" si="386"/>
        <v>589.08000000000004</v>
      </c>
      <c r="AB378" s="7">
        <f t="shared" si="265"/>
        <v>5.73599999999999</v>
      </c>
    </row>
    <row r="379" spans="1:28">
      <c r="A379" s="1">
        <v>378</v>
      </c>
      <c r="B379" s="1" t="s">
        <v>1076</v>
      </c>
      <c r="C379" s="2">
        <v>43339</v>
      </c>
      <c r="D379" s="6" t="str">
        <f t="shared" si="260"/>
        <v>Aug</v>
      </c>
      <c r="E379" s="6" t="str">
        <f t="shared" si="261"/>
        <v>Qtr 3</v>
      </c>
      <c r="F379" s="5">
        <v>43109</v>
      </c>
      <c r="G379" s="1" t="s">
        <v>49</v>
      </c>
      <c r="H379" s="1" t="s">
        <v>1077</v>
      </c>
      <c r="I379" s="1" t="s">
        <v>1078</v>
      </c>
      <c r="J379" s="1" t="str">
        <f ca="1">IFERROR(__xludf.DUMMYFUNCTION("split(I379,"" "")"),"Allen")</f>
        <v>Allen</v>
      </c>
      <c r="K379" s="1" t="str">
        <f ca="1">IFERROR(__xludf.DUMMYFUNCTION("""COMPUTED_VALUE"""),"Rosenblatt")</f>
        <v>Rosenblatt</v>
      </c>
      <c r="L379" s="1"/>
      <c r="M379" s="1" t="s">
        <v>41</v>
      </c>
      <c r="N379" s="1" t="s">
        <v>30</v>
      </c>
      <c r="O379" s="1" t="s">
        <v>510</v>
      </c>
      <c r="P379" s="1" t="str">
        <f t="shared" si="262"/>
        <v>Franklin</v>
      </c>
      <c r="Q379" s="1" t="s">
        <v>1014</v>
      </c>
      <c r="R379" s="1" t="str">
        <f t="shared" si="263"/>
        <v>Massachusetts</v>
      </c>
      <c r="S379" s="1">
        <v>2038</v>
      </c>
      <c r="T379" s="1" t="s">
        <v>128</v>
      </c>
      <c r="U379" s="1" t="s">
        <v>1079</v>
      </c>
      <c r="V379" s="1" t="s">
        <v>35</v>
      </c>
      <c r="W379" s="7">
        <v>1488.424</v>
      </c>
      <c r="X379" s="1">
        <v>2</v>
      </c>
      <c r="Y379" s="7">
        <v>1488.22</v>
      </c>
      <c r="Z379" s="7">
        <f t="shared" ref="Z379:AA379" si="387">W379*X379</f>
        <v>2976.848</v>
      </c>
      <c r="AA379" s="7">
        <f t="shared" si="387"/>
        <v>2976.44</v>
      </c>
      <c r="AB379" s="7">
        <f t="shared" si="265"/>
        <v>0.40799999999990177</v>
      </c>
    </row>
    <row r="380" spans="1:28">
      <c r="A380" s="1">
        <v>379</v>
      </c>
      <c r="B380" s="1" t="s">
        <v>1080</v>
      </c>
      <c r="C380" s="2">
        <v>42488</v>
      </c>
      <c r="D380" s="6" t="str">
        <f t="shared" si="260"/>
        <v>Apr</v>
      </c>
      <c r="E380" s="6" t="str">
        <f t="shared" si="261"/>
        <v>Qtr 2</v>
      </c>
      <c r="F380" s="5">
        <v>42495</v>
      </c>
      <c r="G380" s="1" t="s">
        <v>49</v>
      </c>
      <c r="H380" s="1" t="s">
        <v>1081</v>
      </c>
      <c r="I380" s="1" t="s">
        <v>1082</v>
      </c>
      <c r="J380" s="1" t="str">
        <f ca="1">IFERROR(__xludf.DUMMYFUNCTION("split(I380,"" "")"),"Russell")</f>
        <v>Russell</v>
      </c>
      <c r="K380" s="1" t="str">
        <f ca="1">IFERROR(__xludf.DUMMYFUNCTION("""COMPUTED_VALUE"""),"Applegate")</f>
        <v>Applegate</v>
      </c>
      <c r="L380" s="1"/>
      <c r="M380" s="1" t="s">
        <v>29</v>
      </c>
      <c r="N380" s="1" t="s">
        <v>30</v>
      </c>
      <c r="O380" s="1" t="s">
        <v>172</v>
      </c>
      <c r="P380" s="1" t="str">
        <f t="shared" si="262"/>
        <v>Houston</v>
      </c>
      <c r="Q380" s="1" t="s">
        <v>89</v>
      </c>
      <c r="R380" s="1" t="str">
        <f t="shared" si="263"/>
        <v>Texas</v>
      </c>
      <c r="S380" s="1">
        <v>77095</v>
      </c>
      <c r="T380" s="1" t="s">
        <v>90</v>
      </c>
      <c r="U380" s="1" t="s">
        <v>1083</v>
      </c>
      <c r="V380" s="1" t="s">
        <v>46</v>
      </c>
      <c r="W380" s="7">
        <v>8.6519999999999992</v>
      </c>
      <c r="X380" s="1">
        <v>7</v>
      </c>
      <c r="Y380" s="7">
        <v>7.8</v>
      </c>
      <c r="Z380" s="7">
        <f t="shared" ref="Z380:AA380" si="388">W380*X380</f>
        <v>60.563999999999993</v>
      </c>
      <c r="AA380" s="7">
        <f t="shared" si="388"/>
        <v>54.6</v>
      </c>
      <c r="AB380" s="7">
        <f t="shared" si="265"/>
        <v>5.9639999999999915</v>
      </c>
    </row>
    <row r="381" spans="1:28">
      <c r="A381" s="1">
        <v>380</v>
      </c>
      <c r="B381" s="1" t="s">
        <v>1080</v>
      </c>
      <c r="C381" s="2">
        <v>42488</v>
      </c>
      <c r="D381" s="6" t="str">
        <f t="shared" si="260"/>
        <v>Apr</v>
      </c>
      <c r="E381" s="6" t="str">
        <f t="shared" si="261"/>
        <v>Qtr 2</v>
      </c>
      <c r="F381" s="5">
        <v>42495</v>
      </c>
      <c r="G381" s="1" t="s">
        <v>49</v>
      </c>
      <c r="H381" s="1" t="s">
        <v>1081</v>
      </c>
      <c r="I381" s="1" t="s">
        <v>1082</v>
      </c>
      <c r="J381" s="1" t="str">
        <f ca="1">IFERROR(__xludf.DUMMYFUNCTION("split(I381,"" "")"),"Russell")</f>
        <v>Russell</v>
      </c>
      <c r="K381" s="1" t="str">
        <f ca="1">IFERROR(__xludf.DUMMYFUNCTION("""COMPUTED_VALUE"""),"Applegate")</f>
        <v>Applegate</v>
      </c>
      <c r="L381" s="1"/>
      <c r="M381" s="1" t="s">
        <v>29</v>
      </c>
      <c r="N381" s="1" t="s">
        <v>30</v>
      </c>
      <c r="O381" s="1" t="s">
        <v>172</v>
      </c>
      <c r="P381" s="1" t="str">
        <f t="shared" si="262"/>
        <v>Houston</v>
      </c>
      <c r="Q381" s="1" t="s">
        <v>89</v>
      </c>
      <c r="R381" s="1" t="str">
        <f t="shared" si="263"/>
        <v>Texas</v>
      </c>
      <c r="S381" s="1">
        <v>77095</v>
      </c>
      <c r="T381" s="1" t="s">
        <v>90</v>
      </c>
      <c r="U381" s="1" t="s">
        <v>1084</v>
      </c>
      <c r="V381" s="1" t="s">
        <v>46</v>
      </c>
      <c r="W381" s="7">
        <v>23.832000000000001</v>
      </c>
      <c r="X381" s="1">
        <v>7</v>
      </c>
      <c r="Y381" s="7">
        <v>23.31</v>
      </c>
      <c r="Z381" s="7">
        <f t="shared" ref="Z381:AA381" si="389">W381*X381</f>
        <v>166.82400000000001</v>
      </c>
      <c r="AA381" s="7">
        <f t="shared" si="389"/>
        <v>163.16999999999999</v>
      </c>
      <c r="AB381" s="7">
        <f t="shared" si="265"/>
        <v>3.6540000000000248</v>
      </c>
    </row>
    <row r="382" spans="1:28">
      <c r="A382" s="1">
        <v>381</v>
      </c>
      <c r="B382" s="1" t="s">
        <v>1080</v>
      </c>
      <c r="C382" s="2">
        <v>42488</v>
      </c>
      <c r="D382" s="6" t="str">
        <f t="shared" si="260"/>
        <v>Apr</v>
      </c>
      <c r="E382" s="6" t="str">
        <f t="shared" si="261"/>
        <v>Qtr 2</v>
      </c>
      <c r="F382" s="5">
        <v>42495</v>
      </c>
      <c r="G382" s="1" t="s">
        <v>49</v>
      </c>
      <c r="H382" s="1" t="s">
        <v>1081</v>
      </c>
      <c r="I382" s="1" t="s">
        <v>1082</v>
      </c>
      <c r="J382" s="1" t="str">
        <f ca="1">IFERROR(__xludf.DUMMYFUNCTION("split(I382,"" "")"),"Russell")</f>
        <v>Russell</v>
      </c>
      <c r="K382" s="1" t="str">
        <f ca="1">IFERROR(__xludf.DUMMYFUNCTION("""COMPUTED_VALUE"""),"Applegate")</f>
        <v>Applegate</v>
      </c>
      <c r="L382" s="1"/>
      <c r="M382" s="1" t="s">
        <v>29</v>
      </c>
      <c r="N382" s="1" t="s">
        <v>30</v>
      </c>
      <c r="O382" s="1" t="s">
        <v>172</v>
      </c>
      <c r="P382" s="1" t="str">
        <f t="shared" si="262"/>
        <v>Houston</v>
      </c>
      <c r="Q382" s="1" t="s">
        <v>89</v>
      </c>
      <c r="R382" s="1" t="str">
        <f t="shared" si="263"/>
        <v>Texas</v>
      </c>
      <c r="S382" s="1">
        <v>77095</v>
      </c>
      <c r="T382" s="1" t="s">
        <v>90</v>
      </c>
      <c r="U382" s="1" t="s">
        <v>1085</v>
      </c>
      <c r="V382" s="1" t="s">
        <v>46</v>
      </c>
      <c r="W382" s="7">
        <v>12.176</v>
      </c>
      <c r="X382" s="1">
        <v>7</v>
      </c>
      <c r="Y382" s="7">
        <v>12.05</v>
      </c>
      <c r="Z382" s="7">
        <f t="shared" ref="Z382:AA382" si="390">W382*X382</f>
        <v>85.231999999999999</v>
      </c>
      <c r="AA382" s="7">
        <f t="shared" si="390"/>
        <v>84.350000000000009</v>
      </c>
      <c r="AB382" s="7">
        <f t="shared" si="265"/>
        <v>0.88199999999999079</v>
      </c>
    </row>
    <row r="383" spans="1:28">
      <c r="A383" s="1">
        <v>382</v>
      </c>
      <c r="B383" s="1" t="s">
        <v>1086</v>
      </c>
      <c r="C383" s="2">
        <v>43036</v>
      </c>
      <c r="D383" s="6" t="str">
        <f t="shared" si="260"/>
        <v>Oct</v>
      </c>
      <c r="E383" s="6" t="str">
        <f t="shared" si="261"/>
        <v>Qtr 4</v>
      </c>
      <c r="F383" s="5" t="s">
        <v>1087</v>
      </c>
      <c r="G383" s="1" t="s">
        <v>162</v>
      </c>
      <c r="H383" s="1" t="s">
        <v>1088</v>
      </c>
      <c r="I383" s="1" t="s">
        <v>1089</v>
      </c>
      <c r="J383" s="1" t="str">
        <f ca="1">IFERROR(__xludf.DUMMYFUNCTION("split(I383,"" "")"),"Alejandro")</f>
        <v>Alejandro</v>
      </c>
      <c r="K383" s="1" t="str">
        <f ca="1">IFERROR(__xludf.DUMMYFUNCTION("""COMPUTED_VALUE"""),"Savely")</f>
        <v>Savely</v>
      </c>
      <c r="L383" s="1"/>
      <c r="M383" s="1" t="s">
        <v>41</v>
      </c>
      <c r="N383" s="1" t="s">
        <v>30</v>
      </c>
      <c r="O383" s="1" t="s">
        <v>110</v>
      </c>
      <c r="P383" s="1" t="str">
        <f t="shared" si="262"/>
        <v>San Francisco</v>
      </c>
      <c r="Q383" s="1" t="s">
        <v>68</v>
      </c>
      <c r="R383" s="1" t="str">
        <f t="shared" si="263"/>
        <v>California</v>
      </c>
      <c r="S383" s="1">
        <v>94109</v>
      </c>
      <c r="T383" s="1" t="s">
        <v>44</v>
      </c>
      <c r="U383" s="1" t="s">
        <v>1090</v>
      </c>
      <c r="V383" s="1" t="s">
        <v>46</v>
      </c>
      <c r="W383" s="7">
        <v>50.96</v>
      </c>
      <c r="X383" s="1">
        <v>9</v>
      </c>
      <c r="Y383" s="7">
        <v>50.41</v>
      </c>
      <c r="Z383" s="7">
        <f t="shared" ref="Z383:AA383" si="391">W383*X383</f>
        <v>458.64</v>
      </c>
      <c r="AA383" s="7">
        <f t="shared" si="391"/>
        <v>453.68999999999994</v>
      </c>
      <c r="AB383" s="7">
        <f t="shared" si="265"/>
        <v>4.9500000000000455</v>
      </c>
    </row>
    <row r="384" spans="1:28">
      <c r="A384" s="1">
        <v>383</v>
      </c>
      <c r="B384" s="1" t="s">
        <v>1086</v>
      </c>
      <c r="C384" s="2">
        <v>43036</v>
      </c>
      <c r="D384" s="6" t="str">
        <f t="shared" si="260"/>
        <v>Oct</v>
      </c>
      <c r="E384" s="6" t="str">
        <f t="shared" si="261"/>
        <v>Qtr 4</v>
      </c>
      <c r="F384" s="5" t="s">
        <v>1087</v>
      </c>
      <c r="G384" s="1" t="s">
        <v>162</v>
      </c>
      <c r="H384" s="1" t="s">
        <v>1088</v>
      </c>
      <c r="I384" s="1" t="s">
        <v>1089</v>
      </c>
      <c r="J384" s="1" t="str">
        <f ca="1">IFERROR(__xludf.DUMMYFUNCTION("split(I384,"" "")"),"Alejandro")</f>
        <v>Alejandro</v>
      </c>
      <c r="K384" s="1" t="str">
        <f ca="1">IFERROR(__xludf.DUMMYFUNCTION("""COMPUTED_VALUE"""),"Savely")</f>
        <v>Savely</v>
      </c>
      <c r="L384" s="1"/>
      <c r="M384" s="1" t="s">
        <v>41</v>
      </c>
      <c r="N384" s="1" t="s">
        <v>30</v>
      </c>
      <c r="O384" s="1" t="s">
        <v>110</v>
      </c>
      <c r="P384" s="1" t="str">
        <f t="shared" si="262"/>
        <v>San Francisco</v>
      </c>
      <c r="Q384" s="1" t="s">
        <v>68</v>
      </c>
      <c r="R384" s="1" t="str">
        <f t="shared" si="263"/>
        <v>California</v>
      </c>
      <c r="S384" s="1">
        <v>94109</v>
      </c>
      <c r="T384" s="1" t="s">
        <v>44</v>
      </c>
      <c r="U384" s="1" t="s">
        <v>1091</v>
      </c>
      <c r="V384" s="1" t="s">
        <v>46</v>
      </c>
      <c r="W384" s="7">
        <v>49.536000000000001</v>
      </c>
      <c r="X384" s="1">
        <v>9</v>
      </c>
      <c r="Y384" s="7">
        <v>49.01</v>
      </c>
      <c r="Z384" s="7">
        <f t="shared" ref="Z384:AA384" si="392">W384*X384</f>
        <v>445.82400000000001</v>
      </c>
      <c r="AA384" s="7">
        <f t="shared" si="392"/>
        <v>441.09</v>
      </c>
      <c r="AB384" s="7">
        <f t="shared" si="265"/>
        <v>4.7340000000000373</v>
      </c>
    </row>
    <row r="385" spans="1:28">
      <c r="A385" s="1">
        <v>384</v>
      </c>
      <c r="B385" s="1" t="s">
        <v>1092</v>
      </c>
      <c r="C385" s="2">
        <v>42547</v>
      </c>
      <c r="D385" s="6" t="str">
        <f t="shared" si="260"/>
        <v>Jun</v>
      </c>
      <c r="E385" s="6" t="str">
        <f t="shared" si="261"/>
        <v>Qtr 2</v>
      </c>
      <c r="F385" s="5" t="s">
        <v>1093</v>
      </c>
      <c r="G385" s="1" t="s">
        <v>26</v>
      </c>
      <c r="H385" s="1" t="s">
        <v>1094</v>
      </c>
      <c r="I385" s="1" t="s">
        <v>1095</v>
      </c>
      <c r="J385" s="1" t="str">
        <f ca="1">IFERROR(__xludf.DUMMYFUNCTION("split(I385,"" "")"),"Laura")</f>
        <v>Laura</v>
      </c>
      <c r="K385" s="1" t="str">
        <f ca="1">IFERROR(__xludf.DUMMYFUNCTION("""COMPUTED_VALUE"""),"Armstrong")</f>
        <v>Armstrong</v>
      </c>
      <c r="L385" s="1"/>
      <c r="M385" s="1" t="s">
        <v>41</v>
      </c>
      <c r="N385" s="1" t="s">
        <v>30</v>
      </c>
      <c r="O385" s="1" t="s">
        <v>905</v>
      </c>
      <c r="P385" s="1" t="str">
        <f t="shared" si="262"/>
        <v>Taylor</v>
      </c>
      <c r="Q385" s="1" t="s">
        <v>209</v>
      </c>
      <c r="R385" s="1" t="str">
        <f t="shared" si="263"/>
        <v>Michigan</v>
      </c>
      <c r="S385" s="1">
        <v>48180</v>
      </c>
      <c r="T385" s="1" t="s">
        <v>90</v>
      </c>
      <c r="U385" s="1" t="s">
        <v>1096</v>
      </c>
      <c r="V385" s="1" t="s">
        <v>64</v>
      </c>
      <c r="W385" s="7">
        <v>41.9</v>
      </c>
      <c r="X385" s="1">
        <v>4</v>
      </c>
      <c r="Y385" s="7">
        <v>41.31</v>
      </c>
      <c r="Z385" s="7">
        <f t="shared" ref="Z385:AA385" si="393">W385*X385</f>
        <v>167.6</v>
      </c>
      <c r="AA385" s="7">
        <f t="shared" si="393"/>
        <v>165.24</v>
      </c>
      <c r="AB385" s="7">
        <f t="shared" si="265"/>
        <v>2.3599999999999852</v>
      </c>
    </row>
    <row r="386" spans="1:28">
      <c r="A386" s="1">
        <v>385</v>
      </c>
      <c r="B386" s="1" t="s">
        <v>1097</v>
      </c>
      <c r="C386" s="2">
        <v>42701</v>
      </c>
      <c r="D386" s="6" t="str">
        <f t="shared" si="260"/>
        <v>Nov</v>
      </c>
      <c r="E386" s="6" t="str">
        <f t="shared" si="261"/>
        <v>Qtr 4</v>
      </c>
      <c r="F386" s="5">
        <v>42412</v>
      </c>
      <c r="G386" s="1" t="s">
        <v>49</v>
      </c>
      <c r="H386" s="1" t="s">
        <v>1098</v>
      </c>
      <c r="I386" s="1" t="s">
        <v>1099</v>
      </c>
      <c r="J386" s="1" t="str">
        <f ca="1">IFERROR(__xludf.DUMMYFUNCTION("split(I386,"" "")"),"Denny")</f>
        <v>Denny</v>
      </c>
      <c r="K386" s="1" t="str">
        <f ca="1">IFERROR(__xludf.DUMMYFUNCTION("""COMPUTED_VALUE"""),"Ordway")</f>
        <v>Ordway</v>
      </c>
      <c r="L386" s="1"/>
      <c r="M386" s="1" t="s">
        <v>29</v>
      </c>
      <c r="N386" s="1" t="s">
        <v>30</v>
      </c>
      <c r="O386" s="1" t="s">
        <v>1100</v>
      </c>
      <c r="P386" s="1" t="str">
        <f t="shared" si="262"/>
        <v>Pembroke Pines</v>
      </c>
      <c r="Q386" s="1" t="s">
        <v>194</v>
      </c>
      <c r="R386" s="1" t="str">
        <f t="shared" si="263"/>
        <v>Florida</v>
      </c>
      <c r="S386" s="1">
        <v>33024</v>
      </c>
      <c r="T386" s="1" t="s">
        <v>33</v>
      </c>
      <c r="U386" s="1" t="s">
        <v>1101</v>
      </c>
      <c r="V386" s="1" t="s">
        <v>35</v>
      </c>
      <c r="W386" s="7">
        <v>375.45749999999998</v>
      </c>
      <c r="X386" s="1">
        <v>3</v>
      </c>
      <c r="Y386" s="7">
        <v>374.84</v>
      </c>
      <c r="Z386" s="7">
        <f t="shared" ref="Z386:AA386" si="394">W386*X386</f>
        <v>1126.3724999999999</v>
      </c>
      <c r="AA386" s="7">
        <f t="shared" si="394"/>
        <v>1124.52</v>
      </c>
      <c r="AB386" s="7">
        <f t="shared" si="265"/>
        <v>1.8524999999999636</v>
      </c>
    </row>
    <row r="387" spans="1:28">
      <c r="A387" s="1">
        <v>386</v>
      </c>
      <c r="B387" s="1" t="s">
        <v>1097</v>
      </c>
      <c r="C387" s="2">
        <v>42701</v>
      </c>
      <c r="D387" s="6" t="str">
        <f t="shared" si="260"/>
        <v>Nov</v>
      </c>
      <c r="E387" s="6" t="str">
        <f t="shared" si="261"/>
        <v>Qtr 4</v>
      </c>
      <c r="F387" s="5">
        <v>42412</v>
      </c>
      <c r="G387" s="1" t="s">
        <v>49</v>
      </c>
      <c r="H387" s="1" t="s">
        <v>1098</v>
      </c>
      <c r="I387" s="1" t="s">
        <v>1099</v>
      </c>
      <c r="J387" s="1" t="str">
        <f ca="1">IFERROR(__xludf.DUMMYFUNCTION("split(I387,"" "")"),"Denny")</f>
        <v>Denny</v>
      </c>
      <c r="K387" s="1" t="str">
        <f ca="1">IFERROR(__xludf.DUMMYFUNCTION("""COMPUTED_VALUE"""),"Ordway")</f>
        <v>Ordway</v>
      </c>
      <c r="L387" s="1"/>
      <c r="M387" s="1" t="s">
        <v>29</v>
      </c>
      <c r="N387" s="1" t="s">
        <v>30</v>
      </c>
      <c r="O387" s="1" t="s">
        <v>1100</v>
      </c>
      <c r="P387" s="1" t="str">
        <f t="shared" si="262"/>
        <v>Pembroke Pines</v>
      </c>
      <c r="Q387" s="1" t="s">
        <v>194</v>
      </c>
      <c r="R387" s="1" t="str">
        <f t="shared" si="263"/>
        <v>Florida</v>
      </c>
      <c r="S387" s="1">
        <v>33024</v>
      </c>
      <c r="T387" s="1" t="s">
        <v>33</v>
      </c>
      <c r="U387" s="1" t="s">
        <v>1102</v>
      </c>
      <c r="V387" s="1" t="s">
        <v>64</v>
      </c>
      <c r="W387" s="7">
        <v>83.975999999999999</v>
      </c>
      <c r="X387" s="1">
        <v>3</v>
      </c>
      <c r="Y387" s="7">
        <v>83.07</v>
      </c>
      <c r="Z387" s="7">
        <f t="shared" ref="Z387:AA387" si="395">W387*X387</f>
        <v>251.928</v>
      </c>
      <c r="AA387" s="7">
        <f t="shared" si="395"/>
        <v>249.20999999999998</v>
      </c>
      <c r="AB387" s="7">
        <f t="shared" si="265"/>
        <v>2.7180000000000177</v>
      </c>
    </row>
    <row r="388" spans="1:28">
      <c r="A388" s="1">
        <v>387</v>
      </c>
      <c r="B388" s="1" t="s">
        <v>1103</v>
      </c>
      <c r="C388" s="2">
        <v>42441</v>
      </c>
      <c r="D388" s="6" t="str">
        <f t="shared" si="260"/>
        <v>Mar</v>
      </c>
      <c r="E388" s="6" t="str">
        <f t="shared" si="261"/>
        <v>Qtr 1</v>
      </c>
      <c r="F388" s="5">
        <v>42563</v>
      </c>
      <c r="G388" s="1" t="s">
        <v>49</v>
      </c>
      <c r="H388" s="1" t="s">
        <v>1104</v>
      </c>
      <c r="I388" s="1" t="s">
        <v>1105</v>
      </c>
      <c r="J388" s="1" t="str">
        <f ca="1">IFERROR(__xludf.DUMMYFUNCTION("split(I388,"" "")"),"Dean")</f>
        <v>Dean</v>
      </c>
      <c r="K388" s="1" t="str">
        <f ca="1">IFERROR(__xludf.DUMMYFUNCTION("""COMPUTED_VALUE"""),"Katz")</f>
        <v>Katz</v>
      </c>
      <c r="L388" s="1"/>
      <c r="M388" s="1" t="s">
        <v>41</v>
      </c>
      <c r="N388" s="1" t="s">
        <v>30</v>
      </c>
      <c r="O388" s="1" t="s">
        <v>126</v>
      </c>
      <c r="P388" s="1" t="str">
        <f t="shared" si="262"/>
        <v>Philadelphia</v>
      </c>
      <c r="Q388" s="1" t="s">
        <v>127</v>
      </c>
      <c r="R388" s="1" t="str">
        <f t="shared" si="263"/>
        <v>Pennsylvania</v>
      </c>
      <c r="S388" s="1">
        <v>19140</v>
      </c>
      <c r="T388" s="1" t="s">
        <v>128</v>
      </c>
      <c r="U388" s="1" t="s">
        <v>1106</v>
      </c>
      <c r="V388" s="1" t="s">
        <v>64</v>
      </c>
      <c r="W388" s="7">
        <v>482.34</v>
      </c>
      <c r="X388" s="1">
        <v>1</v>
      </c>
      <c r="Y388" s="7">
        <v>481.81</v>
      </c>
      <c r="Z388" s="7">
        <f t="shared" ref="Z388:AA388" si="396">W388*X388</f>
        <v>482.34</v>
      </c>
      <c r="AA388" s="7">
        <f t="shared" si="396"/>
        <v>481.81</v>
      </c>
      <c r="AB388" s="7">
        <f t="shared" si="265"/>
        <v>0.52999999999997272</v>
      </c>
    </row>
    <row r="389" spans="1:28">
      <c r="A389" s="1">
        <v>388</v>
      </c>
      <c r="B389" s="1" t="s">
        <v>1103</v>
      </c>
      <c r="C389" s="2">
        <v>42441</v>
      </c>
      <c r="D389" s="6" t="str">
        <f t="shared" si="260"/>
        <v>Mar</v>
      </c>
      <c r="E389" s="6" t="str">
        <f t="shared" si="261"/>
        <v>Qtr 1</v>
      </c>
      <c r="F389" s="5">
        <v>42563</v>
      </c>
      <c r="G389" s="1" t="s">
        <v>49</v>
      </c>
      <c r="H389" s="1" t="s">
        <v>1104</v>
      </c>
      <c r="I389" s="1" t="s">
        <v>1105</v>
      </c>
      <c r="J389" s="1" t="str">
        <f ca="1">IFERROR(__xludf.DUMMYFUNCTION("split(I389,"" "")"),"Dean")</f>
        <v>Dean</v>
      </c>
      <c r="K389" s="1" t="str">
        <f ca="1">IFERROR(__xludf.DUMMYFUNCTION("""COMPUTED_VALUE"""),"Katz")</f>
        <v>Katz</v>
      </c>
      <c r="L389" s="1"/>
      <c r="M389" s="1" t="s">
        <v>41</v>
      </c>
      <c r="N389" s="1" t="s">
        <v>30</v>
      </c>
      <c r="O389" s="1" t="s">
        <v>126</v>
      </c>
      <c r="P389" s="1" t="str">
        <f t="shared" si="262"/>
        <v>Philadelphia</v>
      </c>
      <c r="Q389" s="1" t="s">
        <v>127</v>
      </c>
      <c r="R389" s="1" t="str">
        <f t="shared" si="263"/>
        <v>Pennsylvania</v>
      </c>
      <c r="S389" s="1">
        <v>19140</v>
      </c>
      <c r="T389" s="1" t="s">
        <v>128</v>
      </c>
      <c r="U389" s="1" t="s">
        <v>1107</v>
      </c>
      <c r="V389" s="1" t="s">
        <v>35</v>
      </c>
      <c r="W389" s="7">
        <v>2.96</v>
      </c>
      <c r="X389" s="1">
        <v>1</v>
      </c>
      <c r="Y389" s="7">
        <v>2.2400000000000002</v>
      </c>
      <c r="Z389" s="7">
        <f t="shared" ref="Z389:AA389" si="397">W389*X389</f>
        <v>2.96</v>
      </c>
      <c r="AA389" s="7">
        <f t="shared" si="397"/>
        <v>2.2400000000000002</v>
      </c>
      <c r="AB389" s="7">
        <f t="shared" si="265"/>
        <v>0.71999999999999975</v>
      </c>
    </row>
    <row r="390" spans="1:28">
      <c r="A390" s="1">
        <v>389</v>
      </c>
      <c r="B390" s="1" t="s">
        <v>1108</v>
      </c>
      <c r="C390" s="2">
        <v>42332</v>
      </c>
      <c r="D390" s="6" t="str">
        <f t="shared" si="260"/>
        <v>Nov</v>
      </c>
      <c r="E390" s="6" t="str">
        <f t="shared" si="261"/>
        <v>Qtr 4</v>
      </c>
      <c r="F390" s="5" t="s">
        <v>1109</v>
      </c>
      <c r="G390" s="1" t="s">
        <v>162</v>
      </c>
      <c r="H390" s="1" t="s">
        <v>1110</v>
      </c>
      <c r="I390" s="1" t="s">
        <v>1111</v>
      </c>
      <c r="J390" s="1" t="str">
        <f ca="1">IFERROR(__xludf.DUMMYFUNCTION("split(I390,"" "")"),"Nathan")</f>
        <v>Nathan</v>
      </c>
      <c r="K390" s="1" t="str">
        <f ca="1">IFERROR(__xludf.DUMMYFUNCTION("""COMPUTED_VALUE"""),"Gelder")</f>
        <v>Gelder</v>
      </c>
      <c r="L390" s="1"/>
      <c r="M390" s="1" t="s">
        <v>29</v>
      </c>
      <c r="N390" s="1" t="s">
        <v>30</v>
      </c>
      <c r="O390" s="1" t="s">
        <v>829</v>
      </c>
      <c r="P390" s="1" t="str">
        <f t="shared" si="262"/>
        <v>Cincinnati</v>
      </c>
      <c r="Q390" s="1" t="s">
        <v>421</v>
      </c>
      <c r="R390" s="1" t="str">
        <f t="shared" si="263"/>
        <v>Ohio</v>
      </c>
      <c r="S390" s="1">
        <v>45231</v>
      </c>
      <c r="T390" s="1" t="s">
        <v>128</v>
      </c>
      <c r="U390" s="1" t="s">
        <v>1112</v>
      </c>
      <c r="V390" s="1" t="s">
        <v>46</v>
      </c>
      <c r="W390" s="7">
        <v>2.6240000000000001</v>
      </c>
      <c r="X390" s="1">
        <v>4</v>
      </c>
      <c r="Y390" s="7">
        <v>2.11</v>
      </c>
      <c r="Z390" s="7">
        <f t="shared" ref="Z390:AA390" si="398">W390*X390</f>
        <v>10.496</v>
      </c>
      <c r="AA390" s="7">
        <f t="shared" si="398"/>
        <v>8.44</v>
      </c>
      <c r="AB390" s="7">
        <f t="shared" si="265"/>
        <v>2.0560000000000009</v>
      </c>
    </row>
    <row r="391" spans="1:28">
      <c r="A391" s="1">
        <v>390</v>
      </c>
      <c r="B391" s="1" t="s">
        <v>1113</v>
      </c>
      <c r="C391" s="2">
        <v>43416</v>
      </c>
      <c r="D391" s="6" t="str">
        <f t="shared" si="260"/>
        <v>Nov</v>
      </c>
      <c r="E391" s="6" t="str">
        <f t="shared" si="261"/>
        <v>Qtr 4</v>
      </c>
      <c r="F391" s="5" t="s">
        <v>1114</v>
      </c>
      <c r="G391" s="1" t="s">
        <v>49</v>
      </c>
      <c r="H391" s="1" t="s">
        <v>1115</v>
      </c>
      <c r="I391" s="1" t="s">
        <v>1116</v>
      </c>
      <c r="J391" s="1" t="str">
        <f ca="1">IFERROR(__xludf.DUMMYFUNCTION("split(I391,"" "")"),"Mike")</f>
        <v>Mike</v>
      </c>
      <c r="K391" s="1" t="str">
        <f ca="1">IFERROR(__xludf.DUMMYFUNCTION("""COMPUTED_VALUE"""),"Vittorini")</f>
        <v>Vittorini</v>
      </c>
      <c r="L391" s="1"/>
      <c r="M391" s="1" t="s">
        <v>29</v>
      </c>
      <c r="N391" s="1" t="s">
        <v>30</v>
      </c>
      <c r="O391" s="1" t="s">
        <v>233</v>
      </c>
      <c r="P391" s="1" t="str">
        <f t="shared" si="262"/>
        <v>New York City</v>
      </c>
      <c r="Q391" s="1" t="s">
        <v>234</v>
      </c>
      <c r="R391" s="1" t="str">
        <f t="shared" si="263"/>
        <v>New York</v>
      </c>
      <c r="S391" s="1">
        <v>10009</v>
      </c>
      <c r="T391" s="1" t="s">
        <v>128</v>
      </c>
      <c r="U391" s="1" t="s">
        <v>1117</v>
      </c>
      <c r="V391" s="1" t="s">
        <v>46</v>
      </c>
      <c r="W391" s="7">
        <v>23.36</v>
      </c>
      <c r="X391" s="1">
        <v>1</v>
      </c>
      <c r="Y391" s="7">
        <v>22.76</v>
      </c>
      <c r="Z391" s="7">
        <f t="shared" ref="Z391:AA391" si="399">W391*X391</f>
        <v>23.36</v>
      </c>
      <c r="AA391" s="7">
        <f t="shared" si="399"/>
        <v>22.76</v>
      </c>
      <c r="AB391" s="7">
        <f t="shared" si="265"/>
        <v>0.59999999999999787</v>
      </c>
    </row>
    <row r="392" spans="1:28">
      <c r="A392" s="1">
        <v>391</v>
      </c>
      <c r="B392" s="1" t="s">
        <v>1113</v>
      </c>
      <c r="C392" s="2">
        <v>43416</v>
      </c>
      <c r="D392" s="6" t="str">
        <f t="shared" si="260"/>
        <v>Nov</v>
      </c>
      <c r="E392" s="6" t="str">
        <f t="shared" si="261"/>
        <v>Qtr 4</v>
      </c>
      <c r="F392" s="5" t="s">
        <v>1114</v>
      </c>
      <c r="G392" s="1" t="s">
        <v>49</v>
      </c>
      <c r="H392" s="1" t="s">
        <v>1115</v>
      </c>
      <c r="I392" s="1" t="s">
        <v>1116</v>
      </c>
      <c r="J392" s="1" t="str">
        <f ca="1">IFERROR(__xludf.DUMMYFUNCTION("split(I392,"" "")"),"Mike")</f>
        <v>Mike</v>
      </c>
      <c r="K392" s="1" t="str">
        <f ca="1">IFERROR(__xludf.DUMMYFUNCTION("""COMPUTED_VALUE"""),"Vittorini")</f>
        <v>Vittorini</v>
      </c>
      <c r="L392" s="1"/>
      <c r="M392" s="1" t="s">
        <v>29</v>
      </c>
      <c r="N392" s="1" t="s">
        <v>30</v>
      </c>
      <c r="O392" s="1" t="s">
        <v>233</v>
      </c>
      <c r="P392" s="1" t="str">
        <f t="shared" si="262"/>
        <v>New York City</v>
      </c>
      <c r="Q392" s="1" t="s">
        <v>234</v>
      </c>
      <c r="R392" s="1" t="str">
        <f t="shared" si="263"/>
        <v>New York</v>
      </c>
      <c r="S392" s="1">
        <v>10009</v>
      </c>
      <c r="T392" s="1" t="s">
        <v>128</v>
      </c>
      <c r="U392" s="1" t="s">
        <v>332</v>
      </c>
      <c r="V392" s="1" t="s">
        <v>64</v>
      </c>
      <c r="W392" s="7">
        <v>39.979999999999997</v>
      </c>
      <c r="X392" s="1">
        <v>1</v>
      </c>
      <c r="Y392" s="7">
        <v>39.119999999999997</v>
      </c>
      <c r="Z392" s="7">
        <f t="shared" ref="Z392:AA392" si="400">W392*X392</f>
        <v>39.979999999999997</v>
      </c>
      <c r="AA392" s="7">
        <f t="shared" si="400"/>
        <v>39.119999999999997</v>
      </c>
      <c r="AB392" s="7">
        <f t="shared" si="265"/>
        <v>0.85999999999999943</v>
      </c>
    </row>
    <row r="393" spans="1:28">
      <c r="A393" s="1">
        <v>392</v>
      </c>
      <c r="B393" s="1" t="s">
        <v>1118</v>
      </c>
      <c r="C393" s="2">
        <v>42268</v>
      </c>
      <c r="D393" s="6" t="str">
        <f t="shared" si="260"/>
        <v>Sep</v>
      </c>
      <c r="E393" s="6" t="str">
        <f t="shared" si="261"/>
        <v>Qtr 3</v>
      </c>
      <c r="F393" s="5" t="s">
        <v>1119</v>
      </c>
      <c r="G393" s="1" t="s">
        <v>26</v>
      </c>
      <c r="H393" s="1" t="s">
        <v>1120</v>
      </c>
      <c r="I393" s="1" t="s">
        <v>1121</v>
      </c>
      <c r="J393" s="1" t="str">
        <f ca="1">IFERROR(__xludf.DUMMYFUNCTION("split(I393,"" "")"),"Jack")</f>
        <v>Jack</v>
      </c>
      <c r="K393" s="1" t="str">
        <f ca="1">IFERROR(__xludf.DUMMYFUNCTION("""COMPUTED_VALUE"""),"Garza")</f>
        <v>Garza</v>
      </c>
      <c r="L393" s="1"/>
      <c r="M393" s="1" t="s">
        <v>29</v>
      </c>
      <c r="N393" s="1" t="s">
        <v>30</v>
      </c>
      <c r="O393" s="1" t="s">
        <v>1122</v>
      </c>
      <c r="P393" s="1" t="str">
        <f t="shared" si="262"/>
        <v>Des Moines</v>
      </c>
      <c r="Q393" s="1" t="s">
        <v>81</v>
      </c>
      <c r="R393" s="1" t="str">
        <f t="shared" si="263"/>
        <v>Washington</v>
      </c>
      <c r="S393" s="1">
        <v>98198</v>
      </c>
      <c r="T393" s="1" t="s">
        <v>44</v>
      </c>
      <c r="U393" s="1" t="s">
        <v>1123</v>
      </c>
      <c r="V393" s="1" t="s">
        <v>64</v>
      </c>
      <c r="W393" s="7">
        <v>246.38399999999999</v>
      </c>
      <c r="X393" s="1">
        <v>9</v>
      </c>
      <c r="Y393" s="7">
        <v>245.6</v>
      </c>
      <c r="Z393" s="7">
        <f t="shared" ref="Z393:AA393" si="401">W393*X393</f>
        <v>2217.4559999999997</v>
      </c>
      <c r="AA393" s="7">
        <f t="shared" si="401"/>
        <v>2210.4</v>
      </c>
      <c r="AB393" s="7">
        <f t="shared" si="265"/>
        <v>7.0559999999995853</v>
      </c>
    </row>
    <row r="394" spans="1:28">
      <c r="A394" s="1">
        <v>393</v>
      </c>
      <c r="B394" s="1" t="s">
        <v>1118</v>
      </c>
      <c r="C394" s="2">
        <v>42268</v>
      </c>
      <c r="D394" s="6" t="str">
        <f t="shared" si="260"/>
        <v>Sep</v>
      </c>
      <c r="E394" s="6" t="str">
        <f t="shared" si="261"/>
        <v>Qtr 3</v>
      </c>
      <c r="F394" s="5" t="s">
        <v>1119</v>
      </c>
      <c r="G394" s="1" t="s">
        <v>26</v>
      </c>
      <c r="H394" s="1" t="s">
        <v>1120</v>
      </c>
      <c r="I394" s="1" t="s">
        <v>1121</v>
      </c>
      <c r="J394" s="1" t="str">
        <f ca="1">IFERROR(__xludf.DUMMYFUNCTION("split(I394,"" "")"),"Jack")</f>
        <v>Jack</v>
      </c>
      <c r="K394" s="1" t="str">
        <f ca="1">IFERROR(__xludf.DUMMYFUNCTION("""COMPUTED_VALUE"""),"Garza")</f>
        <v>Garza</v>
      </c>
      <c r="L394" s="1"/>
      <c r="M394" s="1" t="s">
        <v>29</v>
      </c>
      <c r="N394" s="1" t="s">
        <v>30</v>
      </c>
      <c r="O394" s="1" t="s">
        <v>1122</v>
      </c>
      <c r="P394" s="1" t="str">
        <f t="shared" si="262"/>
        <v>Des Moines</v>
      </c>
      <c r="Q394" s="1" t="s">
        <v>81</v>
      </c>
      <c r="R394" s="1" t="str">
        <f t="shared" si="263"/>
        <v>Washington</v>
      </c>
      <c r="S394" s="1">
        <v>98198</v>
      </c>
      <c r="T394" s="1" t="s">
        <v>44</v>
      </c>
      <c r="U394" s="1" t="s">
        <v>1124</v>
      </c>
      <c r="V394" s="1" t="s">
        <v>64</v>
      </c>
      <c r="W394" s="7">
        <v>1799.97</v>
      </c>
      <c r="X394" s="1">
        <v>9</v>
      </c>
      <c r="Y394" s="7">
        <v>1799.44</v>
      </c>
      <c r="Z394" s="7">
        <f t="shared" ref="Z394:AA394" si="402">W394*X394</f>
        <v>16199.73</v>
      </c>
      <c r="AA394" s="7">
        <f t="shared" si="402"/>
        <v>16194.960000000001</v>
      </c>
      <c r="AB394" s="7">
        <f t="shared" si="265"/>
        <v>4.7699999999986176</v>
      </c>
    </row>
    <row r="395" spans="1:28">
      <c r="A395" s="1">
        <v>394</v>
      </c>
      <c r="B395" s="1" t="s">
        <v>1125</v>
      </c>
      <c r="C395" s="2">
        <v>42191</v>
      </c>
      <c r="D395" s="6" t="str">
        <f t="shared" si="260"/>
        <v>Jul</v>
      </c>
      <c r="E395" s="6" t="str">
        <f t="shared" si="261"/>
        <v>Qtr 3</v>
      </c>
      <c r="F395" s="5">
        <v>42283</v>
      </c>
      <c r="G395" s="1" t="s">
        <v>26</v>
      </c>
      <c r="H395" s="1" t="s">
        <v>1126</v>
      </c>
      <c r="I395" s="1" t="s">
        <v>1127</v>
      </c>
      <c r="J395" s="1" t="str">
        <f ca="1">IFERROR(__xludf.DUMMYFUNCTION("split(I395,"" "")"),"Bart")</f>
        <v>Bart</v>
      </c>
      <c r="K395" s="1" t="str">
        <f ca="1">IFERROR(__xludf.DUMMYFUNCTION("""COMPUTED_VALUE"""),"Pistole")</f>
        <v>Pistole</v>
      </c>
      <c r="L395" s="1"/>
      <c r="M395" s="1" t="s">
        <v>41</v>
      </c>
      <c r="N395" s="1" t="s">
        <v>30</v>
      </c>
      <c r="O395" s="1" t="s">
        <v>1128</v>
      </c>
      <c r="P395" s="1" t="str">
        <f t="shared" si="262"/>
        <v>Peoria</v>
      </c>
      <c r="Q395" s="1" t="s">
        <v>182</v>
      </c>
      <c r="R395" s="1" t="str">
        <f t="shared" si="263"/>
        <v>Illinois</v>
      </c>
      <c r="S395" s="1">
        <v>61604</v>
      </c>
      <c r="T395" s="1" t="s">
        <v>90</v>
      </c>
      <c r="U395" s="1" t="s">
        <v>1129</v>
      </c>
      <c r="V395" s="1" t="s">
        <v>46</v>
      </c>
      <c r="W395" s="7">
        <v>12.462</v>
      </c>
      <c r="X395" s="1">
        <v>6</v>
      </c>
      <c r="Y395" s="7">
        <v>11.68</v>
      </c>
      <c r="Z395" s="7">
        <f t="shared" ref="Z395:AA395" si="403">W395*X395</f>
        <v>74.771999999999991</v>
      </c>
      <c r="AA395" s="7">
        <f t="shared" si="403"/>
        <v>70.08</v>
      </c>
      <c r="AB395" s="7">
        <f t="shared" si="265"/>
        <v>4.6919999999999931</v>
      </c>
    </row>
    <row r="396" spans="1:28">
      <c r="A396" s="1">
        <v>395</v>
      </c>
      <c r="B396" s="1" t="s">
        <v>1130</v>
      </c>
      <c r="C396" s="2">
        <v>43281</v>
      </c>
      <c r="D396" s="6" t="str">
        <f t="shared" si="260"/>
        <v>Jun</v>
      </c>
      <c r="E396" s="6" t="str">
        <f t="shared" si="261"/>
        <v>Qtr 2</v>
      </c>
      <c r="F396" s="5">
        <v>43227</v>
      </c>
      <c r="G396" s="1" t="s">
        <v>49</v>
      </c>
      <c r="H396" s="1" t="s">
        <v>1131</v>
      </c>
      <c r="I396" s="1" t="s">
        <v>1132</v>
      </c>
      <c r="J396" s="1" t="str">
        <f ca="1">IFERROR(__xludf.DUMMYFUNCTION("split(I396,"" "")"),"Victor")</f>
        <v>Victor</v>
      </c>
      <c r="K396" s="1" t="str">
        <f ca="1">IFERROR(__xludf.DUMMYFUNCTION("""COMPUTED_VALUE"""),"Preis")</f>
        <v>Preis</v>
      </c>
      <c r="L396" s="1"/>
      <c r="M396" s="1" t="s">
        <v>87</v>
      </c>
      <c r="N396" s="1" t="s">
        <v>30</v>
      </c>
      <c r="O396" s="1" t="s">
        <v>1133</v>
      </c>
      <c r="P396" s="1" t="str">
        <f t="shared" si="262"/>
        <v>Las Vegas</v>
      </c>
      <c r="Q396" s="1" t="s">
        <v>1134</v>
      </c>
      <c r="R396" s="1" t="str">
        <f t="shared" si="263"/>
        <v>Nevada</v>
      </c>
      <c r="S396" s="1">
        <v>89115</v>
      </c>
      <c r="T396" s="1" t="s">
        <v>44</v>
      </c>
      <c r="U396" s="1" t="s">
        <v>1135</v>
      </c>
      <c r="V396" s="1" t="s">
        <v>46</v>
      </c>
      <c r="W396" s="7">
        <v>75.792000000000002</v>
      </c>
      <c r="X396" s="1">
        <v>8</v>
      </c>
      <c r="Y396" s="7">
        <v>75.2</v>
      </c>
      <c r="Z396" s="7">
        <f t="shared" ref="Z396:AA396" si="404">W396*X396</f>
        <v>606.33600000000001</v>
      </c>
      <c r="AA396" s="7">
        <f t="shared" si="404"/>
        <v>601.6</v>
      </c>
      <c r="AB396" s="7">
        <f t="shared" si="265"/>
        <v>4.73599999999999</v>
      </c>
    </row>
    <row r="397" spans="1:28">
      <c r="A397" s="1">
        <v>396</v>
      </c>
      <c r="B397" s="1" t="s">
        <v>1136</v>
      </c>
      <c r="C397" s="2">
        <v>43390</v>
      </c>
      <c r="D397" s="6" t="str">
        <f t="shared" si="260"/>
        <v>Oct</v>
      </c>
      <c r="E397" s="6" t="str">
        <f t="shared" si="261"/>
        <v>Qtr 4</v>
      </c>
      <c r="F397" s="5" t="s">
        <v>1137</v>
      </c>
      <c r="G397" s="1" t="s">
        <v>26</v>
      </c>
      <c r="H397" s="1" t="s">
        <v>1138</v>
      </c>
      <c r="I397" s="1" t="s">
        <v>1139</v>
      </c>
      <c r="J397" s="1" t="str">
        <f ca="1">IFERROR(__xludf.DUMMYFUNCTION("split(I397,"" "")"),"Saphhira")</f>
        <v>Saphhira</v>
      </c>
      <c r="K397" s="1" t="str">
        <f ca="1">IFERROR(__xludf.DUMMYFUNCTION("""COMPUTED_VALUE"""),"Shifley")</f>
        <v>Shifley</v>
      </c>
      <c r="L397" s="1"/>
      <c r="M397" s="1" t="s">
        <v>41</v>
      </c>
      <c r="N397" s="1" t="s">
        <v>30</v>
      </c>
      <c r="O397" s="1" t="s">
        <v>1140</v>
      </c>
      <c r="P397" s="1" t="str">
        <f t="shared" si="262"/>
        <v>Warwick</v>
      </c>
      <c r="Q397" s="1" t="s">
        <v>1141</v>
      </c>
      <c r="R397" s="1" t="str">
        <f t="shared" si="263"/>
        <v>Rhode Island</v>
      </c>
      <c r="S397" s="1">
        <v>2886</v>
      </c>
      <c r="T397" s="1" t="s">
        <v>128</v>
      </c>
      <c r="U397" s="1" t="s">
        <v>1142</v>
      </c>
      <c r="V397" s="1" t="s">
        <v>46</v>
      </c>
      <c r="W397" s="7">
        <v>49.96</v>
      </c>
      <c r="X397" s="1">
        <v>2</v>
      </c>
      <c r="Y397" s="7">
        <v>49.81</v>
      </c>
      <c r="Z397" s="7">
        <f t="shared" ref="Z397:AA397" si="405">W397*X397</f>
        <v>99.92</v>
      </c>
      <c r="AA397" s="7">
        <f t="shared" si="405"/>
        <v>99.62</v>
      </c>
      <c r="AB397" s="7">
        <f t="shared" si="265"/>
        <v>0.29999999999999716</v>
      </c>
    </row>
    <row r="398" spans="1:28">
      <c r="A398" s="1">
        <v>397</v>
      </c>
      <c r="B398" s="1" t="s">
        <v>1136</v>
      </c>
      <c r="C398" s="2">
        <v>43390</v>
      </c>
      <c r="D398" s="6" t="str">
        <f t="shared" si="260"/>
        <v>Oct</v>
      </c>
      <c r="E398" s="6" t="str">
        <f t="shared" si="261"/>
        <v>Qtr 4</v>
      </c>
      <c r="F398" s="5" t="s">
        <v>1137</v>
      </c>
      <c r="G398" s="1" t="s">
        <v>26</v>
      </c>
      <c r="H398" s="1" t="s">
        <v>1138</v>
      </c>
      <c r="I398" s="1" t="s">
        <v>1139</v>
      </c>
      <c r="J398" s="1" t="str">
        <f ca="1">IFERROR(__xludf.DUMMYFUNCTION("split(I398,"" "")"),"Saphhira")</f>
        <v>Saphhira</v>
      </c>
      <c r="K398" s="1" t="str">
        <f ca="1">IFERROR(__xludf.DUMMYFUNCTION("""COMPUTED_VALUE"""),"Shifley")</f>
        <v>Shifley</v>
      </c>
      <c r="L398" s="1"/>
      <c r="M398" s="1" t="s">
        <v>41</v>
      </c>
      <c r="N398" s="1" t="s">
        <v>30</v>
      </c>
      <c r="O398" s="1" t="s">
        <v>1140</v>
      </c>
      <c r="P398" s="1" t="str">
        <f t="shared" si="262"/>
        <v>Warwick</v>
      </c>
      <c r="Q398" s="1" t="s">
        <v>1141</v>
      </c>
      <c r="R398" s="1" t="str">
        <f t="shared" si="263"/>
        <v>Rhode Island</v>
      </c>
      <c r="S398" s="1">
        <v>2886</v>
      </c>
      <c r="T398" s="1" t="s">
        <v>128</v>
      </c>
      <c r="U398" s="1" t="s">
        <v>1143</v>
      </c>
      <c r="V398" s="1" t="s">
        <v>46</v>
      </c>
      <c r="W398" s="7">
        <v>12.96</v>
      </c>
      <c r="X398" s="1">
        <v>2</v>
      </c>
      <c r="Y398" s="7">
        <v>12.37</v>
      </c>
      <c r="Z398" s="7">
        <f t="shared" ref="Z398:AA398" si="406">W398*X398</f>
        <v>25.92</v>
      </c>
      <c r="AA398" s="7">
        <f t="shared" si="406"/>
        <v>24.74</v>
      </c>
      <c r="AB398" s="7">
        <f t="shared" si="265"/>
        <v>1.1800000000000033</v>
      </c>
    </row>
    <row r="399" spans="1:28">
      <c r="A399" s="1">
        <v>398</v>
      </c>
      <c r="B399" s="1" t="s">
        <v>1144</v>
      </c>
      <c r="C399" s="2">
        <v>42674</v>
      </c>
      <c r="D399" s="6" t="str">
        <f t="shared" si="260"/>
        <v>Oct</v>
      </c>
      <c r="E399" s="6" t="str">
        <f t="shared" si="261"/>
        <v>Qtr 4</v>
      </c>
      <c r="F399" s="5">
        <v>42471</v>
      </c>
      <c r="G399" s="1" t="s">
        <v>49</v>
      </c>
      <c r="H399" s="1" t="s">
        <v>85</v>
      </c>
      <c r="I399" s="1" t="s">
        <v>86</v>
      </c>
      <c r="J399" s="1" t="str">
        <f ca="1">IFERROR(__xludf.DUMMYFUNCTION("split(I399,"" "")"),"Harold")</f>
        <v>Harold</v>
      </c>
      <c r="K399" s="1" t="str">
        <f ca="1">IFERROR(__xludf.DUMMYFUNCTION("""COMPUTED_VALUE"""),"Pawlan")</f>
        <v>Pawlan</v>
      </c>
      <c r="L399" s="1"/>
      <c r="M399" s="1" t="s">
        <v>87</v>
      </c>
      <c r="N399" s="1" t="s">
        <v>30</v>
      </c>
      <c r="O399" s="1" t="s">
        <v>281</v>
      </c>
      <c r="P399" s="1" t="str">
        <f t="shared" si="262"/>
        <v>Jackson</v>
      </c>
      <c r="Q399" s="1" t="s">
        <v>209</v>
      </c>
      <c r="R399" s="1" t="str">
        <f t="shared" si="263"/>
        <v>Michigan</v>
      </c>
      <c r="S399" s="1">
        <v>49201</v>
      </c>
      <c r="T399" s="1" t="s">
        <v>90</v>
      </c>
      <c r="U399" s="1" t="s">
        <v>1145</v>
      </c>
      <c r="V399" s="1" t="s">
        <v>46</v>
      </c>
      <c r="W399" s="7">
        <v>70.12</v>
      </c>
      <c r="X399" s="1">
        <v>4</v>
      </c>
      <c r="Y399" s="7">
        <v>69.33</v>
      </c>
      <c r="Z399" s="7">
        <f t="shared" ref="Z399:AA399" si="407">W399*X399</f>
        <v>280.48</v>
      </c>
      <c r="AA399" s="7">
        <f t="shared" si="407"/>
        <v>277.32</v>
      </c>
      <c r="AB399" s="7">
        <f t="shared" si="265"/>
        <v>3.160000000000025</v>
      </c>
    </row>
    <row r="400" spans="1:28">
      <c r="A400" s="1">
        <v>399</v>
      </c>
      <c r="B400" s="1" t="s">
        <v>1146</v>
      </c>
      <c r="C400" s="2">
        <v>42956</v>
      </c>
      <c r="D400" s="6" t="str">
        <f t="shared" si="260"/>
        <v>Aug</v>
      </c>
      <c r="E400" s="6" t="str">
        <f t="shared" si="261"/>
        <v>Qtr 3</v>
      </c>
      <c r="F400" s="5">
        <v>43017</v>
      </c>
      <c r="G400" s="1" t="s">
        <v>26</v>
      </c>
      <c r="H400" s="1" t="s">
        <v>1147</v>
      </c>
      <c r="I400" s="1" t="s">
        <v>1148</v>
      </c>
      <c r="J400" s="1" t="str">
        <f ca="1">IFERROR(__xludf.DUMMYFUNCTION("split(I400,"" "")"),"Anna")</f>
        <v>Anna</v>
      </c>
      <c r="K400" s="1" t="str">
        <f ca="1">IFERROR(__xludf.DUMMYFUNCTION("""COMPUTED_VALUE"""),"Gayman")</f>
        <v>Gayman</v>
      </c>
      <c r="L400" s="1"/>
      <c r="M400" s="1" t="s">
        <v>29</v>
      </c>
      <c r="N400" s="1" t="s">
        <v>30</v>
      </c>
      <c r="O400" s="1" t="s">
        <v>172</v>
      </c>
      <c r="P400" s="1" t="str">
        <f t="shared" si="262"/>
        <v>Houston</v>
      </c>
      <c r="Q400" s="1" t="s">
        <v>89</v>
      </c>
      <c r="R400" s="1" t="str">
        <f t="shared" si="263"/>
        <v>Texas</v>
      </c>
      <c r="S400" s="1">
        <v>77036</v>
      </c>
      <c r="T400" s="1" t="s">
        <v>90</v>
      </c>
      <c r="U400" s="1" t="s">
        <v>1149</v>
      </c>
      <c r="V400" s="1" t="s">
        <v>46</v>
      </c>
      <c r="W400" s="7">
        <v>35.951999999999998</v>
      </c>
      <c r="X400" s="1">
        <v>7</v>
      </c>
      <c r="Y400" s="7">
        <v>35.909999999999997</v>
      </c>
      <c r="Z400" s="7">
        <f t="shared" ref="Z400:AA400" si="408">W400*X400</f>
        <v>251.66399999999999</v>
      </c>
      <c r="AA400" s="7">
        <f t="shared" si="408"/>
        <v>251.36999999999998</v>
      </c>
      <c r="AB400" s="7">
        <f t="shared" si="265"/>
        <v>0.29400000000001114</v>
      </c>
    </row>
    <row r="401" spans="1:28">
      <c r="A401" s="1">
        <v>400</v>
      </c>
      <c r="B401" s="1" t="s">
        <v>1146</v>
      </c>
      <c r="C401" s="2">
        <v>42956</v>
      </c>
      <c r="D401" s="6" t="str">
        <f t="shared" si="260"/>
        <v>Aug</v>
      </c>
      <c r="E401" s="6" t="str">
        <f t="shared" si="261"/>
        <v>Qtr 3</v>
      </c>
      <c r="F401" s="5">
        <v>43017</v>
      </c>
      <c r="G401" s="1" t="s">
        <v>26</v>
      </c>
      <c r="H401" s="1" t="s">
        <v>1147</v>
      </c>
      <c r="I401" s="1" t="s">
        <v>1148</v>
      </c>
      <c r="J401" s="1" t="str">
        <f ca="1">IFERROR(__xludf.DUMMYFUNCTION("split(I401,"" "")"),"Anna")</f>
        <v>Anna</v>
      </c>
      <c r="K401" s="1" t="str">
        <f ca="1">IFERROR(__xludf.DUMMYFUNCTION("""COMPUTED_VALUE"""),"Gayman")</f>
        <v>Gayman</v>
      </c>
      <c r="L401" s="1"/>
      <c r="M401" s="1" t="s">
        <v>29</v>
      </c>
      <c r="N401" s="1" t="s">
        <v>30</v>
      </c>
      <c r="O401" s="1" t="s">
        <v>172</v>
      </c>
      <c r="P401" s="1" t="str">
        <f t="shared" si="262"/>
        <v>Houston</v>
      </c>
      <c r="Q401" s="1" t="s">
        <v>89</v>
      </c>
      <c r="R401" s="1" t="str">
        <f t="shared" si="263"/>
        <v>Texas</v>
      </c>
      <c r="S401" s="1">
        <v>77036</v>
      </c>
      <c r="T401" s="1" t="s">
        <v>90</v>
      </c>
      <c r="U401" s="1" t="s">
        <v>146</v>
      </c>
      <c r="V401" s="1" t="s">
        <v>35</v>
      </c>
      <c r="W401" s="7">
        <v>2396.2656000000002</v>
      </c>
      <c r="X401" s="1">
        <v>7</v>
      </c>
      <c r="Y401" s="7">
        <v>2395.7800000000002</v>
      </c>
      <c r="Z401" s="7">
        <f t="shared" ref="Z401:AA401" si="409">W401*X401</f>
        <v>16773.859200000003</v>
      </c>
      <c r="AA401" s="7">
        <f t="shared" si="409"/>
        <v>16770.460000000003</v>
      </c>
      <c r="AB401" s="7">
        <f t="shared" si="265"/>
        <v>3.399199999999837</v>
      </c>
    </row>
    <row r="402" spans="1:28">
      <c r="A402" s="1">
        <v>401</v>
      </c>
      <c r="B402" s="1" t="s">
        <v>1146</v>
      </c>
      <c r="C402" s="2">
        <v>42956</v>
      </c>
      <c r="D402" s="6" t="str">
        <f t="shared" si="260"/>
        <v>Aug</v>
      </c>
      <c r="E402" s="6" t="str">
        <f t="shared" si="261"/>
        <v>Qtr 3</v>
      </c>
      <c r="F402" s="5">
        <v>43017</v>
      </c>
      <c r="G402" s="1" t="s">
        <v>26</v>
      </c>
      <c r="H402" s="1" t="s">
        <v>1147</v>
      </c>
      <c r="I402" s="1" t="s">
        <v>1148</v>
      </c>
      <c r="J402" s="1" t="str">
        <f ca="1">IFERROR(__xludf.DUMMYFUNCTION("split(I402,"" "")"),"Anna")</f>
        <v>Anna</v>
      </c>
      <c r="K402" s="1" t="str">
        <f ca="1">IFERROR(__xludf.DUMMYFUNCTION("""COMPUTED_VALUE"""),"Gayman")</f>
        <v>Gayman</v>
      </c>
      <c r="L402" s="1"/>
      <c r="M402" s="1" t="s">
        <v>29</v>
      </c>
      <c r="N402" s="1" t="s">
        <v>30</v>
      </c>
      <c r="O402" s="1" t="s">
        <v>172</v>
      </c>
      <c r="P402" s="1" t="str">
        <f t="shared" si="262"/>
        <v>Houston</v>
      </c>
      <c r="Q402" s="1" t="s">
        <v>89</v>
      </c>
      <c r="R402" s="1" t="str">
        <f t="shared" si="263"/>
        <v>Texas</v>
      </c>
      <c r="S402" s="1">
        <v>77036</v>
      </c>
      <c r="T402" s="1" t="s">
        <v>90</v>
      </c>
      <c r="U402" s="1" t="s">
        <v>1150</v>
      </c>
      <c r="V402" s="1" t="s">
        <v>46</v>
      </c>
      <c r="W402" s="7">
        <v>131.136</v>
      </c>
      <c r="X402" s="1">
        <v>7</v>
      </c>
      <c r="Y402" s="7">
        <v>130.97</v>
      </c>
      <c r="Z402" s="7">
        <f t="shared" ref="Z402:AA402" si="410">W402*X402</f>
        <v>917.952</v>
      </c>
      <c r="AA402" s="7">
        <f t="shared" si="410"/>
        <v>916.79</v>
      </c>
      <c r="AB402" s="7">
        <f t="shared" si="265"/>
        <v>1.1620000000000346</v>
      </c>
    </row>
    <row r="403" spans="1:28">
      <c r="A403" s="1">
        <v>402</v>
      </c>
      <c r="B403" s="1" t="s">
        <v>1146</v>
      </c>
      <c r="C403" s="2">
        <v>42956</v>
      </c>
      <c r="D403" s="6" t="str">
        <f t="shared" si="260"/>
        <v>Aug</v>
      </c>
      <c r="E403" s="6" t="str">
        <f t="shared" si="261"/>
        <v>Qtr 3</v>
      </c>
      <c r="F403" s="5">
        <v>43017</v>
      </c>
      <c r="G403" s="1" t="s">
        <v>26</v>
      </c>
      <c r="H403" s="1" t="s">
        <v>1147</v>
      </c>
      <c r="I403" s="1" t="s">
        <v>1148</v>
      </c>
      <c r="J403" s="1" t="str">
        <f ca="1">IFERROR(__xludf.DUMMYFUNCTION("split(I403,"" "")"),"Anna")</f>
        <v>Anna</v>
      </c>
      <c r="K403" s="1" t="str">
        <f ca="1">IFERROR(__xludf.DUMMYFUNCTION("""COMPUTED_VALUE"""),"Gayman")</f>
        <v>Gayman</v>
      </c>
      <c r="L403" s="1"/>
      <c r="M403" s="1" t="s">
        <v>29</v>
      </c>
      <c r="N403" s="1" t="s">
        <v>30</v>
      </c>
      <c r="O403" s="1" t="s">
        <v>172</v>
      </c>
      <c r="P403" s="1" t="str">
        <f t="shared" si="262"/>
        <v>Houston</v>
      </c>
      <c r="Q403" s="1" t="s">
        <v>89</v>
      </c>
      <c r="R403" s="1" t="str">
        <f t="shared" si="263"/>
        <v>Texas</v>
      </c>
      <c r="S403" s="1">
        <v>77036</v>
      </c>
      <c r="T403" s="1" t="s">
        <v>90</v>
      </c>
      <c r="U403" s="1" t="s">
        <v>1151</v>
      </c>
      <c r="V403" s="1" t="s">
        <v>64</v>
      </c>
      <c r="W403" s="7">
        <v>57.584000000000003</v>
      </c>
      <c r="X403" s="1">
        <v>7</v>
      </c>
      <c r="Y403" s="7">
        <v>57.1</v>
      </c>
      <c r="Z403" s="7">
        <f t="shared" ref="Z403:AA403" si="411">W403*X403</f>
        <v>403.08800000000002</v>
      </c>
      <c r="AA403" s="7">
        <f t="shared" si="411"/>
        <v>399.7</v>
      </c>
      <c r="AB403" s="7">
        <f t="shared" si="265"/>
        <v>3.3880000000000337</v>
      </c>
    </row>
    <row r="404" spans="1:28">
      <c r="A404" s="1">
        <v>403</v>
      </c>
      <c r="B404" s="1" t="s">
        <v>1152</v>
      </c>
      <c r="C404" s="2">
        <v>42362</v>
      </c>
      <c r="D404" s="6" t="str">
        <f t="shared" si="260"/>
        <v>Dec</v>
      </c>
      <c r="E404" s="6" t="str">
        <f t="shared" si="261"/>
        <v>Qtr 4</v>
      </c>
      <c r="F404" s="5" t="s">
        <v>1153</v>
      </c>
      <c r="G404" s="1" t="s">
        <v>162</v>
      </c>
      <c r="H404" s="1" t="s">
        <v>1154</v>
      </c>
      <c r="I404" s="1" t="s">
        <v>1155</v>
      </c>
      <c r="J404" s="1" t="str">
        <f ca="1">IFERROR(__xludf.DUMMYFUNCTION("split(I404,"" "")"),"Luke")</f>
        <v>Luke</v>
      </c>
      <c r="K404" s="1" t="str">
        <f ca="1">IFERROR(__xludf.DUMMYFUNCTION("""COMPUTED_VALUE"""),"Foster")</f>
        <v>Foster</v>
      </c>
      <c r="L404" s="1"/>
      <c r="M404" s="1" t="s">
        <v>29</v>
      </c>
      <c r="N404" s="1" t="s">
        <v>30</v>
      </c>
      <c r="O404" s="1" t="s">
        <v>1156</v>
      </c>
      <c r="P404" s="1" t="str">
        <f t="shared" si="262"/>
        <v>Miami</v>
      </c>
      <c r="Q404" s="1" t="s">
        <v>194</v>
      </c>
      <c r="R404" s="1" t="str">
        <f t="shared" si="263"/>
        <v>Florida</v>
      </c>
      <c r="S404" s="1">
        <v>33180</v>
      </c>
      <c r="T404" s="1" t="s">
        <v>33</v>
      </c>
      <c r="U404" s="1" t="s">
        <v>1157</v>
      </c>
      <c r="V404" s="1" t="s">
        <v>46</v>
      </c>
      <c r="W404" s="7">
        <v>9.5679999999999996</v>
      </c>
      <c r="X404" s="1">
        <v>3</v>
      </c>
      <c r="Y404" s="7">
        <v>8.7100000000000009</v>
      </c>
      <c r="Z404" s="7">
        <f t="shared" ref="Z404:AA404" si="412">W404*X404</f>
        <v>28.704000000000001</v>
      </c>
      <c r="AA404" s="7">
        <f t="shared" si="412"/>
        <v>26.130000000000003</v>
      </c>
      <c r="AB404" s="7">
        <f t="shared" si="265"/>
        <v>2.5739999999999981</v>
      </c>
    </row>
    <row r="405" spans="1:28">
      <c r="A405" s="1">
        <v>404</v>
      </c>
      <c r="B405" s="1" t="s">
        <v>1158</v>
      </c>
      <c r="C405" s="2">
        <v>42110</v>
      </c>
      <c r="D405" s="6" t="str">
        <f t="shared" si="260"/>
        <v>Apr</v>
      </c>
      <c r="E405" s="6" t="str">
        <f t="shared" si="261"/>
        <v>Qtr 2</v>
      </c>
      <c r="F405" s="5" t="s">
        <v>1159</v>
      </c>
      <c r="G405" s="1" t="s">
        <v>49</v>
      </c>
      <c r="H405" s="1" t="s">
        <v>522</v>
      </c>
      <c r="I405" s="1" t="s">
        <v>523</v>
      </c>
      <c r="J405" s="1" t="str">
        <f ca="1">IFERROR(__xludf.DUMMYFUNCTION("split(I405,"" "")"),"Stephanie")</f>
        <v>Stephanie</v>
      </c>
      <c r="K405" s="1" t="str">
        <f ca="1">IFERROR(__xludf.DUMMYFUNCTION("""COMPUTED_VALUE"""),"Phelps")</f>
        <v>Phelps</v>
      </c>
      <c r="L405" s="1"/>
      <c r="M405" s="1" t="s">
        <v>41</v>
      </c>
      <c r="N405" s="1" t="s">
        <v>30</v>
      </c>
      <c r="O405" s="1" t="s">
        <v>438</v>
      </c>
      <c r="P405" s="1" t="str">
        <f t="shared" si="262"/>
        <v>Wilmington</v>
      </c>
      <c r="Q405" s="1" t="s">
        <v>75</v>
      </c>
      <c r="R405" s="1" t="str">
        <f t="shared" si="263"/>
        <v>North Carolina</v>
      </c>
      <c r="S405" s="1">
        <v>28403</v>
      </c>
      <c r="T405" s="1" t="s">
        <v>33</v>
      </c>
      <c r="U405" s="1" t="s">
        <v>1160</v>
      </c>
      <c r="V405" s="1" t="s">
        <v>46</v>
      </c>
      <c r="W405" s="7">
        <v>39.072000000000003</v>
      </c>
      <c r="X405" s="1">
        <v>2</v>
      </c>
      <c r="Y405" s="7">
        <v>38.51</v>
      </c>
      <c r="Z405" s="7">
        <f t="shared" ref="Z405:AA405" si="413">W405*X405</f>
        <v>78.144000000000005</v>
      </c>
      <c r="AA405" s="7">
        <f t="shared" si="413"/>
        <v>77.02</v>
      </c>
      <c r="AB405" s="7">
        <f t="shared" si="265"/>
        <v>1.1240000000000094</v>
      </c>
    </row>
    <row r="406" spans="1:28">
      <c r="A406" s="1">
        <v>405</v>
      </c>
      <c r="B406" s="1" t="s">
        <v>1161</v>
      </c>
      <c r="C406" s="2">
        <v>43458</v>
      </c>
      <c r="D406" s="6" t="str">
        <f t="shared" si="260"/>
        <v>Dec</v>
      </c>
      <c r="E406" s="6" t="str">
        <f t="shared" si="261"/>
        <v>Qtr 4</v>
      </c>
      <c r="F406" s="5" t="s">
        <v>1162</v>
      </c>
      <c r="G406" s="1" t="s">
        <v>49</v>
      </c>
      <c r="H406" s="1" t="s">
        <v>1163</v>
      </c>
      <c r="I406" s="1" t="s">
        <v>1164</v>
      </c>
      <c r="J406" s="1" t="str">
        <f ca="1">IFERROR(__xludf.DUMMYFUNCTION("split(I406,"" "")"),"Roy")</f>
        <v>Roy</v>
      </c>
      <c r="K406" s="1" t="str">
        <f ca="1">IFERROR(__xludf.DUMMYFUNCTION("""COMPUTED_VALUE"""),"Französisch")</f>
        <v>Französisch</v>
      </c>
      <c r="L406" s="1"/>
      <c r="M406" s="1" t="s">
        <v>29</v>
      </c>
      <c r="N406" s="1" t="s">
        <v>30</v>
      </c>
      <c r="O406" s="1" t="s">
        <v>233</v>
      </c>
      <c r="P406" s="1" t="str">
        <f t="shared" si="262"/>
        <v>New York City</v>
      </c>
      <c r="Q406" s="1" t="s">
        <v>234</v>
      </c>
      <c r="R406" s="1" t="str">
        <f t="shared" si="263"/>
        <v>New York</v>
      </c>
      <c r="S406" s="1">
        <v>10024</v>
      </c>
      <c r="T406" s="1" t="s">
        <v>128</v>
      </c>
      <c r="U406" s="1" t="s">
        <v>1165</v>
      </c>
      <c r="V406" s="1" t="s">
        <v>46</v>
      </c>
      <c r="W406" s="7">
        <v>35.909999999999997</v>
      </c>
      <c r="X406" s="1">
        <v>1</v>
      </c>
      <c r="Y406" s="7">
        <v>35.67</v>
      </c>
      <c r="Z406" s="7">
        <f t="shared" ref="Z406:AA406" si="414">W406*X406</f>
        <v>35.909999999999997</v>
      </c>
      <c r="AA406" s="7">
        <f t="shared" si="414"/>
        <v>35.67</v>
      </c>
      <c r="AB406" s="7">
        <f t="shared" si="265"/>
        <v>0.23999999999999488</v>
      </c>
    </row>
    <row r="407" spans="1:28">
      <c r="A407" s="1">
        <v>406</v>
      </c>
      <c r="B407" s="1" t="s">
        <v>1166</v>
      </c>
      <c r="C407" s="2">
        <v>43324</v>
      </c>
      <c r="D407" s="6" t="str">
        <f t="shared" si="260"/>
        <v>Aug</v>
      </c>
      <c r="E407" s="6" t="str">
        <f t="shared" si="261"/>
        <v>Qtr 3</v>
      </c>
      <c r="F407" s="5">
        <v>43446</v>
      </c>
      <c r="G407" s="1" t="s">
        <v>49</v>
      </c>
      <c r="H407" s="1" t="s">
        <v>1167</v>
      </c>
      <c r="I407" s="1" t="s">
        <v>1168</v>
      </c>
      <c r="J407" s="1" t="str">
        <f ca="1">IFERROR(__xludf.DUMMYFUNCTION("split(I407,"" "")"),"Keith")</f>
        <v>Keith</v>
      </c>
      <c r="K407" s="1" t="str">
        <f ca="1">IFERROR(__xludf.DUMMYFUNCTION("""COMPUTED_VALUE"""),"Herrera")</f>
        <v>Herrera</v>
      </c>
      <c r="L407" s="1"/>
      <c r="M407" s="1" t="s">
        <v>29</v>
      </c>
      <c r="N407" s="1" t="s">
        <v>30</v>
      </c>
      <c r="O407" s="1" t="s">
        <v>110</v>
      </c>
      <c r="P407" s="1" t="str">
        <f t="shared" si="262"/>
        <v>San Francisco</v>
      </c>
      <c r="Q407" s="1" t="s">
        <v>68</v>
      </c>
      <c r="R407" s="1" t="str">
        <f t="shared" si="263"/>
        <v>California</v>
      </c>
      <c r="S407" s="1">
        <v>94110</v>
      </c>
      <c r="T407" s="1" t="s">
        <v>44</v>
      </c>
      <c r="U407" s="1" t="s">
        <v>1151</v>
      </c>
      <c r="V407" s="1" t="s">
        <v>64</v>
      </c>
      <c r="W407" s="7">
        <v>179.95</v>
      </c>
      <c r="X407" s="1">
        <v>9</v>
      </c>
      <c r="Y407" s="7">
        <v>179.62</v>
      </c>
      <c r="Z407" s="7">
        <f t="shared" ref="Z407:AA407" si="415">W407*X407</f>
        <v>1619.55</v>
      </c>
      <c r="AA407" s="7">
        <f t="shared" si="415"/>
        <v>1616.58</v>
      </c>
      <c r="AB407" s="7">
        <f t="shared" si="265"/>
        <v>2.9700000000000273</v>
      </c>
    </row>
    <row r="408" spans="1:28">
      <c r="A408" s="1">
        <v>407</v>
      </c>
      <c r="B408" s="1" t="s">
        <v>1166</v>
      </c>
      <c r="C408" s="2">
        <v>43324</v>
      </c>
      <c r="D408" s="6" t="str">
        <f t="shared" si="260"/>
        <v>Aug</v>
      </c>
      <c r="E408" s="6" t="str">
        <f t="shared" si="261"/>
        <v>Qtr 3</v>
      </c>
      <c r="F408" s="5">
        <v>43446</v>
      </c>
      <c r="G408" s="1" t="s">
        <v>49</v>
      </c>
      <c r="H408" s="1" t="s">
        <v>1167</v>
      </c>
      <c r="I408" s="1" t="s">
        <v>1168</v>
      </c>
      <c r="J408" s="1" t="str">
        <f ca="1">IFERROR(__xludf.DUMMYFUNCTION("split(I408,"" "")"),"Keith")</f>
        <v>Keith</v>
      </c>
      <c r="K408" s="1" t="str">
        <f ca="1">IFERROR(__xludf.DUMMYFUNCTION("""COMPUTED_VALUE"""),"Herrera")</f>
        <v>Herrera</v>
      </c>
      <c r="L408" s="1"/>
      <c r="M408" s="1" t="s">
        <v>29</v>
      </c>
      <c r="N408" s="1" t="s">
        <v>30</v>
      </c>
      <c r="O408" s="1" t="s">
        <v>110</v>
      </c>
      <c r="P408" s="1" t="str">
        <f t="shared" si="262"/>
        <v>San Francisco</v>
      </c>
      <c r="Q408" s="1" t="s">
        <v>68</v>
      </c>
      <c r="R408" s="1" t="str">
        <f t="shared" si="263"/>
        <v>California</v>
      </c>
      <c r="S408" s="1">
        <v>94110</v>
      </c>
      <c r="T408" s="1" t="s">
        <v>44</v>
      </c>
      <c r="U408" s="1" t="s">
        <v>1169</v>
      </c>
      <c r="V408" s="1" t="s">
        <v>64</v>
      </c>
      <c r="W408" s="7">
        <v>1199.9760000000001</v>
      </c>
      <c r="X408" s="1">
        <v>9</v>
      </c>
      <c r="Y408" s="7">
        <v>1199.8599999999999</v>
      </c>
      <c r="Z408" s="7">
        <f t="shared" ref="Z408:AA408" si="416">W408*X408</f>
        <v>10799.784000000001</v>
      </c>
      <c r="AA408" s="7">
        <f t="shared" si="416"/>
        <v>10798.74</v>
      </c>
      <c r="AB408" s="7">
        <f t="shared" si="265"/>
        <v>1.044000000001688</v>
      </c>
    </row>
    <row r="409" spans="1:28">
      <c r="A409" s="1">
        <v>408</v>
      </c>
      <c r="B409" s="1" t="s">
        <v>1166</v>
      </c>
      <c r="C409" s="2">
        <v>43324</v>
      </c>
      <c r="D409" s="6" t="str">
        <f t="shared" si="260"/>
        <v>Aug</v>
      </c>
      <c r="E409" s="6" t="str">
        <f t="shared" si="261"/>
        <v>Qtr 3</v>
      </c>
      <c r="F409" s="5">
        <v>43446</v>
      </c>
      <c r="G409" s="1" t="s">
        <v>49</v>
      </c>
      <c r="H409" s="1" t="s">
        <v>1167</v>
      </c>
      <c r="I409" s="1" t="s">
        <v>1168</v>
      </c>
      <c r="J409" s="1" t="str">
        <f ca="1">IFERROR(__xludf.DUMMYFUNCTION("split(I409,"" "")"),"Keith")</f>
        <v>Keith</v>
      </c>
      <c r="K409" s="1" t="str">
        <f ca="1">IFERROR(__xludf.DUMMYFUNCTION("""COMPUTED_VALUE"""),"Herrera")</f>
        <v>Herrera</v>
      </c>
      <c r="L409" s="1"/>
      <c r="M409" s="1" t="s">
        <v>29</v>
      </c>
      <c r="N409" s="1" t="s">
        <v>30</v>
      </c>
      <c r="O409" s="1" t="s">
        <v>110</v>
      </c>
      <c r="P409" s="1" t="str">
        <f t="shared" si="262"/>
        <v>San Francisco</v>
      </c>
      <c r="Q409" s="1" t="s">
        <v>68</v>
      </c>
      <c r="R409" s="1" t="str">
        <f t="shared" si="263"/>
        <v>California</v>
      </c>
      <c r="S409" s="1">
        <v>94110</v>
      </c>
      <c r="T409" s="1" t="s">
        <v>44</v>
      </c>
      <c r="U409" s="1" t="s">
        <v>1170</v>
      </c>
      <c r="V409" s="1" t="s">
        <v>46</v>
      </c>
      <c r="W409" s="7">
        <v>27.15</v>
      </c>
      <c r="X409" s="1">
        <v>9</v>
      </c>
      <c r="Y409" s="7">
        <v>27.07</v>
      </c>
      <c r="Z409" s="7">
        <f t="shared" ref="Z409:AA409" si="417">W409*X409</f>
        <v>244.35</v>
      </c>
      <c r="AA409" s="7">
        <f t="shared" si="417"/>
        <v>243.63</v>
      </c>
      <c r="AB409" s="7">
        <f t="shared" si="265"/>
        <v>0.71999999999999886</v>
      </c>
    </row>
    <row r="410" spans="1:28">
      <c r="A410" s="1">
        <v>409</v>
      </c>
      <c r="B410" s="1" t="s">
        <v>1166</v>
      </c>
      <c r="C410" s="2">
        <v>43324</v>
      </c>
      <c r="D410" s="6" t="str">
        <f t="shared" si="260"/>
        <v>Aug</v>
      </c>
      <c r="E410" s="6" t="str">
        <f t="shared" si="261"/>
        <v>Qtr 3</v>
      </c>
      <c r="F410" s="5">
        <v>43446</v>
      </c>
      <c r="G410" s="1" t="s">
        <v>49</v>
      </c>
      <c r="H410" s="1" t="s">
        <v>1167</v>
      </c>
      <c r="I410" s="1" t="s">
        <v>1168</v>
      </c>
      <c r="J410" s="1" t="str">
        <f ca="1">IFERROR(__xludf.DUMMYFUNCTION("split(I410,"" "")"),"Keith")</f>
        <v>Keith</v>
      </c>
      <c r="K410" s="1" t="str">
        <f ca="1">IFERROR(__xludf.DUMMYFUNCTION("""COMPUTED_VALUE"""),"Herrera")</f>
        <v>Herrera</v>
      </c>
      <c r="L410" s="1"/>
      <c r="M410" s="1" t="s">
        <v>29</v>
      </c>
      <c r="N410" s="1" t="s">
        <v>30</v>
      </c>
      <c r="O410" s="1" t="s">
        <v>110</v>
      </c>
      <c r="P410" s="1" t="str">
        <f t="shared" si="262"/>
        <v>San Francisco</v>
      </c>
      <c r="Q410" s="1" t="s">
        <v>68</v>
      </c>
      <c r="R410" s="1" t="str">
        <f t="shared" si="263"/>
        <v>California</v>
      </c>
      <c r="S410" s="1">
        <v>94110</v>
      </c>
      <c r="T410" s="1" t="s">
        <v>44</v>
      </c>
      <c r="U410" s="1" t="s">
        <v>1171</v>
      </c>
      <c r="V410" s="1" t="s">
        <v>35</v>
      </c>
      <c r="W410" s="7">
        <v>1004.024</v>
      </c>
      <c r="X410" s="1">
        <v>9</v>
      </c>
      <c r="Y410" s="7">
        <v>1003.74</v>
      </c>
      <c r="Z410" s="7">
        <f t="shared" ref="Z410:AA410" si="418">W410*X410</f>
        <v>9036.2160000000003</v>
      </c>
      <c r="AA410" s="7">
        <f t="shared" si="418"/>
        <v>9033.66</v>
      </c>
      <c r="AB410" s="7">
        <f t="shared" si="265"/>
        <v>2.5560000000004948</v>
      </c>
    </row>
    <row r="411" spans="1:28">
      <c r="A411" s="1">
        <v>410</v>
      </c>
      <c r="B411" s="1" t="s">
        <v>1166</v>
      </c>
      <c r="C411" s="2">
        <v>43324</v>
      </c>
      <c r="D411" s="6" t="str">
        <f t="shared" si="260"/>
        <v>Aug</v>
      </c>
      <c r="E411" s="6" t="str">
        <f t="shared" si="261"/>
        <v>Qtr 3</v>
      </c>
      <c r="F411" s="5">
        <v>43446</v>
      </c>
      <c r="G411" s="1" t="s">
        <v>49</v>
      </c>
      <c r="H411" s="1" t="s">
        <v>1167</v>
      </c>
      <c r="I411" s="1" t="s">
        <v>1168</v>
      </c>
      <c r="J411" s="1" t="str">
        <f ca="1">IFERROR(__xludf.DUMMYFUNCTION("split(I411,"" "")"),"Keith")</f>
        <v>Keith</v>
      </c>
      <c r="K411" s="1" t="str">
        <f ca="1">IFERROR(__xludf.DUMMYFUNCTION("""COMPUTED_VALUE"""),"Herrera")</f>
        <v>Herrera</v>
      </c>
      <c r="L411" s="1"/>
      <c r="M411" s="1" t="s">
        <v>29</v>
      </c>
      <c r="N411" s="1" t="s">
        <v>30</v>
      </c>
      <c r="O411" s="1" t="s">
        <v>110</v>
      </c>
      <c r="P411" s="1" t="str">
        <f t="shared" si="262"/>
        <v>San Francisco</v>
      </c>
      <c r="Q411" s="1" t="s">
        <v>68</v>
      </c>
      <c r="R411" s="1" t="str">
        <f t="shared" si="263"/>
        <v>California</v>
      </c>
      <c r="S411" s="1">
        <v>94110</v>
      </c>
      <c r="T411" s="1" t="s">
        <v>44</v>
      </c>
      <c r="U411" s="1" t="s">
        <v>1172</v>
      </c>
      <c r="V411" s="1" t="s">
        <v>46</v>
      </c>
      <c r="W411" s="7">
        <v>9.68</v>
      </c>
      <c r="X411" s="1">
        <v>9</v>
      </c>
      <c r="Y411" s="7">
        <v>8.77</v>
      </c>
      <c r="Z411" s="7">
        <f t="shared" ref="Z411:AA411" si="419">W411*X411</f>
        <v>87.12</v>
      </c>
      <c r="AA411" s="7">
        <f t="shared" si="419"/>
        <v>78.929999999999993</v>
      </c>
      <c r="AB411" s="7">
        <f t="shared" si="265"/>
        <v>8.1900000000000119</v>
      </c>
    </row>
    <row r="412" spans="1:28">
      <c r="A412" s="1">
        <v>411</v>
      </c>
      <c r="B412" s="1" t="s">
        <v>1166</v>
      </c>
      <c r="C412" s="2">
        <v>43324</v>
      </c>
      <c r="D412" s="6" t="str">
        <f t="shared" si="260"/>
        <v>Aug</v>
      </c>
      <c r="E412" s="6" t="str">
        <f t="shared" si="261"/>
        <v>Qtr 3</v>
      </c>
      <c r="F412" s="5">
        <v>43446</v>
      </c>
      <c r="G412" s="1" t="s">
        <v>49</v>
      </c>
      <c r="H412" s="1" t="s">
        <v>1167</v>
      </c>
      <c r="I412" s="1" t="s">
        <v>1168</v>
      </c>
      <c r="J412" s="1" t="str">
        <f ca="1">IFERROR(__xludf.DUMMYFUNCTION("split(I412,"" "")"),"Keith")</f>
        <v>Keith</v>
      </c>
      <c r="K412" s="1" t="str">
        <f ca="1">IFERROR(__xludf.DUMMYFUNCTION("""COMPUTED_VALUE"""),"Herrera")</f>
        <v>Herrera</v>
      </c>
      <c r="L412" s="1"/>
      <c r="M412" s="1" t="s">
        <v>29</v>
      </c>
      <c r="N412" s="1" t="s">
        <v>30</v>
      </c>
      <c r="O412" s="1" t="s">
        <v>110</v>
      </c>
      <c r="P412" s="1" t="str">
        <f t="shared" si="262"/>
        <v>San Francisco</v>
      </c>
      <c r="Q412" s="1" t="s">
        <v>68</v>
      </c>
      <c r="R412" s="1" t="str">
        <f t="shared" si="263"/>
        <v>California</v>
      </c>
      <c r="S412" s="1">
        <v>94110</v>
      </c>
      <c r="T412" s="1" t="s">
        <v>44</v>
      </c>
      <c r="U412" s="1" t="s">
        <v>1173</v>
      </c>
      <c r="V412" s="1" t="s">
        <v>46</v>
      </c>
      <c r="W412" s="7">
        <v>28.35</v>
      </c>
      <c r="X412" s="1">
        <v>9</v>
      </c>
      <c r="Y412" s="7">
        <v>27.45</v>
      </c>
      <c r="Z412" s="7">
        <f t="shared" ref="Z412:AA412" si="420">W412*X412</f>
        <v>255.15</v>
      </c>
      <c r="AA412" s="7">
        <f t="shared" si="420"/>
        <v>247.04999999999998</v>
      </c>
      <c r="AB412" s="7">
        <f t="shared" si="265"/>
        <v>8.1000000000000227</v>
      </c>
    </row>
    <row r="413" spans="1:28">
      <c r="A413" s="1">
        <v>412</v>
      </c>
      <c r="B413" s="1" t="s">
        <v>1166</v>
      </c>
      <c r="C413" s="2">
        <v>43324</v>
      </c>
      <c r="D413" s="6" t="str">
        <f t="shared" si="260"/>
        <v>Aug</v>
      </c>
      <c r="E413" s="6" t="str">
        <f t="shared" si="261"/>
        <v>Qtr 3</v>
      </c>
      <c r="F413" s="5">
        <v>43446</v>
      </c>
      <c r="G413" s="1" t="s">
        <v>49</v>
      </c>
      <c r="H413" s="1" t="s">
        <v>1167</v>
      </c>
      <c r="I413" s="1" t="s">
        <v>1168</v>
      </c>
      <c r="J413" s="1" t="str">
        <f ca="1">IFERROR(__xludf.DUMMYFUNCTION("split(I413,"" "")"),"Keith")</f>
        <v>Keith</v>
      </c>
      <c r="K413" s="1" t="str">
        <f ca="1">IFERROR(__xludf.DUMMYFUNCTION("""COMPUTED_VALUE"""),"Herrera")</f>
        <v>Herrera</v>
      </c>
      <c r="L413" s="1"/>
      <c r="M413" s="1" t="s">
        <v>29</v>
      </c>
      <c r="N413" s="1" t="s">
        <v>30</v>
      </c>
      <c r="O413" s="1" t="s">
        <v>110</v>
      </c>
      <c r="P413" s="1" t="str">
        <f t="shared" si="262"/>
        <v>San Francisco</v>
      </c>
      <c r="Q413" s="1" t="s">
        <v>68</v>
      </c>
      <c r="R413" s="1" t="str">
        <f t="shared" si="263"/>
        <v>California</v>
      </c>
      <c r="S413" s="1">
        <v>94110</v>
      </c>
      <c r="T413" s="1" t="s">
        <v>44</v>
      </c>
      <c r="U413" s="1" t="s">
        <v>1019</v>
      </c>
      <c r="V413" s="1" t="s">
        <v>46</v>
      </c>
      <c r="W413" s="7">
        <v>55.98</v>
      </c>
      <c r="X413" s="1">
        <v>9</v>
      </c>
      <c r="Y413" s="7">
        <v>55.71</v>
      </c>
      <c r="Z413" s="7">
        <f t="shared" ref="Z413:AA413" si="421">W413*X413</f>
        <v>503.82</v>
      </c>
      <c r="AA413" s="7">
        <f t="shared" si="421"/>
        <v>501.39</v>
      </c>
      <c r="AB413" s="7">
        <f t="shared" si="265"/>
        <v>2.4300000000000068</v>
      </c>
    </row>
    <row r="414" spans="1:28">
      <c r="A414" s="1">
        <v>413</v>
      </c>
      <c r="B414" s="1" t="s">
        <v>1166</v>
      </c>
      <c r="C414" s="2">
        <v>43324</v>
      </c>
      <c r="D414" s="6" t="str">
        <f t="shared" si="260"/>
        <v>Aug</v>
      </c>
      <c r="E414" s="6" t="str">
        <f t="shared" si="261"/>
        <v>Qtr 3</v>
      </c>
      <c r="F414" s="5">
        <v>43446</v>
      </c>
      <c r="G414" s="1" t="s">
        <v>49</v>
      </c>
      <c r="H414" s="1" t="s">
        <v>1167</v>
      </c>
      <c r="I414" s="1" t="s">
        <v>1168</v>
      </c>
      <c r="J414" s="1" t="str">
        <f ca="1">IFERROR(__xludf.DUMMYFUNCTION("split(I414,"" "")"),"Keith")</f>
        <v>Keith</v>
      </c>
      <c r="K414" s="1" t="str">
        <f ca="1">IFERROR(__xludf.DUMMYFUNCTION("""COMPUTED_VALUE"""),"Herrera")</f>
        <v>Herrera</v>
      </c>
      <c r="L414" s="1"/>
      <c r="M414" s="1" t="s">
        <v>29</v>
      </c>
      <c r="N414" s="1" t="s">
        <v>30</v>
      </c>
      <c r="O414" s="1" t="s">
        <v>110</v>
      </c>
      <c r="P414" s="1" t="str">
        <f t="shared" si="262"/>
        <v>San Francisco</v>
      </c>
      <c r="Q414" s="1" t="s">
        <v>68</v>
      </c>
      <c r="R414" s="1" t="str">
        <f t="shared" si="263"/>
        <v>California</v>
      </c>
      <c r="S414" s="1">
        <v>94110</v>
      </c>
      <c r="T414" s="1" t="s">
        <v>44</v>
      </c>
      <c r="U414" s="1" t="s">
        <v>1174</v>
      </c>
      <c r="V414" s="1" t="s">
        <v>35</v>
      </c>
      <c r="W414" s="7">
        <v>1336.829</v>
      </c>
      <c r="X414" s="1">
        <v>9</v>
      </c>
      <c r="Y414" s="7">
        <v>1336.39</v>
      </c>
      <c r="Z414" s="7">
        <f t="shared" ref="Z414:AA414" si="422">W414*X414</f>
        <v>12031.460999999999</v>
      </c>
      <c r="AA414" s="7">
        <f t="shared" si="422"/>
        <v>12027.51</v>
      </c>
      <c r="AB414" s="7">
        <f t="shared" si="265"/>
        <v>3.9509999999991123</v>
      </c>
    </row>
    <row r="415" spans="1:28">
      <c r="A415" s="1">
        <v>414</v>
      </c>
      <c r="B415" s="1" t="s">
        <v>1166</v>
      </c>
      <c r="C415" s="2">
        <v>43324</v>
      </c>
      <c r="D415" s="6" t="str">
        <f t="shared" si="260"/>
        <v>Aug</v>
      </c>
      <c r="E415" s="6" t="str">
        <f t="shared" si="261"/>
        <v>Qtr 3</v>
      </c>
      <c r="F415" s="5">
        <v>43446</v>
      </c>
      <c r="G415" s="1" t="s">
        <v>49</v>
      </c>
      <c r="H415" s="1" t="s">
        <v>1167</v>
      </c>
      <c r="I415" s="1" t="s">
        <v>1168</v>
      </c>
      <c r="J415" s="1" t="str">
        <f ca="1">IFERROR(__xludf.DUMMYFUNCTION("split(I415,"" "")"),"Keith")</f>
        <v>Keith</v>
      </c>
      <c r="K415" s="1" t="str">
        <f ca="1">IFERROR(__xludf.DUMMYFUNCTION("""COMPUTED_VALUE"""),"Herrera")</f>
        <v>Herrera</v>
      </c>
      <c r="L415" s="1"/>
      <c r="M415" s="1" t="s">
        <v>29</v>
      </c>
      <c r="N415" s="1" t="s">
        <v>30</v>
      </c>
      <c r="O415" s="1" t="s">
        <v>110</v>
      </c>
      <c r="P415" s="1" t="str">
        <f t="shared" si="262"/>
        <v>San Francisco</v>
      </c>
      <c r="Q415" s="1" t="s">
        <v>68</v>
      </c>
      <c r="R415" s="1" t="str">
        <f t="shared" si="263"/>
        <v>California</v>
      </c>
      <c r="S415" s="1">
        <v>94110</v>
      </c>
      <c r="T415" s="1" t="s">
        <v>44</v>
      </c>
      <c r="U415" s="1" t="s">
        <v>1175</v>
      </c>
      <c r="V415" s="1" t="s">
        <v>35</v>
      </c>
      <c r="W415" s="7">
        <v>113.568</v>
      </c>
      <c r="X415" s="1">
        <v>9</v>
      </c>
      <c r="Y415" s="7">
        <v>113.48</v>
      </c>
      <c r="Z415" s="7">
        <f t="shared" ref="Z415:AA415" si="423">W415*X415</f>
        <v>1022.112</v>
      </c>
      <c r="AA415" s="7">
        <f t="shared" si="423"/>
        <v>1021.32</v>
      </c>
      <c r="AB415" s="7">
        <f t="shared" si="265"/>
        <v>0.79199999999991633</v>
      </c>
    </row>
    <row r="416" spans="1:28">
      <c r="A416" s="1">
        <v>415</v>
      </c>
      <c r="B416" s="1" t="s">
        <v>1176</v>
      </c>
      <c r="C416" s="2">
        <v>43170</v>
      </c>
      <c r="D416" s="6" t="str">
        <f t="shared" si="260"/>
        <v>Mar</v>
      </c>
      <c r="E416" s="6" t="str">
        <f t="shared" si="261"/>
        <v>Qtr 1</v>
      </c>
      <c r="F416" s="5">
        <v>43292</v>
      </c>
      <c r="G416" s="1" t="s">
        <v>49</v>
      </c>
      <c r="H416" s="1" t="s">
        <v>1177</v>
      </c>
      <c r="I416" s="1" t="s">
        <v>1178</v>
      </c>
      <c r="J416" s="1" t="str">
        <f ca="1">IFERROR(__xludf.DUMMYFUNCTION("split(I416,"" "")"),"Kimberly")</f>
        <v>Kimberly</v>
      </c>
      <c r="K416" s="1" t="str">
        <f ca="1">IFERROR(__xludf.DUMMYFUNCTION("""COMPUTED_VALUE"""),"Carter")</f>
        <v>Carter</v>
      </c>
      <c r="L416" s="1"/>
      <c r="M416" s="1" t="s">
        <v>41</v>
      </c>
      <c r="N416" s="1" t="s">
        <v>30</v>
      </c>
      <c r="O416" s="1" t="s">
        <v>80</v>
      </c>
      <c r="P416" s="1" t="str">
        <f t="shared" si="262"/>
        <v>Seattle</v>
      </c>
      <c r="Q416" s="1" t="s">
        <v>81</v>
      </c>
      <c r="R416" s="1" t="str">
        <f t="shared" si="263"/>
        <v>Washington</v>
      </c>
      <c r="S416" s="1">
        <v>98105</v>
      </c>
      <c r="T416" s="1" t="s">
        <v>44</v>
      </c>
      <c r="U416" s="1" t="s">
        <v>1179</v>
      </c>
      <c r="V416" s="1" t="s">
        <v>46</v>
      </c>
      <c r="W416" s="7">
        <v>139.86000000000001</v>
      </c>
      <c r="X416" s="1">
        <v>9</v>
      </c>
      <c r="Y416" s="7">
        <v>138.94</v>
      </c>
      <c r="Z416" s="7">
        <f t="shared" ref="Z416:AA416" si="424">W416*X416</f>
        <v>1258.7400000000002</v>
      </c>
      <c r="AA416" s="7">
        <f t="shared" si="424"/>
        <v>1250.46</v>
      </c>
      <c r="AB416" s="7">
        <f t="shared" si="265"/>
        <v>8.2800000000002001</v>
      </c>
    </row>
    <row r="417" spans="1:28">
      <c r="A417" s="1">
        <v>416</v>
      </c>
      <c r="B417" s="1" t="s">
        <v>1176</v>
      </c>
      <c r="C417" s="2">
        <v>43170</v>
      </c>
      <c r="D417" s="6" t="str">
        <f t="shared" si="260"/>
        <v>Mar</v>
      </c>
      <c r="E417" s="6" t="str">
        <f t="shared" si="261"/>
        <v>Qtr 1</v>
      </c>
      <c r="F417" s="5">
        <v>43292</v>
      </c>
      <c r="G417" s="1" t="s">
        <v>49</v>
      </c>
      <c r="H417" s="1" t="s">
        <v>1177</v>
      </c>
      <c r="I417" s="1" t="s">
        <v>1178</v>
      </c>
      <c r="J417" s="1" t="str">
        <f ca="1">IFERROR(__xludf.DUMMYFUNCTION("split(I417,"" "")"),"Kimberly")</f>
        <v>Kimberly</v>
      </c>
      <c r="K417" s="1" t="str">
        <f ca="1">IFERROR(__xludf.DUMMYFUNCTION("""COMPUTED_VALUE"""),"Carter")</f>
        <v>Carter</v>
      </c>
      <c r="L417" s="1"/>
      <c r="M417" s="1" t="s">
        <v>41</v>
      </c>
      <c r="N417" s="1" t="s">
        <v>30</v>
      </c>
      <c r="O417" s="1" t="s">
        <v>80</v>
      </c>
      <c r="P417" s="1" t="str">
        <f t="shared" si="262"/>
        <v>Seattle</v>
      </c>
      <c r="Q417" s="1" t="s">
        <v>81</v>
      </c>
      <c r="R417" s="1" t="str">
        <f t="shared" si="263"/>
        <v>Washington</v>
      </c>
      <c r="S417" s="1">
        <v>98105</v>
      </c>
      <c r="T417" s="1" t="s">
        <v>44</v>
      </c>
      <c r="U417" s="1" t="s">
        <v>886</v>
      </c>
      <c r="V417" s="1" t="s">
        <v>35</v>
      </c>
      <c r="W417" s="7">
        <v>307.13600000000002</v>
      </c>
      <c r="X417" s="1">
        <v>9</v>
      </c>
      <c r="Y417" s="7">
        <v>306.85000000000002</v>
      </c>
      <c r="Z417" s="7">
        <f t="shared" ref="Z417:AA417" si="425">W417*X417</f>
        <v>2764.2240000000002</v>
      </c>
      <c r="AA417" s="7">
        <f t="shared" si="425"/>
        <v>2761.65</v>
      </c>
      <c r="AB417" s="7">
        <f t="shared" si="265"/>
        <v>2.5740000000000691</v>
      </c>
    </row>
    <row r="418" spans="1:28">
      <c r="A418" s="1">
        <v>417</v>
      </c>
      <c r="B418" s="1" t="s">
        <v>1180</v>
      </c>
      <c r="C418" s="2">
        <v>43275</v>
      </c>
      <c r="D418" s="6" t="str">
        <f t="shared" si="260"/>
        <v>Jun</v>
      </c>
      <c r="E418" s="6" t="str">
        <f t="shared" si="261"/>
        <v>Qtr 2</v>
      </c>
      <c r="F418" s="5" t="s">
        <v>1181</v>
      </c>
      <c r="G418" s="1" t="s">
        <v>49</v>
      </c>
      <c r="H418" s="1" t="s">
        <v>1182</v>
      </c>
      <c r="I418" s="1" t="s">
        <v>1183</v>
      </c>
      <c r="J418" s="1" t="str">
        <f ca="1">IFERROR(__xludf.DUMMYFUNCTION("split(I418,"" "")"),"Caroline")</f>
        <v>Caroline</v>
      </c>
      <c r="K418" s="1" t="str">
        <f ca="1">IFERROR(__xludf.DUMMYFUNCTION("""COMPUTED_VALUE"""),"Jumper")</f>
        <v>Jumper</v>
      </c>
      <c r="L418" s="1"/>
      <c r="M418" s="1" t="s">
        <v>29</v>
      </c>
      <c r="N418" s="1" t="s">
        <v>30</v>
      </c>
      <c r="O418" s="1" t="s">
        <v>1184</v>
      </c>
      <c r="P418" s="1" t="str">
        <f t="shared" si="262"/>
        <v>Huntington Beach</v>
      </c>
      <c r="Q418" s="1" t="s">
        <v>68</v>
      </c>
      <c r="R418" s="1" t="str">
        <f t="shared" si="263"/>
        <v>California</v>
      </c>
      <c r="S418" s="1">
        <v>92646</v>
      </c>
      <c r="T418" s="1" t="s">
        <v>44</v>
      </c>
      <c r="U418" s="1" t="s">
        <v>1185</v>
      </c>
      <c r="V418" s="1" t="s">
        <v>46</v>
      </c>
      <c r="W418" s="7">
        <v>95.92</v>
      </c>
      <c r="X418" s="1">
        <v>9</v>
      </c>
      <c r="Y418" s="7">
        <v>95.2</v>
      </c>
      <c r="Z418" s="7">
        <f t="shared" ref="Z418:AA418" si="426">W418*X418</f>
        <v>863.28</v>
      </c>
      <c r="AA418" s="7">
        <f t="shared" si="426"/>
        <v>856.80000000000007</v>
      </c>
      <c r="AB418" s="7">
        <f t="shared" si="265"/>
        <v>6.4799999999999045</v>
      </c>
    </row>
    <row r="419" spans="1:28">
      <c r="A419" s="1">
        <v>418</v>
      </c>
      <c r="B419" s="1" t="s">
        <v>1186</v>
      </c>
      <c r="C419" s="2">
        <v>42839</v>
      </c>
      <c r="D419" s="6" t="str">
        <f t="shared" si="260"/>
        <v>Apr</v>
      </c>
      <c r="E419" s="6" t="str">
        <f t="shared" si="261"/>
        <v>Qtr 2</v>
      </c>
      <c r="F419" s="5" t="s">
        <v>1187</v>
      </c>
      <c r="G419" s="1" t="s">
        <v>49</v>
      </c>
      <c r="H419" s="1" t="s">
        <v>1188</v>
      </c>
      <c r="I419" s="1" t="s">
        <v>1189</v>
      </c>
      <c r="J419" s="1" t="str">
        <f ca="1">IFERROR(__xludf.DUMMYFUNCTION("split(I419,"" "")"),"Philip")</f>
        <v>Philip</v>
      </c>
      <c r="K419" s="1" t="str">
        <f ca="1">IFERROR(__xludf.DUMMYFUNCTION("""COMPUTED_VALUE"""),"Brown")</f>
        <v>Brown</v>
      </c>
      <c r="L419" s="1"/>
      <c r="M419" s="1" t="s">
        <v>29</v>
      </c>
      <c r="N419" s="1" t="s">
        <v>30</v>
      </c>
      <c r="O419" s="1" t="s">
        <v>42</v>
      </c>
      <c r="P419" s="1" t="str">
        <f t="shared" si="262"/>
        <v>Los Angeles</v>
      </c>
      <c r="Q419" s="1" t="s">
        <v>68</v>
      </c>
      <c r="R419" s="1" t="str">
        <f t="shared" si="263"/>
        <v>California</v>
      </c>
      <c r="S419" s="1">
        <v>90004</v>
      </c>
      <c r="T419" s="1" t="s">
        <v>44</v>
      </c>
      <c r="U419" s="1" t="s">
        <v>1190</v>
      </c>
      <c r="V419" s="1" t="s">
        <v>35</v>
      </c>
      <c r="W419" s="7">
        <v>383.8</v>
      </c>
      <c r="X419" s="1">
        <v>9</v>
      </c>
      <c r="Y419" s="7">
        <v>383.39</v>
      </c>
      <c r="Z419" s="7">
        <f t="shared" ref="Z419:AA419" si="427">W419*X419</f>
        <v>3454.2000000000003</v>
      </c>
      <c r="AA419" s="7">
        <f t="shared" si="427"/>
        <v>3450.5099999999998</v>
      </c>
      <c r="AB419" s="7">
        <f t="shared" si="265"/>
        <v>3.6900000000005093</v>
      </c>
    </row>
    <row r="420" spans="1:28">
      <c r="A420" s="1">
        <v>419</v>
      </c>
      <c r="B420" s="1" t="s">
        <v>1191</v>
      </c>
      <c r="C420" s="2">
        <v>43262</v>
      </c>
      <c r="D420" s="6" t="str">
        <f t="shared" si="260"/>
        <v>Jun</v>
      </c>
      <c r="E420" s="6" t="str">
        <f t="shared" si="261"/>
        <v>Qtr 2</v>
      </c>
      <c r="F420" s="5">
        <v>43384</v>
      </c>
      <c r="G420" s="1" t="s">
        <v>49</v>
      </c>
      <c r="H420" s="1" t="s">
        <v>1033</v>
      </c>
      <c r="I420" s="1" t="s">
        <v>1034</v>
      </c>
      <c r="J420" s="1" t="str">
        <f ca="1">IFERROR(__xludf.DUMMYFUNCTION("split(I420,"" "")"),"Victoria")</f>
        <v>Victoria</v>
      </c>
      <c r="K420" s="1" t="str">
        <f ca="1">IFERROR(__xludf.DUMMYFUNCTION("""COMPUTED_VALUE"""),"Brennan")</f>
        <v>Brennan</v>
      </c>
      <c r="L420" s="1"/>
      <c r="M420" s="1" t="s">
        <v>41</v>
      </c>
      <c r="N420" s="1" t="s">
        <v>30</v>
      </c>
      <c r="O420" s="1" t="s">
        <v>1192</v>
      </c>
      <c r="P420" s="1" t="str">
        <f t="shared" si="262"/>
        <v>Richmond</v>
      </c>
      <c r="Q420" s="1" t="s">
        <v>32</v>
      </c>
      <c r="R420" s="1" t="str">
        <f t="shared" si="263"/>
        <v>Kentucky</v>
      </c>
      <c r="S420" s="1">
        <v>40475</v>
      </c>
      <c r="T420" s="1" t="s">
        <v>33</v>
      </c>
      <c r="U420" s="1" t="s">
        <v>1193</v>
      </c>
      <c r="V420" s="1" t="s">
        <v>46</v>
      </c>
      <c r="W420" s="7">
        <v>5.78</v>
      </c>
      <c r="X420" s="1">
        <v>4</v>
      </c>
      <c r="Y420" s="7">
        <v>5.46</v>
      </c>
      <c r="Z420" s="7">
        <f t="shared" ref="Z420:AA420" si="428">W420*X420</f>
        <v>23.12</v>
      </c>
      <c r="AA420" s="7">
        <f t="shared" si="428"/>
        <v>21.84</v>
      </c>
      <c r="AB420" s="7">
        <f t="shared" si="265"/>
        <v>1.2800000000000011</v>
      </c>
    </row>
    <row r="421" spans="1:28">
      <c r="A421" s="1">
        <v>420</v>
      </c>
      <c r="B421" s="1" t="s">
        <v>1194</v>
      </c>
      <c r="C421" s="2">
        <v>43193</v>
      </c>
      <c r="D421" s="6" t="str">
        <f t="shared" si="260"/>
        <v>Apr</v>
      </c>
      <c r="E421" s="6" t="str">
        <f t="shared" si="261"/>
        <v>Qtr 2</v>
      </c>
      <c r="F421" s="5">
        <v>43346</v>
      </c>
      <c r="G421" s="1" t="s">
        <v>49</v>
      </c>
      <c r="H421" s="1" t="s">
        <v>942</v>
      </c>
      <c r="I421" s="1" t="s">
        <v>943</v>
      </c>
      <c r="J421" s="1" t="str">
        <f ca="1">IFERROR(__xludf.DUMMYFUNCTION("split(I421,"" "")"),"Sung")</f>
        <v>Sung</v>
      </c>
      <c r="K421" s="1" t="str">
        <f ca="1">IFERROR(__xludf.DUMMYFUNCTION("""COMPUTED_VALUE"""),"Pak")</f>
        <v>Pak</v>
      </c>
      <c r="L421" s="1"/>
      <c r="M421" s="1" t="s">
        <v>41</v>
      </c>
      <c r="N421" s="1" t="s">
        <v>30</v>
      </c>
      <c r="O421" s="1" t="s">
        <v>42</v>
      </c>
      <c r="P421" s="1" t="str">
        <f t="shared" si="262"/>
        <v>Los Angeles</v>
      </c>
      <c r="Q421" s="1" t="s">
        <v>68</v>
      </c>
      <c r="R421" s="1" t="str">
        <f t="shared" si="263"/>
        <v>California</v>
      </c>
      <c r="S421" s="1">
        <v>90045</v>
      </c>
      <c r="T421" s="1" t="s">
        <v>44</v>
      </c>
      <c r="U421" s="1" t="s">
        <v>1195</v>
      </c>
      <c r="V421" s="1" t="s">
        <v>46</v>
      </c>
      <c r="W421" s="7">
        <v>9.32</v>
      </c>
      <c r="X421" s="1">
        <v>9</v>
      </c>
      <c r="Y421" s="7">
        <v>8.9499999999999993</v>
      </c>
      <c r="Z421" s="7">
        <f t="shared" ref="Z421:AA421" si="429">W421*X421</f>
        <v>83.88</v>
      </c>
      <c r="AA421" s="7">
        <f t="shared" si="429"/>
        <v>80.55</v>
      </c>
      <c r="AB421" s="7">
        <f t="shared" si="265"/>
        <v>3.3299999999999983</v>
      </c>
    </row>
    <row r="422" spans="1:28">
      <c r="A422" s="1">
        <v>421</v>
      </c>
      <c r="B422" s="1" t="s">
        <v>1194</v>
      </c>
      <c r="C422" s="2">
        <v>43193</v>
      </c>
      <c r="D422" s="6" t="str">
        <f t="shared" si="260"/>
        <v>Apr</v>
      </c>
      <c r="E422" s="6" t="str">
        <f t="shared" si="261"/>
        <v>Qtr 2</v>
      </c>
      <c r="F422" s="5">
        <v>43346</v>
      </c>
      <c r="G422" s="1" t="s">
        <v>49</v>
      </c>
      <c r="H422" s="1" t="s">
        <v>942</v>
      </c>
      <c r="I422" s="1" t="s">
        <v>943</v>
      </c>
      <c r="J422" s="1" t="str">
        <f ca="1">IFERROR(__xludf.DUMMYFUNCTION("split(I422,"" "")"),"Sung")</f>
        <v>Sung</v>
      </c>
      <c r="K422" s="1" t="str">
        <f ca="1">IFERROR(__xludf.DUMMYFUNCTION("""COMPUTED_VALUE"""),"Pak")</f>
        <v>Pak</v>
      </c>
      <c r="L422" s="1"/>
      <c r="M422" s="1" t="s">
        <v>41</v>
      </c>
      <c r="N422" s="1" t="s">
        <v>30</v>
      </c>
      <c r="O422" s="1" t="s">
        <v>42</v>
      </c>
      <c r="P422" s="1" t="str">
        <f t="shared" si="262"/>
        <v>Los Angeles</v>
      </c>
      <c r="Q422" s="1" t="s">
        <v>68</v>
      </c>
      <c r="R422" s="1" t="str">
        <f t="shared" si="263"/>
        <v>California</v>
      </c>
      <c r="S422" s="1">
        <v>90045</v>
      </c>
      <c r="T422" s="1" t="s">
        <v>44</v>
      </c>
      <c r="U422" s="1" t="s">
        <v>1196</v>
      </c>
      <c r="V422" s="1" t="s">
        <v>46</v>
      </c>
      <c r="W422" s="7">
        <v>15.25</v>
      </c>
      <c r="X422" s="1">
        <v>9</v>
      </c>
      <c r="Y422" s="7">
        <v>15.23</v>
      </c>
      <c r="Z422" s="7">
        <f t="shared" ref="Z422:AA422" si="430">W422*X422</f>
        <v>137.25</v>
      </c>
      <c r="AA422" s="7">
        <f t="shared" si="430"/>
        <v>137.07</v>
      </c>
      <c r="AB422" s="7">
        <f t="shared" si="265"/>
        <v>0.18000000000000682</v>
      </c>
    </row>
    <row r="423" spans="1:28">
      <c r="A423" s="1">
        <v>422</v>
      </c>
      <c r="B423" s="1" t="s">
        <v>1197</v>
      </c>
      <c r="C423" s="2">
        <v>42177</v>
      </c>
      <c r="D423" s="6" t="str">
        <f t="shared" si="260"/>
        <v>Jun</v>
      </c>
      <c r="E423" s="6" t="str">
        <f t="shared" si="261"/>
        <v>Qtr 2</v>
      </c>
      <c r="F423" s="5" t="s">
        <v>1198</v>
      </c>
      <c r="G423" s="1" t="s">
        <v>162</v>
      </c>
      <c r="H423" s="1" t="s">
        <v>284</v>
      </c>
      <c r="I423" s="1" t="s">
        <v>285</v>
      </c>
      <c r="J423" s="1" t="str">
        <f ca="1">IFERROR(__xludf.DUMMYFUNCTION("split(I423,"" "")"),"Joel")</f>
        <v>Joel</v>
      </c>
      <c r="K423" s="1" t="str">
        <f ca="1">IFERROR(__xludf.DUMMYFUNCTION("""COMPUTED_VALUE"""),"Eaton")</f>
        <v>Eaton</v>
      </c>
      <c r="L423" s="1"/>
      <c r="M423" s="1" t="s">
        <v>29</v>
      </c>
      <c r="N423" s="1" t="s">
        <v>30</v>
      </c>
      <c r="O423" s="1" t="s">
        <v>1199</v>
      </c>
      <c r="P423" s="1" t="str">
        <f t="shared" si="262"/>
        <v>Louisville</v>
      </c>
      <c r="Q423" s="1" t="s">
        <v>386</v>
      </c>
      <c r="R423" s="1" t="str">
        <f t="shared" si="263"/>
        <v>Colorado</v>
      </c>
      <c r="S423" s="1">
        <v>80027</v>
      </c>
      <c r="T423" s="1" t="s">
        <v>44</v>
      </c>
      <c r="U423" s="1" t="s">
        <v>1200</v>
      </c>
      <c r="V423" s="1" t="s">
        <v>64</v>
      </c>
      <c r="W423" s="7">
        <v>196.75200000000001</v>
      </c>
      <c r="X423" s="1">
        <v>8</v>
      </c>
      <c r="Y423" s="7">
        <v>196.71</v>
      </c>
      <c r="Z423" s="7">
        <f t="shared" ref="Z423:AA423" si="431">W423*X423</f>
        <v>1574.0160000000001</v>
      </c>
      <c r="AA423" s="7">
        <f t="shared" si="431"/>
        <v>1573.68</v>
      </c>
      <c r="AB423" s="7">
        <f t="shared" si="265"/>
        <v>0.33600000000001273</v>
      </c>
    </row>
    <row r="424" spans="1:28">
      <c r="A424" s="1">
        <v>423</v>
      </c>
      <c r="B424" s="1" t="s">
        <v>1201</v>
      </c>
      <c r="C424" s="2">
        <v>43392</v>
      </c>
      <c r="D424" s="6" t="str">
        <f t="shared" si="260"/>
        <v>Oct</v>
      </c>
      <c r="E424" s="6" t="str">
        <f t="shared" si="261"/>
        <v>Qtr 4</v>
      </c>
      <c r="F424" s="5" t="s">
        <v>156</v>
      </c>
      <c r="G424" s="1" t="s">
        <v>49</v>
      </c>
      <c r="H424" s="1" t="s">
        <v>1202</v>
      </c>
      <c r="I424" s="1" t="s">
        <v>1203</v>
      </c>
      <c r="J424" s="1" t="str">
        <f ca="1">IFERROR(__xludf.DUMMYFUNCTION("split(I424,"" "")"),"Michael")</f>
        <v>Michael</v>
      </c>
      <c r="K424" s="1" t="str">
        <f ca="1">IFERROR(__xludf.DUMMYFUNCTION("""COMPUTED_VALUE"""),"Paige")</f>
        <v>Paige</v>
      </c>
      <c r="L424" s="1"/>
      <c r="M424" s="1" t="s">
        <v>41</v>
      </c>
      <c r="N424" s="1" t="s">
        <v>30</v>
      </c>
      <c r="O424" s="1" t="s">
        <v>1204</v>
      </c>
      <c r="P424" s="1" t="str">
        <f t="shared" si="262"/>
        <v>Lawrence</v>
      </c>
      <c r="Q424" s="1" t="s">
        <v>1014</v>
      </c>
      <c r="R424" s="1" t="str">
        <f t="shared" si="263"/>
        <v>Massachusetts</v>
      </c>
      <c r="S424" s="1">
        <v>1841</v>
      </c>
      <c r="T424" s="1" t="s">
        <v>128</v>
      </c>
      <c r="U424" s="1" t="s">
        <v>1205</v>
      </c>
      <c r="V424" s="1" t="s">
        <v>35</v>
      </c>
      <c r="W424" s="7">
        <v>56.56</v>
      </c>
      <c r="X424" s="1">
        <v>1</v>
      </c>
      <c r="Y424" s="7">
        <v>56.43</v>
      </c>
      <c r="Z424" s="7">
        <f t="shared" ref="Z424:AA424" si="432">W424*X424</f>
        <v>56.56</v>
      </c>
      <c r="AA424" s="7">
        <f t="shared" si="432"/>
        <v>56.43</v>
      </c>
      <c r="AB424" s="7">
        <f t="shared" si="265"/>
        <v>0.13000000000000256</v>
      </c>
    </row>
    <row r="425" spans="1:28">
      <c r="A425" s="1">
        <v>424</v>
      </c>
      <c r="B425" s="1" t="s">
        <v>1201</v>
      </c>
      <c r="C425" s="2">
        <v>43392</v>
      </c>
      <c r="D425" s="6" t="str">
        <f t="shared" si="260"/>
        <v>Oct</v>
      </c>
      <c r="E425" s="6" t="str">
        <f t="shared" si="261"/>
        <v>Qtr 4</v>
      </c>
      <c r="F425" s="5" t="s">
        <v>156</v>
      </c>
      <c r="G425" s="1" t="s">
        <v>49</v>
      </c>
      <c r="H425" s="1" t="s">
        <v>1202</v>
      </c>
      <c r="I425" s="1" t="s">
        <v>1203</v>
      </c>
      <c r="J425" s="1" t="str">
        <f ca="1">IFERROR(__xludf.DUMMYFUNCTION("split(I425,"" "")"),"Michael")</f>
        <v>Michael</v>
      </c>
      <c r="K425" s="1" t="str">
        <f ca="1">IFERROR(__xludf.DUMMYFUNCTION("""COMPUTED_VALUE"""),"Paige")</f>
        <v>Paige</v>
      </c>
      <c r="L425" s="1"/>
      <c r="M425" s="1" t="s">
        <v>41</v>
      </c>
      <c r="N425" s="1" t="s">
        <v>30</v>
      </c>
      <c r="O425" s="1" t="s">
        <v>1204</v>
      </c>
      <c r="P425" s="1" t="str">
        <f t="shared" si="262"/>
        <v>Lawrence</v>
      </c>
      <c r="Q425" s="1" t="s">
        <v>1014</v>
      </c>
      <c r="R425" s="1" t="str">
        <f t="shared" si="263"/>
        <v>Massachusetts</v>
      </c>
      <c r="S425" s="1">
        <v>1841</v>
      </c>
      <c r="T425" s="1" t="s">
        <v>128</v>
      </c>
      <c r="U425" s="1" t="s">
        <v>1206</v>
      </c>
      <c r="V425" s="1" t="s">
        <v>46</v>
      </c>
      <c r="W425" s="7">
        <v>32.700000000000003</v>
      </c>
      <c r="X425" s="1">
        <v>1</v>
      </c>
      <c r="Y425" s="7">
        <v>31.8</v>
      </c>
      <c r="Z425" s="7">
        <f t="shared" ref="Z425:AA425" si="433">W425*X425</f>
        <v>32.700000000000003</v>
      </c>
      <c r="AA425" s="7">
        <f t="shared" si="433"/>
        <v>31.8</v>
      </c>
      <c r="AB425" s="7">
        <f t="shared" si="265"/>
        <v>0.90000000000000213</v>
      </c>
    </row>
    <row r="426" spans="1:28">
      <c r="A426" s="1">
        <v>425</v>
      </c>
      <c r="B426" s="1" t="s">
        <v>1207</v>
      </c>
      <c r="C426" s="2">
        <v>43333</v>
      </c>
      <c r="D426" s="6" t="str">
        <f t="shared" si="260"/>
        <v>Aug</v>
      </c>
      <c r="E426" s="6" t="str">
        <f t="shared" si="261"/>
        <v>Qtr 3</v>
      </c>
      <c r="F426" s="5" t="s">
        <v>1208</v>
      </c>
      <c r="G426" s="1" t="s">
        <v>26</v>
      </c>
      <c r="H426" s="1" t="s">
        <v>1209</v>
      </c>
      <c r="I426" s="1" t="s">
        <v>1210</v>
      </c>
      <c r="J426" s="1" t="str">
        <f ca="1">IFERROR(__xludf.DUMMYFUNCTION("split(I426,"" "")"),"Natalie")</f>
        <v>Natalie</v>
      </c>
      <c r="K426" s="1" t="str">
        <f ca="1">IFERROR(__xludf.DUMMYFUNCTION("""COMPUTED_VALUE"""),"Fritzler")</f>
        <v>Fritzler</v>
      </c>
      <c r="L426" s="1"/>
      <c r="M426" s="1" t="s">
        <v>29</v>
      </c>
      <c r="N426" s="1" t="s">
        <v>30</v>
      </c>
      <c r="O426" s="1" t="s">
        <v>281</v>
      </c>
      <c r="P426" s="1" t="str">
        <f t="shared" si="262"/>
        <v>Jackson</v>
      </c>
      <c r="Q426" s="1" t="s">
        <v>1211</v>
      </c>
      <c r="R426" s="1" t="str">
        <f t="shared" si="263"/>
        <v>Mississippi</v>
      </c>
      <c r="S426" s="1">
        <v>39212</v>
      </c>
      <c r="T426" s="1" t="s">
        <v>33</v>
      </c>
      <c r="U426" s="1" t="s">
        <v>1212</v>
      </c>
      <c r="V426" s="1" t="s">
        <v>35</v>
      </c>
      <c r="W426" s="7">
        <v>866.4</v>
      </c>
      <c r="X426" s="1">
        <v>3</v>
      </c>
      <c r="Y426" s="7">
        <v>865.96</v>
      </c>
      <c r="Z426" s="7">
        <f t="shared" ref="Z426:AA426" si="434">W426*X426</f>
        <v>2599.1999999999998</v>
      </c>
      <c r="AA426" s="7">
        <f t="shared" si="434"/>
        <v>2597.88</v>
      </c>
      <c r="AB426" s="7">
        <f t="shared" si="265"/>
        <v>1.319999999999709</v>
      </c>
    </row>
    <row r="427" spans="1:28">
      <c r="A427" s="1">
        <v>426</v>
      </c>
      <c r="B427" s="1" t="s">
        <v>1213</v>
      </c>
      <c r="C427" s="2">
        <v>43427</v>
      </c>
      <c r="D427" s="6" t="str">
        <f t="shared" si="260"/>
        <v>Nov</v>
      </c>
      <c r="E427" s="6" t="str">
        <f t="shared" si="261"/>
        <v>Qtr 4</v>
      </c>
      <c r="F427" s="5" t="s">
        <v>1214</v>
      </c>
      <c r="G427" s="1" t="s">
        <v>26</v>
      </c>
      <c r="H427" s="1" t="s">
        <v>231</v>
      </c>
      <c r="I427" s="1" t="s">
        <v>232</v>
      </c>
      <c r="J427" s="1" t="str">
        <f ca="1">IFERROR(__xludf.DUMMYFUNCTION("split(I427,"" "")"),"Janet")</f>
        <v>Janet</v>
      </c>
      <c r="K427" s="1" t="str">
        <f ca="1">IFERROR(__xludf.DUMMYFUNCTION("""COMPUTED_VALUE"""),"Molinari")</f>
        <v>Molinari</v>
      </c>
      <c r="L427" s="1"/>
      <c r="M427" s="1" t="s">
        <v>41</v>
      </c>
      <c r="N427" s="1" t="s">
        <v>30</v>
      </c>
      <c r="O427" s="1" t="s">
        <v>1215</v>
      </c>
      <c r="P427" s="1" t="str">
        <f t="shared" si="262"/>
        <v>Canton</v>
      </c>
      <c r="Q427" s="1" t="s">
        <v>209</v>
      </c>
      <c r="R427" s="1" t="str">
        <f t="shared" si="263"/>
        <v>Michigan</v>
      </c>
      <c r="S427" s="1">
        <v>48187</v>
      </c>
      <c r="T427" s="1" t="s">
        <v>90</v>
      </c>
      <c r="U427" s="1" t="s">
        <v>1216</v>
      </c>
      <c r="V427" s="1" t="s">
        <v>35</v>
      </c>
      <c r="W427" s="7">
        <v>28.4</v>
      </c>
      <c r="X427" s="1">
        <v>4</v>
      </c>
      <c r="Y427" s="7">
        <v>27.46</v>
      </c>
      <c r="Z427" s="7">
        <f t="shared" ref="Z427:AA427" si="435">W427*X427</f>
        <v>113.6</v>
      </c>
      <c r="AA427" s="7">
        <f t="shared" si="435"/>
        <v>109.84</v>
      </c>
      <c r="AB427" s="7">
        <f t="shared" si="265"/>
        <v>3.7599999999999909</v>
      </c>
    </row>
    <row r="428" spans="1:28">
      <c r="A428" s="1">
        <v>427</v>
      </c>
      <c r="B428" s="1" t="s">
        <v>1213</v>
      </c>
      <c r="C428" s="2">
        <v>43427</v>
      </c>
      <c r="D428" s="6" t="str">
        <f t="shared" si="260"/>
        <v>Nov</v>
      </c>
      <c r="E428" s="6" t="str">
        <f t="shared" si="261"/>
        <v>Qtr 4</v>
      </c>
      <c r="F428" s="5" t="s">
        <v>1214</v>
      </c>
      <c r="G428" s="1" t="s">
        <v>26</v>
      </c>
      <c r="H428" s="1" t="s">
        <v>231</v>
      </c>
      <c r="I428" s="1" t="s">
        <v>232</v>
      </c>
      <c r="J428" s="1" t="str">
        <f ca="1">IFERROR(__xludf.DUMMYFUNCTION("split(I428,"" "")"),"Janet")</f>
        <v>Janet</v>
      </c>
      <c r="K428" s="1" t="str">
        <f ca="1">IFERROR(__xludf.DUMMYFUNCTION("""COMPUTED_VALUE"""),"Molinari")</f>
        <v>Molinari</v>
      </c>
      <c r="L428" s="1"/>
      <c r="M428" s="1" t="s">
        <v>41</v>
      </c>
      <c r="N428" s="1" t="s">
        <v>30</v>
      </c>
      <c r="O428" s="1" t="s">
        <v>1215</v>
      </c>
      <c r="P428" s="1" t="str">
        <f t="shared" si="262"/>
        <v>Canton</v>
      </c>
      <c r="Q428" s="1" t="s">
        <v>209</v>
      </c>
      <c r="R428" s="1" t="str">
        <f t="shared" si="263"/>
        <v>Michigan</v>
      </c>
      <c r="S428" s="1">
        <v>48187</v>
      </c>
      <c r="T428" s="1" t="s">
        <v>90</v>
      </c>
      <c r="U428" s="1" t="s">
        <v>1217</v>
      </c>
      <c r="V428" s="1" t="s">
        <v>46</v>
      </c>
      <c r="W428" s="7">
        <v>287.92</v>
      </c>
      <c r="X428" s="1">
        <v>4</v>
      </c>
      <c r="Y428" s="7">
        <v>287.29000000000002</v>
      </c>
      <c r="Z428" s="7">
        <f t="shared" ref="Z428:AA428" si="436">W428*X428</f>
        <v>1151.68</v>
      </c>
      <c r="AA428" s="7">
        <f t="shared" si="436"/>
        <v>1149.1600000000001</v>
      </c>
      <c r="AB428" s="7">
        <f t="shared" si="265"/>
        <v>2.5199999999999818</v>
      </c>
    </row>
    <row r="429" spans="1:28">
      <c r="A429" s="1">
        <v>428</v>
      </c>
      <c r="B429" s="1" t="s">
        <v>1218</v>
      </c>
      <c r="C429" s="2">
        <v>42347</v>
      </c>
      <c r="D429" s="6" t="str">
        <f t="shared" si="260"/>
        <v>Dec</v>
      </c>
      <c r="E429" s="6" t="str">
        <f t="shared" si="261"/>
        <v>Qtr 4</v>
      </c>
      <c r="F429" s="5" t="s">
        <v>1219</v>
      </c>
      <c r="G429" s="1" t="s">
        <v>162</v>
      </c>
      <c r="H429" s="1" t="s">
        <v>1220</v>
      </c>
      <c r="I429" s="1" t="s">
        <v>1221</v>
      </c>
      <c r="J429" s="1" t="str">
        <f ca="1">IFERROR(__xludf.DUMMYFUNCTION("split(I429,"" "")"),"Shirley")</f>
        <v>Shirley</v>
      </c>
      <c r="K429" s="1" t="str">
        <f ca="1">IFERROR(__xludf.DUMMYFUNCTION("""COMPUTED_VALUE"""),"Daniels")</f>
        <v>Daniels</v>
      </c>
      <c r="L429" s="1"/>
      <c r="M429" s="1" t="s">
        <v>87</v>
      </c>
      <c r="N429" s="1" t="s">
        <v>30</v>
      </c>
      <c r="O429" s="1" t="s">
        <v>1222</v>
      </c>
      <c r="P429" s="1" t="str">
        <f t="shared" si="262"/>
        <v>New Rochelle</v>
      </c>
      <c r="Q429" s="1" t="s">
        <v>234</v>
      </c>
      <c r="R429" s="1" t="str">
        <f t="shared" si="263"/>
        <v>New York</v>
      </c>
      <c r="S429" s="1">
        <v>10801</v>
      </c>
      <c r="T429" s="1" t="s">
        <v>128</v>
      </c>
      <c r="U429" s="1" t="s">
        <v>1223</v>
      </c>
      <c r="V429" s="1" t="s">
        <v>64</v>
      </c>
      <c r="W429" s="7">
        <v>69.989999999999995</v>
      </c>
      <c r="X429" s="1">
        <v>1</v>
      </c>
      <c r="Y429" s="7">
        <v>69.33</v>
      </c>
      <c r="Z429" s="7">
        <f t="shared" ref="Z429:AA429" si="437">W429*X429</f>
        <v>69.989999999999995</v>
      </c>
      <c r="AA429" s="7">
        <f t="shared" si="437"/>
        <v>69.33</v>
      </c>
      <c r="AB429" s="7">
        <f t="shared" si="265"/>
        <v>0.65999999999999659</v>
      </c>
    </row>
    <row r="430" spans="1:28">
      <c r="A430" s="1">
        <v>429</v>
      </c>
      <c r="B430" s="1" t="s">
        <v>1224</v>
      </c>
      <c r="C430" s="2">
        <v>43110</v>
      </c>
      <c r="D430" s="6" t="str">
        <f t="shared" si="260"/>
        <v>Jan</v>
      </c>
      <c r="E430" s="6" t="str">
        <f t="shared" si="261"/>
        <v>Qtr 1</v>
      </c>
      <c r="F430" s="5">
        <v>43322</v>
      </c>
      <c r="G430" s="1" t="s">
        <v>49</v>
      </c>
      <c r="H430" s="1" t="s">
        <v>1225</v>
      </c>
      <c r="I430" s="1" t="s">
        <v>1226</v>
      </c>
      <c r="J430" s="1" t="str">
        <f ca="1">IFERROR(__xludf.DUMMYFUNCTION("split(I430,"" "")"),"Ken")</f>
        <v>Ken</v>
      </c>
      <c r="K430" s="1" t="str">
        <f ca="1">IFERROR(__xludf.DUMMYFUNCTION("""COMPUTED_VALUE"""),"Heidel")</f>
        <v>Heidel</v>
      </c>
      <c r="L430" s="1"/>
      <c r="M430" s="1" t="s">
        <v>41</v>
      </c>
      <c r="N430" s="1" t="s">
        <v>30</v>
      </c>
      <c r="O430" s="1" t="s">
        <v>565</v>
      </c>
      <c r="P430" s="1" t="str">
        <f t="shared" si="262"/>
        <v>San Antonio</v>
      </c>
      <c r="Q430" s="1" t="s">
        <v>89</v>
      </c>
      <c r="R430" s="1" t="str">
        <f t="shared" si="263"/>
        <v>Texas</v>
      </c>
      <c r="S430" s="1">
        <v>78207</v>
      </c>
      <c r="T430" s="1" t="s">
        <v>90</v>
      </c>
      <c r="U430" s="1" t="s">
        <v>1227</v>
      </c>
      <c r="V430" s="1" t="s">
        <v>46</v>
      </c>
      <c r="W430" s="7">
        <v>6.6719999999999997</v>
      </c>
      <c r="X430" s="1">
        <v>7</v>
      </c>
      <c r="Y430" s="7">
        <v>5.83</v>
      </c>
      <c r="Z430" s="7">
        <f t="shared" ref="Z430:AA430" si="438">W430*X430</f>
        <v>46.704000000000001</v>
      </c>
      <c r="AA430" s="7">
        <f t="shared" si="438"/>
        <v>40.81</v>
      </c>
      <c r="AB430" s="7">
        <f t="shared" si="265"/>
        <v>5.8939999999999984</v>
      </c>
    </row>
    <row r="431" spans="1:28">
      <c r="A431" s="1">
        <v>430</v>
      </c>
      <c r="B431" s="1" t="s">
        <v>1228</v>
      </c>
      <c r="C431" s="2">
        <v>42840</v>
      </c>
      <c r="D431" s="6" t="str">
        <f t="shared" si="260"/>
        <v>Apr</v>
      </c>
      <c r="E431" s="6" t="str">
        <f t="shared" si="261"/>
        <v>Qtr 2</v>
      </c>
      <c r="F431" s="5" t="s">
        <v>1229</v>
      </c>
      <c r="G431" s="1" t="s">
        <v>49</v>
      </c>
      <c r="H431" s="1" t="s">
        <v>1230</v>
      </c>
      <c r="I431" s="1" t="s">
        <v>1231</v>
      </c>
      <c r="J431" s="1" t="str">
        <f ca="1">IFERROR(__xludf.DUMMYFUNCTION("split(I431,"" "")"),"Ross")</f>
        <v>Ross</v>
      </c>
      <c r="K431" s="1" t="str">
        <f ca="1">IFERROR(__xludf.DUMMYFUNCTION("""COMPUTED_VALUE"""),"Baird")</f>
        <v>Baird</v>
      </c>
      <c r="L431" s="1"/>
      <c r="M431" s="1" t="s">
        <v>87</v>
      </c>
      <c r="N431" s="1" t="s">
        <v>30</v>
      </c>
      <c r="O431" s="1" t="s">
        <v>1232</v>
      </c>
      <c r="P431" s="1" t="str">
        <f t="shared" si="262"/>
        <v>Gastonia</v>
      </c>
      <c r="Q431" s="1" t="s">
        <v>75</v>
      </c>
      <c r="R431" s="1" t="str">
        <f t="shared" si="263"/>
        <v>North Carolina</v>
      </c>
      <c r="S431" s="1">
        <v>28052</v>
      </c>
      <c r="T431" s="1" t="s">
        <v>33</v>
      </c>
      <c r="U431" s="1" t="s">
        <v>1233</v>
      </c>
      <c r="V431" s="1" t="s">
        <v>46</v>
      </c>
      <c r="W431" s="7">
        <v>189.58799999999999</v>
      </c>
      <c r="X431" s="1">
        <v>2</v>
      </c>
      <c r="Y431" s="7">
        <v>189.27</v>
      </c>
      <c r="Z431" s="7">
        <f t="shared" ref="Z431:AA431" si="439">W431*X431</f>
        <v>379.17599999999999</v>
      </c>
      <c r="AA431" s="7">
        <f t="shared" si="439"/>
        <v>378.54</v>
      </c>
      <c r="AB431" s="7">
        <f t="shared" si="265"/>
        <v>0.63599999999996726</v>
      </c>
    </row>
    <row r="432" spans="1:28">
      <c r="A432" s="1">
        <v>431</v>
      </c>
      <c r="B432" s="1" t="s">
        <v>1228</v>
      </c>
      <c r="C432" s="2">
        <v>42840</v>
      </c>
      <c r="D432" s="6" t="str">
        <f t="shared" si="260"/>
        <v>Apr</v>
      </c>
      <c r="E432" s="6" t="str">
        <f t="shared" si="261"/>
        <v>Qtr 2</v>
      </c>
      <c r="F432" s="5" t="s">
        <v>1229</v>
      </c>
      <c r="G432" s="1" t="s">
        <v>49</v>
      </c>
      <c r="H432" s="1" t="s">
        <v>1230</v>
      </c>
      <c r="I432" s="1" t="s">
        <v>1231</v>
      </c>
      <c r="J432" s="1" t="str">
        <f ca="1">IFERROR(__xludf.DUMMYFUNCTION("split(I432,"" "")"),"Ross")</f>
        <v>Ross</v>
      </c>
      <c r="K432" s="1" t="str">
        <f ca="1">IFERROR(__xludf.DUMMYFUNCTION("""COMPUTED_VALUE"""),"Baird")</f>
        <v>Baird</v>
      </c>
      <c r="L432" s="1"/>
      <c r="M432" s="1" t="s">
        <v>87</v>
      </c>
      <c r="N432" s="1" t="s">
        <v>30</v>
      </c>
      <c r="O432" s="1" t="s">
        <v>1232</v>
      </c>
      <c r="P432" s="1" t="str">
        <f t="shared" si="262"/>
        <v>Gastonia</v>
      </c>
      <c r="Q432" s="1" t="s">
        <v>75</v>
      </c>
      <c r="R432" s="1" t="str">
        <f t="shared" si="263"/>
        <v>North Carolina</v>
      </c>
      <c r="S432" s="1">
        <v>28052</v>
      </c>
      <c r="T432" s="1" t="s">
        <v>33</v>
      </c>
      <c r="U432" s="1" t="s">
        <v>603</v>
      </c>
      <c r="V432" s="1" t="s">
        <v>64</v>
      </c>
      <c r="W432" s="7">
        <v>408.74400000000003</v>
      </c>
      <c r="X432" s="1">
        <v>2</v>
      </c>
      <c r="Y432" s="7">
        <v>408.29</v>
      </c>
      <c r="Z432" s="7">
        <f t="shared" ref="Z432:AA432" si="440">W432*X432</f>
        <v>817.48800000000006</v>
      </c>
      <c r="AA432" s="7">
        <f t="shared" si="440"/>
        <v>816.58</v>
      </c>
      <c r="AB432" s="7">
        <f t="shared" si="265"/>
        <v>0.90800000000001546</v>
      </c>
    </row>
    <row r="433" spans="1:28">
      <c r="A433" s="1">
        <v>432</v>
      </c>
      <c r="B433" s="1" t="s">
        <v>1228</v>
      </c>
      <c r="C433" s="2">
        <v>42840</v>
      </c>
      <c r="D433" s="6" t="str">
        <f t="shared" si="260"/>
        <v>Apr</v>
      </c>
      <c r="E433" s="6" t="str">
        <f t="shared" si="261"/>
        <v>Qtr 2</v>
      </c>
      <c r="F433" s="5" t="s">
        <v>1229</v>
      </c>
      <c r="G433" s="1" t="s">
        <v>49</v>
      </c>
      <c r="H433" s="1" t="s">
        <v>1230</v>
      </c>
      <c r="I433" s="1" t="s">
        <v>1231</v>
      </c>
      <c r="J433" s="1" t="str">
        <f ca="1">IFERROR(__xludf.DUMMYFUNCTION("split(I433,"" "")"),"Ross")</f>
        <v>Ross</v>
      </c>
      <c r="K433" s="1" t="str">
        <f ca="1">IFERROR(__xludf.DUMMYFUNCTION("""COMPUTED_VALUE"""),"Baird")</f>
        <v>Baird</v>
      </c>
      <c r="L433" s="1"/>
      <c r="M433" s="1" t="s">
        <v>87</v>
      </c>
      <c r="N433" s="1" t="s">
        <v>30</v>
      </c>
      <c r="O433" s="1" t="s">
        <v>1232</v>
      </c>
      <c r="P433" s="1" t="str">
        <f t="shared" si="262"/>
        <v>Gastonia</v>
      </c>
      <c r="Q433" s="1" t="s">
        <v>75</v>
      </c>
      <c r="R433" s="1" t="str">
        <f t="shared" si="263"/>
        <v>North Carolina</v>
      </c>
      <c r="S433" s="1">
        <v>28052</v>
      </c>
      <c r="T433" s="1" t="s">
        <v>33</v>
      </c>
      <c r="U433" s="1" t="s">
        <v>603</v>
      </c>
      <c r="V433" s="1" t="s">
        <v>64</v>
      </c>
      <c r="W433" s="7">
        <v>291.95999999999998</v>
      </c>
      <c r="X433" s="1">
        <v>2</v>
      </c>
      <c r="Y433" s="7">
        <v>291.27</v>
      </c>
      <c r="Z433" s="7">
        <f t="shared" ref="Z433:AA433" si="441">W433*X433</f>
        <v>583.91999999999996</v>
      </c>
      <c r="AA433" s="7">
        <f t="shared" si="441"/>
        <v>582.54</v>
      </c>
      <c r="AB433" s="7">
        <f t="shared" si="265"/>
        <v>1.3799999999999955</v>
      </c>
    </row>
    <row r="434" spans="1:28">
      <c r="A434" s="1">
        <v>433</v>
      </c>
      <c r="B434" s="1" t="s">
        <v>1228</v>
      </c>
      <c r="C434" s="2">
        <v>42840</v>
      </c>
      <c r="D434" s="6" t="str">
        <f t="shared" si="260"/>
        <v>Apr</v>
      </c>
      <c r="E434" s="6" t="str">
        <f t="shared" si="261"/>
        <v>Qtr 2</v>
      </c>
      <c r="F434" s="5" t="s">
        <v>1229</v>
      </c>
      <c r="G434" s="1" t="s">
        <v>49</v>
      </c>
      <c r="H434" s="1" t="s">
        <v>1230</v>
      </c>
      <c r="I434" s="1" t="s">
        <v>1231</v>
      </c>
      <c r="J434" s="1" t="str">
        <f ca="1">IFERROR(__xludf.DUMMYFUNCTION("split(I434,"" "")"),"Ross")</f>
        <v>Ross</v>
      </c>
      <c r="K434" s="1" t="str">
        <f ca="1">IFERROR(__xludf.DUMMYFUNCTION("""COMPUTED_VALUE"""),"Baird")</f>
        <v>Baird</v>
      </c>
      <c r="L434" s="1"/>
      <c r="M434" s="1" t="s">
        <v>87</v>
      </c>
      <c r="N434" s="1" t="s">
        <v>30</v>
      </c>
      <c r="O434" s="1" t="s">
        <v>1232</v>
      </c>
      <c r="P434" s="1" t="str">
        <f t="shared" si="262"/>
        <v>Gastonia</v>
      </c>
      <c r="Q434" s="1" t="s">
        <v>75</v>
      </c>
      <c r="R434" s="1" t="str">
        <f t="shared" si="263"/>
        <v>North Carolina</v>
      </c>
      <c r="S434" s="1">
        <v>28052</v>
      </c>
      <c r="T434" s="1" t="s">
        <v>33</v>
      </c>
      <c r="U434" s="1" t="s">
        <v>1234</v>
      </c>
      <c r="V434" s="1" t="s">
        <v>46</v>
      </c>
      <c r="W434" s="7">
        <v>4.7679999999999998</v>
      </c>
      <c r="X434" s="1">
        <v>2</v>
      </c>
      <c r="Y434" s="7">
        <v>4.4800000000000004</v>
      </c>
      <c r="Z434" s="7">
        <f t="shared" ref="Z434:AA434" si="442">W434*X434</f>
        <v>9.5359999999999996</v>
      </c>
      <c r="AA434" s="7">
        <f t="shared" si="442"/>
        <v>8.9600000000000009</v>
      </c>
      <c r="AB434" s="7">
        <f t="shared" si="265"/>
        <v>0.57599999999999874</v>
      </c>
    </row>
    <row r="435" spans="1:28">
      <c r="A435" s="1">
        <v>434</v>
      </c>
      <c r="B435" s="1" t="s">
        <v>1235</v>
      </c>
      <c r="C435" s="2">
        <v>42892</v>
      </c>
      <c r="D435" s="6" t="str">
        <f t="shared" si="260"/>
        <v>Jun</v>
      </c>
      <c r="E435" s="6" t="str">
        <f t="shared" si="261"/>
        <v>Qtr 2</v>
      </c>
      <c r="F435" s="5">
        <v>42922</v>
      </c>
      <c r="G435" s="1" t="s">
        <v>162</v>
      </c>
      <c r="H435" s="1" t="s">
        <v>533</v>
      </c>
      <c r="I435" s="1" t="s">
        <v>534</v>
      </c>
      <c r="J435" s="1" t="str">
        <f ca="1">IFERROR(__xludf.DUMMYFUNCTION("split(I435,"" "")"),"Dave")</f>
        <v>Dave</v>
      </c>
      <c r="K435" s="1" t="str">
        <f ca="1">IFERROR(__xludf.DUMMYFUNCTION("""COMPUTED_VALUE"""),"Brooks")</f>
        <v>Brooks</v>
      </c>
      <c r="L435" s="1"/>
      <c r="M435" s="1" t="s">
        <v>29</v>
      </c>
      <c r="N435" s="1" t="s">
        <v>30</v>
      </c>
      <c r="O435" s="1" t="s">
        <v>1013</v>
      </c>
      <c r="P435" s="1" t="str">
        <f t="shared" si="262"/>
        <v>Lowell</v>
      </c>
      <c r="Q435" s="1" t="s">
        <v>1014</v>
      </c>
      <c r="R435" s="1" t="str">
        <f t="shared" si="263"/>
        <v>Massachusetts</v>
      </c>
      <c r="S435" s="1">
        <v>1852</v>
      </c>
      <c r="T435" s="1" t="s">
        <v>128</v>
      </c>
      <c r="U435" s="1" t="s">
        <v>1236</v>
      </c>
      <c r="V435" s="1" t="s">
        <v>46</v>
      </c>
      <c r="W435" s="7">
        <v>714.3</v>
      </c>
      <c r="X435" s="1">
        <v>1</v>
      </c>
      <c r="Y435" s="7">
        <v>713.4</v>
      </c>
      <c r="Z435" s="7">
        <f t="shared" ref="Z435:AA435" si="443">W435*X435</f>
        <v>714.3</v>
      </c>
      <c r="AA435" s="7">
        <f t="shared" si="443"/>
        <v>713.4</v>
      </c>
      <c r="AB435" s="7">
        <f t="shared" si="265"/>
        <v>0.89999999999997726</v>
      </c>
    </row>
    <row r="436" spans="1:28">
      <c r="A436" s="1">
        <v>435</v>
      </c>
      <c r="B436" s="1" t="s">
        <v>1237</v>
      </c>
      <c r="C436" s="2">
        <v>42357</v>
      </c>
      <c r="D436" s="6" t="str">
        <f t="shared" si="260"/>
        <v>Dec</v>
      </c>
      <c r="E436" s="6" t="str">
        <f t="shared" si="261"/>
        <v>Qtr 4</v>
      </c>
      <c r="F436" s="5" t="s">
        <v>1238</v>
      </c>
      <c r="G436" s="1" t="s">
        <v>49</v>
      </c>
      <c r="H436" s="1" t="s">
        <v>1239</v>
      </c>
      <c r="I436" s="1" t="s">
        <v>1240</v>
      </c>
      <c r="J436" s="1" t="str">
        <f ca="1">IFERROR(__xludf.DUMMYFUNCTION("split(I436,"" "")"),"Mike")</f>
        <v>Mike</v>
      </c>
      <c r="K436" s="1" t="str">
        <f ca="1">IFERROR(__xludf.DUMMYFUNCTION("""COMPUTED_VALUE"""),"Kennedy")</f>
        <v>Kennedy</v>
      </c>
      <c r="L436" s="1"/>
      <c r="M436" s="1" t="s">
        <v>29</v>
      </c>
      <c r="N436" s="1" t="s">
        <v>30</v>
      </c>
      <c r="O436" s="1" t="s">
        <v>1241</v>
      </c>
      <c r="P436" s="1" t="str">
        <f t="shared" si="262"/>
        <v>Jacksonville</v>
      </c>
      <c r="Q436" s="1" t="s">
        <v>194</v>
      </c>
      <c r="R436" s="1" t="str">
        <f t="shared" si="263"/>
        <v>Florida</v>
      </c>
      <c r="S436" s="1">
        <v>32216</v>
      </c>
      <c r="T436" s="1" t="s">
        <v>33</v>
      </c>
      <c r="U436" s="1" t="s">
        <v>1242</v>
      </c>
      <c r="V436" s="1" t="s">
        <v>46</v>
      </c>
      <c r="W436" s="7">
        <v>4.8120000000000003</v>
      </c>
      <c r="X436" s="1">
        <v>3</v>
      </c>
      <c r="Y436" s="7">
        <v>3.97</v>
      </c>
      <c r="Z436" s="7">
        <f t="shared" ref="Z436:AA436" si="444">W436*X436</f>
        <v>14.436</v>
      </c>
      <c r="AA436" s="7">
        <f t="shared" si="444"/>
        <v>11.91</v>
      </c>
      <c r="AB436" s="7">
        <f t="shared" si="265"/>
        <v>2.5259999999999998</v>
      </c>
    </row>
    <row r="437" spans="1:28">
      <c r="A437" s="1">
        <v>436</v>
      </c>
      <c r="B437" s="1" t="s">
        <v>1237</v>
      </c>
      <c r="C437" s="2">
        <v>42357</v>
      </c>
      <c r="D437" s="6" t="str">
        <f t="shared" si="260"/>
        <v>Dec</v>
      </c>
      <c r="E437" s="6" t="str">
        <f t="shared" si="261"/>
        <v>Qtr 4</v>
      </c>
      <c r="F437" s="5" t="s">
        <v>1238</v>
      </c>
      <c r="G437" s="1" t="s">
        <v>49</v>
      </c>
      <c r="H437" s="1" t="s">
        <v>1239</v>
      </c>
      <c r="I437" s="1" t="s">
        <v>1240</v>
      </c>
      <c r="J437" s="1" t="str">
        <f ca="1">IFERROR(__xludf.DUMMYFUNCTION("split(I437,"" "")"),"Mike")</f>
        <v>Mike</v>
      </c>
      <c r="K437" s="1" t="str">
        <f ca="1">IFERROR(__xludf.DUMMYFUNCTION("""COMPUTED_VALUE"""),"Kennedy")</f>
        <v>Kennedy</v>
      </c>
      <c r="L437" s="1"/>
      <c r="M437" s="1" t="s">
        <v>29</v>
      </c>
      <c r="N437" s="1" t="s">
        <v>30</v>
      </c>
      <c r="O437" s="1" t="s">
        <v>1241</v>
      </c>
      <c r="P437" s="1" t="str">
        <f t="shared" si="262"/>
        <v>Jacksonville</v>
      </c>
      <c r="Q437" s="1" t="s">
        <v>194</v>
      </c>
      <c r="R437" s="1" t="str">
        <f t="shared" si="263"/>
        <v>Florida</v>
      </c>
      <c r="S437" s="1">
        <v>32216</v>
      </c>
      <c r="T437" s="1" t="s">
        <v>33</v>
      </c>
      <c r="U437" s="1" t="s">
        <v>1243</v>
      </c>
      <c r="V437" s="1" t="s">
        <v>64</v>
      </c>
      <c r="W437" s="7">
        <v>247.8</v>
      </c>
      <c r="X437" s="1">
        <v>3</v>
      </c>
      <c r="Y437" s="7">
        <v>247.72</v>
      </c>
      <c r="Z437" s="7">
        <f t="shared" ref="Z437:AA437" si="445">W437*X437</f>
        <v>743.40000000000009</v>
      </c>
      <c r="AA437" s="7">
        <f t="shared" si="445"/>
        <v>743.16</v>
      </c>
      <c r="AB437" s="7">
        <f t="shared" si="265"/>
        <v>0.24000000000012278</v>
      </c>
    </row>
    <row r="438" spans="1:28">
      <c r="A438" s="1">
        <v>437</v>
      </c>
      <c r="B438" s="1" t="s">
        <v>1244</v>
      </c>
      <c r="C438" s="2">
        <v>43075</v>
      </c>
      <c r="D438" s="6" t="str">
        <f t="shared" si="260"/>
        <v>Dec</v>
      </c>
      <c r="E438" s="6" t="str">
        <f t="shared" si="261"/>
        <v>Qtr 4</v>
      </c>
      <c r="F438" s="5" t="s">
        <v>1245</v>
      </c>
      <c r="G438" s="1" t="s">
        <v>26</v>
      </c>
      <c r="H438" s="1" t="s">
        <v>1246</v>
      </c>
      <c r="I438" s="1" t="s">
        <v>1247</v>
      </c>
      <c r="J438" s="1" t="str">
        <f ca="1">IFERROR(__xludf.DUMMYFUNCTION("split(I438,"" "")"),"Philisse")</f>
        <v>Philisse</v>
      </c>
      <c r="K438" s="1" t="str">
        <f ca="1">IFERROR(__xludf.DUMMYFUNCTION("""COMPUTED_VALUE"""),"Overcash")</f>
        <v>Overcash</v>
      </c>
      <c r="L438" s="1"/>
      <c r="M438" s="1" t="s">
        <v>87</v>
      </c>
      <c r="N438" s="1" t="s">
        <v>30</v>
      </c>
      <c r="O438" s="1" t="s">
        <v>259</v>
      </c>
      <c r="P438" s="1" t="str">
        <f t="shared" si="262"/>
        <v>Chicago</v>
      </c>
      <c r="Q438" s="1" t="s">
        <v>182</v>
      </c>
      <c r="R438" s="1" t="str">
        <f t="shared" si="263"/>
        <v>Illinois</v>
      </c>
      <c r="S438" s="1">
        <v>60623</v>
      </c>
      <c r="T438" s="1" t="s">
        <v>90</v>
      </c>
      <c r="U438" s="1" t="s">
        <v>1248</v>
      </c>
      <c r="V438" s="1" t="s">
        <v>64</v>
      </c>
      <c r="W438" s="7">
        <v>1007.979</v>
      </c>
      <c r="X438" s="1">
        <v>6</v>
      </c>
      <c r="Y438" s="7">
        <v>1007.35</v>
      </c>
      <c r="Z438" s="7">
        <f t="shared" ref="Z438:AA438" si="446">W438*X438</f>
        <v>6047.8739999999998</v>
      </c>
      <c r="AA438" s="7">
        <f t="shared" si="446"/>
        <v>6044.1</v>
      </c>
      <c r="AB438" s="7">
        <f t="shared" si="265"/>
        <v>3.7739999999994325</v>
      </c>
    </row>
    <row r="439" spans="1:28">
      <c r="A439" s="1">
        <v>438</v>
      </c>
      <c r="B439" s="1" t="s">
        <v>1244</v>
      </c>
      <c r="C439" s="2">
        <v>43075</v>
      </c>
      <c r="D439" s="6" t="str">
        <f t="shared" si="260"/>
        <v>Dec</v>
      </c>
      <c r="E439" s="6" t="str">
        <f t="shared" si="261"/>
        <v>Qtr 4</v>
      </c>
      <c r="F439" s="5" t="s">
        <v>1245</v>
      </c>
      <c r="G439" s="1" t="s">
        <v>26</v>
      </c>
      <c r="H439" s="1" t="s">
        <v>1246</v>
      </c>
      <c r="I439" s="1" t="s">
        <v>1247</v>
      </c>
      <c r="J439" s="1" t="str">
        <f ca="1">IFERROR(__xludf.DUMMYFUNCTION("split(I439,"" "")"),"Philisse")</f>
        <v>Philisse</v>
      </c>
      <c r="K439" s="1" t="str">
        <f ca="1">IFERROR(__xludf.DUMMYFUNCTION("""COMPUTED_VALUE"""),"Overcash")</f>
        <v>Overcash</v>
      </c>
      <c r="L439" s="1"/>
      <c r="M439" s="1" t="s">
        <v>87</v>
      </c>
      <c r="N439" s="1" t="s">
        <v>30</v>
      </c>
      <c r="O439" s="1" t="s">
        <v>259</v>
      </c>
      <c r="P439" s="1" t="str">
        <f t="shared" si="262"/>
        <v>Chicago</v>
      </c>
      <c r="Q439" s="1" t="s">
        <v>182</v>
      </c>
      <c r="R439" s="1" t="str">
        <f t="shared" si="263"/>
        <v>Illinois</v>
      </c>
      <c r="S439" s="1">
        <v>60623</v>
      </c>
      <c r="T439" s="1" t="s">
        <v>90</v>
      </c>
      <c r="U439" s="1" t="s">
        <v>1019</v>
      </c>
      <c r="V439" s="1" t="s">
        <v>46</v>
      </c>
      <c r="W439" s="7">
        <v>313.488</v>
      </c>
      <c r="X439" s="1">
        <v>6</v>
      </c>
      <c r="Y439" s="7">
        <v>313.04000000000002</v>
      </c>
      <c r="Z439" s="7">
        <f t="shared" ref="Z439:AA439" si="447">W439*X439</f>
        <v>1880.9279999999999</v>
      </c>
      <c r="AA439" s="7">
        <f t="shared" si="447"/>
        <v>1878.2400000000002</v>
      </c>
      <c r="AB439" s="7">
        <f t="shared" si="265"/>
        <v>2.6879999999996471</v>
      </c>
    </row>
    <row r="440" spans="1:28">
      <c r="A440" s="1">
        <v>439</v>
      </c>
      <c r="B440" s="1" t="s">
        <v>1249</v>
      </c>
      <c r="C440" s="2">
        <v>43358</v>
      </c>
      <c r="D440" s="6" t="str">
        <f t="shared" si="260"/>
        <v>Sep</v>
      </c>
      <c r="E440" s="6" t="str">
        <f t="shared" si="261"/>
        <v>Qtr 3</v>
      </c>
      <c r="F440" s="5" t="s">
        <v>1250</v>
      </c>
      <c r="G440" s="1" t="s">
        <v>49</v>
      </c>
      <c r="H440" s="1" t="s">
        <v>1251</v>
      </c>
      <c r="I440" s="1" t="s">
        <v>1252</v>
      </c>
      <c r="J440" s="1" t="str">
        <f ca="1">IFERROR(__xludf.DUMMYFUNCTION("split(I440,"" "")"),"Brenda")</f>
        <v>Brenda</v>
      </c>
      <c r="K440" s="1" t="str">
        <f ca="1">IFERROR(__xludf.DUMMYFUNCTION("""COMPUTED_VALUE"""),"Bowman")</f>
        <v>Bowman</v>
      </c>
      <c r="L440" s="1"/>
      <c r="M440" s="1" t="s">
        <v>41</v>
      </c>
      <c r="N440" s="1" t="s">
        <v>30</v>
      </c>
      <c r="O440" s="1" t="s">
        <v>172</v>
      </c>
      <c r="P440" s="1" t="str">
        <f t="shared" si="262"/>
        <v>Houston</v>
      </c>
      <c r="Q440" s="1" t="s">
        <v>89</v>
      </c>
      <c r="R440" s="1" t="str">
        <f t="shared" si="263"/>
        <v>Texas</v>
      </c>
      <c r="S440" s="1">
        <v>77070</v>
      </c>
      <c r="T440" s="1" t="s">
        <v>90</v>
      </c>
      <c r="U440" s="1" t="s">
        <v>1253</v>
      </c>
      <c r="V440" s="1" t="s">
        <v>46</v>
      </c>
      <c r="W440" s="7">
        <v>31.872</v>
      </c>
      <c r="X440" s="1">
        <v>7</v>
      </c>
      <c r="Y440" s="7">
        <v>31.68</v>
      </c>
      <c r="Z440" s="7">
        <f t="shared" ref="Z440:AA440" si="448">W440*X440</f>
        <v>223.10399999999998</v>
      </c>
      <c r="AA440" s="7">
        <f t="shared" si="448"/>
        <v>221.76</v>
      </c>
      <c r="AB440" s="7">
        <f t="shared" si="265"/>
        <v>1.3439999999999941</v>
      </c>
    </row>
    <row r="441" spans="1:28">
      <c r="A441" s="1">
        <v>440</v>
      </c>
      <c r="B441" s="1" t="s">
        <v>1254</v>
      </c>
      <c r="C441" s="2">
        <v>43120</v>
      </c>
      <c r="D441" s="6" t="str">
        <f t="shared" si="260"/>
        <v>Jan</v>
      </c>
      <c r="E441" s="6" t="str">
        <f t="shared" si="261"/>
        <v>Qtr 1</v>
      </c>
      <c r="F441" s="5" t="s">
        <v>1255</v>
      </c>
      <c r="G441" s="1" t="s">
        <v>26</v>
      </c>
      <c r="H441" s="1" t="s">
        <v>406</v>
      </c>
      <c r="I441" s="1" t="s">
        <v>407</v>
      </c>
      <c r="J441" s="1" t="str">
        <f ca="1">IFERROR(__xludf.DUMMYFUNCTION("split(I441,"" "")"),"Cynthia")</f>
        <v>Cynthia</v>
      </c>
      <c r="K441" s="1" t="str">
        <f ca="1">IFERROR(__xludf.DUMMYFUNCTION("""COMPUTED_VALUE"""),"Voltz")</f>
        <v>Voltz</v>
      </c>
      <c r="L441" s="1"/>
      <c r="M441" s="1" t="s">
        <v>41</v>
      </c>
      <c r="N441" s="1" t="s">
        <v>30</v>
      </c>
      <c r="O441" s="1" t="s">
        <v>233</v>
      </c>
      <c r="P441" s="1" t="str">
        <f t="shared" si="262"/>
        <v>New York City</v>
      </c>
      <c r="Q441" s="1" t="s">
        <v>234</v>
      </c>
      <c r="R441" s="1" t="str">
        <f t="shared" si="263"/>
        <v>New York</v>
      </c>
      <c r="S441" s="1">
        <v>10024</v>
      </c>
      <c r="T441" s="1" t="s">
        <v>128</v>
      </c>
      <c r="U441" s="1" t="s">
        <v>1256</v>
      </c>
      <c r="V441" s="1" t="s">
        <v>35</v>
      </c>
      <c r="W441" s="7">
        <v>207.846</v>
      </c>
      <c r="X441" s="1">
        <v>1</v>
      </c>
      <c r="Y441" s="7">
        <v>207.58</v>
      </c>
      <c r="Z441" s="7">
        <f t="shared" ref="Z441:AA441" si="449">W441*X441</f>
        <v>207.846</v>
      </c>
      <c r="AA441" s="7">
        <f t="shared" si="449"/>
        <v>207.58</v>
      </c>
      <c r="AB441" s="7">
        <f t="shared" si="265"/>
        <v>0.26599999999999113</v>
      </c>
    </row>
    <row r="442" spans="1:28">
      <c r="A442" s="1">
        <v>441</v>
      </c>
      <c r="B442" s="1" t="s">
        <v>1257</v>
      </c>
      <c r="C442" s="2">
        <v>42864</v>
      </c>
      <c r="D442" s="6" t="str">
        <f t="shared" si="260"/>
        <v>May</v>
      </c>
      <c r="E442" s="6" t="str">
        <f t="shared" si="261"/>
        <v>Qtr 2</v>
      </c>
      <c r="F442" s="5">
        <v>42925</v>
      </c>
      <c r="G442" s="1" t="s">
        <v>26</v>
      </c>
      <c r="H442" s="1" t="s">
        <v>95</v>
      </c>
      <c r="I442" s="1" t="s">
        <v>96</v>
      </c>
      <c r="J442" s="1" t="str">
        <f ca="1">IFERROR(__xludf.DUMMYFUNCTION("split(I442,"" "")"),"Pete")</f>
        <v>Pete</v>
      </c>
      <c r="K442" s="1" t="str">
        <f ca="1">IFERROR(__xludf.DUMMYFUNCTION("""COMPUTED_VALUE"""),"Kriz")</f>
        <v>Kriz</v>
      </c>
      <c r="L442" s="1"/>
      <c r="M442" s="1" t="s">
        <v>29</v>
      </c>
      <c r="N442" s="1" t="s">
        <v>30</v>
      </c>
      <c r="O442" s="1" t="s">
        <v>728</v>
      </c>
      <c r="P442" s="1" t="str">
        <f t="shared" si="262"/>
        <v>Detroit</v>
      </c>
      <c r="Q442" s="1" t="s">
        <v>209</v>
      </c>
      <c r="R442" s="1" t="str">
        <f t="shared" si="263"/>
        <v>Michigan</v>
      </c>
      <c r="S442" s="1">
        <v>48227</v>
      </c>
      <c r="T442" s="1" t="s">
        <v>90</v>
      </c>
      <c r="U442" s="1" t="s">
        <v>1258</v>
      </c>
      <c r="V442" s="1" t="s">
        <v>35</v>
      </c>
      <c r="W442" s="7">
        <v>12.22</v>
      </c>
      <c r="X442" s="1">
        <v>4</v>
      </c>
      <c r="Y442" s="7">
        <v>11.56</v>
      </c>
      <c r="Z442" s="7">
        <f t="shared" ref="Z442:AA442" si="450">W442*X442</f>
        <v>48.88</v>
      </c>
      <c r="AA442" s="7">
        <f t="shared" si="450"/>
        <v>46.24</v>
      </c>
      <c r="AB442" s="7">
        <f t="shared" si="265"/>
        <v>2.6400000000000006</v>
      </c>
    </row>
    <row r="443" spans="1:28">
      <c r="A443" s="1">
        <v>442</v>
      </c>
      <c r="B443" s="1" t="s">
        <v>1257</v>
      </c>
      <c r="C443" s="2">
        <v>42864</v>
      </c>
      <c r="D443" s="6" t="str">
        <f t="shared" si="260"/>
        <v>May</v>
      </c>
      <c r="E443" s="6" t="str">
        <f t="shared" si="261"/>
        <v>Qtr 2</v>
      </c>
      <c r="F443" s="5">
        <v>42925</v>
      </c>
      <c r="G443" s="1" t="s">
        <v>26</v>
      </c>
      <c r="H443" s="1" t="s">
        <v>95</v>
      </c>
      <c r="I443" s="1" t="s">
        <v>96</v>
      </c>
      <c r="J443" s="1" t="str">
        <f ca="1">IFERROR(__xludf.DUMMYFUNCTION("split(I443,"" "")"),"Pete")</f>
        <v>Pete</v>
      </c>
      <c r="K443" s="1" t="str">
        <f ca="1">IFERROR(__xludf.DUMMYFUNCTION("""COMPUTED_VALUE"""),"Kriz")</f>
        <v>Kriz</v>
      </c>
      <c r="L443" s="1"/>
      <c r="M443" s="1" t="s">
        <v>29</v>
      </c>
      <c r="N443" s="1" t="s">
        <v>30</v>
      </c>
      <c r="O443" s="1" t="s">
        <v>728</v>
      </c>
      <c r="P443" s="1" t="str">
        <f t="shared" si="262"/>
        <v>Detroit</v>
      </c>
      <c r="Q443" s="1" t="s">
        <v>209</v>
      </c>
      <c r="R443" s="1" t="str">
        <f t="shared" si="263"/>
        <v>Michigan</v>
      </c>
      <c r="S443" s="1">
        <v>48227</v>
      </c>
      <c r="T443" s="1" t="s">
        <v>90</v>
      </c>
      <c r="U443" s="1" t="s">
        <v>1259</v>
      </c>
      <c r="V443" s="1" t="s">
        <v>46</v>
      </c>
      <c r="W443" s="7">
        <v>194.94</v>
      </c>
      <c r="X443" s="1">
        <v>4</v>
      </c>
      <c r="Y443" s="7">
        <v>194.44</v>
      </c>
      <c r="Z443" s="7">
        <f t="shared" ref="Z443:AA443" si="451">W443*X443</f>
        <v>779.76</v>
      </c>
      <c r="AA443" s="7">
        <f t="shared" si="451"/>
        <v>777.76</v>
      </c>
      <c r="AB443" s="7">
        <f t="shared" si="265"/>
        <v>2</v>
      </c>
    </row>
    <row r="444" spans="1:28">
      <c r="A444" s="1">
        <v>443</v>
      </c>
      <c r="B444" s="1" t="s">
        <v>1257</v>
      </c>
      <c r="C444" s="2">
        <v>42864</v>
      </c>
      <c r="D444" s="6" t="str">
        <f t="shared" si="260"/>
        <v>May</v>
      </c>
      <c r="E444" s="6" t="str">
        <f t="shared" si="261"/>
        <v>Qtr 2</v>
      </c>
      <c r="F444" s="5">
        <v>42925</v>
      </c>
      <c r="G444" s="1" t="s">
        <v>26</v>
      </c>
      <c r="H444" s="1" t="s">
        <v>95</v>
      </c>
      <c r="I444" s="1" t="s">
        <v>96</v>
      </c>
      <c r="J444" s="1" t="str">
        <f ca="1">IFERROR(__xludf.DUMMYFUNCTION("split(I444,"" "")"),"Pete")</f>
        <v>Pete</v>
      </c>
      <c r="K444" s="1" t="str">
        <f ca="1">IFERROR(__xludf.DUMMYFUNCTION("""COMPUTED_VALUE"""),"Kriz")</f>
        <v>Kriz</v>
      </c>
      <c r="L444" s="1"/>
      <c r="M444" s="1" t="s">
        <v>29</v>
      </c>
      <c r="N444" s="1" t="s">
        <v>30</v>
      </c>
      <c r="O444" s="1" t="s">
        <v>728</v>
      </c>
      <c r="P444" s="1" t="str">
        <f t="shared" si="262"/>
        <v>Detroit</v>
      </c>
      <c r="Q444" s="1" t="s">
        <v>209</v>
      </c>
      <c r="R444" s="1" t="str">
        <f t="shared" si="263"/>
        <v>Michigan</v>
      </c>
      <c r="S444" s="1">
        <v>48227</v>
      </c>
      <c r="T444" s="1" t="s">
        <v>90</v>
      </c>
      <c r="U444" s="1" t="s">
        <v>1260</v>
      </c>
      <c r="V444" s="1" t="s">
        <v>46</v>
      </c>
      <c r="W444" s="7">
        <v>70.95</v>
      </c>
      <c r="X444" s="1">
        <v>4</v>
      </c>
      <c r="Y444" s="7">
        <v>70.42</v>
      </c>
      <c r="Z444" s="7">
        <f t="shared" ref="Z444:AA444" si="452">W444*X444</f>
        <v>283.8</v>
      </c>
      <c r="AA444" s="7">
        <f t="shared" si="452"/>
        <v>281.68</v>
      </c>
      <c r="AB444" s="7">
        <f t="shared" si="265"/>
        <v>2.1200000000000045</v>
      </c>
    </row>
    <row r="445" spans="1:28">
      <c r="A445" s="1">
        <v>444</v>
      </c>
      <c r="B445" s="1" t="s">
        <v>1257</v>
      </c>
      <c r="C445" s="2">
        <v>42864</v>
      </c>
      <c r="D445" s="6" t="str">
        <f t="shared" si="260"/>
        <v>May</v>
      </c>
      <c r="E445" s="6" t="str">
        <f t="shared" si="261"/>
        <v>Qtr 2</v>
      </c>
      <c r="F445" s="5">
        <v>42925</v>
      </c>
      <c r="G445" s="1" t="s">
        <v>26</v>
      </c>
      <c r="H445" s="1" t="s">
        <v>95</v>
      </c>
      <c r="I445" s="1" t="s">
        <v>96</v>
      </c>
      <c r="J445" s="1" t="str">
        <f ca="1">IFERROR(__xludf.DUMMYFUNCTION("split(I445,"" "")"),"Pete")</f>
        <v>Pete</v>
      </c>
      <c r="K445" s="1" t="str">
        <f ca="1">IFERROR(__xludf.DUMMYFUNCTION("""COMPUTED_VALUE"""),"Kriz")</f>
        <v>Kriz</v>
      </c>
      <c r="L445" s="1"/>
      <c r="M445" s="1" t="s">
        <v>29</v>
      </c>
      <c r="N445" s="1" t="s">
        <v>30</v>
      </c>
      <c r="O445" s="1" t="s">
        <v>728</v>
      </c>
      <c r="P445" s="1" t="str">
        <f t="shared" si="262"/>
        <v>Detroit</v>
      </c>
      <c r="Q445" s="1" t="s">
        <v>209</v>
      </c>
      <c r="R445" s="1" t="str">
        <f t="shared" si="263"/>
        <v>Michigan</v>
      </c>
      <c r="S445" s="1">
        <v>48227</v>
      </c>
      <c r="T445" s="1" t="s">
        <v>90</v>
      </c>
      <c r="U445" s="1" t="s">
        <v>1261</v>
      </c>
      <c r="V445" s="1" t="s">
        <v>46</v>
      </c>
      <c r="W445" s="7">
        <v>91.36</v>
      </c>
      <c r="X445" s="1">
        <v>4</v>
      </c>
      <c r="Y445" s="7">
        <v>90.47</v>
      </c>
      <c r="Z445" s="7">
        <f t="shared" ref="Z445:AA445" si="453">W445*X445</f>
        <v>365.44</v>
      </c>
      <c r="AA445" s="7">
        <f t="shared" si="453"/>
        <v>361.88</v>
      </c>
      <c r="AB445" s="7">
        <f t="shared" si="265"/>
        <v>3.5600000000000023</v>
      </c>
    </row>
    <row r="446" spans="1:28">
      <c r="A446" s="1">
        <v>445</v>
      </c>
      <c r="B446" s="1" t="s">
        <v>1257</v>
      </c>
      <c r="C446" s="2">
        <v>42864</v>
      </c>
      <c r="D446" s="6" t="str">
        <f t="shared" si="260"/>
        <v>May</v>
      </c>
      <c r="E446" s="6" t="str">
        <f t="shared" si="261"/>
        <v>Qtr 2</v>
      </c>
      <c r="F446" s="5">
        <v>42925</v>
      </c>
      <c r="G446" s="1" t="s">
        <v>26</v>
      </c>
      <c r="H446" s="1" t="s">
        <v>95</v>
      </c>
      <c r="I446" s="1" t="s">
        <v>96</v>
      </c>
      <c r="J446" s="1" t="str">
        <f ca="1">IFERROR(__xludf.DUMMYFUNCTION("split(I446,"" "")"),"Pete")</f>
        <v>Pete</v>
      </c>
      <c r="K446" s="1" t="str">
        <f ca="1">IFERROR(__xludf.DUMMYFUNCTION("""COMPUTED_VALUE"""),"Kriz")</f>
        <v>Kriz</v>
      </c>
      <c r="L446" s="1"/>
      <c r="M446" s="1" t="s">
        <v>29</v>
      </c>
      <c r="N446" s="1" t="s">
        <v>30</v>
      </c>
      <c r="O446" s="1" t="s">
        <v>728</v>
      </c>
      <c r="P446" s="1" t="str">
        <f t="shared" si="262"/>
        <v>Detroit</v>
      </c>
      <c r="Q446" s="1" t="s">
        <v>209</v>
      </c>
      <c r="R446" s="1" t="str">
        <f t="shared" si="263"/>
        <v>Michigan</v>
      </c>
      <c r="S446" s="1">
        <v>48227</v>
      </c>
      <c r="T446" s="1" t="s">
        <v>90</v>
      </c>
      <c r="U446" s="1" t="s">
        <v>1262</v>
      </c>
      <c r="V446" s="1" t="s">
        <v>35</v>
      </c>
      <c r="W446" s="7">
        <v>242.94</v>
      </c>
      <c r="X446" s="1">
        <v>4</v>
      </c>
      <c r="Y446" s="7">
        <v>242.17</v>
      </c>
      <c r="Z446" s="7">
        <f t="shared" ref="Z446:AA446" si="454">W446*X446</f>
        <v>971.76</v>
      </c>
      <c r="AA446" s="7">
        <f t="shared" si="454"/>
        <v>968.68</v>
      </c>
      <c r="AB446" s="7">
        <f t="shared" si="265"/>
        <v>3.0800000000000409</v>
      </c>
    </row>
    <row r="447" spans="1:28">
      <c r="A447" s="1">
        <v>446</v>
      </c>
      <c r="B447" s="1" t="s">
        <v>1257</v>
      </c>
      <c r="C447" s="2">
        <v>42864</v>
      </c>
      <c r="D447" s="6" t="str">
        <f t="shared" si="260"/>
        <v>May</v>
      </c>
      <c r="E447" s="6" t="str">
        <f t="shared" si="261"/>
        <v>Qtr 2</v>
      </c>
      <c r="F447" s="5">
        <v>42925</v>
      </c>
      <c r="G447" s="1" t="s">
        <v>26</v>
      </c>
      <c r="H447" s="1" t="s">
        <v>95</v>
      </c>
      <c r="I447" s="1" t="s">
        <v>96</v>
      </c>
      <c r="J447" s="1" t="str">
        <f ca="1">IFERROR(__xludf.DUMMYFUNCTION("split(I447,"" "")"),"Pete")</f>
        <v>Pete</v>
      </c>
      <c r="K447" s="1" t="str">
        <f ca="1">IFERROR(__xludf.DUMMYFUNCTION("""COMPUTED_VALUE"""),"Kriz")</f>
        <v>Kriz</v>
      </c>
      <c r="L447" s="1"/>
      <c r="M447" s="1" t="s">
        <v>29</v>
      </c>
      <c r="N447" s="1" t="s">
        <v>30</v>
      </c>
      <c r="O447" s="1" t="s">
        <v>728</v>
      </c>
      <c r="P447" s="1" t="str">
        <f t="shared" si="262"/>
        <v>Detroit</v>
      </c>
      <c r="Q447" s="1" t="s">
        <v>209</v>
      </c>
      <c r="R447" s="1" t="str">
        <f t="shared" si="263"/>
        <v>Michigan</v>
      </c>
      <c r="S447" s="1">
        <v>48227</v>
      </c>
      <c r="T447" s="1" t="s">
        <v>90</v>
      </c>
      <c r="U447" s="1" t="s">
        <v>1263</v>
      </c>
      <c r="V447" s="1" t="s">
        <v>46</v>
      </c>
      <c r="W447" s="7">
        <v>22.05</v>
      </c>
      <c r="X447" s="1">
        <v>4</v>
      </c>
      <c r="Y447" s="7">
        <v>21.14</v>
      </c>
      <c r="Z447" s="7">
        <f t="shared" ref="Z447:AA447" si="455">W447*X447</f>
        <v>88.2</v>
      </c>
      <c r="AA447" s="7">
        <f t="shared" si="455"/>
        <v>84.56</v>
      </c>
      <c r="AB447" s="7">
        <f t="shared" si="265"/>
        <v>3.6400000000000006</v>
      </c>
    </row>
    <row r="448" spans="1:28">
      <c r="A448" s="1">
        <v>447</v>
      </c>
      <c r="B448" s="1" t="s">
        <v>1264</v>
      </c>
      <c r="C448" s="2">
        <v>43179</v>
      </c>
      <c r="D448" s="6" t="str">
        <f t="shared" si="260"/>
        <v>Mar</v>
      </c>
      <c r="E448" s="6" t="str">
        <f t="shared" si="261"/>
        <v>Qtr 1</v>
      </c>
      <c r="F448" s="5" t="s">
        <v>1265</v>
      </c>
      <c r="G448" s="1" t="s">
        <v>26</v>
      </c>
      <c r="H448" s="1" t="s">
        <v>1266</v>
      </c>
      <c r="I448" s="1" t="s">
        <v>1267</v>
      </c>
      <c r="J448" s="1" t="str">
        <f ca="1">IFERROR(__xludf.DUMMYFUNCTION("split(I448,"" "")"),"Troy")</f>
        <v>Troy</v>
      </c>
      <c r="K448" s="1" t="str">
        <f ca="1">IFERROR(__xludf.DUMMYFUNCTION("""COMPUTED_VALUE"""),"Blackwell")</f>
        <v>Blackwell</v>
      </c>
      <c r="L448" s="1"/>
      <c r="M448" s="1" t="s">
        <v>29</v>
      </c>
      <c r="N448" s="1" t="s">
        <v>30</v>
      </c>
      <c r="O448" s="1" t="s">
        <v>420</v>
      </c>
      <c r="P448" s="1" t="str">
        <f t="shared" si="262"/>
        <v>Columbus</v>
      </c>
      <c r="Q448" s="1" t="s">
        <v>224</v>
      </c>
      <c r="R448" s="1" t="str">
        <f t="shared" si="263"/>
        <v>Indiana</v>
      </c>
      <c r="S448" s="1">
        <v>47201</v>
      </c>
      <c r="T448" s="1" t="s">
        <v>90</v>
      </c>
      <c r="U448" s="1" t="s">
        <v>1268</v>
      </c>
      <c r="V448" s="1" t="s">
        <v>35</v>
      </c>
      <c r="W448" s="7">
        <v>2.91</v>
      </c>
      <c r="X448" s="1">
        <v>4</v>
      </c>
      <c r="Y448" s="7">
        <v>2.17</v>
      </c>
      <c r="Z448" s="7">
        <f t="shared" ref="Z448:AA448" si="456">W448*X448</f>
        <v>11.64</v>
      </c>
      <c r="AA448" s="7">
        <f t="shared" si="456"/>
        <v>8.68</v>
      </c>
      <c r="AB448" s="7">
        <f t="shared" si="265"/>
        <v>2.9600000000000009</v>
      </c>
    </row>
    <row r="449" spans="1:28">
      <c r="A449" s="1">
        <v>448</v>
      </c>
      <c r="B449" s="1" t="s">
        <v>1269</v>
      </c>
      <c r="C449" s="2">
        <v>42739</v>
      </c>
      <c r="D449" s="6" t="str">
        <f t="shared" si="260"/>
        <v>Jan</v>
      </c>
      <c r="E449" s="6" t="str">
        <f t="shared" si="261"/>
        <v>Qtr 1</v>
      </c>
      <c r="F449" s="5">
        <v>42798</v>
      </c>
      <c r="G449" s="1" t="s">
        <v>26</v>
      </c>
      <c r="H449" s="1" t="s">
        <v>1270</v>
      </c>
      <c r="I449" s="1" t="s">
        <v>1271</v>
      </c>
      <c r="J449" s="1" t="str">
        <f ca="1">IFERROR(__xludf.DUMMYFUNCTION("split(I449,"" "")"),"Raymond")</f>
        <v>Raymond</v>
      </c>
      <c r="K449" s="1" t="str">
        <f ca="1">IFERROR(__xludf.DUMMYFUNCTION("""COMPUTED_VALUE"""),"Buch")</f>
        <v>Buch</v>
      </c>
      <c r="L449" s="1"/>
      <c r="M449" s="1" t="s">
        <v>29</v>
      </c>
      <c r="N449" s="1" t="s">
        <v>30</v>
      </c>
      <c r="O449" s="1" t="s">
        <v>1272</v>
      </c>
      <c r="P449" s="1" t="str">
        <f t="shared" si="262"/>
        <v>Auburn</v>
      </c>
      <c r="Q449" s="1" t="s">
        <v>234</v>
      </c>
      <c r="R449" s="1" t="str">
        <f t="shared" si="263"/>
        <v>New York</v>
      </c>
      <c r="S449" s="1">
        <v>13021</v>
      </c>
      <c r="T449" s="1" t="s">
        <v>128</v>
      </c>
      <c r="U449" s="1" t="s">
        <v>1273</v>
      </c>
      <c r="V449" s="1" t="s">
        <v>46</v>
      </c>
      <c r="W449" s="7">
        <v>59.52</v>
      </c>
      <c r="X449" s="1">
        <v>1</v>
      </c>
      <c r="Y449" s="7">
        <v>58.78</v>
      </c>
      <c r="Z449" s="7">
        <f t="shared" ref="Z449:AA449" si="457">W449*X449</f>
        <v>59.52</v>
      </c>
      <c r="AA449" s="7">
        <f t="shared" si="457"/>
        <v>58.78</v>
      </c>
      <c r="AB449" s="7">
        <f t="shared" si="265"/>
        <v>0.74000000000000199</v>
      </c>
    </row>
    <row r="450" spans="1:28">
      <c r="A450" s="1">
        <v>449</v>
      </c>
      <c r="B450" s="1" t="s">
        <v>1269</v>
      </c>
      <c r="C450" s="2">
        <v>42739</v>
      </c>
      <c r="D450" s="6" t="str">
        <f t="shared" si="260"/>
        <v>Jan</v>
      </c>
      <c r="E450" s="6" t="str">
        <f t="shared" si="261"/>
        <v>Qtr 1</v>
      </c>
      <c r="F450" s="5">
        <v>42798</v>
      </c>
      <c r="G450" s="1" t="s">
        <v>26</v>
      </c>
      <c r="H450" s="1" t="s">
        <v>1270</v>
      </c>
      <c r="I450" s="1" t="s">
        <v>1271</v>
      </c>
      <c r="J450" s="1" t="str">
        <f ca="1">IFERROR(__xludf.DUMMYFUNCTION("split(I450,"" "")"),"Raymond")</f>
        <v>Raymond</v>
      </c>
      <c r="K450" s="1" t="str">
        <f ca="1">IFERROR(__xludf.DUMMYFUNCTION("""COMPUTED_VALUE"""),"Buch")</f>
        <v>Buch</v>
      </c>
      <c r="L450" s="1"/>
      <c r="M450" s="1" t="s">
        <v>29</v>
      </c>
      <c r="N450" s="1" t="s">
        <v>30</v>
      </c>
      <c r="O450" s="1" t="s">
        <v>1272</v>
      </c>
      <c r="P450" s="1" t="str">
        <f t="shared" si="262"/>
        <v>Auburn</v>
      </c>
      <c r="Q450" s="1" t="s">
        <v>234</v>
      </c>
      <c r="R450" s="1" t="str">
        <f t="shared" si="263"/>
        <v>New York</v>
      </c>
      <c r="S450" s="1">
        <v>13021</v>
      </c>
      <c r="T450" s="1" t="s">
        <v>128</v>
      </c>
      <c r="U450" s="1" t="s">
        <v>1274</v>
      </c>
      <c r="V450" s="1" t="s">
        <v>46</v>
      </c>
      <c r="W450" s="7">
        <v>161.94</v>
      </c>
      <c r="X450" s="1">
        <v>1</v>
      </c>
      <c r="Y450" s="7">
        <v>161.59</v>
      </c>
      <c r="Z450" s="7">
        <f t="shared" ref="Z450:AA450" si="458">W450*X450</f>
        <v>161.94</v>
      </c>
      <c r="AA450" s="7">
        <f t="shared" si="458"/>
        <v>161.59</v>
      </c>
      <c r="AB450" s="7">
        <f t="shared" si="265"/>
        <v>0.34999999999999432</v>
      </c>
    </row>
    <row r="451" spans="1:28">
      <c r="A451" s="1">
        <v>450</v>
      </c>
      <c r="B451" s="1" t="s">
        <v>1269</v>
      </c>
      <c r="C451" s="2">
        <v>42739</v>
      </c>
      <c r="D451" s="6" t="str">
        <f t="shared" si="260"/>
        <v>Jan</v>
      </c>
      <c r="E451" s="6" t="str">
        <f t="shared" si="261"/>
        <v>Qtr 1</v>
      </c>
      <c r="F451" s="5">
        <v>42798</v>
      </c>
      <c r="G451" s="1" t="s">
        <v>26</v>
      </c>
      <c r="H451" s="1" t="s">
        <v>1270</v>
      </c>
      <c r="I451" s="1" t="s">
        <v>1271</v>
      </c>
      <c r="J451" s="1" t="str">
        <f ca="1">IFERROR(__xludf.DUMMYFUNCTION("split(I451,"" "")"),"Raymond")</f>
        <v>Raymond</v>
      </c>
      <c r="K451" s="1" t="str">
        <f ca="1">IFERROR(__xludf.DUMMYFUNCTION("""COMPUTED_VALUE"""),"Buch")</f>
        <v>Buch</v>
      </c>
      <c r="L451" s="1"/>
      <c r="M451" s="1" t="s">
        <v>29</v>
      </c>
      <c r="N451" s="1" t="s">
        <v>30</v>
      </c>
      <c r="O451" s="1" t="s">
        <v>1272</v>
      </c>
      <c r="P451" s="1" t="str">
        <f t="shared" si="262"/>
        <v>Auburn</v>
      </c>
      <c r="Q451" s="1" t="s">
        <v>234</v>
      </c>
      <c r="R451" s="1" t="str">
        <f t="shared" si="263"/>
        <v>New York</v>
      </c>
      <c r="S451" s="1">
        <v>13021</v>
      </c>
      <c r="T451" s="1" t="s">
        <v>128</v>
      </c>
      <c r="U451" s="1" t="s">
        <v>1275</v>
      </c>
      <c r="V451" s="1" t="s">
        <v>46</v>
      </c>
      <c r="W451" s="7">
        <v>263.88</v>
      </c>
      <c r="X451" s="1">
        <v>1</v>
      </c>
      <c r="Y451" s="7">
        <v>263.38</v>
      </c>
      <c r="Z451" s="7">
        <f t="shared" ref="Z451:AA451" si="459">W451*X451</f>
        <v>263.88</v>
      </c>
      <c r="AA451" s="7">
        <f t="shared" si="459"/>
        <v>263.38</v>
      </c>
      <c r="AB451" s="7">
        <f t="shared" si="265"/>
        <v>0.5</v>
      </c>
    </row>
    <row r="452" spans="1:28">
      <c r="A452" s="1">
        <v>451</v>
      </c>
      <c r="B452" s="1" t="s">
        <v>1269</v>
      </c>
      <c r="C452" s="2">
        <v>42739</v>
      </c>
      <c r="D452" s="6" t="str">
        <f t="shared" si="260"/>
        <v>Jan</v>
      </c>
      <c r="E452" s="6" t="str">
        <f t="shared" si="261"/>
        <v>Qtr 1</v>
      </c>
      <c r="F452" s="5">
        <v>42798</v>
      </c>
      <c r="G452" s="1" t="s">
        <v>26</v>
      </c>
      <c r="H452" s="1" t="s">
        <v>1270</v>
      </c>
      <c r="I452" s="1" t="s">
        <v>1271</v>
      </c>
      <c r="J452" s="1" t="str">
        <f ca="1">IFERROR(__xludf.DUMMYFUNCTION("split(I452,"" "")"),"Raymond")</f>
        <v>Raymond</v>
      </c>
      <c r="K452" s="1" t="str">
        <f ca="1">IFERROR(__xludf.DUMMYFUNCTION("""COMPUTED_VALUE"""),"Buch")</f>
        <v>Buch</v>
      </c>
      <c r="L452" s="1"/>
      <c r="M452" s="1" t="s">
        <v>29</v>
      </c>
      <c r="N452" s="1" t="s">
        <v>30</v>
      </c>
      <c r="O452" s="1" t="s">
        <v>1272</v>
      </c>
      <c r="P452" s="1" t="str">
        <f t="shared" si="262"/>
        <v>Auburn</v>
      </c>
      <c r="Q452" s="1" t="s">
        <v>234</v>
      </c>
      <c r="R452" s="1" t="str">
        <f t="shared" si="263"/>
        <v>New York</v>
      </c>
      <c r="S452" s="1">
        <v>13021</v>
      </c>
      <c r="T452" s="1" t="s">
        <v>128</v>
      </c>
      <c r="U452" s="1" t="s">
        <v>1276</v>
      </c>
      <c r="V452" s="1" t="s">
        <v>46</v>
      </c>
      <c r="W452" s="7">
        <v>30.48</v>
      </c>
      <c r="X452" s="1">
        <v>1</v>
      </c>
      <c r="Y452" s="7">
        <v>30.24</v>
      </c>
      <c r="Z452" s="7">
        <f t="shared" ref="Z452:AA452" si="460">W452*X452</f>
        <v>30.48</v>
      </c>
      <c r="AA452" s="7">
        <f t="shared" si="460"/>
        <v>30.24</v>
      </c>
      <c r="AB452" s="7">
        <f t="shared" si="265"/>
        <v>0.24000000000000199</v>
      </c>
    </row>
    <row r="453" spans="1:28">
      <c r="A453" s="1">
        <v>452</v>
      </c>
      <c r="B453" s="1" t="s">
        <v>1269</v>
      </c>
      <c r="C453" s="2">
        <v>42739</v>
      </c>
      <c r="D453" s="6" t="str">
        <f t="shared" si="260"/>
        <v>Jan</v>
      </c>
      <c r="E453" s="6" t="str">
        <f t="shared" si="261"/>
        <v>Qtr 1</v>
      </c>
      <c r="F453" s="5">
        <v>42798</v>
      </c>
      <c r="G453" s="1" t="s">
        <v>26</v>
      </c>
      <c r="H453" s="1" t="s">
        <v>1270</v>
      </c>
      <c r="I453" s="1" t="s">
        <v>1271</v>
      </c>
      <c r="J453" s="1" t="str">
        <f ca="1">IFERROR(__xludf.DUMMYFUNCTION("split(I453,"" "")"),"Raymond")</f>
        <v>Raymond</v>
      </c>
      <c r="K453" s="1" t="str">
        <f ca="1">IFERROR(__xludf.DUMMYFUNCTION("""COMPUTED_VALUE"""),"Buch")</f>
        <v>Buch</v>
      </c>
      <c r="L453" s="1"/>
      <c r="M453" s="1" t="s">
        <v>29</v>
      </c>
      <c r="N453" s="1" t="s">
        <v>30</v>
      </c>
      <c r="O453" s="1" t="s">
        <v>1272</v>
      </c>
      <c r="P453" s="1" t="str">
        <f t="shared" si="262"/>
        <v>Auburn</v>
      </c>
      <c r="Q453" s="1" t="s">
        <v>234</v>
      </c>
      <c r="R453" s="1" t="str">
        <f t="shared" si="263"/>
        <v>New York</v>
      </c>
      <c r="S453" s="1">
        <v>13021</v>
      </c>
      <c r="T453" s="1" t="s">
        <v>128</v>
      </c>
      <c r="U453" s="1" t="s">
        <v>1277</v>
      </c>
      <c r="V453" s="1" t="s">
        <v>46</v>
      </c>
      <c r="W453" s="7">
        <v>9.84</v>
      </c>
      <c r="X453" s="1">
        <v>1</v>
      </c>
      <c r="Y453" s="7">
        <v>9.02</v>
      </c>
      <c r="Z453" s="7">
        <f t="shared" ref="Z453:AA453" si="461">W453*X453</f>
        <v>9.84</v>
      </c>
      <c r="AA453" s="7">
        <f t="shared" si="461"/>
        <v>9.02</v>
      </c>
      <c r="AB453" s="7">
        <f t="shared" si="265"/>
        <v>0.82000000000000028</v>
      </c>
    </row>
    <row r="454" spans="1:28">
      <c r="A454" s="1">
        <v>453</v>
      </c>
      <c r="B454" s="1" t="s">
        <v>1269</v>
      </c>
      <c r="C454" s="2">
        <v>42739</v>
      </c>
      <c r="D454" s="6" t="str">
        <f t="shared" si="260"/>
        <v>Jan</v>
      </c>
      <c r="E454" s="6" t="str">
        <f t="shared" si="261"/>
        <v>Qtr 1</v>
      </c>
      <c r="F454" s="5">
        <v>42798</v>
      </c>
      <c r="G454" s="1" t="s">
        <v>26</v>
      </c>
      <c r="H454" s="1" t="s">
        <v>1270</v>
      </c>
      <c r="I454" s="1" t="s">
        <v>1271</v>
      </c>
      <c r="J454" s="1" t="str">
        <f ca="1">IFERROR(__xludf.DUMMYFUNCTION("split(I454,"" "")"),"Raymond")</f>
        <v>Raymond</v>
      </c>
      <c r="K454" s="1" t="str">
        <f ca="1">IFERROR(__xludf.DUMMYFUNCTION("""COMPUTED_VALUE"""),"Buch")</f>
        <v>Buch</v>
      </c>
      <c r="L454" s="1"/>
      <c r="M454" s="1" t="s">
        <v>29</v>
      </c>
      <c r="N454" s="1" t="s">
        <v>30</v>
      </c>
      <c r="O454" s="1" t="s">
        <v>1272</v>
      </c>
      <c r="P454" s="1" t="str">
        <f t="shared" si="262"/>
        <v>Auburn</v>
      </c>
      <c r="Q454" s="1" t="s">
        <v>234</v>
      </c>
      <c r="R454" s="1" t="str">
        <f t="shared" si="263"/>
        <v>New York</v>
      </c>
      <c r="S454" s="1">
        <v>13021</v>
      </c>
      <c r="T454" s="1" t="s">
        <v>128</v>
      </c>
      <c r="U454" s="1" t="s">
        <v>1278</v>
      </c>
      <c r="V454" s="1" t="s">
        <v>64</v>
      </c>
      <c r="W454" s="7">
        <v>35.119999999999997</v>
      </c>
      <c r="X454" s="1">
        <v>1</v>
      </c>
      <c r="Y454" s="7">
        <v>34.270000000000003</v>
      </c>
      <c r="Z454" s="7">
        <f t="shared" ref="Z454:AA454" si="462">W454*X454</f>
        <v>35.119999999999997</v>
      </c>
      <c r="AA454" s="7">
        <f t="shared" si="462"/>
        <v>34.270000000000003</v>
      </c>
      <c r="AB454" s="7">
        <f t="shared" si="265"/>
        <v>0.84999999999999432</v>
      </c>
    </row>
    <row r="455" spans="1:28">
      <c r="A455" s="1">
        <v>454</v>
      </c>
      <c r="B455" s="1" t="s">
        <v>1279</v>
      </c>
      <c r="C455" s="2">
        <v>43393</v>
      </c>
      <c r="D455" s="6" t="str">
        <f t="shared" si="260"/>
        <v>Oct</v>
      </c>
      <c r="E455" s="6" t="str">
        <f t="shared" si="261"/>
        <v>Qtr 4</v>
      </c>
      <c r="F455" s="5" t="s">
        <v>1280</v>
      </c>
      <c r="G455" s="1" t="s">
        <v>49</v>
      </c>
      <c r="H455" s="1" t="s">
        <v>1281</v>
      </c>
      <c r="I455" s="1" t="s">
        <v>1282</v>
      </c>
      <c r="J455" s="1" t="str">
        <f ca="1">IFERROR(__xludf.DUMMYFUNCTION("split(I455,"" "")"),"Ed")</f>
        <v>Ed</v>
      </c>
      <c r="K455" s="1" t="str">
        <f ca="1">IFERROR(__xludf.DUMMYFUNCTION("""COMPUTED_VALUE"""),"Braxton")</f>
        <v>Braxton</v>
      </c>
      <c r="L455" s="1"/>
      <c r="M455" s="1" t="s">
        <v>41</v>
      </c>
      <c r="N455" s="1" t="s">
        <v>30</v>
      </c>
      <c r="O455" s="1" t="s">
        <v>665</v>
      </c>
      <c r="P455" s="1" t="str">
        <f t="shared" si="262"/>
        <v>Akron</v>
      </c>
      <c r="Q455" s="1" t="s">
        <v>421</v>
      </c>
      <c r="R455" s="1" t="str">
        <f t="shared" si="263"/>
        <v>Ohio</v>
      </c>
      <c r="S455" s="1">
        <v>44312</v>
      </c>
      <c r="T455" s="1" t="s">
        <v>128</v>
      </c>
      <c r="U455" s="1" t="s">
        <v>67</v>
      </c>
      <c r="V455" s="1" t="s">
        <v>35</v>
      </c>
      <c r="W455" s="7">
        <v>284.36399999999998</v>
      </c>
      <c r="X455" s="1">
        <v>4</v>
      </c>
      <c r="Y455" s="7">
        <v>283.97000000000003</v>
      </c>
      <c r="Z455" s="7">
        <f t="shared" ref="Z455:AA455" si="463">W455*X455</f>
        <v>1137.4559999999999</v>
      </c>
      <c r="AA455" s="7">
        <f t="shared" si="463"/>
        <v>1135.8800000000001</v>
      </c>
      <c r="AB455" s="7">
        <f t="shared" si="265"/>
        <v>1.5759999999997945</v>
      </c>
    </row>
    <row r="456" spans="1:28">
      <c r="A456" s="1">
        <v>455</v>
      </c>
      <c r="B456" s="1" t="s">
        <v>1279</v>
      </c>
      <c r="C456" s="2">
        <v>43393</v>
      </c>
      <c r="D456" s="6" t="str">
        <f t="shared" si="260"/>
        <v>Oct</v>
      </c>
      <c r="E456" s="6" t="str">
        <f t="shared" si="261"/>
        <v>Qtr 4</v>
      </c>
      <c r="F456" s="5" t="s">
        <v>1280</v>
      </c>
      <c r="G456" s="1" t="s">
        <v>49</v>
      </c>
      <c r="H456" s="1" t="s">
        <v>1281</v>
      </c>
      <c r="I456" s="1" t="s">
        <v>1282</v>
      </c>
      <c r="J456" s="1" t="str">
        <f ca="1">IFERROR(__xludf.DUMMYFUNCTION("split(I456,"" "")"),"Ed")</f>
        <v>Ed</v>
      </c>
      <c r="K456" s="1" t="str">
        <f ca="1">IFERROR(__xludf.DUMMYFUNCTION("""COMPUTED_VALUE"""),"Braxton")</f>
        <v>Braxton</v>
      </c>
      <c r="L456" s="1"/>
      <c r="M456" s="1" t="s">
        <v>41</v>
      </c>
      <c r="N456" s="1" t="s">
        <v>30</v>
      </c>
      <c r="O456" s="1" t="s">
        <v>665</v>
      </c>
      <c r="P456" s="1" t="str">
        <f t="shared" si="262"/>
        <v>Akron</v>
      </c>
      <c r="Q456" s="1" t="s">
        <v>421</v>
      </c>
      <c r="R456" s="1" t="str">
        <f t="shared" si="263"/>
        <v>Ohio</v>
      </c>
      <c r="S456" s="1">
        <v>44312</v>
      </c>
      <c r="T456" s="1" t="s">
        <v>128</v>
      </c>
      <c r="U456" s="1" t="s">
        <v>1283</v>
      </c>
      <c r="V456" s="1" t="s">
        <v>46</v>
      </c>
      <c r="W456" s="7">
        <v>665.40800000000002</v>
      </c>
      <c r="X456" s="1">
        <v>4</v>
      </c>
      <c r="Y456" s="7">
        <v>664.6</v>
      </c>
      <c r="Z456" s="7">
        <f t="shared" ref="Z456:AA456" si="464">W456*X456</f>
        <v>2661.6320000000001</v>
      </c>
      <c r="AA456" s="7">
        <f t="shared" si="464"/>
        <v>2658.4</v>
      </c>
      <c r="AB456" s="7">
        <f t="shared" si="265"/>
        <v>3.2319999999999709</v>
      </c>
    </row>
    <row r="457" spans="1:28">
      <c r="A457" s="1">
        <v>456</v>
      </c>
      <c r="B457" s="1" t="s">
        <v>1284</v>
      </c>
      <c r="C457" s="2">
        <v>43082</v>
      </c>
      <c r="D457" s="6" t="str">
        <f t="shared" si="260"/>
        <v>Dec</v>
      </c>
      <c r="E457" s="6" t="str">
        <f t="shared" si="261"/>
        <v>Qtr 4</v>
      </c>
      <c r="F457" s="5" t="s">
        <v>230</v>
      </c>
      <c r="G457" s="1" t="s">
        <v>49</v>
      </c>
      <c r="H457" s="1" t="s">
        <v>1225</v>
      </c>
      <c r="I457" s="1" t="s">
        <v>1226</v>
      </c>
      <c r="J457" s="1" t="str">
        <f ca="1">IFERROR(__xludf.DUMMYFUNCTION("split(I457,"" "")"),"Ken")</f>
        <v>Ken</v>
      </c>
      <c r="K457" s="1" t="str">
        <f ca="1">IFERROR(__xludf.DUMMYFUNCTION("""COMPUTED_VALUE"""),"Heidel")</f>
        <v>Heidel</v>
      </c>
      <c r="L457" s="1"/>
      <c r="M457" s="1" t="s">
        <v>41</v>
      </c>
      <c r="N457" s="1" t="s">
        <v>30</v>
      </c>
      <c r="O457" s="1" t="s">
        <v>1285</v>
      </c>
      <c r="P457" s="1" t="str">
        <f t="shared" si="262"/>
        <v>Norman</v>
      </c>
      <c r="Q457" s="1" t="s">
        <v>540</v>
      </c>
      <c r="R457" s="1" t="str">
        <f t="shared" si="263"/>
        <v>Oklahoma</v>
      </c>
      <c r="S457" s="1">
        <v>73071</v>
      </c>
      <c r="T457" s="1" t="s">
        <v>90</v>
      </c>
      <c r="U457" s="1" t="s">
        <v>1286</v>
      </c>
      <c r="V457" s="1" t="s">
        <v>64</v>
      </c>
      <c r="W457" s="7">
        <v>63.88</v>
      </c>
      <c r="X457" s="1">
        <v>7</v>
      </c>
      <c r="Y457" s="7">
        <v>63.05</v>
      </c>
      <c r="Z457" s="7">
        <f t="shared" ref="Z457:AA457" si="465">W457*X457</f>
        <v>447.16</v>
      </c>
      <c r="AA457" s="7">
        <f t="shared" si="465"/>
        <v>441.34999999999997</v>
      </c>
      <c r="AB457" s="7">
        <f t="shared" si="265"/>
        <v>5.8100000000000591</v>
      </c>
    </row>
    <row r="458" spans="1:28">
      <c r="A458" s="1">
        <v>457</v>
      </c>
      <c r="B458" s="1" t="s">
        <v>1287</v>
      </c>
      <c r="C458" s="2">
        <v>42340</v>
      </c>
      <c r="D458" s="6" t="str">
        <f t="shared" si="260"/>
        <v>Dec</v>
      </c>
      <c r="E458" s="6" t="str">
        <f t="shared" si="261"/>
        <v>Qtr 4</v>
      </c>
      <c r="F458" s="5" t="s">
        <v>1288</v>
      </c>
      <c r="G458" s="1" t="s">
        <v>49</v>
      </c>
      <c r="H458" s="1" t="s">
        <v>1289</v>
      </c>
      <c r="I458" s="1" t="s">
        <v>1290</v>
      </c>
      <c r="J458" s="1" t="str">
        <f ca="1">IFERROR(__xludf.DUMMYFUNCTION("split(I458,"" "")"),"Sanjit")</f>
        <v>Sanjit</v>
      </c>
      <c r="K458" s="1" t="str">
        <f ca="1">IFERROR(__xludf.DUMMYFUNCTION("""COMPUTED_VALUE"""),"Chand")</f>
        <v>Chand</v>
      </c>
      <c r="L458" s="1"/>
      <c r="M458" s="1" t="s">
        <v>29</v>
      </c>
      <c r="N458" s="1" t="s">
        <v>30</v>
      </c>
      <c r="O458" s="1" t="s">
        <v>74</v>
      </c>
      <c r="P458" s="1" t="str">
        <f t="shared" si="262"/>
        <v>Concord</v>
      </c>
      <c r="Q458" s="1" t="s">
        <v>68</v>
      </c>
      <c r="R458" s="1" t="str">
        <f t="shared" si="263"/>
        <v>California</v>
      </c>
      <c r="S458" s="1">
        <v>94521</v>
      </c>
      <c r="T458" s="1" t="s">
        <v>44</v>
      </c>
      <c r="U458" s="1" t="s">
        <v>1291</v>
      </c>
      <c r="V458" s="1" t="s">
        <v>35</v>
      </c>
      <c r="W458" s="7">
        <v>129.56800000000001</v>
      </c>
      <c r="X458" s="1">
        <v>9</v>
      </c>
      <c r="Y458" s="7">
        <v>129.15</v>
      </c>
      <c r="Z458" s="7">
        <f t="shared" ref="Z458:AA458" si="466">W458*X458</f>
        <v>1166.1120000000001</v>
      </c>
      <c r="AA458" s="7">
        <f t="shared" si="466"/>
        <v>1162.3500000000001</v>
      </c>
      <c r="AB458" s="7">
        <f t="shared" si="265"/>
        <v>3.7619999999999436</v>
      </c>
    </row>
    <row r="459" spans="1:28">
      <c r="A459" s="1">
        <v>458</v>
      </c>
      <c r="B459" s="1" t="s">
        <v>1292</v>
      </c>
      <c r="C459" s="2">
        <v>43004</v>
      </c>
      <c r="D459" s="6" t="str">
        <f t="shared" si="260"/>
        <v>Sep</v>
      </c>
      <c r="E459" s="6" t="str">
        <f t="shared" si="261"/>
        <v>Qtr 3</v>
      </c>
      <c r="F459" s="5">
        <v>42745</v>
      </c>
      <c r="G459" s="1" t="s">
        <v>49</v>
      </c>
      <c r="H459" s="1" t="s">
        <v>1209</v>
      </c>
      <c r="I459" s="1" t="s">
        <v>1210</v>
      </c>
      <c r="J459" s="1" t="str">
        <f ca="1">IFERROR(__xludf.DUMMYFUNCTION("split(I459,"" "")"),"Natalie")</f>
        <v>Natalie</v>
      </c>
      <c r="K459" s="1" t="str">
        <f ca="1">IFERROR(__xludf.DUMMYFUNCTION("""COMPUTED_VALUE"""),"Fritzler")</f>
        <v>Fritzler</v>
      </c>
      <c r="L459" s="1"/>
      <c r="M459" s="1" t="s">
        <v>29</v>
      </c>
      <c r="N459" s="1" t="s">
        <v>30</v>
      </c>
      <c r="O459" s="1" t="s">
        <v>303</v>
      </c>
      <c r="P459" s="1" t="str">
        <f t="shared" si="262"/>
        <v>Decatur</v>
      </c>
      <c r="Q459" s="1" t="s">
        <v>182</v>
      </c>
      <c r="R459" s="1" t="str">
        <f t="shared" si="263"/>
        <v>Illinois</v>
      </c>
      <c r="S459" s="1">
        <v>62521</v>
      </c>
      <c r="T459" s="1" t="s">
        <v>90</v>
      </c>
      <c r="U459" s="1" t="s">
        <v>1293</v>
      </c>
      <c r="V459" s="1" t="s">
        <v>35</v>
      </c>
      <c r="W459" s="7">
        <v>747.55799999999999</v>
      </c>
      <c r="X459" s="1">
        <v>6</v>
      </c>
      <c r="Y459" s="7">
        <v>746.84</v>
      </c>
      <c r="Z459" s="7">
        <f t="shared" ref="Z459:AA459" si="467">W459*X459</f>
        <v>4485.348</v>
      </c>
      <c r="AA459" s="7">
        <f t="shared" si="467"/>
        <v>4481.04</v>
      </c>
      <c r="AB459" s="7">
        <f t="shared" si="265"/>
        <v>4.3079999999999927</v>
      </c>
    </row>
    <row r="460" spans="1:28">
      <c r="A460" s="1">
        <v>459</v>
      </c>
      <c r="B460" s="1" t="s">
        <v>1292</v>
      </c>
      <c r="C460" s="2">
        <v>43004</v>
      </c>
      <c r="D460" s="6" t="str">
        <f t="shared" si="260"/>
        <v>Sep</v>
      </c>
      <c r="E460" s="6" t="str">
        <f t="shared" si="261"/>
        <v>Qtr 3</v>
      </c>
      <c r="F460" s="5">
        <v>42745</v>
      </c>
      <c r="G460" s="1" t="s">
        <v>49</v>
      </c>
      <c r="H460" s="1" t="s">
        <v>1209</v>
      </c>
      <c r="I460" s="1" t="s">
        <v>1210</v>
      </c>
      <c r="J460" s="1" t="str">
        <f ca="1">IFERROR(__xludf.DUMMYFUNCTION("split(I460,"" "")"),"Natalie")</f>
        <v>Natalie</v>
      </c>
      <c r="K460" s="1" t="str">
        <f ca="1">IFERROR(__xludf.DUMMYFUNCTION("""COMPUTED_VALUE"""),"Fritzler")</f>
        <v>Fritzler</v>
      </c>
      <c r="L460" s="1"/>
      <c r="M460" s="1" t="s">
        <v>29</v>
      </c>
      <c r="N460" s="1" t="s">
        <v>30</v>
      </c>
      <c r="O460" s="1" t="s">
        <v>303</v>
      </c>
      <c r="P460" s="1" t="str">
        <f t="shared" si="262"/>
        <v>Decatur</v>
      </c>
      <c r="Q460" s="1" t="s">
        <v>182</v>
      </c>
      <c r="R460" s="1" t="str">
        <f t="shared" si="263"/>
        <v>Illinois</v>
      </c>
      <c r="S460" s="1">
        <v>62521</v>
      </c>
      <c r="T460" s="1" t="s">
        <v>90</v>
      </c>
      <c r="U460" s="1" t="s">
        <v>1294</v>
      </c>
      <c r="V460" s="1" t="s">
        <v>46</v>
      </c>
      <c r="W460" s="7">
        <v>8.9280000000000008</v>
      </c>
      <c r="X460" s="1">
        <v>6</v>
      </c>
      <c r="Y460" s="7">
        <v>8.2799999999999994</v>
      </c>
      <c r="Z460" s="7">
        <f t="shared" ref="Z460:AA460" si="468">W460*X460</f>
        <v>53.568000000000005</v>
      </c>
      <c r="AA460" s="7">
        <f t="shared" si="468"/>
        <v>49.679999999999993</v>
      </c>
      <c r="AB460" s="7">
        <f t="shared" si="265"/>
        <v>3.8880000000000123</v>
      </c>
    </row>
    <row r="461" spans="1:28">
      <c r="A461" s="1">
        <v>460</v>
      </c>
      <c r="B461" s="1" t="s">
        <v>1295</v>
      </c>
      <c r="C461" s="2">
        <v>42719</v>
      </c>
      <c r="D461" s="6" t="str">
        <f t="shared" si="260"/>
        <v>Dec</v>
      </c>
      <c r="E461" s="6" t="str">
        <f t="shared" si="261"/>
        <v>Qtr 4</v>
      </c>
      <c r="F461" s="5" t="s">
        <v>1296</v>
      </c>
      <c r="G461" s="1" t="s">
        <v>49</v>
      </c>
      <c r="H461" s="1" t="s">
        <v>690</v>
      </c>
      <c r="I461" s="1" t="s">
        <v>691</v>
      </c>
      <c r="J461" s="1" t="str">
        <f ca="1">IFERROR(__xludf.DUMMYFUNCTION("split(I461,"" "")"),"Joseph")</f>
        <v>Joseph</v>
      </c>
      <c r="K461" s="1" t="str">
        <f ca="1">IFERROR(__xludf.DUMMYFUNCTION("""COMPUTED_VALUE"""),"Holt")</f>
        <v>Holt</v>
      </c>
      <c r="L461" s="1"/>
      <c r="M461" s="1" t="s">
        <v>29</v>
      </c>
      <c r="N461" s="1" t="s">
        <v>30</v>
      </c>
      <c r="O461" s="1" t="s">
        <v>80</v>
      </c>
      <c r="P461" s="1" t="str">
        <f t="shared" si="262"/>
        <v>Seattle</v>
      </c>
      <c r="Q461" s="1" t="s">
        <v>81</v>
      </c>
      <c r="R461" s="1" t="str">
        <f t="shared" si="263"/>
        <v>Washington</v>
      </c>
      <c r="S461" s="1">
        <v>98115</v>
      </c>
      <c r="T461" s="1" t="s">
        <v>44</v>
      </c>
      <c r="U461" s="1" t="s">
        <v>1297</v>
      </c>
      <c r="V461" s="1" t="s">
        <v>46</v>
      </c>
      <c r="W461" s="7">
        <v>103.92</v>
      </c>
      <c r="X461" s="1">
        <v>9</v>
      </c>
      <c r="Y461" s="7">
        <v>103.73</v>
      </c>
      <c r="Z461" s="7">
        <f t="shared" ref="Z461:AA461" si="469">W461*X461</f>
        <v>935.28</v>
      </c>
      <c r="AA461" s="7">
        <f t="shared" si="469"/>
        <v>933.57</v>
      </c>
      <c r="AB461" s="7">
        <f t="shared" si="265"/>
        <v>1.7099999999999227</v>
      </c>
    </row>
    <row r="462" spans="1:28">
      <c r="A462" s="1">
        <v>461</v>
      </c>
      <c r="B462" s="1" t="s">
        <v>1295</v>
      </c>
      <c r="C462" s="2">
        <v>42719</v>
      </c>
      <c r="D462" s="6" t="str">
        <f t="shared" si="260"/>
        <v>Dec</v>
      </c>
      <c r="E462" s="6" t="str">
        <f t="shared" si="261"/>
        <v>Qtr 4</v>
      </c>
      <c r="F462" s="5" t="s">
        <v>1296</v>
      </c>
      <c r="G462" s="1" t="s">
        <v>49</v>
      </c>
      <c r="H462" s="1" t="s">
        <v>690</v>
      </c>
      <c r="I462" s="1" t="s">
        <v>691</v>
      </c>
      <c r="J462" s="1" t="str">
        <f ca="1">IFERROR(__xludf.DUMMYFUNCTION("split(I462,"" "")"),"Joseph")</f>
        <v>Joseph</v>
      </c>
      <c r="K462" s="1" t="str">
        <f ca="1">IFERROR(__xludf.DUMMYFUNCTION("""COMPUTED_VALUE"""),"Holt")</f>
        <v>Holt</v>
      </c>
      <c r="L462" s="1"/>
      <c r="M462" s="1" t="s">
        <v>29</v>
      </c>
      <c r="N462" s="1" t="s">
        <v>30</v>
      </c>
      <c r="O462" s="1" t="s">
        <v>80</v>
      </c>
      <c r="P462" s="1" t="str">
        <f t="shared" si="262"/>
        <v>Seattle</v>
      </c>
      <c r="Q462" s="1" t="s">
        <v>81</v>
      </c>
      <c r="R462" s="1" t="str">
        <f t="shared" si="263"/>
        <v>Washington</v>
      </c>
      <c r="S462" s="1">
        <v>98115</v>
      </c>
      <c r="T462" s="1" t="s">
        <v>44</v>
      </c>
      <c r="U462" s="1" t="s">
        <v>1298</v>
      </c>
      <c r="V462" s="1" t="s">
        <v>64</v>
      </c>
      <c r="W462" s="7">
        <v>899.91</v>
      </c>
      <c r="X462" s="1">
        <v>9</v>
      </c>
      <c r="Y462" s="7">
        <v>899.67</v>
      </c>
      <c r="Z462" s="7">
        <f t="shared" ref="Z462:AA462" si="470">W462*X462</f>
        <v>8099.19</v>
      </c>
      <c r="AA462" s="7">
        <f t="shared" si="470"/>
        <v>8097.03</v>
      </c>
      <c r="AB462" s="7">
        <f t="shared" si="265"/>
        <v>2.1599999999998545</v>
      </c>
    </row>
    <row r="463" spans="1:28">
      <c r="A463" s="1">
        <v>462</v>
      </c>
      <c r="B463" s="1" t="s">
        <v>1295</v>
      </c>
      <c r="C463" s="2">
        <v>42719</v>
      </c>
      <c r="D463" s="6" t="str">
        <f t="shared" si="260"/>
        <v>Dec</v>
      </c>
      <c r="E463" s="6" t="str">
        <f t="shared" si="261"/>
        <v>Qtr 4</v>
      </c>
      <c r="F463" s="5" t="s">
        <v>1296</v>
      </c>
      <c r="G463" s="1" t="s">
        <v>49</v>
      </c>
      <c r="H463" s="1" t="s">
        <v>690</v>
      </c>
      <c r="I463" s="1" t="s">
        <v>691</v>
      </c>
      <c r="J463" s="1" t="str">
        <f ca="1">IFERROR(__xludf.DUMMYFUNCTION("split(I463,"" "")"),"Joseph")</f>
        <v>Joseph</v>
      </c>
      <c r="K463" s="1" t="str">
        <f ca="1">IFERROR(__xludf.DUMMYFUNCTION("""COMPUTED_VALUE"""),"Holt")</f>
        <v>Holt</v>
      </c>
      <c r="L463" s="1"/>
      <c r="M463" s="1" t="s">
        <v>29</v>
      </c>
      <c r="N463" s="1" t="s">
        <v>30</v>
      </c>
      <c r="O463" s="1" t="s">
        <v>80</v>
      </c>
      <c r="P463" s="1" t="str">
        <f t="shared" si="262"/>
        <v>Seattle</v>
      </c>
      <c r="Q463" s="1" t="s">
        <v>81</v>
      </c>
      <c r="R463" s="1" t="str">
        <f t="shared" si="263"/>
        <v>Washington</v>
      </c>
      <c r="S463" s="1">
        <v>98115</v>
      </c>
      <c r="T463" s="1" t="s">
        <v>44</v>
      </c>
      <c r="U463" s="1" t="s">
        <v>1299</v>
      </c>
      <c r="V463" s="1" t="s">
        <v>46</v>
      </c>
      <c r="W463" s="7">
        <v>51.311999999999998</v>
      </c>
      <c r="X463" s="1">
        <v>9</v>
      </c>
      <c r="Y463" s="7">
        <v>50.41</v>
      </c>
      <c r="Z463" s="7">
        <f t="shared" ref="Z463:AA463" si="471">W463*X463</f>
        <v>461.80799999999999</v>
      </c>
      <c r="AA463" s="7">
        <f t="shared" si="471"/>
        <v>453.68999999999994</v>
      </c>
      <c r="AB463" s="7">
        <f t="shared" si="265"/>
        <v>8.1180000000000518</v>
      </c>
    </row>
    <row r="464" spans="1:28">
      <c r="A464" s="1">
        <v>463</v>
      </c>
      <c r="B464" s="1" t="s">
        <v>1300</v>
      </c>
      <c r="C464" s="2">
        <v>42847</v>
      </c>
      <c r="D464" s="6" t="str">
        <f t="shared" si="260"/>
        <v>Apr</v>
      </c>
      <c r="E464" s="6" t="str">
        <f t="shared" si="261"/>
        <v>Qtr 2</v>
      </c>
      <c r="F464" s="5" t="s">
        <v>977</v>
      </c>
      <c r="G464" s="1" t="s">
        <v>49</v>
      </c>
      <c r="H464" s="1" t="s">
        <v>1301</v>
      </c>
      <c r="I464" s="1" t="s">
        <v>1302</v>
      </c>
      <c r="J464" s="1" t="str">
        <f ca="1">IFERROR(__xludf.DUMMYFUNCTION("split(I464,"" "")"),"Tanja")</f>
        <v>Tanja</v>
      </c>
      <c r="K464" s="1" t="str">
        <f ca="1">IFERROR(__xludf.DUMMYFUNCTION("""COMPUTED_VALUE"""),"Norvell")</f>
        <v>Norvell</v>
      </c>
      <c r="L464" s="1"/>
      <c r="M464" s="1" t="s">
        <v>87</v>
      </c>
      <c r="N464" s="1" t="s">
        <v>30</v>
      </c>
      <c r="O464" s="1" t="s">
        <v>457</v>
      </c>
      <c r="P464" s="1" t="str">
        <f t="shared" si="262"/>
        <v>Phoenix</v>
      </c>
      <c r="Q464" s="1" t="s">
        <v>265</v>
      </c>
      <c r="R464" s="1" t="str">
        <f t="shared" si="263"/>
        <v>Arizona</v>
      </c>
      <c r="S464" s="1">
        <v>85023</v>
      </c>
      <c r="T464" s="1" t="s">
        <v>44</v>
      </c>
      <c r="U464" s="1" t="s">
        <v>1043</v>
      </c>
      <c r="V464" s="1" t="s">
        <v>35</v>
      </c>
      <c r="W464" s="7">
        <v>23.56</v>
      </c>
      <c r="X464" s="1">
        <v>8</v>
      </c>
      <c r="Y464" s="7">
        <v>23.16</v>
      </c>
      <c r="Z464" s="7">
        <f t="shared" ref="Z464:AA464" si="472">W464*X464</f>
        <v>188.48</v>
      </c>
      <c r="AA464" s="7">
        <f t="shared" si="472"/>
        <v>185.28</v>
      </c>
      <c r="AB464" s="7">
        <f t="shared" si="265"/>
        <v>3.1999999999999886</v>
      </c>
    </row>
    <row r="465" spans="1:28">
      <c r="A465" s="1">
        <v>464</v>
      </c>
      <c r="B465" s="1" t="s">
        <v>1300</v>
      </c>
      <c r="C465" s="2">
        <v>42847</v>
      </c>
      <c r="D465" s="6" t="str">
        <f t="shared" si="260"/>
        <v>Apr</v>
      </c>
      <c r="E465" s="6" t="str">
        <f t="shared" si="261"/>
        <v>Qtr 2</v>
      </c>
      <c r="F465" s="5" t="s">
        <v>977</v>
      </c>
      <c r="G465" s="1" t="s">
        <v>49</v>
      </c>
      <c r="H465" s="1" t="s">
        <v>1301</v>
      </c>
      <c r="I465" s="1" t="s">
        <v>1302</v>
      </c>
      <c r="J465" s="1" t="str">
        <f ca="1">IFERROR(__xludf.DUMMYFUNCTION("split(I465,"" "")"),"Tanja")</f>
        <v>Tanja</v>
      </c>
      <c r="K465" s="1" t="str">
        <f ca="1">IFERROR(__xludf.DUMMYFUNCTION("""COMPUTED_VALUE"""),"Norvell")</f>
        <v>Norvell</v>
      </c>
      <c r="L465" s="1"/>
      <c r="M465" s="1" t="s">
        <v>87</v>
      </c>
      <c r="N465" s="1" t="s">
        <v>30</v>
      </c>
      <c r="O465" s="1" t="s">
        <v>457</v>
      </c>
      <c r="P465" s="1" t="str">
        <f t="shared" si="262"/>
        <v>Phoenix</v>
      </c>
      <c r="Q465" s="1" t="s">
        <v>265</v>
      </c>
      <c r="R465" s="1" t="str">
        <f t="shared" si="263"/>
        <v>Arizona</v>
      </c>
      <c r="S465" s="1">
        <v>85023</v>
      </c>
      <c r="T465" s="1" t="s">
        <v>44</v>
      </c>
      <c r="U465" s="1" t="s">
        <v>1303</v>
      </c>
      <c r="V465" s="1" t="s">
        <v>35</v>
      </c>
      <c r="W465" s="7">
        <v>1272.6300000000001</v>
      </c>
      <c r="X465" s="1">
        <v>8</v>
      </c>
      <c r="Y465" s="7">
        <v>1272.51</v>
      </c>
      <c r="Z465" s="7">
        <f t="shared" ref="Z465:AA465" si="473">W465*X465</f>
        <v>10181.040000000001</v>
      </c>
      <c r="AA465" s="7">
        <f t="shared" si="473"/>
        <v>10180.08</v>
      </c>
      <c r="AB465" s="7">
        <f t="shared" si="265"/>
        <v>0.96000000000094587</v>
      </c>
    </row>
    <row r="466" spans="1:28">
      <c r="A466" s="1">
        <v>465</v>
      </c>
      <c r="B466" s="1" t="s">
        <v>1300</v>
      </c>
      <c r="C466" s="2">
        <v>42847</v>
      </c>
      <c r="D466" s="6" t="str">
        <f t="shared" si="260"/>
        <v>Apr</v>
      </c>
      <c r="E466" s="6" t="str">
        <f t="shared" si="261"/>
        <v>Qtr 2</v>
      </c>
      <c r="F466" s="5" t="s">
        <v>977</v>
      </c>
      <c r="G466" s="1" t="s">
        <v>49</v>
      </c>
      <c r="H466" s="1" t="s">
        <v>1301</v>
      </c>
      <c r="I466" s="1" t="s">
        <v>1302</v>
      </c>
      <c r="J466" s="1" t="str">
        <f ca="1">IFERROR(__xludf.DUMMYFUNCTION("split(I466,"" "")"),"Tanja")</f>
        <v>Tanja</v>
      </c>
      <c r="K466" s="1" t="str">
        <f ca="1">IFERROR(__xludf.DUMMYFUNCTION("""COMPUTED_VALUE"""),"Norvell")</f>
        <v>Norvell</v>
      </c>
      <c r="L466" s="1"/>
      <c r="M466" s="1" t="s">
        <v>87</v>
      </c>
      <c r="N466" s="1" t="s">
        <v>30</v>
      </c>
      <c r="O466" s="1" t="s">
        <v>457</v>
      </c>
      <c r="P466" s="1" t="str">
        <f t="shared" si="262"/>
        <v>Phoenix</v>
      </c>
      <c r="Q466" s="1" t="s">
        <v>265</v>
      </c>
      <c r="R466" s="1" t="str">
        <f t="shared" si="263"/>
        <v>Arizona</v>
      </c>
      <c r="S466" s="1">
        <v>85023</v>
      </c>
      <c r="T466" s="1" t="s">
        <v>44</v>
      </c>
      <c r="U466" s="1" t="s">
        <v>1304</v>
      </c>
      <c r="V466" s="1" t="s">
        <v>46</v>
      </c>
      <c r="W466" s="7">
        <v>28.484999999999999</v>
      </c>
      <c r="X466" s="1">
        <v>8</v>
      </c>
      <c r="Y466" s="7">
        <v>28.44</v>
      </c>
      <c r="Z466" s="7">
        <f t="shared" ref="Z466:AA466" si="474">W466*X466</f>
        <v>227.88</v>
      </c>
      <c r="AA466" s="7">
        <f t="shared" si="474"/>
        <v>227.52</v>
      </c>
      <c r="AB466" s="7">
        <f t="shared" si="265"/>
        <v>0.35999999999998522</v>
      </c>
    </row>
    <row r="467" spans="1:28">
      <c r="A467" s="1">
        <v>466</v>
      </c>
      <c r="B467" s="1" t="s">
        <v>1300</v>
      </c>
      <c r="C467" s="2">
        <v>42847</v>
      </c>
      <c r="D467" s="6" t="str">
        <f t="shared" si="260"/>
        <v>Apr</v>
      </c>
      <c r="E467" s="6" t="str">
        <f t="shared" si="261"/>
        <v>Qtr 2</v>
      </c>
      <c r="F467" s="5" t="s">
        <v>977</v>
      </c>
      <c r="G467" s="1" t="s">
        <v>49</v>
      </c>
      <c r="H467" s="1" t="s">
        <v>1301</v>
      </c>
      <c r="I467" s="1" t="s">
        <v>1302</v>
      </c>
      <c r="J467" s="1" t="str">
        <f ca="1">IFERROR(__xludf.DUMMYFUNCTION("split(I467,"" "")"),"Tanja")</f>
        <v>Tanja</v>
      </c>
      <c r="K467" s="1" t="str">
        <f ca="1">IFERROR(__xludf.DUMMYFUNCTION("""COMPUTED_VALUE"""),"Norvell")</f>
        <v>Norvell</v>
      </c>
      <c r="L467" s="1"/>
      <c r="M467" s="1" t="s">
        <v>87</v>
      </c>
      <c r="N467" s="1" t="s">
        <v>30</v>
      </c>
      <c r="O467" s="1" t="s">
        <v>457</v>
      </c>
      <c r="P467" s="1" t="str">
        <f t="shared" si="262"/>
        <v>Phoenix</v>
      </c>
      <c r="Q467" s="1" t="s">
        <v>265</v>
      </c>
      <c r="R467" s="1" t="str">
        <f t="shared" si="263"/>
        <v>Arizona</v>
      </c>
      <c r="S467" s="1">
        <v>85023</v>
      </c>
      <c r="T467" s="1" t="s">
        <v>44</v>
      </c>
      <c r="U467" s="1" t="s">
        <v>1305</v>
      </c>
      <c r="V467" s="1" t="s">
        <v>46</v>
      </c>
      <c r="W467" s="7">
        <v>185.376</v>
      </c>
      <c r="X467" s="1">
        <v>8</v>
      </c>
      <c r="Y467" s="7">
        <v>184.43</v>
      </c>
      <c r="Z467" s="7">
        <f t="shared" ref="Z467:AA467" si="475">W467*X467</f>
        <v>1483.008</v>
      </c>
      <c r="AA467" s="7">
        <f t="shared" si="475"/>
        <v>1475.44</v>
      </c>
      <c r="AB467" s="7">
        <f t="shared" si="265"/>
        <v>7.5679999999999836</v>
      </c>
    </row>
    <row r="468" spans="1:28">
      <c r="A468" s="1">
        <v>467</v>
      </c>
      <c r="B468" s="1" t="s">
        <v>1300</v>
      </c>
      <c r="C468" s="2">
        <v>42847</v>
      </c>
      <c r="D468" s="6" t="str">
        <f t="shared" si="260"/>
        <v>Apr</v>
      </c>
      <c r="E468" s="6" t="str">
        <f t="shared" si="261"/>
        <v>Qtr 2</v>
      </c>
      <c r="F468" s="5" t="s">
        <v>977</v>
      </c>
      <c r="G468" s="1" t="s">
        <v>49</v>
      </c>
      <c r="H468" s="1" t="s">
        <v>1301</v>
      </c>
      <c r="I468" s="1" t="s">
        <v>1302</v>
      </c>
      <c r="J468" s="1" t="str">
        <f ca="1">IFERROR(__xludf.DUMMYFUNCTION("split(I468,"" "")"),"Tanja")</f>
        <v>Tanja</v>
      </c>
      <c r="K468" s="1" t="str">
        <f ca="1">IFERROR(__xludf.DUMMYFUNCTION("""COMPUTED_VALUE"""),"Norvell")</f>
        <v>Norvell</v>
      </c>
      <c r="L468" s="1"/>
      <c r="M468" s="1" t="s">
        <v>87</v>
      </c>
      <c r="N468" s="1" t="s">
        <v>30</v>
      </c>
      <c r="O468" s="1" t="s">
        <v>457</v>
      </c>
      <c r="P468" s="1" t="str">
        <f t="shared" si="262"/>
        <v>Phoenix</v>
      </c>
      <c r="Q468" s="1" t="s">
        <v>265</v>
      </c>
      <c r="R468" s="1" t="str">
        <f t="shared" si="263"/>
        <v>Arizona</v>
      </c>
      <c r="S468" s="1">
        <v>85023</v>
      </c>
      <c r="T468" s="1" t="s">
        <v>44</v>
      </c>
      <c r="U468" s="1" t="s">
        <v>1306</v>
      </c>
      <c r="V468" s="1" t="s">
        <v>46</v>
      </c>
      <c r="W468" s="7">
        <v>78.272000000000006</v>
      </c>
      <c r="X468" s="1">
        <v>8</v>
      </c>
      <c r="Y468" s="7">
        <v>77.64</v>
      </c>
      <c r="Z468" s="7">
        <f t="shared" ref="Z468:AA468" si="476">W468*X468</f>
        <v>626.17600000000004</v>
      </c>
      <c r="AA468" s="7">
        <f t="shared" si="476"/>
        <v>621.12</v>
      </c>
      <c r="AB468" s="7">
        <f t="shared" si="265"/>
        <v>5.05600000000004</v>
      </c>
    </row>
    <row r="469" spans="1:28">
      <c r="A469" s="1">
        <v>468</v>
      </c>
      <c r="B469" s="1" t="s">
        <v>1307</v>
      </c>
      <c r="C469" s="2">
        <v>42386</v>
      </c>
      <c r="D469" s="6" t="str">
        <f t="shared" si="260"/>
        <v>Jan</v>
      </c>
      <c r="E469" s="6" t="str">
        <f t="shared" si="261"/>
        <v>Qtr 1</v>
      </c>
      <c r="F469" s="5" t="s">
        <v>1308</v>
      </c>
      <c r="G469" s="1" t="s">
        <v>49</v>
      </c>
      <c r="H469" s="1" t="s">
        <v>1309</v>
      </c>
      <c r="I469" s="1" t="s">
        <v>1310</v>
      </c>
      <c r="J469" s="1" t="str">
        <f ca="1">IFERROR(__xludf.DUMMYFUNCTION("split(I469,"" "")"),"Joni")</f>
        <v>Joni</v>
      </c>
      <c r="K469" s="1" t="str">
        <f ca="1">IFERROR(__xludf.DUMMYFUNCTION("""COMPUTED_VALUE"""),"Sundaresam")</f>
        <v>Sundaresam</v>
      </c>
      <c r="L469" s="1"/>
      <c r="M469" s="1" t="s">
        <v>87</v>
      </c>
      <c r="N469" s="1" t="s">
        <v>30</v>
      </c>
      <c r="O469" s="1" t="s">
        <v>1311</v>
      </c>
      <c r="P469" s="1" t="str">
        <f t="shared" si="262"/>
        <v>Park Ridge</v>
      </c>
      <c r="Q469" s="1" t="s">
        <v>182</v>
      </c>
      <c r="R469" s="1" t="str">
        <f t="shared" si="263"/>
        <v>Illinois</v>
      </c>
      <c r="S469" s="1">
        <v>60068</v>
      </c>
      <c r="T469" s="1" t="s">
        <v>90</v>
      </c>
      <c r="U469" s="1" t="s">
        <v>887</v>
      </c>
      <c r="V469" s="1" t="s">
        <v>35</v>
      </c>
      <c r="W469" s="7">
        <v>254.744</v>
      </c>
      <c r="X469" s="1">
        <v>6</v>
      </c>
      <c r="Y469" s="7">
        <v>254.06</v>
      </c>
      <c r="Z469" s="7">
        <f t="shared" ref="Z469:AA469" si="477">W469*X469</f>
        <v>1528.4639999999999</v>
      </c>
      <c r="AA469" s="7">
        <f t="shared" si="477"/>
        <v>1524.3600000000001</v>
      </c>
      <c r="AB469" s="7">
        <f t="shared" si="265"/>
        <v>4.1039999999998145</v>
      </c>
    </row>
    <row r="470" spans="1:28">
      <c r="A470" s="1">
        <v>469</v>
      </c>
      <c r="B470" s="1" t="s">
        <v>1312</v>
      </c>
      <c r="C470" s="2">
        <v>43190</v>
      </c>
      <c r="D470" s="6" t="str">
        <f t="shared" si="260"/>
        <v>Mar</v>
      </c>
      <c r="E470" s="6" t="str">
        <f t="shared" si="261"/>
        <v>Qtr 1</v>
      </c>
      <c r="F470" s="5">
        <v>43194</v>
      </c>
      <c r="G470" s="1" t="s">
        <v>49</v>
      </c>
      <c r="H470" s="1" t="s">
        <v>726</v>
      </c>
      <c r="I470" s="1" t="s">
        <v>727</v>
      </c>
      <c r="J470" s="1" t="str">
        <f ca="1">IFERROR(__xludf.DUMMYFUNCTION("split(I470,"" "")"),"David")</f>
        <v>David</v>
      </c>
      <c r="K470" s="1" t="str">
        <f ca="1">IFERROR(__xludf.DUMMYFUNCTION("""COMPUTED_VALUE"""),"Smith")</f>
        <v>Smith</v>
      </c>
      <c r="L470" s="1"/>
      <c r="M470" s="1" t="s">
        <v>41</v>
      </c>
      <c r="N470" s="1" t="s">
        <v>30</v>
      </c>
      <c r="O470" s="1" t="s">
        <v>1313</v>
      </c>
      <c r="P470" s="1" t="str">
        <f t="shared" si="262"/>
        <v>Amarillo</v>
      </c>
      <c r="Q470" s="1" t="s">
        <v>89</v>
      </c>
      <c r="R470" s="1" t="str">
        <f t="shared" si="263"/>
        <v>Texas</v>
      </c>
      <c r="S470" s="1">
        <v>79109</v>
      </c>
      <c r="T470" s="1" t="s">
        <v>90</v>
      </c>
      <c r="U470" s="1" t="s">
        <v>1314</v>
      </c>
      <c r="V470" s="1" t="s">
        <v>35</v>
      </c>
      <c r="W470" s="7">
        <v>205.33279999999999</v>
      </c>
      <c r="X470" s="1">
        <v>7</v>
      </c>
      <c r="Y470" s="7">
        <v>205.18</v>
      </c>
      <c r="Z470" s="7">
        <f t="shared" ref="Z470:AA470" si="478">W470*X470</f>
        <v>1437.3296</v>
      </c>
      <c r="AA470" s="7">
        <f t="shared" si="478"/>
        <v>1436.26</v>
      </c>
      <c r="AB470" s="7">
        <f t="shared" si="265"/>
        <v>1.0696000000000367</v>
      </c>
    </row>
    <row r="471" spans="1:28">
      <c r="A471" s="1">
        <v>470</v>
      </c>
      <c r="B471" s="1" t="s">
        <v>1315</v>
      </c>
      <c r="C471" s="2">
        <v>43085</v>
      </c>
      <c r="D471" s="6" t="str">
        <f t="shared" si="260"/>
        <v>Dec</v>
      </c>
      <c r="E471" s="6" t="str">
        <f t="shared" si="261"/>
        <v>Qtr 4</v>
      </c>
      <c r="F471" s="5" t="s">
        <v>868</v>
      </c>
      <c r="G471" s="1" t="s">
        <v>26</v>
      </c>
      <c r="H471" s="1" t="s">
        <v>791</v>
      </c>
      <c r="I471" s="1" t="s">
        <v>792</v>
      </c>
      <c r="J471" s="1" t="str">
        <f ca="1">IFERROR(__xludf.DUMMYFUNCTION("split(I471,"" "")"),"Craig")</f>
        <v>Craig</v>
      </c>
      <c r="K471" s="1" t="str">
        <f ca="1">IFERROR(__xludf.DUMMYFUNCTION("""COMPUTED_VALUE"""),"Carreira")</f>
        <v>Carreira</v>
      </c>
      <c r="L471" s="1"/>
      <c r="M471" s="1" t="s">
        <v>29</v>
      </c>
      <c r="N471" s="1" t="s">
        <v>30</v>
      </c>
      <c r="O471" s="1" t="s">
        <v>259</v>
      </c>
      <c r="P471" s="1" t="str">
        <f t="shared" si="262"/>
        <v>Chicago</v>
      </c>
      <c r="Q471" s="1" t="s">
        <v>182</v>
      </c>
      <c r="R471" s="1" t="str">
        <f t="shared" si="263"/>
        <v>Illinois</v>
      </c>
      <c r="S471" s="1">
        <v>60610</v>
      </c>
      <c r="T471" s="1" t="s">
        <v>90</v>
      </c>
      <c r="U471" s="1" t="s">
        <v>1316</v>
      </c>
      <c r="V471" s="1" t="s">
        <v>46</v>
      </c>
      <c r="W471" s="7">
        <v>4.7880000000000003</v>
      </c>
      <c r="X471" s="1">
        <v>6</v>
      </c>
      <c r="Y471" s="7">
        <v>4.67</v>
      </c>
      <c r="Z471" s="7">
        <f t="shared" ref="Z471:AA471" si="479">W471*X471</f>
        <v>28.728000000000002</v>
      </c>
      <c r="AA471" s="7">
        <f t="shared" si="479"/>
        <v>28.02</v>
      </c>
      <c r="AB471" s="7">
        <f t="shared" si="265"/>
        <v>0.70800000000000196</v>
      </c>
    </row>
    <row r="472" spans="1:28">
      <c r="A472" s="1">
        <v>471</v>
      </c>
      <c r="B472" s="1" t="s">
        <v>1317</v>
      </c>
      <c r="C472" s="2">
        <v>42724</v>
      </c>
      <c r="D472" s="6" t="str">
        <f t="shared" si="260"/>
        <v>Dec</v>
      </c>
      <c r="E472" s="6" t="str">
        <f t="shared" si="261"/>
        <v>Qtr 4</v>
      </c>
      <c r="F472" s="5" t="s">
        <v>1004</v>
      </c>
      <c r="G472" s="1" t="s">
        <v>49</v>
      </c>
      <c r="H472" s="1" t="s">
        <v>1318</v>
      </c>
      <c r="I472" s="1" t="s">
        <v>1319</v>
      </c>
      <c r="J472" s="1" t="str">
        <f ca="1">IFERROR(__xludf.DUMMYFUNCTION("split(I472,"" "")"),"Maya")</f>
        <v>Maya</v>
      </c>
      <c r="K472" s="1" t="str">
        <f ca="1">IFERROR(__xludf.DUMMYFUNCTION("""COMPUTED_VALUE"""),"Herman")</f>
        <v>Herman</v>
      </c>
      <c r="L472" s="1"/>
      <c r="M472" s="1" t="s">
        <v>41</v>
      </c>
      <c r="N472" s="1" t="s">
        <v>30</v>
      </c>
      <c r="O472" s="1" t="s">
        <v>1320</v>
      </c>
      <c r="P472" s="1" t="str">
        <f t="shared" si="262"/>
        <v>Lindenhurst</v>
      </c>
      <c r="Q472" s="1" t="s">
        <v>234</v>
      </c>
      <c r="R472" s="1" t="str">
        <f t="shared" si="263"/>
        <v>New York</v>
      </c>
      <c r="S472" s="1">
        <v>11757</v>
      </c>
      <c r="T472" s="1" t="s">
        <v>128</v>
      </c>
      <c r="U472" s="1" t="s">
        <v>1321</v>
      </c>
      <c r="V472" s="1" t="s">
        <v>46</v>
      </c>
      <c r="W472" s="7">
        <v>55.48</v>
      </c>
      <c r="X472" s="1">
        <v>1</v>
      </c>
      <c r="Y472" s="7">
        <v>55.37</v>
      </c>
      <c r="Z472" s="7">
        <f t="shared" ref="Z472:AA472" si="480">W472*X472</f>
        <v>55.48</v>
      </c>
      <c r="AA472" s="7">
        <f t="shared" si="480"/>
        <v>55.37</v>
      </c>
      <c r="AB472" s="7">
        <f t="shared" si="265"/>
        <v>0.10999999999999943</v>
      </c>
    </row>
    <row r="473" spans="1:28">
      <c r="A473" s="1">
        <v>472</v>
      </c>
      <c r="B473" s="1" t="s">
        <v>1322</v>
      </c>
      <c r="C473" s="2">
        <v>42258</v>
      </c>
      <c r="D473" s="6" t="str">
        <f t="shared" si="260"/>
        <v>Sep</v>
      </c>
      <c r="E473" s="6" t="str">
        <f t="shared" si="261"/>
        <v>Qtr 3</v>
      </c>
      <c r="F473" s="5">
        <v>42319</v>
      </c>
      <c r="G473" s="1" t="s">
        <v>26</v>
      </c>
      <c r="H473" s="1" t="s">
        <v>1323</v>
      </c>
      <c r="I473" s="1" t="s">
        <v>1324</v>
      </c>
      <c r="J473" s="1" t="str">
        <f ca="1">IFERROR(__xludf.DUMMYFUNCTION("split(I473,"" "")"),"Jeremy")</f>
        <v>Jeremy</v>
      </c>
      <c r="K473" s="1" t="str">
        <f ca="1">IFERROR(__xludf.DUMMYFUNCTION("""COMPUTED_VALUE"""),"Pistek")</f>
        <v>Pistek</v>
      </c>
      <c r="L473" s="1"/>
      <c r="M473" s="1" t="s">
        <v>29</v>
      </c>
      <c r="N473" s="1" t="s">
        <v>30</v>
      </c>
      <c r="O473" s="1" t="s">
        <v>110</v>
      </c>
      <c r="P473" s="1" t="str">
        <f t="shared" si="262"/>
        <v>San Francisco</v>
      </c>
      <c r="Q473" s="1" t="s">
        <v>68</v>
      </c>
      <c r="R473" s="1" t="str">
        <f t="shared" si="263"/>
        <v>California</v>
      </c>
      <c r="S473" s="1">
        <v>94110</v>
      </c>
      <c r="T473" s="1" t="s">
        <v>44</v>
      </c>
      <c r="U473" s="1" t="s">
        <v>1325</v>
      </c>
      <c r="V473" s="1" t="s">
        <v>46</v>
      </c>
      <c r="W473" s="7">
        <v>340.92</v>
      </c>
      <c r="X473" s="1">
        <v>9</v>
      </c>
      <c r="Y473" s="7">
        <v>340.43</v>
      </c>
      <c r="Z473" s="7">
        <f t="shared" ref="Z473:AA473" si="481">W473*X473</f>
        <v>3068.28</v>
      </c>
      <c r="AA473" s="7">
        <f t="shared" si="481"/>
        <v>3063.87</v>
      </c>
      <c r="AB473" s="7">
        <f t="shared" si="265"/>
        <v>4.4100000000003092</v>
      </c>
    </row>
    <row r="474" spans="1:28">
      <c r="A474" s="1">
        <v>473</v>
      </c>
      <c r="B474" s="1" t="s">
        <v>1322</v>
      </c>
      <c r="C474" s="2">
        <v>42258</v>
      </c>
      <c r="D474" s="6" t="str">
        <f t="shared" si="260"/>
        <v>Sep</v>
      </c>
      <c r="E474" s="6" t="str">
        <f t="shared" si="261"/>
        <v>Qtr 3</v>
      </c>
      <c r="F474" s="5">
        <v>42319</v>
      </c>
      <c r="G474" s="1" t="s">
        <v>26</v>
      </c>
      <c r="H474" s="1" t="s">
        <v>1323</v>
      </c>
      <c r="I474" s="1" t="s">
        <v>1324</v>
      </c>
      <c r="J474" s="1" t="str">
        <f ca="1">IFERROR(__xludf.DUMMYFUNCTION("split(I474,"" "")"),"Jeremy")</f>
        <v>Jeremy</v>
      </c>
      <c r="K474" s="1" t="str">
        <f ca="1">IFERROR(__xludf.DUMMYFUNCTION("""COMPUTED_VALUE"""),"Pistek")</f>
        <v>Pistek</v>
      </c>
      <c r="L474" s="1"/>
      <c r="M474" s="1" t="s">
        <v>29</v>
      </c>
      <c r="N474" s="1" t="s">
        <v>30</v>
      </c>
      <c r="O474" s="1" t="s">
        <v>110</v>
      </c>
      <c r="P474" s="1" t="str">
        <f t="shared" si="262"/>
        <v>San Francisco</v>
      </c>
      <c r="Q474" s="1" t="s">
        <v>68</v>
      </c>
      <c r="R474" s="1" t="str">
        <f t="shared" si="263"/>
        <v>California</v>
      </c>
      <c r="S474" s="1">
        <v>94110</v>
      </c>
      <c r="T474" s="1" t="s">
        <v>44</v>
      </c>
      <c r="U474" s="1" t="s">
        <v>1326</v>
      </c>
      <c r="V474" s="1" t="s">
        <v>35</v>
      </c>
      <c r="W474" s="7">
        <v>222.666</v>
      </c>
      <c r="X474" s="1">
        <v>9</v>
      </c>
      <c r="Y474" s="7">
        <v>221.73</v>
      </c>
      <c r="Z474" s="7">
        <f t="shared" ref="Z474:AA474" si="482">W474*X474</f>
        <v>2003.9939999999999</v>
      </c>
      <c r="AA474" s="7">
        <f t="shared" si="482"/>
        <v>1995.57</v>
      </c>
      <c r="AB474" s="7">
        <f t="shared" si="265"/>
        <v>8.4239999999999782</v>
      </c>
    </row>
    <row r="475" spans="1:28">
      <c r="A475" s="1">
        <v>474</v>
      </c>
      <c r="B475" s="1" t="s">
        <v>1322</v>
      </c>
      <c r="C475" s="2">
        <v>42258</v>
      </c>
      <c r="D475" s="6" t="str">
        <f t="shared" si="260"/>
        <v>Sep</v>
      </c>
      <c r="E475" s="6" t="str">
        <f t="shared" si="261"/>
        <v>Qtr 3</v>
      </c>
      <c r="F475" s="5">
        <v>42319</v>
      </c>
      <c r="G475" s="1" t="s">
        <v>26</v>
      </c>
      <c r="H475" s="1" t="s">
        <v>1323</v>
      </c>
      <c r="I475" s="1" t="s">
        <v>1324</v>
      </c>
      <c r="J475" s="1" t="str">
        <f ca="1">IFERROR(__xludf.DUMMYFUNCTION("split(I475,"" "")"),"Jeremy")</f>
        <v>Jeremy</v>
      </c>
      <c r="K475" s="1" t="str">
        <f ca="1">IFERROR(__xludf.DUMMYFUNCTION("""COMPUTED_VALUE"""),"Pistek")</f>
        <v>Pistek</v>
      </c>
      <c r="L475" s="1"/>
      <c r="M475" s="1" t="s">
        <v>29</v>
      </c>
      <c r="N475" s="1" t="s">
        <v>30</v>
      </c>
      <c r="O475" s="1" t="s">
        <v>110</v>
      </c>
      <c r="P475" s="1" t="str">
        <f t="shared" si="262"/>
        <v>San Francisco</v>
      </c>
      <c r="Q475" s="1" t="s">
        <v>68</v>
      </c>
      <c r="R475" s="1" t="str">
        <f t="shared" si="263"/>
        <v>California</v>
      </c>
      <c r="S475" s="1">
        <v>94110</v>
      </c>
      <c r="T475" s="1" t="s">
        <v>44</v>
      </c>
      <c r="U475" s="1" t="s">
        <v>1327</v>
      </c>
      <c r="V475" s="1" t="s">
        <v>64</v>
      </c>
      <c r="W475" s="7">
        <v>703.96799999999996</v>
      </c>
      <c r="X475" s="1">
        <v>9</v>
      </c>
      <c r="Y475" s="7">
        <v>703.77</v>
      </c>
      <c r="Z475" s="7">
        <f t="shared" ref="Z475:AA475" si="483">W475*X475</f>
        <v>6335.7119999999995</v>
      </c>
      <c r="AA475" s="7">
        <f t="shared" si="483"/>
        <v>6333.93</v>
      </c>
      <c r="AB475" s="7">
        <f t="shared" si="265"/>
        <v>1.7819999999992433</v>
      </c>
    </row>
    <row r="476" spans="1:28">
      <c r="A476" s="1">
        <v>475</v>
      </c>
      <c r="B476" s="1" t="s">
        <v>1322</v>
      </c>
      <c r="C476" s="2">
        <v>42258</v>
      </c>
      <c r="D476" s="6" t="str">
        <f t="shared" si="260"/>
        <v>Sep</v>
      </c>
      <c r="E476" s="6" t="str">
        <f t="shared" si="261"/>
        <v>Qtr 3</v>
      </c>
      <c r="F476" s="5">
        <v>42319</v>
      </c>
      <c r="G476" s="1" t="s">
        <v>26</v>
      </c>
      <c r="H476" s="1" t="s">
        <v>1323</v>
      </c>
      <c r="I476" s="1" t="s">
        <v>1324</v>
      </c>
      <c r="J476" s="1" t="str">
        <f ca="1">IFERROR(__xludf.DUMMYFUNCTION("split(I476,"" "")"),"Jeremy")</f>
        <v>Jeremy</v>
      </c>
      <c r="K476" s="1" t="str">
        <f ca="1">IFERROR(__xludf.DUMMYFUNCTION("""COMPUTED_VALUE"""),"Pistek")</f>
        <v>Pistek</v>
      </c>
      <c r="L476" s="1"/>
      <c r="M476" s="1" t="s">
        <v>29</v>
      </c>
      <c r="N476" s="1" t="s">
        <v>30</v>
      </c>
      <c r="O476" s="1" t="s">
        <v>110</v>
      </c>
      <c r="P476" s="1" t="str">
        <f t="shared" si="262"/>
        <v>San Francisco</v>
      </c>
      <c r="Q476" s="1" t="s">
        <v>68</v>
      </c>
      <c r="R476" s="1" t="str">
        <f t="shared" si="263"/>
        <v>California</v>
      </c>
      <c r="S476" s="1">
        <v>94110</v>
      </c>
      <c r="T476" s="1" t="s">
        <v>44</v>
      </c>
      <c r="U476" s="1" t="s">
        <v>1328</v>
      </c>
      <c r="V476" s="1" t="s">
        <v>46</v>
      </c>
      <c r="W476" s="7">
        <v>92.52</v>
      </c>
      <c r="X476" s="1">
        <v>9</v>
      </c>
      <c r="Y476" s="7">
        <v>91.76</v>
      </c>
      <c r="Z476" s="7">
        <f t="shared" ref="Z476:AA476" si="484">W476*X476</f>
        <v>832.68</v>
      </c>
      <c r="AA476" s="7">
        <f t="shared" si="484"/>
        <v>825.84</v>
      </c>
      <c r="AB476" s="7">
        <f t="shared" si="265"/>
        <v>6.8399999999999181</v>
      </c>
    </row>
    <row r="477" spans="1:28">
      <c r="A477" s="1">
        <v>476</v>
      </c>
      <c r="B477" s="1" t="s">
        <v>1322</v>
      </c>
      <c r="C477" s="2">
        <v>42258</v>
      </c>
      <c r="D477" s="6" t="str">
        <f t="shared" si="260"/>
        <v>Sep</v>
      </c>
      <c r="E477" s="6" t="str">
        <f t="shared" si="261"/>
        <v>Qtr 3</v>
      </c>
      <c r="F477" s="5">
        <v>42319</v>
      </c>
      <c r="G477" s="1" t="s">
        <v>26</v>
      </c>
      <c r="H477" s="1" t="s">
        <v>1323</v>
      </c>
      <c r="I477" s="1" t="s">
        <v>1324</v>
      </c>
      <c r="J477" s="1" t="str">
        <f ca="1">IFERROR(__xludf.DUMMYFUNCTION("split(I477,"" "")"),"Jeremy")</f>
        <v>Jeremy</v>
      </c>
      <c r="K477" s="1" t="str">
        <f ca="1">IFERROR(__xludf.DUMMYFUNCTION("""COMPUTED_VALUE"""),"Pistek")</f>
        <v>Pistek</v>
      </c>
      <c r="L477" s="1"/>
      <c r="M477" s="1" t="s">
        <v>29</v>
      </c>
      <c r="N477" s="1" t="s">
        <v>30</v>
      </c>
      <c r="O477" s="1" t="s">
        <v>110</v>
      </c>
      <c r="P477" s="1" t="str">
        <f t="shared" si="262"/>
        <v>San Francisco</v>
      </c>
      <c r="Q477" s="1" t="s">
        <v>68</v>
      </c>
      <c r="R477" s="1" t="str">
        <f t="shared" si="263"/>
        <v>California</v>
      </c>
      <c r="S477" s="1">
        <v>94110</v>
      </c>
      <c r="T477" s="1" t="s">
        <v>44</v>
      </c>
      <c r="U477" s="1" t="s">
        <v>1329</v>
      </c>
      <c r="V477" s="1" t="s">
        <v>46</v>
      </c>
      <c r="W477" s="7">
        <v>62.65</v>
      </c>
      <c r="X477" s="1">
        <v>9</v>
      </c>
      <c r="Y477" s="7">
        <v>61.71</v>
      </c>
      <c r="Z477" s="7">
        <f t="shared" ref="Z477:AA477" si="485">W477*X477</f>
        <v>563.85</v>
      </c>
      <c r="AA477" s="7">
        <f t="shared" si="485"/>
        <v>555.39</v>
      </c>
      <c r="AB477" s="7">
        <f t="shared" si="265"/>
        <v>8.4600000000000364</v>
      </c>
    </row>
    <row r="478" spans="1:28">
      <c r="A478" s="1">
        <v>477</v>
      </c>
      <c r="B478" s="1" t="s">
        <v>1322</v>
      </c>
      <c r="C478" s="2">
        <v>42258</v>
      </c>
      <c r="D478" s="6" t="str">
        <f t="shared" si="260"/>
        <v>Sep</v>
      </c>
      <c r="E478" s="6" t="str">
        <f t="shared" si="261"/>
        <v>Qtr 3</v>
      </c>
      <c r="F478" s="5">
        <v>42319</v>
      </c>
      <c r="G478" s="1" t="s">
        <v>26</v>
      </c>
      <c r="H478" s="1" t="s">
        <v>1323</v>
      </c>
      <c r="I478" s="1" t="s">
        <v>1324</v>
      </c>
      <c r="J478" s="1" t="str">
        <f ca="1">IFERROR(__xludf.DUMMYFUNCTION("split(I478,"" "")"),"Jeremy")</f>
        <v>Jeremy</v>
      </c>
      <c r="K478" s="1" t="str">
        <f ca="1">IFERROR(__xludf.DUMMYFUNCTION("""COMPUTED_VALUE"""),"Pistek")</f>
        <v>Pistek</v>
      </c>
      <c r="L478" s="1"/>
      <c r="M478" s="1" t="s">
        <v>29</v>
      </c>
      <c r="N478" s="1" t="s">
        <v>30</v>
      </c>
      <c r="O478" s="1" t="s">
        <v>110</v>
      </c>
      <c r="P478" s="1" t="str">
        <f t="shared" si="262"/>
        <v>San Francisco</v>
      </c>
      <c r="Q478" s="1" t="s">
        <v>68</v>
      </c>
      <c r="R478" s="1" t="str">
        <f t="shared" si="263"/>
        <v>California</v>
      </c>
      <c r="S478" s="1">
        <v>94110</v>
      </c>
      <c r="T478" s="1" t="s">
        <v>44</v>
      </c>
      <c r="U478" s="1" t="s">
        <v>1330</v>
      </c>
      <c r="V478" s="1" t="s">
        <v>46</v>
      </c>
      <c r="W478" s="7">
        <v>94.85</v>
      </c>
      <c r="X478" s="1">
        <v>9</v>
      </c>
      <c r="Y478" s="7">
        <v>94.19</v>
      </c>
      <c r="Z478" s="7">
        <f t="shared" ref="Z478:AA478" si="486">W478*X478</f>
        <v>853.65</v>
      </c>
      <c r="AA478" s="7">
        <f t="shared" si="486"/>
        <v>847.71</v>
      </c>
      <c r="AB478" s="7">
        <f t="shared" si="265"/>
        <v>5.9399999999999409</v>
      </c>
    </row>
    <row r="479" spans="1:28">
      <c r="A479" s="1">
        <v>478</v>
      </c>
      <c r="B479" s="1" t="s">
        <v>1331</v>
      </c>
      <c r="C479" s="2">
        <v>43076</v>
      </c>
      <c r="D479" s="6" t="str">
        <f t="shared" si="260"/>
        <v>Dec</v>
      </c>
      <c r="E479" s="6" t="str">
        <f t="shared" si="261"/>
        <v>Qtr 4</v>
      </c>
      <c r="F479" s="5" t="s">
        <v>1332</v>
      </c>
      <c r="G479" s="1" t="s">
        <v>49</v>
      </c>
      <c r="H479" s="1" t="s">
        <v>833</v>
      </c>
      <c r="I479" s="1" t="s">
        <v>834</v>
      </c>
      <c r="J479" s="1" t="str">
        <f ca="1">IFERROR(__xludf.DUMMYFUNCTION("split(I479,"" "")"),"Kristen")</f>
        <v>Kristen</v>
      </c>
      <c r="K479" s="1" t="str">
        <f ca="1">IFERROR(__xludf.DUMMYFUNCTION("""COMPUTED_VALUE"""),"Hastings")</f>
        <v>Hastings</v>
      </c>
      <c r="L479" s="1"/>
      <c r="M479" s="1" t="s">
        <v>41</v>
      </c>
      <c r="N479" s="1" t="s">
        <v>30</v>
      </c>
      <c r="O479" s="1" t="s">
        <v>42</v>
      </c>
      <c r="P479" s="1" t="str">
        <f t="shared" si="262"/>
        <v>Los Angeles</v>
      </c>
      <c r="Q479" s="1" t="s">
        <v>68</v>
      </c>
      <c r="R479" s="1" t="str">
        <f t="shared" si="263"/>
        <v>California</v>
      </c>
      <c r="S479" s="1">
        <v>90008</v>
      </c>
      <c r="T479" s="1" t="s">
        <v>44</v>
      </c>
      <c r="U479" s="1" t="s">
        <v>1333</v>
      </c>
      <c r="V479" s="1" t="s">
        <v>64</v>
      </c>
      <c r="W479" s="7">
        <v>95.76</v>
      </c>
      <c r="X479" s="1">
        <v>9</v>
      </c>
      <c r="Y479" s="7">
        <v>95.18</v>
      </c>
      <c r="Z479" s="7">
        <f t="shared" ref="Z479:AA479" si="487">W479*X479</f>
        <v>861.84</v>
      </c>
      <c r="AA479" s="7">
        <f t="shared" si="487"/>
        <v>856.62000000000012</v>
      </c>
      <c r="AB479" s="7">
        <f t="shared" si="265"/>
        <v>5.2199999999999136</v>
      </c>
    </row>
    <row r="480" spans="1:28">
      <c r="A480" s="1">
        <v>479</v>
      </c>
      <c r="B480" s="1" t="s">
        <v>1334</v>
      </c>
      <c r="C480" s="2">
        <v>43035</v>
      </c>
      <c r="D480" s="6" t="str">
        <f t="shared" si="260"/>
        <v>Oct</v>
      </c>
      <c r="E480" s="6" t="str">
        <f t="shared" si="261"/>
        <v>Qtr 4</v>
      </c>
      <c r="F480" s="5">
        <v>42777</v>
      </c>
      <c r="G480" s="1" t="s">
        <v>49</v>
      </c>
      <c r="H480" s="1" t="s">
        <v>1335</v>
      </c>
      <c r="I480" s="1" t="s">
        <v>1336</v>
      </c>
      <c r="J480" s="1" t="str">
        <f ca="1">IFERROR(__xludf.DUMMYFUNCTION("split(I480,"" "")"),"Jeremy")</f>
        <v>Jeremy</v>
      </c>
      <c r="K480" s="1" t="str">
        <f ca="1">IFERROR(__xludf.DUMMYFUNCTION("""COMPUTED_VALUE"""),"Ellison")</f>
        <v>Ellison</v>
      </c>
      <c r="L480" s="1"/>
      <c r="M480" s="1" t="s">
        <v>29</v>
      </c>
      <c r="N480" s="1" t="s">
        <v>30</v>
      </c>
      <c r="O480" s="1" t="s">
        <v>241</v>
      </c>
      <c r="P480" s="1" t="str">
        <f t="shared" si="262"/>
        <v>Troy</v>
      </c>
      <c r="Q480" s="1" t="s">
        <v>234</v>
      </c>
      <c r="R480" s="1" t="str">
        <f t="shared" si="263"/>
        <v>New York</v>
      </c>
      <c r="S480" s="1">
        <v>12180</v>
      </c>
      <c r="T480" s="1" t="s">
        <v>128</v>
      </c>
      <c r="U480" s="1" t="s">
        <v>903</v>
      </c>
      <c r="V480" s="1" t="s">
        <v>35</v>
      </c>
      <c r="W480" s="7">
        <v>40.200000000000003</v>
      </c>
      <c r="X480" s="1">
        <v>1</v>
      </c>
      <c r="Y480" s="7">
        <v>39.61</v>
      </c>
      <c r="Z480" s="7">
        <f t="shared" ref="Z480:AA480" si="488">W480*X480</f>
        <v>40.200000000000003</v>
      </c>
      <c r="AA480" s="7">
        <f t="shared" si="488"/>
        <v>39.61</v>
      </c>
      <c r="AB480" s="7">
        <f t="shared" si="265"/>
        <v>0.59000000000000341</v>
      </c>
    </row>
    <row r="481" spans="1:28">
      <c r="A481" s="1">
        <v>480</v>
      </c>
      <c r="B481" s="1" t="s">
        <v>1337</v>
      </c>
      <c r="C481" s="2">
        <v>42912</v>
      </c>
      <c r="D481" s="6" t="str">
        <f t="shared" si="260"/>
        <v>Jun</v>
      </c>
      <c r="E481" s="6" t="str">
        <f t="shared" si="261"/>
        <v>Qtr 2</v>
      </c>
      <c r="F481" s="5">
        <v>42773</v>
      </c>
      <c r="G481" s="1" t="s">
        <v>49</v>
      </c>
      <c r="H481" s="1" t="s">
        <v>1338</v>
      </c>
      <c r="I481" s="1" t="s">
        <v>1339</v>
      </c>
      <c r="J481" s="1" t="str">
        <f ca="1">IFERROR(__xludf.DUMMYFUNCTION("split(I481,"" "")"),"John")</f>
        <v>John</v>
      </c>
      <c r="K481" s="1" t="str">
        <f ca="1">IFERROR(__xludf.DUMMYFUNCTION("""COMPUTED_VALUE"""),"Grady")</f>
        <v>Grady</v>
      </c>
      <c r="L481" s="1"/>
      <c r="M481" s="1" t="s">
        <v>41</v>
      </c>
      <c r="N481" s="1" t="s">
        <v>30</v>
      </c>
      <c r="O481" s="1" t="s">
        <v>233</v>
      </c>
      <c r="P481" s="1" t="str">
        <f t="shared" si="262"/>
        <v>New York City</v>
      </c>
      <c r="Q481" s="1" t="s">
        <v>234</v>
      </c>
      <c r="R481" s="1" t="str">
        <f t="shared" si="263"/>
        <v>New York</v>
      </c>
      <c r="S481" s="1">
        <v>10024</v>
      </c>
      <c r="T481" s="1" t="s">
        <v>128</v>
      </c>
      <c r="U481" s="1" t="s">
        <v>1340</v>
      </c>
      <c r="V481" s="1" t="s">
        <v>46</v>
      </c>
      <c r="W481" s="7">
        <v>14.7</v>
      </c>
      <c r="X481" s="1">
        <v>1</v>
      </c>
      <c r="Y481" s="7">
        <v>13.71</v>
      </c>
      <c r="Z481" s="7">
        <f t="shared" ref="Z481:AA481" si="489">W481*X481</f>
        <v>14.7</v>
      </c>
      <c r="AA481" s="7">
        <f t="shared" si="489"/>
        <v>13.71</v>
      </c>
      <c r="AB481" s="7">
        <f t="shared" si="265"/>
        <v>0.98999999999999844</v>
      </c>
    </row>
    <row r="482" spans="1:28">
      <c r="A482" s="1">
        <v>481</v>
      </c>
      <c r="B482" s="1" t="s">
        <v>1337</v>
      </c>
      <c r="C482" s="2">
        <v>42912</v>
      </c>
      <c r="D482" s="6" t="str">
        <f t="shared" si="260"/>
        <v>Jun</v>
      </c>
      <c r="E482" s="6" t="str">
        <f t="shared" si="261"/>
        <v>Qtr 2</v>
      </c>
      <c r="F482" s="5">
        <v>42773</v>
      </c>
      <c r="G482" s="1" t="s">
        <v>49</v>
      </c>
      <c r="H482" s="1" t="s">
        <v>1338</v>
      </c>
      <c r="I482" s="1" t="s">
        <v>1339</v>
      </c>
      <c r="J482" s="1" t="str">
        <f ca="1">IFERROR(__xludf.DUMMYFUNCTION("split(I482,"" "")"),"John")</f>
        <v>John</v>
      </c>
      <c r="K482" s="1" t="str">
        <f ca="1">IFERROR(__xludf.DUMMYFUNCTION("""COMPUTED_VALUE"""),"Grady")</f>
        <v>Grady</v>
      </c>
      <c r="L482" s="1"/>
      <c r="M482" s="1" t="s">
        <v>41</v>
      </c>
      <c r="N482" s="1" t="s">
        <v>30</v>
      </c>
      <c r="O482" s="1" t="s">
        <v>233</v>
      </c>
      <c r="P482" s="1" t="str">
        <f t="shared" si="262"/>
        <v>New York City</v>
      </c>
      <c r="Q482" s="1" t="s">
        <v>234</v>
      </c>
      <c r="R482" s="1" t="str">
        <f t="shared" si="263"/>
        <v>New York</v>
      </c>
      <c r="S482" s="1">
        <v>10024</v>
      </c>
      <c r="T482" s="1" t="s">
        <v>128</v>
      </c>
      <c r="U482" s="1" t="s">
        <v>1341</v>
      </c>
      <c r="V482" s="1" t="s">
        <v>46</v>
      </c>
      <c r="W482" s="7">
        <v>704.25</v>
      </c>
      <c r="X482" s="1">
        <v>1</v>
      </c>
      <c r="Y482" s="7">
        <v>703.79</v>
      </c>
      <c r="Z482" s="7">
        <f t="shared" ref="Z482:AA482" si="490">W482*X482</f>
        <v>704.25</v>
      </c>
      <c r="AA482" s="7">
        <f t="shared" si="490"/>
        <v>703.79</v>
      </c>
      <c r="AB482" s="7">
        <f t="shared" si="265"/>
        <v>0.46000000000003638</v>
      </c>
    </row>
    <row r="483" spans="1:28">
      <c r="A483" s="1">
        <v>482</v>
      </c>
      <c r="B483" s="1" t="s">
        <v>1342</v>
      </c>
      <c r="C483" s="2">
        <v>42165</v>
      </c>
      <c r="D483" s="6" t="str">
        <f t="shared" si="260"/>
        <v>Jun</v>
      </c>
      <c r="E483" s="6" t="str">
        <f t="shared" si="261"/>
        <v>Qtr 2</v>
      </c>
      <c r="F483" s="5">
        <v>42287</v>
      </c>
      <c r="G483" s="1" t="s">
        <v>49</v>
      </c>
      <c r="H483" s="1" t="s">
        <v>1343</v>
      </c>
      <c r="I483" s="1" t="s">
        <v>1344</v>
      </c>
      <c r="J483" s="1" t="str">
        <f ca="1">IFERROR(__xludf.DUMMYFUNCTION("split(I483,"" "")"),"Xylona")</f>
        <v>Xylona</v>
      </c>
      <c r="K483" s="1" t="str">
        <f ca="1">IFERROR(__xludf.DUMMYFUNCTION("""COMPUTED_VALUE"""),"Preis")</f>
        <v>Preis</v>
      </c>
      <c r="L483" s="1"/>
      <c r="M483" s="1" t="s">
        <v>29</v>
      </c>
      <c r="N483" s="1" t="s">
        <v>30</v>
      </c>
      <c r="O483" s="1" t="s">
        <v>778</v>
      </c>
      <c r="P483" s="1" t="str">
        <f t="shared" si="262"/>
        <v>San Diego</v>
      </c>
      <c r="Q483" s="1" t="s">
        <v>68</v>
      </c>
      <c r="R483" s="1" t="str">
        <f t="shared" si="263"/>
        <v>California</v>
      </c>
      <c r="S483" s="1">
        <v>92024</v>
      </c>
      <c r="T483" s="1" t="s">
        <v>44</v>
      </c>
      <c r="U483" s="1" t="s">
        <v>1345</v>
      </c>
      <c r="V483" s="1" t="s">
        <v>64</v>
      </c>
      <c r="W483" s="7">
        <v>9.09</v>
      </c>
      <c r="X483" s="1">
        <v>9</v>
      </c>
      <c r="Y483" s="7">
        <v>8.9</v>
      </c>
      <c r="Z483" s="7">
        <f t="shared" ref="Z483:AA483" si="491">W483*X483</f>
        <v>81.81</v>
      </c>
      <c r="AA483" s="7">
        <f t="shared" si="491"/>
        <v>80.100000000000009</v>
      </c>
      <c r="AB483" s="7">
        <f t="shared" si="265"/>
        <v>1.7099999999999937</v>
      </c>
    </row>
    <row r="484" spans="1:28">
      <c r="A484" s="1">
        <v>483</v>
      </c>
      <c r="B484" s="1" t="s">
        <v>1346</v>
      </c>
      <c r="C484" s="2">
        <v>42207</v>
      </c>
      <c r="D484" s="6" t="str">
        <f t="shared" si="260"/>
        <v>Jul</v>
      </c>
      <c r="E484" s="6" t="str">
        <f t="shared" si="261"/>
        <v>Qtr 3</v>
      </c>
      <c r="F484" s="5" t="s">
        <v>1064</v>
      </c>
      <c r="G484" s="1" t="s">
        <v>49</v>
      </c>
      <c r="H484" s="1" t="s">
        <v>1347</v>
      </c>
      <c r="I484" s="1" t="s">
        <v>1348</v>
      </c>
      <c r="J484" s="1" t="str">
        <f ca="1">IFERROR(__xludf.DUMMYFUNCTION("split(I484,"" "")"),"Erin")</f>
        <v>Erin</v>
      </c>
      <c r="K484" s="1" t="str">
        <f ca="1">IFERROR(__xludf.DUMMYFUNCTION("""COMPUTED_VALUE"""),"Mull")</f>
        <v>Mull</v>
      </c>
      <c r="L484" s="1"/>
      <c r="M484" s="1" t="s">
        <v>29</v>
      </c>
      <c r="N484" s="1" t="s">
        <v>30</v>
      </c>
      <c r="O484" s="1" t="s">
        <v>233</v>
      </c>
      <c r="P484" s="1" t="str">
        <f t="shared" si="262"/>
        <v>New York City</v>
      </c>
      <c r="Q484" s="1" t="s">
        <v>234</v>
      </c>
      <c r="R484" s="1" t="str">
        <f t="shared" si="263"/>
        <v>New York</v>
      </c>
      <c r="S484" s="1">
        <v>10024</v>
      </c>
      <c r="T484" s="1" t="s">
        <v>128</v>
      </c>
      <c r="U484" s="1" t="s">
        <v>311</v>
      </c>
      <c r="V484" s="1" t="s">
        <v>46</v>
      </c>
      <c r="W484" s="7">
        <v>5.96</v>
      </c>
      <c r="X484" s="1">
        <v>1</v>
      </c>
      <c r="Y484" s="7">
        <v>4.97</v>
      </c>
      <c r="Z484" s="7">
        <f t="shared" ref="Z484:AA484" si="492">W484*X484</f>
        <v>5.96</v>
      </c>
      <c r="AA484" s="7">
        <f t="shared" si="492"/>
        <v>4.97</v>
      </c>
      <c r="AB484" s="7">
        <f t="shared" si="265"/>
        <v>0.99000000000000021</v>
      </c>
    </row>
    <row r="485" spans="1:28">
      <c r="A485" s="1">
        <v>484</v>
      </c>
      <c r="B485" s="1" t="s">
        <v>1346</v>
      </c>
      <c r="C485" s="2">
        <v>42207</v>
      </c>
      <c r="D485" s="6" t="str">
        <f t="shared" si="260"/>
        <v>Jul</v>
      </c>
      <c r="E485" s="6" t="str">
        <f t="shared" si="261"/>
        <v>Qtr 3</v>
      </c>
      <c r="F485" s="5" t="s">
        <v>1064</v>
      </c>
      <c r="G485" s="1" t="s">
        <v>49</v>
      </c>
      <c r="H485" s="1" t="s">
        <v>1347</v>
      </c>
      <c r="I485" s="1" t="s">
        <v>1348</v>
      </c>
      <c r="J485" s="1" t="str">
        <f ca="1">IFERROR(__xludf.DUMMYFUNCTION("split(I485,"" "")"),"Erin")</f>
        <v>Erin</v>
      </c>
      <c r="K485" s="1" t="str">
        <f ca="1">IFERROR(__xludf.DUMMYFUNCTION("""COMPUTED_VALUE"""),"Mull")</f>
        <v>Mull</v>
      </c>
      <c r="L485" s="1"/>
      <c r="M485" s="1" t="s">
        <v>29</v>
      </c>
      <c r="N485" s="1" t="s">
        <v>30</v>
      </c>
      <c r="O485" s="1" t="s">
        <v>233</v>
      </c>
      <c r="P485" s="1" t="str">
        <f t="shared" si="262"/>
        <v>New York City</v>
      </c>
      <c r="Q485" s="1" t="s">
        <v>234</v>
      </c>
      <c r="R485" s="1" t="str">
        <f t="shared" si="263"/>
        <v>New York</v>
      </c>
      <c r="S485" s="1">
        <v>10024</v>
      </c>
      <c r="T485" s="1" t="s">
        <v>128</v>
      </c>
      <c r="U485" s="1" t="s">
        <v>1349</v>
      </c>
      <c r="V485" s="1" t="s">
        <v>64</v>
      </c>
      <c r="W485" s="7">
        <v>159.97999999999999</v>
      </c>
      <c r="X485" s="1">
        <v>1</v>
      </c>
      <c r="Y485" s="7">
        <v>159.24</v>
      </c>
      <c r="Z485" s="7">
        <f t="shared" ref="Z485:AA485" si="493">W485*X485</f>
        <v>159.97999999999999</v>
      </c>
      <c r="AA485" s="7">
        <f t="shared" si="493"/>
        <v>159.24</v>
      </c>
      <c r="AB485" s="7">
        <f t="shared" si="265"/>
        <v>0.73999999999998067</v>
      </c>
    </row>
    <row r="486" spans="1:28">
      <c r="A486" s="1">
        <v>485</v>
      </c>
      <c r="B486" s="1" t="s">
        <v>1350</v>
      </c>
      <c r="C486" s="2">
        <v>43379</v>
      </c>
      <c r="D486" s="6" t="str">
        <f t="shared" si="260"/>
        <v>Oct</v>
      </c>
      <c r="E486" s="6" t="str">
        <f t="shared" si="261"/>
        <v>Qtr 4</v>
      </c>
      <c r="F486" s="5" t="s">
        <v>1351</v>
      </c>
      <c r="G486" s="1" t="s">
        <v>162</v>
      </c>
      <c r="H486" s="1" t="s">
        <v>1352</v>
      </c>
      <c r="I486" s="1" t="s">
        <v>1353</v>
      </c>
      <c r="J486" s="1" t="str">
        <f ca="1">IFERROR(__xludf.DUMMYFUNCTION("split(I486,"" "")"),"Michelle")</f>
        <v>Michelle</v>
      </c>
      <c r="K486" s="1" t="str">
        <f ca="1">IFERROR(__xludf.DUMMYFUNCTION("""COMPUTED_VALUE"""),"Tran")</f>
        <v>Tran</v>
      </c>
      <c r="L486" s="1"/>
      <c r="M486" s="1" t="s">
        <v>87</v>
      </c>
      <c r="N486" s="1" t="s">
        <v>30</v>
      </c>
      <c r="O486" s="1" t="s">
        <v>42</v>
      </c>
      <c r="P486" s="1" t="str">
        <f t="shared" si="262"/>
        <v>Los Angeles</v>
      </c>
      <c r="Q486" s="1" t="s">
        <v>68</v>
      </c>
      <c r="R486" s="1" t="str">
        <f t="shared" si="263"/>
        <v>California</v>
      </c>
      <c r="S486" s="1">
        <v>90045</v>
      </c>
      <c r="T486" s="1" t="s">
        <v>44</v>
      </c>
      <c r="U486" s="1" t="s">
        <v>1354</v>
      </c>
      <c r="V486" s="1" t="s">
        <v>46</v>
      </c>
      <c r="W486" s="7">
        <v>29.6</v>
      </c>
      <c r="X486" s="1">
        <v>9</v>
      </c>
      <c r="Y486" s="7">
        <v>29.14</v>
      </c>
      <c r="Z486" s="7">
        <f t="shared" ref="Z486:AA486" si="494">W486*X486</f>
        <v>266.40000000000003</v>
      </c>
      <c r="AA486" s="7">
        <f t="shared" si="494"/>
        <v>262.26</v>
      </c>
      <c r="AB486" s="7">
        <f t="shared" si="265"/>
        <v>4.1400000000000432</v>
      </c>
    </row>
    <row r="487" spans="1:28">
      <c r="A487" s="1">
        <v>486</v>
      </c>
      <c r="B487" s="1" t="s">
        <v>1350</v>
      </c>
      <c r="C487" s="2">
        <v>43379</v>
      </c>
      <c r="D487" s="6" t="str">
        <f t="shared" si="260"/>
        <v>Oct</v>
      </c>
      <c r="E487" s="6" t="str">
        <f t="shared" si="261"/>
        <v>Qtr 4</v>
      </c>
      <c r="F487" s="5" t="s">
        <v>1351</v>
      </c>
      <c r="G487" s="1" t="s">
        <v>162</v>
      </c>
      <c r="H487" s="1" t="s">
        <v>1352</v>
      </c>
      <c r="I487" s="1" t="s">
        <v>1353</v>
      </c>
      <c r="J487" s="1" t="str">
        <f ca="1">IFERROR(__xludf.DUMMYFUNCTION("split(I487,"" "")"),"Michelle")</f>
        <v>Michelle</v>
      </c>
      <c r="K487" s="1" t="str">
        <f ca="1">IFERROR(__xludf.DUMMYFUNCTION("""COMPUTED_VALUE"""),"Tran")</f>
        <v>Tran</v>
      </c>
      <c r="L487" s="1"/>
      <c r="M487" s="1" t="s">
        <v>87</v>
      </c>
      <c r="N487" s="1" t="s">
        <v>30</v>
      </c>
      <c r="O487" s="1" t="s">
        <v>42</v>
      </c>
      <c r="P487" s="1" t="str">
        <f t="shared" si="262"/>
        <v>Los Angeles</v>
      </c>
      <c r="Q487" s="1" t="s">
        <v>68</v>
      </c>
      <c r="R487" s="1" t="str">
        <f t="shared" si="263"/>
        <v>California</v>
      </c>
      <c r="S487" s="1">
        <v>90045</v>
      </c>
      <c r="T487" s="1" t="s">
        <v>44</v>
      </c>
      <c r="U487" s="1" t="s">
        <v>1355</v>
      </c>
      <c r="V487" s="1" t="s">
        <v>35</v>
      </c>
      <c r="W487" s="7">
        <v>514.16499999999996</v>
      </c>
      <c r="X487" s="1">
        <v>9</v>
      </c>
      <c r="Y487" s="7">
        <v>513.37</v>
      </c>
      <c r="Z487" s="7">
        <f t="shared" ref="Z487:AA487" si="495">W487*X487</f>
        <v>4627.4849999999997</v>
      </c>
      <c r="AA487" s="7">
        <f t="shared" si="495"/>
        <v>4620.33</v>
      </c>
      <c r="AB487" s="7">
        <f t="shared" si="265"/>
        <v>7.1549999999997453</v>
      </c>
    </row>
    <row r="488" spans="1:28">
      <c r="A488" s="1">
        <v>487</v>
      </c>
      <c r="B488" s="1" t="s">
        <v>1350</v>
      </c>
      <c r="C488" s="2">
        <v>43379</v>
      </c>
      <c r="D488" s="6" t="str">
        <f t="shared" si="260"/>
        <v>Oct</v>
      </c>
      <c r="E488" s="6" t="str">
        <f t="shared" si="261"/>
        <v>Qtr 4</v>
      </c>
      <c r="F488" s="5" t="s">
        <v>1351</v>
      </c>
      <c r="G488" s="1" t="s">
        <v>162</v>
      </c>
      <c r="H488" s="1" t="s">
        <v>1352</v>
      </c>
      <c r="I488" s="1" t="s">
        <v>1353</v>
      </c>
      <c r="J488" s="1" t="str">
        <f ca="1">IFERROR(__xludf.DUMMYFUNCTION("split(I488,"" "")"),"Michelle")</f>
        <v>Michelle</v>
      </c>
      <c r="K488" s="1" t="str">
        <f ca="1">IFERROR(__xludf.DUMMYFUNCTION("""COMPUTED_VALUE"""),"Tran")</f>
        <v>Tran</v>
      </c>
      <c r="L488" s="1"/>
      <c r="M488" s="1" t="s">
        <v>87</v>
      </c>
      <c r="N488" s="1" t="s">
        <v>30</v>
      </c>
      <c r="O488" s="1" t="s">
        <v>42</v>
      </c>
      <c r="P488" s="1" t="str">
        <f t="shared" si="262"/>
        <v>Los Angeles</v>
      </c>
      <c r="Q488" s="1" t="s">
        <v>68</v>
      </c>
      <c r="R488" s="1" t="str">
        <f t="shared" si="263"/>
        <v>California</v>
      </c>
      <c r="S488" s="1">
        <v>90045</v>
      </c>
      <c r="T488" s="1" t="s">
        <v>44</v>
      </c>
      <c r="U488" s="1" t="s">
        <v>1356</v>
      </c>
      <c r="V488" s="1" t="s">
        <v>64</v>
      </c>
      <c r="W488" s="7">
        <v>279.95999999999998</v>
      </c>
      <c r="X488" s="1">
        <v>9</v>
      </c>
      <c r="Y488" s="7">
        <v>279.24</v>
      </c>
      <c r="Z488" s="7">
        <f t="shared" ref="Z488:AA488" si="496">W488*X488</f>
        <v>2519.64</v>
      </c>
      <c r="AA488" s="7">
        <f t="shared" si="496"/>
        <v>2513.16</v>
      </c>
      <c r="AB488" s="7">
        <f t="shared" si="265"/>
        <v>6.4800000000000182</v>
      </c>
    </row>
    <row r="489" spans="1:28">
      <c r="A489" s="1">
        <v>488</v>
      </c>
      <c r="B489" s="1" t="s">
        <v>1357</v>
      </c>
      <c r="C489" s="2">
        <v>42306</v>
      </c>
      <c r="D489" s="6" t="str">
        <f t="shared" si="260"/>
        <v>Oct</v>
      </c>
      <c r="E489" s="6" t="str">
        <f t="shared" si="261"/>
        <v>Qtr 4</v>
      </c>
      <c r="F489" s="5" t="s">
        <v>1358</v>
      </c>
      <c r="G489" s="1" t="s">
        <v>162</v>
      </c>
      <c r="H489" s="1" t="s">
        <v>1359</v>
      </c>
      <c r="I489" s="1" t="s">
        <v>1360</v>
      </c>
      <c r="J489" s="1" t="str">
        <f ca="1">IFERROR(__xludf.DUMMYFUNCTION("split(I489,"" "")"),"Sue")</f>
        <v>Sue</v>
      </c>
      <c r="K489" s="1" t="str">
        <f ca="1">IFERROR(__xludf.DUMMYFUNCTION("""COMPUTED_VALUE"""),"Ann")</f>
        <v>Ann</v>
      </c>
      <c r="L489" s="1" t="str">
        <f ca="1">IFERROR(__xludf.DUMMYFUNCTION("""COMPUTED_VALUE"""),"Reed")</f>
        <v>Reed</v>
      </c>
      <c r="M489" s="1" t="s">
        <v>29</v>
      </c>
      <c r="N489" s="1" t="s">
        <v>30</v>
      </c>
      <c r="O489" s="1" t="s">
        <v>259</v>
      </c>
      <c r="P489" s="1" t="str">
        <f t="shared" si="262"/>
        <v>Chicago</v>
      </c>
      <c r="Q489" s="1" t="s">
        <v>182</v>
      </c>
      <c r="R489" s="1" t="str">
        <f t="shared" si="263"/>
        <v>Illinois</v>
      </c>
      <c r="S489" s="1">
        <v>60610</v>
      </c>
      <c r="T489" s="1" t="s">
        <v>90</v>
      </c>
      <c r="U489" s="1" t="s">
        <v>1361</v>
      </c>
      <c r="V489" s="1" t="s">
        <v>64</v>
      </c>
      <c r="W489" s="7">
        <v>2735.9520000000002</v>
      </c>
      <c r="X489" s="1">
        <v>6</v>
      </c>
      <c r="Y489" s="7">
        <v>2735.58</v>
      </c>
      <c r="Z489" s="7">
        <f t="shared" ref="Z489:AA489" si="497">W489*X489</f>
        <v>16415.712</v>
      </c>
      <c r="AA489" s="7">
        <f t="shared" si="497"/>
        <v>16413.48</v>
      </c>
      <c r="AB489" s="7">
        <f t="shared" si="265"/>
        <v>2.2319999999999709</v>
      </c>
    </row>
    <row r="490" spans="1:28">
      <c r="A490" s="1">
        <v>489</v>
      </c>
      <c r="B490" s="1" t="s">
        <v>1362</v>
      </c>
      <c r="C490" s="2">
        <v>42253</v>
      </c>
      <c r="D490" s="6" t="str">
        <f t="shared" si="260"/>
        <v>Sep</v>
      </c>
      <c r="E490" s="6" t="str">
        <f t="shared" si="261"/>
        <v>Qtr 3</v>
      </c>
      <c r="F490" s="5" t="s">
        <v>1363</v>
      </c>
      <c r="G490" s="1" t="s">
        <v>26</v>
      </c>
      <c r="H490" s="1" t="s">
        <v>1364</v>
      </c>
      <c r="I490" s="1" t="s">
        <v>1365</v>
      </c>
      <c r="J490" s="1" t="str">
        <f ca="1">IFERROR(__xludf.DUMMYFUNCTION("split(I490,"" "")"),"Carl")</f>
        <v>Carl</v>
      </c>
      <c r="K490" s="1" t="str">
        <f ca="1">IFERROR(__xludf.DUMMYFUNCTION("""COMPUTED_VALUE"""),"Weiss")</f>
        <v>Weiss</v>
      </c>
      <c r="L490" s="1"/>
      <c r="M490" s="1" t="s">
        <v>87</v>
      </c>
      <c r="N490" s="1" t="s">
        <v>30</v>
      </c>
      <c r="O490" s="1" t="s">
        <v>1366</v>
      </c>
      <c r="P490" s="1" t="str">
        <f t="shared" si="262"/>
        <v>Huntsville</v>
      </c>
      <c r="Q490" s="1" t="s">
        <v>89</v>
      </c>
      <c r="R490" s="1" t="str">
        <f t="shared" si="263"/>
        <v>Texas</v>
      </c>
      <c r="S490" s="1">
        <v>77340</v>
      </c>
      <c r="T490" s="1" t="s">
        <v>90</v>
      </c>
      <c r="U490" s="1" t="s">
        <v>1367</v>
      </c>
      <c r="V490" s="1" t="s">
        <v>64</v>
      </c>
      <c r="W490" s="7">
        <v>7.992</v>
      </c>
      <c r="X490" s="1">
        <v>7</v>
      </c>
      <c r="Y490" s="7">
        <v>7.29</v>
      </c>
      <c r="Z490" s="7">
        <f t="shared" ref="Z490:AA490" si="498">W490*X490</f>
        <v>55.944000000000003</v>
      </c>
      <c r="AA490" s="7">
        <f t="shared" si="498"/>
        <v>51.03</v>
      </c>
      <c r="AB490" s="7">
        <f t="shared" si="265"/>
        <v>4.9140000000000015</v>
      </c>
    </row>
    <row r="491" spans="1:28">
      <c r="A491" s="1">
        <v>490</v>
      </c>
      <c r="B491" s="1" t="s">
        <v>1362</v>
      </c>
      <c r="C491" s="2">
        <v>42253</v>
      </c>
      <c r="D491" s="6" t="str">
        <f t="shared" si="260"/>
        <v>Sep</v>
      </c>
      <c r="E491" s="6" t="str">
        <f t="shared" si="261"/>
        <v>Qtr 3</v>
      </c>
      <c r="F491" s="5" t="s">
        <v>1363</v>
      </c>
      <c r="G491" s="1" t="s">
        <v>26</v>
      </c>
      <c r="H491" s="1" t="s">
        <v>1364</v>
      </c>
      <c r="I491" s="1" t="s">
        <v>1365</v>
      </c>
      <c r="J491" s="1" t="str">
        <f ca="1">IFERROR(__xludf.DUMMYFUNCTION("split(I491,"" "")"),"Carl")</f>
        <v>Carl</v>
      </c>
      <c r="K491" s="1" t="str">
        <f ca="1">IFERROR(__xludf.DUMMYFUNCTION("""COMPUTED_VALUE"""),"Weiss")</f>
        <v>Weiss</v>
      </c>
      <c r="L491" s="1"/>
      <c r="M491" s="1" t="s">
        <v>87</v>
      </c>
      <c r="N491" s="1" t="s">
        <v>30</v>
      </c>
      <c r="O491" s="1" t="s">
        <v>1366</v>
      </c>
      <c r="P491" s="1" t="str">
        <f t="shared" si="262"/>
        <v>Huntsville</v>
      </c>
      <c r="Q491" s="1" t="s">
        <v>89</v>
      </c>
      <c r="R491" s="1" t="str">
        <f t="shared" si="263"/>
        <v>Texas</v>
      </c>
      <c r="S491" s="1">
        <v>77340</v>
      </c>
      <c r="T491" s="1" t="s">
        <v>90</v>
      </c>
      <c r="U491" s="1" t="s">
        <v>1368</v>
      </c>
      <c r="V491" s="1" t="s">
        <v>64</v>
      </c>
      <c r="W491" s="7">
        <v>63.984000000000002</v>
      </c>
      <c r="X491" s="1">
        <v>7</v>
      </c>
      <c r="Y491" s="7">
        <v>63.56</v>
      </c>
      <c r="Z491" s="7">
        <f t="shared" ref="Z491:AA491" si="499">W491*X491</f>
        <v>447.88800000000003</v>
      </c>
      <c r="AA491" s="7">
        <f t="shared" si="499"/>
        <v>444.92</v>
      </c>
      <c r="AB491" s="7">
        <f t="shared" si="265"/>
        <v>2.9680000000000177</v>
      </c>
    </row>
    <row r="492" spans="1:28">
      <c r="A492" s="1">
        <v>491</v>
      </c>
      <c r="B492" s="1" t="s">
        <v>1362</v>
      </c>
      <c r="C492" s="2">
        <v>42253</v>
      </c>
      <c r="D492" s="6" t="str">
        <f t="shared" si="260"/>
        <v>Sep</v>
      </c>
      <c r="E492" s="6" t="str">
        <f t="shared" si="261"/>
        <v>Qtr 3</v>
      </c>
      <c r="F492" s="5" t="s">
        <v>1363</v>
      </c>
      <c r="G492" s="1" t="s">
        <v>26</v>
      </c>
      <c r="H492" s="1" t="s">
        <v>1364</v>
      </c>
      <c r="I492" s="1" t="s">
        <v>1365</v>
      </c>
      <c r="J492" s="1" t="str">
        <f ca="1">IFERROR(__xludf.DUMMYFUNCTION("split(I492,"" "")"),"Carl")</f>
        <v>Carl</v>
      </c>
      <c r="K492" s="1" t="str">
        <f ca="1">IFERROR(__xludf.DUMMYFUNCTION("""COMPUTED_VALUE"""),"Weiss")</f>
        <v>Weiss</v>
      </c>
      <c r="L492" s="1"/>
      <c r="M492" s="1" t="s">
        <v>87</v>
      </c>
      <c r="N492" s="1" t="s">
        <v>30</v>
      </c>
      <c r="O492" s="1" t="s">
        <v>1366</v>
      </c>
      <c r="P492" s="1" t="str">
        <f t="shared" si="262"/>
        <v>Huntsville</v>
      </c>
      <c r="Q492" s="1" t="s">
        <v>89</v>
      </c>
      <c r="R492" s="1" t="str">
        <f t="shared" si="263"/>
        <v>Texas</v>
      </c>
      <c r="S492" s="1">
        <v>77340</v>
      </c>
      <c r="T492" s="1" t="s">
        <v>90</v>
      </c>
      <c r="U492" s="1" t="s">
        <v>1275</v>
      </c>
      <c r="V492" s="1" t="s">
        <v>46</v>
      </c>
      <c r="W492" s="7">
        <v>70.367999999999995</v>
      </c>
      <c r="X492" s="1">
        <v>7</v>
      </c>
      <c r="Y492" s="7">
        <v>69.680000000000007</v>
      </c>
      <c r="Z492" s="7">
        <f t="shared" ref="Z492:AA492" si="500">W492*X492</f>
        <v>492.57599999999996</v>
      </c>
      <c r="AA492" s="7">
        <f t="shared" si="500"/>
        <v>487.76000000000005</v>
      </c>
      <c r="AB492" s="7">
        <f t="shared" si="265"/>
        <v>4.8159999999999172</v>
      </c>
    </row>
    <row r="493" spans="1:28">
      <c r="A493" s="1">
        <v>492</v>
      </c>
      <c r="B493" s="1" t="s">
        <v>1369</v>
      </c>
      <c r="C493" s="2">
        <v>42261</v>
      </c>
      <c r="D493" s="6" t="str">
        <f t="shared" si="260"/>
        <v>Sep</v>
      </c>
      <c r="E493" s="6" t="str">
        <f t="shared" si="261"/>
        <v>Qtr 3</v>
      </c>
      <c r="F493" s="5" t="s">
        <v>580</v>
      </c>
      <c r="G493" s="1" t="s">
        <v>49</v>
      </c>
      <c r="H493" s="1" t="s">
        <v>1370</v>
      </c>
      <c r="I493" s="1" t="s">
        <v>1371</v>
      </c>
      <c r="J493" s="1" t="str">
        <f ca="1">IFERROR(__xludf.DUMMYFUNCTION("split(I493,"" "")"),"Astrea")</f>
        <v>Astrea</v>
      </c>
      <c r="K493" s="1" t="str">
        <f ca="1">IFERROR(__xludf.DUMMYFUNCTION("""COMPUTED_VALUE"""),"Jones")</f>
        <v>Jones</v>
      </c>
      <c r="L493" s="1"/>
      <c r="M493" s="1" t="s">
        <v>29</v>
      </c>
      <c r="N493" s="1" t="s">
        <v>30</v>
      </c>
      <c r="O493" s="1" t="s">
        <v>331</v>
      </c>
      <c r="P493" s="1" t="str">
        <f t="shared" si="262"/>
        <v>Rochester</v>
      </c>
      <c r="Q493" s="1" t="s">
        <v>234</v>
      </c>
      <c r="R493" s="1" t="str">
        <f t="shared" si="263"/>
        <v>New York</v>
      </c>
      <c r="S493" s="1">
        <v>14609</v>
      </c>
      <c r="T493" s="1" t="s">
        <v>128</v>
      </c>
      <c r="U493" s="1" t="s">
        <v>1372</v>
      </c>
      <c r="V493" s="1" t="s">
        <v>46</v>
      </c>
      <c r="W493" s="7">
        <v>449.15</v>
      </c>
      <c r="X493" s="1">
        <v>1</v>
      </c>
      <c r="Y493" s="7">
        <v>448.88</v>
      </c>
      <c r="Z493" s="7">
        <f t="shared" ref="Z493:AA493" si="501">W493*X493</f>
        <v>449.15</v>
      </c>
      <c r="AA493" s="7">
        <f t="shared" si="501"/>
        <v>448.88</v>
      </c>
      <c r="AB493" s="7">
        <f t="shared" si="265"/>
        <v>0.26999999999998181</v>
      </c>
    </row>
    <row r="494" spans="1:28">
      <c r="A494" s="1">
        <v>493</v>
      </c>
      <c r="B494" s="1" t="s">
        <v>1369</v>
      </c>
      <c r="C494" s="2">
        <v>42261</v>
      </c>
      <c r="D494" s="6" t="str">
        <f t="shared" si="260"/>
        <v>Sep</v>
      </c>
      <c r="E494" s="6" t="str">
        <f t="shared" si="261"/>
        <v>Qtr 3</v>
      </c>
      <c r="F494" s="5" t="s">
        <v>580</v>
      </c>
      <c r="G494" s="1" t="s">
        <v>49</v>
      </c>
      <c r="H494" s="1" t="s">
        <v>1370</v>
      </c>
      <c r="I494" s="1" t="s">
        <v>1371</v>
      </c>
      <c r="J494" s="1" t="str">
        <f ca="1">IFERROR(__xludf.DUMMYFUNCTION("split(I494,"" "")"),"Astrea")</f>
        <v>Astrea</v>
      </c>
      <c r="K494" s="1" t="str">
        <f ca="1">IFERROR(__xludf.DUMMYFUNCTION("""COMPUTED_VALUE"""),"Jones")</f>
        <v>Jones</v>
      </c>
      <c r="L494" s="1"/>
      <c r="M494" s="1" t="s">
        <v>29</v>
      </c>
      <c r="N494" s="1" t="s">
        <v>30</v>
      </c>
      <c r="O494" s="1" t="s">
        <v>331</v>
      </c>
      <c r="P494" s="1" t="str">
        <f t="shared" si="262"/>
        <v>Rochester</v>
      </c>
      <c r="Q494" s="1" t="s">
        <v>234</v>
      </c>
      <c r="R494" s="1" t="str">
        <f t="shared" si="263"/>
        <v>New York</v>
      </c>
      <c r="S494" s="1">
        <v>14609</v>
      </c>
      <c r="T494" s="1" t="s">
        <v>128</v>
      </c>
      <c r="U494" s="1" t="s">
        <v>1373</v>
      </c>
      <c r="V494" s="1" t="s">
        <v>46</v>
      </c>
      <c r="W494" s="7">
        <v>11.07</v>
      </c>
      <c r="X494" s="1">
        <v>1</v>
      </c>
      <c r="Y494" s="7">
        <v>10.58</v>
      </c>
      <c r="Z494" s="7">
        <f t="shared" ref="Z494:AA494" si="502">W494*X494</f>
        <v>11.07</v>
      </c>
      <c r="AA494" s="7">
        <f t="shared" si="502"/>
        <v>10.58</v>
      </c>
      <c r="AB494" s="7">
        <f t="shared" si="265"/>
        <v>0.49000000000000021</v>
      </c>
    </row>
    <row r="495" spans="1:28">
      <c r="A495" s="1">
        <v>494</v>
      </c>
      <c r="B495" s="1" t="s">
        <v>1374</v>
      </c>
      <c r="C495" s="2">
        <v>42983</v>
      </c>
      <c r="D495" s="6" t="str">
        <f t="shared" si="260"/>
        <v>Sep</v>
      </c>
      <c r="E495" s="6" t="str">
        <f t="shared" si="261"/>
        <v>Qtr 3</v>
      </c>
      <c r="F495" s="5" t="s">
        <v>1375</v>
      </c>
      <c r="G495" s="1" t="s">
        <v>49</v>
      </c>
      <c r="H495" s="1" t="s">
        <v>1376</v>
      </c>
      <c r="I495" s="1" t="s">
        <v>1377</v>
      </c>
      <c r="J495" s="1" t="str">
        <f ca="1">IFERROR(__xludf.DUMMYFUNCTION("split(I495,"" "")"),"Sonia")</f>
        <v>Sonia</v>
      </c>
      <c r="K495" s="1" t="str">
        <f ca="1">IFERROR(__xludf.DUMMYFUNCTION("""COMPUTED_VALUE"""),"Sunley")</f>
        <v>Sunley</v>
      </c>
      <c r="L495" s="1"/>
      <c r="M495" s="1" t="s">
        <v>29</v>
      </c>
      <c r="N495" s="1" t="s">
        <v>30</v>
      </c>
      <c r="O495" s="1" t="s">
        <v>80</v>
      </c>
      <c r="P495" s="1" t="str">
        <f t="shared" si="262"/>
        <v>Seattle</v>
      </c>
      <c r="Q495" s="1" t="s">
        <v>81</v>
      </c>
      <c r="R495" s="1" t="str">
        <f t="shared" si="263"/>
        <v>Washington</v>
      </c>
      <c r="S495" s="1">
        <v>98115</v>
      </c>
      <c r="T495" s="1" t="s">
        <v>44</v>
      </c>
      <c r="U495" s="1" t="s">
        <v>1378</v>
      </c>
      <c r="V495" s="1" t="s">
        <v>64</v>
      </c>
      <c r="W495" s="7">
        <v>93.98</v>
      </c>
      <c r="X495" s="1">
        <v>9</v>
      </c>
      <c r="Y495" s="7">
        <v>93.2</v>
      </c>
      <c r="Z495" s="7">
        <f t="shared" ref="Z495:AA495" si="503">W495*X495</f>
        <v>845.82</v>
      </c>
      <c r="AA495" s="7">
        <f t="shared" si="503"/>
        <v>838.80000000000007</v>
      </c>
      <c r="AB495" s="7">
        <f t="shared" si="265"/>
        <v>7.0199999999999818</v>
      </c>
    </row>
    <row r="496" spans="1:28">
      <c r="A496" s="1">
        <v>495</v>
      </c>
      <c r="B496" s="1" t="s">
        <v>1379</v>
      </c>
      <c r="C496" s="2">
        <v>42812</v>
      </c>
      <c r="D496" s="6" t="str">
        <f t="shared" si="260"/>
        <v>Mar</v>
      </c>
      <c r="E496" s="6" t="str">
        <f t="shared" si="261"/>
        <v>Qtr 1</v>
      </c>
      <c r="F496" s="5" t="s">
        <v>1380</v>
      </c>
      <c r="G496" s="1" t="s">
        <v>26</v>
      </c>
      <c r="H496" s="1" t="s">
        <v>1381</v>
      </c>
      <c r="I496" s="1" t="s">
        <v>1382</v>
      </c>
      <c r="J496" s="1" t="str">
        <f ca="1">IFERROR(__xludf.DUMMYFUNCTION("split(I496,"" "")"),"Rose")</f>
        <v>Rose</v>
      </c>
      <c r="K496" s="1" t="str">
        <f ca="1">IFERROR(__xludf.DUMMYFUNCTION("""COMPUTED_VALUE"""),"O'Brian")</f>
        <v>O'Brian</v>
      </c>
      <c r="L496" s="1"/>
      <c r="M496" s="1" t="s">
        <v>29</v>
      </c>
      <c r="N496" s="1" t="s">
        <v>30</v>
      </c>
      <c r="O496" s="1" t="s">
        <v>286</v>
      </c>
      <c r="P496" s="1" t="str">
        <f t="shared" si="262"/>
        <v>Memphis</v>
      </c>
      <c r="Q496" s="1" t="s">
        <v>287</v>
      </c>
      <c r="R496" s="1" t="str">
        <f t="shared" si="263"/>
        <v>Tennessee</v>
      </c>
      <c r="S496" s="1">
        <v>38109</v>
      </c>
      <c r="T496" s="1" t="s">
        <v>33</v>
      </c>
      <c r="U496" s="1" t="s">
        <v>1383</v>
      </c>
      <c r="V496" s="1" t="s">
        <v>35</v>
      </c>
      <c r="W496" s="7">
        <v>189.88200000000001</v>
      </c>
      <c r="X496" s="1">
        <v>3</v>
      </c>
      <c r="Y496" s="7">
        <v>189.64</v>
      </c>
      <c r="Z496" s="7">
        <f t="shared" ref="Z496:AA496" si="504">W496*X496</f>
        <v>569.64599999999996</v>
      </c>
      <c r="AA496" s="7">
        <f t="shared" si="504"/>
        <v>568.91999999999996</v>
      </c>
      <c r="AB496" s="7">
        <f t="shared" si="265"/>
        <v>0.72599999999999909</v>
      </c>
    </row>
    <row r="497" spans="1:28">
      <c r="A497" s="1">
        <v>496</v>
      </c>
      <c r="B497" s="1" t="s">
        <v>1384</v>
      </c>
      <c r="C497" s="2">
        <v>42731</v>
      </c>
      <c r="D497" s="6" t="str">
        <f t="shared" si="260"/>
        <v>Dec</v>
      </c>
      <c r="E497" s="6" t="str">
        <f t="shared" si="261"/>
        <v>Qtr 4</v>
      </c>
      <c r="F497" s="5" t="s">
        <v>169</v>
      </c>
      <c r="G497" s="1" t="s">
        <v>49</v>
      </c>
      <c r="H497" s="1" t="s">
        <v>1385</v>
      </c>
      <c r="I497" s="1" t="s">
        <v>1386</v>
      </c>
      <c r="J497" s="1" t="str">
        <f ca="1">IFERROR(__xludf.DUMMYFUNCTION("split(I497,"" "")"),"Maribeth")</f>
        <v>Maribeth</v>
      </c>
      <c r="K497" s="1" t="str">
        <f ca="1">IFERROR(__xludf.DUMMYFUNCTION("""COMPUTED_VALUE"""),"Dona")</f>
        <v>Dona</v>
      </c>
      <c r="L497" s="1"/>
      <c r="M497" s="1" t="s">
        <v>29</v>
      </c>
      <c r="N497" s="1" t="s">
        <v>30</v>
      </c>
      <c r="O497" s="1" t="s">
        <v>1387</v>
      </c>
      <c r="P497" s="1" t="str">
        <f t="shared" si="262"/>
        <v>Fayetteville</v>
      </c>
      <c r="Q497" s="1" t="s">
        <v>1388</v>
      </c>
      <c r="R497" s="1" t="str">
        <f t="shared" si="263"/>
        <v>Arkansas</v>
      </c>
      <c r="S497" s="1">
        <v>72701</v>
      </c>
      <c r="T497" s="1" t="s">
        <v>33</v>
      </c>
      <c r="U497" s="1" t="s">
        <v>1389</v>
      </c>
      <c r="V497" s="1" t="s">
        <v>46</v>
      </c>
      <c r="W497" s="7">
        <v>105.42</v>
      </c>
      <c r="X497" s="1">
        <v>7</v>
      </c>
      <c r="Y497" s="7">
        <v>105.38</v>
      </c>
      <c r="Z497" s="7">
        <f t="shared" ref="Z497:AA497" si="505">W497*X497</f>
        <v>737.94</v>
      </c>
      <c r="AA497" s="7">
        <f t="shared" si="505"/>
        <v>737.66</v>
      </c>
      <c r="AB497" s="7">
        <f t="shared" si="265"/>
        <v>0.2800000000000864</v>
      </c>
    </row>
    <row r="498" spans="1:28">
      <c r="A498" s="1">
        <v>497</v>
      </c>
      <c r="B498" s="1" t="s">
        <v>1390</v>
      </c>
      <c r="C498" s="2">
        <v>42941</v>
      </c>
      <c r="D498" s="6" t="str">
        <f t="shared" si="260"/>
        <v>Jul</v>
      </c>
      <c r="E498" s="6" t="str">
        <f t="shared" si="261"/>
        <v>Qtr 3</v>
      </c>
      <c r="F498" s="5" t="s">
        <v>1391</v>
      </c>
      <c r="G498" s="1" t="s">
        <v>49</v>
      </c>
      <c r="H498" s="1" t="s">
        <v>1289</v>
      </c>
      <c r="I498" s="1" t="s">
        <v>1290</v>
      </c>
      <c r="J498" s="1" t="str">
        <f ca="1">IFERROR(__xludf.DUMMYFUNCTION("split(I498,"" "")"),"Sanjit")</f>
        <v>Sanjit</v>
      </c>
      <c r="K498" s="1" t="str">
        <f ca="1">IFERROR(__xludf.DUMMYFUNCTION("""COMPUTED_VALUE"""),"Chand")</f>
        <v>Chand</v>
      </c>
      <c r="L498" s="1"/>
      <c r="M498" s="1" t="s">
        <v>29</v>
      </c>
      <c r="N498" s="1" t="s">
        <v>30</v>
      </c>
      <c r="O498" s="1" t="s">
        <v>1392</v>
      </c>
      <c r="P498" s="1" t="str">
        <f t="shared" si="262"/>
        <v>Costa Mesa</v>
      </c>
      <c r="Q498" s="1" t="s">
        <v>68</v>
      </c>
      <c r="R498" s="1" t="str">
        <f t="shared" si="263"/>
        <v>California</v>
      </c>
      <c r="S498" s="1">
        <v>92627</v>
      </c>
      <c r="T498" s="1" t="s">
        <v>44</v>
      </c>
      <c r="U498" s="1" t="s">
        <v>1393</v>
      </c>
      <c r="V498" s="1" t="s">
        <v>46</v>
      </c>
      <c r="W498" s="7">
        <v>119.616</v>
      </c>
      <c r="X498" s="1">
        <v>9</v>
      </c>
      <c r="Y498" s="7">
        <v>119.1</v>
      </c>
      <c r="Z498" s="7">
        <f t="shared" ref="Z498:AA498" si="506">W498*X498</f>
        <v>1076.5440000000001</v>
      </c>
      <c r="AA498" s="7">
        <f t="shared" si="506"/>
        <v>1071.8999999999999</v>
      </c>
      <c r="AB498" s="7">
        <f t="shared" si="265"/>
        <v>4.6440000000002328</v>
      </c>
    </row>
    <row r="499" spans="1:28">
      <c r="A499" s="1">
        <v>498</v>
      </c>
      <c r="B499" s="1" t="s">
        <v>1390</v>
      </c>
      <c r="C499" s="2">
        <v>42941</v>
      </c>
      <c r="D499" s="6" t="str">
        <f t="shared" si="260"/>
        <v>Jul</v>
      </c>
      <c r="E499" s="6" t="str">
        <f t="shared" si="261"/>
        <v>Qtr 3</v>
      </c>
      <c r="F499" s="5" t="s">
        <v>1391</v>
      </c>
      <c r="G499" s="1" t="s">
        <v>49</v>
      </c>
      <c r="H499" s="1" t="s">
        <v>1289</v>
      </c>
      <c r="I499" s="1" t="s">
        <v>1290</v>
      </c>
      <c r="J499" s="1" t="str">
        <f ca="1">IFERROR(__xludf.DUMMYFUNCTION("split(I499,"" "")"),"Sanjit")</f>
        <v>Sanjit</v>
      </c>
      <c r="K499" s="1" t="str">
        <f ca="1">IFERROR(__xludf.DUMMYFUNCTION("""COMPUTED_VALUE"""),"Chand")</f>
        <v>Chand</v>
      </c>
      <c r="L499" s="1"/>
      <c r="M499" s="1" t="s">
        <v>29</v>
      </c>
      <c r="N499" s="1" t="s">
        <v>30</v>
      </c>
      <c r="O499" s="1" t="s">
        <v>1392</v>
      </c>
      <c r="P499" s="1" t="str">
        <f t="shared" si="262"/>
        <v>Costa Mesa</v>
      </c>
      <c r="Q499" s="1" t="s">
        <v>68</v>
      </c>
      <c r="R499" s="1" t="str">
        <f t="shared" si="263"/>
        <v>California</v>
      </c>
      <c r="S499" s="1">
        <v>92627</v>
      </c>
      <c r="T499" s="1" t="s">
        <v>44</v>
      </c>
      <c r="U499" s="1" t="s">
        <v>1394</v>
      </c>
      <c r="V499" s="1" t="s">
        <v>35</v>
      </c>
      <c r="W499" s="7">
        <v>255.76</v>
      </c>
      <c r="X499" s="1">
        <v>9</v>
      </c>
      <c r="Y499" s="7">
        <v>254.81</v>
      </c>
      <c r="Z499" s="7">
        <f t="shared" ref="Z499:AA499" si="507">W499*X499</f>
        <v>2301.84</v>
      </c>
      <c r="AA499" s="7">
        <f t="shared" si="507"/>
        <v>2293.29</v>
      </c>
      <c r="AB499" s="7">
        <f t="shared" si="265"/>
        <v>8.5500000000001819</v>
      </c>
    </row>
    <row r="500" spans="1:28">
      <c r="A500" s="1">
        <v>499</v>
      </c>
      <c r="B500" s="1" t="s">
        <v>1390</v>
      </c>
      <c r="C500" s="2">
        <v>42941</v>
      </c>
      <c r="D500" s="6" t="str">
        <f t="shared" si="260"/>
        <v>Jul</v>
      </c>
      <c r="E500" s="6" t="str">
        <f t="shared" si="261"/>
        <v>Qtr 3</v>
      </c>
      <c r="F500" s="5" t="s">
        <v>1391</v>
      </c>
      <c r="G500" s="1" t="s">
        <v>49</v>
      </c>
      <c r="H500" s="1" t="s">
        <v>1289</v>
      </c>
      <c r="I500" s="1" t="s">
        <v>1290</v>
      </c>
      <c r="J500" s="1" t="str">
        <f ca="1">IFERROR(__xludf.DUMMYFUNCTION("split(I500,"" "")"),"Sanjit")</f>
        <v>Sanjit</v>
      </c>
      <c r="K500" s="1" t="str">
        <f ca="1">IFERROR(__xludf.DUMMYFUNCTION("""COMPUTED_VALUE"""),"Chand")</f>
        <v>Chand</v>
      </c>
      <c r="L500" s="1"/>
      <c r="M500" s="1" t="s">
        <v>29</v>
      </c>
      <c r="N500" s="1" t="s">
        <v>30</v>
      </c>
      <c r="O500" s="1" t="s">
        <v>1392</v>
      </c>
      <c r="P500" s="1" t="str">
        <f t="shared" si="262"/>
        <v>Costa Mesa</v>
      </c>
      <c r="Q500" s="1" t="s">
        <v>68</v>
      </c>
      <c r="R500" s="1" t="str">
        <f t="shared" si="263"/>
        <v>California</v>
      </c>
      <c r="S500" s="1">
        <v>92627</v>
      </c>
      <c r="T500" s="1" t="s">
        <v>44</v>
      </c>
      <c r="U500" s="1" t="s">
        <v>948</v>
      </c>
      <c r="V500" s="1" t="s">
        <v>35</v>
      </c>
      <c r="W500" s="7">
        <v>241.56800000000001</v>
      </c>
      <c r="X500" s="1">
        <v>9</v>
      </c>
      <c r="Y500" s="7">
        <v>240.79</v>
      </c>
      <c r="Z500" s="7">
        <f t="shared" ref="Z500:AA500" si="508">W500*X500</f>
        <v>2174.1120000000001</v>
      </c>
      <c r="AA500" s="7">
        <f t="shared" si="508"/>
        <v>2167.11</v>
      </c>
      <c r="AB500" s="7">
        <f t="shared" si="265"/>
        <v>7.0019999999999527</v>
      </c>
    </row>
    <row r="501" spans="1:28">
      <c r="A501" s="1">
        <v>500</v>
      </c>
      <c r="B501" s="1" t="s">
        <v>1390</v>
      </c>
      <c r="C501" s="2">
        <v>42941</v>
      </c>
      <c r="D501" s="6" t="str">
        <f t="shared" si="260"/>
        <v>Jul</v>
      </c>
      <c r="E501" s="6" t="str">
        <f t="shared" si="261"/>
        <v>Qtr 3</v>
      </c>
      <c r="F501" s="5" t="s">
        <v>1391</v>
      </c>
      <c r="G501" s="1" t="s">
        <v>49</v>
      </c>
      <c r="H501" s="1" t="s">
        <v>1289</v>
      </c>
      <c r="I501" s="1" t="s">
        <v>1290</v>
      </c>
      <c r="J501" s="1" t="str">
        <f ca="1">IFERROR(__xludf.DUMMYFUNCTION("split(I501,"" "")"),"Sanjit")</f>
        <v>Sanjit</v>
      </c>
      <c r="K501" s="1" t="str">
        <f ca="1">IFERROR(__xludf.DUMMYFUNCTION("""COMPUTED_VALUE"""),"Chand")</f>
        <v>Chand</v>
      </c>
      <c r="L501" s="1"/>
      <c r="M501" s="1" t="s">
        <v>29</v>
      </c>
      <c r="N501" s="1" t="s">
        <v>30</v>
      </c>
      <c r="O501" s="1" t="s">
        <v>1392</v>
      </c>
      <c r="P501" s="1" t="str">
        <f t="shared" si="262"/>
        <v>Costa Mesa</v>
      </c>
      <c r="Q501" s="1" t="s">
        <v>68</v>
      </c>
      <c r="R501" s="1" t="str">
        <f t="shared" si="263"/>
        <v>California</v>
      </c>
      <c r="S501" s="1">
        <v>92627</v>
      </c>
      <c r="T501" s="1" t="s">
        <v>44</v>
      </c>
      <c r="U501" s="1" t="s">
        <v>1395</v>
      </c>
      <c r="V501" s="1" t="s">
        <v>35</v>
      </c>
      <c r="W501" s="7">
        <v>69.3</v>
      </c>
      <c r="X501" s="1">
        <v>9</v>
      </c>
      <c r="Y501" s="7">
        <v>68.37</v>
      </c>
      <c r="Z501" s="7">
        <f t="shared" ref="Z501:AA501" si="509">W501*X501</f>
        <v>623.69999999999993</v>
      </c>
      <c r="AA501" s="7">
        <f t="shared" si="509"/>
        <v>615.33000000000004</v>
      </c>
      <c r="AB501" s="7">
        <f t="shared" si="265"/>
        <v>8.3699999999998909</v>
      </c>
    </row>
    <row r="502" spans="1:28">
      <c r="A502" s="1">
        <v>501</v>
      </c>
      <c r="B502" s="1" t="s">
        <v>1396</v>
      </c>
      <c r="C502" s="2">
        <v>42885</v>
      </c>
      <c r="D502" s="6" t="str">
        <f t="shared" si="260"/>
        <v>May</v>
      </c>
      <c r="E502" s="6" t="str">
        <f t="shared" si="261"/>
        <v>Qtr 2</v>
      </c>
      <c r="F502" s="5">
        <v>42831</v>
      </c>
      <c r="G502" s="1" t="s">
        <v>49</v>
      </c>
      <c r="H502" s="1" t="s">
        <v>1397</v>
      </c>
      <c r="I502" s="1" t="s">
        <v>1398</v>
      </c>
      <c r="J502" s="1" t="str">
        <f ca="1">IFERROR(__xludf.DUMMYFUNCTION("split(I502,"" "")"),"Maribeth")</f>
        <v>Maribeth</v>
      </c>
      <c r="K502" s="1" t="str">
        <f ca="1">IFERROR(__xludf.DUMMYFUNCTION("""COMPUTED_VALUE"""),"Yedwab")</f>
        <v>Yedwab</v>
      </c>
      <c r="L502" s="1"/>
      <c r="M502" s="1" t="s">
        <v>41</v>
      </c>
      <c r="N502" s="1" t="s">
        <v>30</v>
      </c>
      <c r="O502" s="1" t="s">
        <v>1399</v>
      </c>
      <c r="P502" s="1" t="str">
        <f t="shared" si="262"/>
        <v>Parker</v>
      </c>
      <c r="Q502" s="1" t="s">
        <v>386</v>
      </c>
      <c r="R502" s="1" t="str">
        <f t="shared" si="263"/>
        <v>Colorado</v>
      </c>
      <c r="S502" s="1">
        <v>80134</v>
      </c>
      <c r="T502" s="1" t="s">
        <v>44</v>
      </c>
      <c r="U502" s="1" t="s">
        <v>1400</v>
      </c>
      <c r="V502" s="1" t="s">
        <v>46</v>
      </c>
      <c r="W502" s="7">
        <v>22.62</v>
      </c>
      <c r="X502" s="1">
        <v>8</v>
      </c>
      <c r="Y502" s="7">
        <v>22.21</v>
      </c>
      <c r="Z502" s="7">
        <f t="shared" ref="Z502:AA502" si="510">W502*X502</f>
        <v>180.96</v>
      </c>
      <c r="AA502" s="7">
        <f t="shared" si="510"/>
        <v>177.68</v>
      </c>
      <c r="AB502" s="7">
        <f t="shared" si="265"/>
        <v>3.2800000000000011</v>
      </c>
    </row>
    <row r="503" spans="1:28">
      <c r="A503" s="1">
        <v>502</v>
      </c>
      <c r="B503" s="1" t="s">
        <v>1396</v>
      </c>
      <c r="C503" s="2">
        <v>42885</v>
      </c>
      <c r="D503" s="6" t="str">
        <f t="shared" si="260"/>
        <v>May</v>
      </c>
      <c r="E503" s="6" t="str">
        <f t="shared" si="261"/>
        <v>Qtr 2</v>
      </c>
      <c r="F503" s="5">
        <v>42831</v>
      </c>
      <c r="G503" s="1" t="s">
        <v>49</v>
      </c>
      <c r="H503" s="1" t="s">
        <v>1397</v>
      </c>
      <c r="I503" s="1" t="s">
        <v>1398</v>
      </c>
      <c r="J503" s="1" t="str">
        <f ca="1">IFERROR(__xludf.DUMMYFUNCTION("split(I503,"" "")"),"Maribeth")</f>
        <v>Maribeth</v>
      </c>
      <c r="K503" s="1" t="str">
        <f ca="1">IFERROR(__xludf.DUMMYFUNCTION("""COMPUTED_VALUE"""),"Yedwab")</f>
        <v>Yedwab</v>
      </c>
      <c r="L503" s="1"/>
      <c r="M503" s="1" t="s">
        <v>41</v>
      </c>
      <c r="N503" s="1" t="s">
        <v>30</v>
      </c>
      <c r="O503" s="1" t="s">
        <v>1399</v>
      </c>
      <c r="P503" s="1" t="str">
        <f t="shared" si="262"/>
        <v>Parker</v>
      </c>
      <c r="Q503" s="1" t="s">
        <v>386</v>
      </c>
      <c r="R503" s="1" t="str">
        <f t="shared" si="263"/>
        <v>Colorado</v>
      </c>
      <c r="S503" s="1">
        <v>80134</v>
      </c>
      <c r="T503" s="1" t="s">
        <v>44</v>
      </c>
      <c r="U503" s="1" t="s">
        <v>1401</v>
      </c>
      <c r="V503" s="1" t="s">
        <v>46</v>
      </c>
      <c r="W503" s="7">
        <v>14.952</v>
      </c>
      <c r="X503" s="1">
        <v>8</v>
      </c>
      <c r="Y503" s="7">
        <v>14.93</v>
      </c>
      <c r="Z503" s="7">
        <f t="shared" ref="Z503:AA503" si="511">W503*X503</f>
        <v>119.616</v>
      </c>
      <c r="AA503" s="7">
        <f t="shared" si="511"/>
        <v>119.44</v>
      </c>
      <c r="AB503" s="7">
        <f t="shared" si="265"/>
        <v>0.17600000000000193</v>
      </c>
    </row>
    <row r="504" spans="1:28">
      <c r="A504" s="1">
        <v>503</v>
      </c>
      <c r="B504" s="1" t="s">
        <v>1396</v>
      </c>
      <c r="C504" s="2">
        <v>42885</v>
      </c>
      <c r="D504" s="6" t="str">
        <f t="shared" si="260"/>
        <v>May</v>
      </c>
      <c r="E504" s="6" t="str">
        <f t="shared" si="261"/>
        <v>Qtr 2</v>
      </c>
      <c r="F504" s="5">
        <v>42831</v>
      </c>
      <c r="G504" s="1" t="s">
        <v>49</v>
      </c>
      <c r="H504" s="1" t="s">
        <v>1397</v>
      </c>
      <c r="I504" s="1" t="s">
        <v>1398</v>
      </c>
      <c r="J504" s="1" t="str">
        <f ca="1">IFERROR(__xludf.DUMMYFUNCTION("split(I504,"" "")"),"Maribeth")</f>
        <v>Maribeth</v>
      </c>
      <c r="K504" s="1" t="str">
        <f ca="1">IFERROR(__xludf.DUMMYFUNCTION("""COMPUTED_VALUE"""),"Yedwab")</f>
        <v>Yedwab</v>
      </c>
      <c r="L504" s="1"/>
      <c r="M504" s="1" t="s">
        <v>41</v>
      </c>
      <c r="N504" s="1" t="s">
        <v>30</v>
      </c>
      <c r="O504" s="1" t="s">
        <v>1399</v>
      </c>
      <c r="P504" s="1" t="str">
        <f t="shared" si="262"/>
        <v>Parker</v>
      </c>
      <c r="Q504" s="1" t="s">
        <v>386</v>
      </c>
      <c r="R504" s="1" t="str">
        <f t="shared" si="263"/>
        <v>Colorado</v>
      </c>
      <c r="S504" s="1">
        <v>80134</v>
      </c>
      <c r="T504" s="1" t="s">
        <v>44</v>
      </c>
      <c r="U504" s="1" t="s">
        <v>1402</v>
      </c>
      <c r="V504" s="1" t="s">
        <v>35</v>
      </c>
      <c r="W504" s="7">
        <v>801.56799999999998</v>
      </c>
      <c r="X504" s="1">
        <v>8</v>
      </c>
      <c r="Y504" s="7">
        <v>801.23</v>
      </c>
      <c r="Z504" s="7">
        <f t="shared" ref="Z504:AA504" si="512">W504*X504</f>
        <v>6412.5439999999999</v>
      </c>
      <c r="AA504" s="7">
        <f t="shared" si="512"/>
        <v>6409.84</v>
      </c>
      <c r="AB504" s="7">
        <f t="shared" si="265"/>
        <v>2.7039999999997235</v>
      </c>
    </row>
    <row r="505" spans="1:28">
      <c r="A505" s="1">
        <v>504</v>
      </c>
      <c r="B505" s="1" t="s">
        <v>1396</v>
      </c>
      <c r="C505" s="2">
        <v>42885</v>
      </c>
      <c r="D505" s="6" t="str">
        <f t="shared" si="260"/>
        <v>May</v>
      </c>
      <c r="E505" s="6" t="str">
        <f t="shared" si="261"/>
        <v>Qtr 2</v>
      </c>
      <c r="F505" s="5">
        <v>42831</v>
      </c>
      <c r="G505" s="1" t="s">
        <v>49</v>
      </c>
      <c r="H505" s="1" t="s">
        <v>1397</v>
      </c>
      <c r="I505" s="1" t="s">
        <v>1398</v>
      </c>
      <c r="J505" s="1" t="str">
        <f ca="1">IFERROR(__xludf.DUMMYFUNCTION("split(I505,"" "")"),"Maribeth")</f>
        <v>Maribeth</v>
      </c>
      <c r="K505" s="1" t="str">
        <f ca="1">IFERROR(__xludf.DUMMYFUNCTION("""COMPUTED_VALUE"""),"Yedwab")</f>
        <v>Yedwab</v>
      </c>
      <c r="L505" s="1"/>
      <c r="M505" s="1" t="s">
        <v>41</v>
      </c>
      <c r="N505" s="1" t="s">
        <v>30</v>
      </c>
      <c r="O505" s="1" t="s">
        <v>1399</v>
      </c>
      <c r="P505" s="1" t="str">
        <f t="shared" si="262"/>
        <v>Parker</v>
      </c>
      <c r="Q505" s="1" t="s">
        <v>386</v>
      </c>
      <c r="R505" s="1" t="str">
        <f t="shared" si="263"/>
        <v>Colorado</v>
      </c>
      <c r="S505" s="1">
        <v>80134</v>
      </c>
      <c r="T505" s="1" t="s">
        <v>44</v>
      </c>
      <c r="U505" s="1" t="s">
        <v>1403</v>
      </c>
      <c r="V505" s="1" t="s">
        <v>46</v>
      </c>
      <c r="W505" s="7">
        <v>2.3759999999999999</v>
      </c>
      <c r="X505" s="1">
        <v>8</v>
      </c>
      <c r="Y505" s="7">
        <v>1.55</v>
      </c>
      <c r="Z505" s="7">
        <f t="shared" ref="Z505:AA505" si="513">W505*X505</f>
        <v>19.007999999999999</v>
      </c>
      <c r="AA505" s="7">
        <f t="shared" si="513"/>
        <v>12.4</v>
      </c>
      <c r="AB505" s="7">
        <f t="shared" si="265"/>
        <v>6.6079999999999988</v>
      </c>
    </row>
    <row r="506" spans="1:28">
      <c r="A506" s="1">
        <v>505</v>
      </c>
      <c r="B506" s="1" t="s">
        <v>1396</v>
      </c>
      <c r="C506" s="2">
        <v>42885</v>
      </c>
      <c r="D506" s="6" t="str">
        <f t="shared" si="260"/>
        <v>May</v>
      </c>
      <c r="E506" s="6" t="str">
        <f t="shared" si="261"/>
        <v>Qtr 2</v>
      </c>
      <c r="F506" s="5">
        <v>42831</v>
      </c>
      <c r="G506" s="1" t="s">
        <v>49</v>
      </c>
      <c r="H506" s="1" t="s">
        <v>1397</v>
      </c>
      <c r="I506" s="1" t="s">
        <v>1398</v>
      </c>
      <c r="J506" s="1" t="str">
        <f ca="1">IFERROR(__xludf.DUMMYFUNCTION("split(I506,"" "")"),"Maribeth")</f>
        <v>Maribeth</v>
      </c>
      <c r="K506" s="1" t="str">
        <f ca="1">IFERROR(__xludf.DUMMYFUNCTION("""COMPUTED_VALUE"""),"Yedwab")</f>
        <v>Yedwab</v>
      </c>
      <c r="L506" s="1"/>
      <c r="M506" s="1" t="s">
        <v>41</v>
      </c>
      <c r="N506" s="1" t="s">
        <v>30</v>
      </c>
      <c r="O506" s="1" t="s">
        <v>1399</v>
      </c>
      <c r="P506" s="1" t="str">
        <f t="shared" si="262"/>
        <v>Parker</v>
      </c>
      <c r="Q506" s="1" t="s">
        <v>386</v>
      </c>
      <c r="R506" s="1" t="str">
        <f t="shared" si="263"/>
        <v>Colorado</v>
      </c>
      <c r="S506" s="1">
        <v>80134</v>
      </c>
      <c r="T506" s="1" t="s">
        <v>44</v>
      </c>
      <c r="U506" s="1" t="s">
        <v>1404</v>
      </c>
      <c r="V506" s="1" t="s">
        <v>46</v>
      </c>
      <c r="W506" s="7">
        <v>32.792000000000002</v>
      </c>
      <c r="X506" s="1">
        <v>8</v>
      </c>
      <c r="Y506" s="7">
        <v>32.25</v>
      </c>
      <c r="Z506" s="7">
        <f t="shared" ref="Z506:AA506" si="514">W506*X506</f>
        <v>262.33600000000001</v>
      </c>
      <c r="AA506" s="7">
        <f t="shared" si="514"/>
        <v>258</v>
      </c>
      <c r="AB506" s="7">
        <f t="shared" si="265"/>
        <v>4.3360000000000127</v>
      </c>
    </row>
    <row r="507" spans="1:28">
      <c r="A507" s="1">
        <v>506</v>
      </c>
      <c r="B507" s="1" t="s">
        <v>1405</v>
      </c>
      <c r="C507" s="2">
        <v>43445</v>
      </c>
      <c r="D507" s="6" t="str">
        <f t="shared" si="260"/>
        <v>Dec</v>
      </c>
      <c r="E507" s="6" t="str">
        <f t="shared" si="261"/>
        <v>Qtr 4</v>
      </c>
      <c r="F507" s="5" t="s">
        <v>1406</v>
      </c>
      <c r="G507" s="1" t="s">
        <v>26</v>
      </c>
      <c r="H507" s="1" t="s">
        <v>1281</v>
      </c>
      <c r="I507" s="1" t="s">
        <v>1282</v>
      </c>
      <c r="J507" s="1" t="str">
        <f ca="1">IFERROR(__xludf.DUMMYFUNCTION("split(I507,"" "")"),"Ed")</f>
        <v>Ed</v>
      </c>
      <c r="K507" s="1" t="str">
        <f ca="1">IFERROR(__xludf.DUMMYFUNCTION("""COMPUTED_VALUE"""),"Braxton")</f>
        <v>Braxton</v>
      </c>
      <c r="L507" s="1"/>
      <c r="M507" s="1" t="s">
        <v>41</v>
      </c>
      <c r="N507" s="1" t="s">
        <v>30</v>
      </c>
      <c r="O507" s="1" t="s">
        <v>233</v>
      </c>
      <c r="P507" s="1" t="str">
        <f t="shared" si="262"/>
        <v>New York City</v>
      </c>
      <c r="Q507" s="1" t="s">
        <v>234</v>
      </c>
      <c r="R507" s="1" t="str">
        <f t="shared" si="263"/>
        <v>New York</v>
      </c>
      <c r="S507" s="1">
        <v>10024</v>
      </c>
      <c r="T507" s="1" t="s">
        <v>128</v>
      </c>
      <c r="U507" s="1" t="s">
        <v>458</v>
      </c>
      <c r="V507" s="1" t="s">
        <v>46</v>
      </c>
      <c r="W507" s="7">
        <v>15.92</v>
      </c>
      <c r="X507" s="1">
        <v>1</v>
      </c>
      <c r="Y507" s="7">
        <v>15.15</v>
      </c>
      <c r="Z507" s="7">
        <f t="shared" ref="Z507:AA507" si="515">W507*X507</f>
        <v>15.92</v>
      </c>
      <c r="AA507" s="7">
        <f t="shared" si="515"/>
        <v>15.15</v>
      </c>
      <c r="AB507" s="7">
        <f t="shared" si="265"/>
        <v>0.76999999999999957</v>
      </c>
    </row>
    <row r="508" spans="1:28">
      <c r="A508" s="1">
        <v>507</v>
      </c>
      <c r="B508" s="1" t="s">
        <v>1407</v>
      </c>
      <c r="C508" s="2">
        <v>42445</v>
      </c>
      <c r="D508" s="6" t="str">
        <f t="shared" si="260"/>
        <v>Mar</v>
      </c>
      <c r="E508" s="6" t="str">
        <f t="shared" si="261"/>
        <v>Qtr 1</v>
      </c>
      <c r="F508" s="5" t="s">
        <v>1408</v>
      </c>
      <c r="G508" s="1" t="s">
        <v>49</v>
      </c>
      <c r="H508" s="1" t="s">
        <v>1409</v>
      </c>
      <c r="I508" s="1" t="s">
        <v>1410</v>
      </c>
      <c r="J508" s="1" t="str">
        <f ca="1">IFERROR(__xludf.DUMMYFUNCTION("split(I508,"" "")"),"Christopher")</f>
        <v>Christopher</v>
      </c>
      <c r="K508" s="1" t="str">
        <f ca="1">IFERROR(__xludf.DUMMYFUNCTION("""COMPUTED_VALUE"""),"Martinez")</f>
        <v>Martinez</v>
      </c>
      <c r="L508" s="1"/>
      <c r="M508" s="1" t="s">
        <v>29</v>
      </c>
      <c r="N508" s="1" t="s">
        <v>30</v>
      </c>
      <c r="O508" s="1" t="s">
        <v>1411</v>
      </c>
      <c r="P508" s="1" t="str">
        <f t="shared" si="262"/>
        <v>Atlanta</v>
      </c>
      <c r="Q508" s="1" t="s">
        <v>1035</v>
      </c>
      <c r="R508" s="1" t="str">
        <f t="shared" si="263"/>
        <v>Georgia</v>
      </c>
      <c r="S508" s="1">
        <v>30318</v>
      </c>
      <c r="T508" s="1" t="s">
        <v>33</v>
      </c>
      <c r="U508" s="1" t="s">
        <v>1412</v>
      </c>
      <c r="V508" s="1" t="s">
        <v>46</v>
      </c>
      <c r="W508" s="7">
        <v>2.74</v>
      </c>
      <c r="X508" s="1">
        <v>3</v>
      </c>
      <c r="Y508" s="7">
        <v>1.79</v>
      </c>
      <c r="Z508" s="7">
        <f t="shared" ref="Z508:AA508" si="516">W508*X508</f>
        <v>8.2200000000000006</v>
      </c>
      <c r="AA508" s="7">
        <f t="shared" si="516"/>
        <v>5.37</v>
      </c>
      <c r="AB508" s="7">
        <f t="shared" si="265"/>
        <v>2.8500000000000005</v>
      </c>
    </row>
    <row r="509" spans="1:28">
      <c r="A509" s="1">
        <v>508</v>
      </c>
      <c r="B509" s="1" t="s">
        <v>1407</v>
      </c>
      <c r="C509" s="2">
        <v>42445</v>
      </c>
      <c r="D509" s="6" t="str">
        <f t="shared" si="260"/>
        <v>Mar</v>
      </c>
      <c r="E509" s="6" t="str">
        <f t="shared" si="261"/>
        <v>Qtr 1</v>
      </c>
      <c r="F509" s="5" t="s">
        <v>1408</v>
      </c>
      <c r="G509" s="1" t="s">
        <v>49</v>
      </c>
      <c r="H509" s="1" t="s">
        <v>1409</v>
      </c>
      <c r="I509" s="1" t="s">
        <v>1410</v>
      </c>
      <c r="J509" s="1" t="str">
        <f ca="1">IFERROR(__xludf.DUMMYFUNCTION("split(I509,"" "")"),"Christopher")</f>
        <v>Christopher</v>
      </c>
      <c r="K509" s="1" t="str">
        <f ca="1">IFERROR(__xludf.DUMMYFUNCTION("""COMPUTED_VALUE"""),"Martinez")</f>
        <v>Martinez</v>
      </c>
      <c r="L509" s="1"/>
      <c r="M509" s="1" t="s">
        <v>29</v>
      </c>
      <c r="N509" s="1" t="s">
        <v>30</v>
      </c>
      <c r="O509" s="1" t="s">
        <v>1411</v>
      </c>
      <c r="P509" s="1" t="str">
        <f t="shared" si="262"/>
        <v>Atlanta</v>
      </c>
      <c r="Q509" s="1" t="s">
        <v>1035</v>
      </c>
      <c r="R509" s="1" t="str">
        <f t="shared" si="263"/>
        <v>Georgia</v>
      </c>
      <c r="S509" s="1">
        <v>30318</v>
      </c>
      <c r="T509" s="1" t="s">
        <v>33</v>
      </c>
      <c r="U509" s="1" t="s">
        <v>1413</v>
      </c>
      <c r="V509" s="1" t="s">
        <v>46</v>
      </c>
      <c r="W509" s="7">
        <v>8.34</v>
      </c>
      <c r="X509" s="1">
        <v>3</v>
      </c>
      <c r="Y509" s="7">
        <v>8.07</v>
      </c>
      <c r="Z509" s="7">
        <f t="shared" ref="Z509:AA509" si="517">W509*X509</f>
        <v>25.02</v>
      </c>
      <c r="AA509" s="7">
        <f t="shared" si="517"/>
        <v>24.21</v>
      </c>
      <c r="AB509" s="7">
        <f t="shared" si="265"/>
        <v>0.80999999999999872</v>
      </c>
    </row>
    <row r="510" spans="1:28">
      <c r="A510" s="1">
        <v>509</v>
      </c>
      <c r="B510" s="1" t="s">
        <v>1407</v>
      </c>
      <c r="C510" s="2">
        <v>42445</v>
      </c>
      <c r="D510" s="6" t="str">
        <f t="shared" si="260"/>
        <v>Mar</v>
      </c>
      <c r="E510" s="6" t="str">
        <f t="shared" si="261"/>
        <v>Qtr 1</v>
      </c>
      <c r="F510" s="5" t="s">
        <v>1408</v>
      </c>
      <c r="G510" s="1" t="s">
        <v>49</v>
      </c>
      <c r="H510" s="1" t="s">
        <v>1409</v>
      </c>
      <c r="I510" s="1" t="s">
        <v>1410</v>
      </c>
      <c r="J510" s="1" t="str">
        <f ca="1">IFERROR(__xludf.DUMMYFUNCTION("split(I510,"" "")"),"Christopher")</f>
        <v>Christopher</v>
      </c>
      <c r="K510" s="1" t="str">
        <f ca="1">IFERROR(__xludf.DUMMYFUNCTION("""COMPUTED_VALUE"""),"Martinez")</f>
        <v>Martinez</v>
      </c>
      <c r="L510" s="1"/>
      <c r="M510" s="1" t="s">
        <v>29</v>
      </c>
      <c r="N510" s="1" t="s">
        <v>30</v>
      </c>
      <c r="O510" s="1" t="s">
        <v>1411</v>
      </c>
      <c r="P510" s="1" t="str">
        <f t="shared" si="262"/>
        <v>Atlanta</v>
      </c>
      <c r="Q510" s="1" t="s">
        <v>1035</v>
      </c>
      <c r="R510" s="1" t="str">
        <f t="shared" si="263"/>
        <v>Georgia</v>
      </c>
      <c r="S510" s="1">
        <v>30318</v>
      </c>
      <c r="T510" s="1" t="s">
        <v>33</v>
      </c>
      <c r="U510" s="1" t="s">
        <v>783</v>
      </c>
      <c r="V510" s="1" t="s">
        <v>46</v>
      </c>
      <c r="W510" s="7">
        <v>46.74</v>
      </c>
      <c r="X510" s="1">
        <v>3</v>
      </c>
      <c r="Y510" s="7">
        <v>45.81</v>
      </c>
      <c r="Z510" s="7">
        <f t="shared" ref="Z510:AA510" si="518">W510*X510</f>
        <v>140.22</v>
      </c>
      <c r="AA510" s="7">
        <f t="shared" si="518"/>
        <v>137.43</v>
      </c>
      <c r="AB510" s="7">
        <f t="shared" si="265"/>
        <v>2.789999999999992</v>
      </c>
    </row>
    <row r="511" spans="1:28">
      <c r="A511" s="1">
        <v>510</v>
      </c>
      <c r="B511" s="1" t="s">
        <v>1407</v>
      </c>
      <c r="C511" s="2">
        <v>42445</v>
      </c>
      <c r="D511" s="6" t="str">
        <f t="shared" si="260"/>
        <v>Mar</v>
      </c>
      <c r="E511" s="6" t="str">
        <f t="shared" si="261"/>
        <v>Qtr 1</v>
      </c>
      <c r="F511" s="5" t="s">
        <v>1408</v>
      </c>
      <c r="G511" s="1" t="s">
        <v>49</v>
      </c>
      <c r="H511" s="1" t="s">
        <v>1409</v>
      </c>
      <c r="I511" s="1" t="s">
        <v>1410</v>
      </c>
      <c r="J511" s="1" t="str">
        <f ca="1">IFERROR(__xludf.DUMMYFUNCTION("split(I511,"" "")"),"Christopher")</f>
        <v>Christopher</v>
      </c>
      <c r="K511" s="1" t="str">
        <f ca="1">IFERROR(__xludf.DUMMYFUNCTION("""COMPUTED_VALUE"""),"Martinez")</f>
        <v>Martinez</v>
      </c>
      <c r="L511" s="1"/>
      <c r="M511" s="1" t="s">
        <v>29</v>
      </c>
      <c r="N511" s="1" t="s">
        <v>30</v>
      </c>
      <c r="O511" s="1" t="s">
        <v>1411</v>
      </c>
      <c r="P511" s="1" t="str">
        <f t="shared" si="262"/>
        <v>Atlanta</v>
      </c>
      <c r="Q511" s="1" t="s">
        <v>1035</v>
      </c>
      <c r="R511" s="1" t="str">
        <f t="shared" si="263"/>
        <v>Georgia</v>
      </c>
      <c r="S511" s="1">
        <v>30318</v>
      </c>
      <c r="T511" s="1" t="s">
        <v>33</v>
      </c>
      <c r="U511" s="1" t="s">
        <v>1414</v>
      </c>
      <c r="V511" s="1" t="s">
        <v>46</v>
      </c>
      <c r="W511" s="7">
        <v>6354.95</v>
      </c>
      <c r="X511" s="1">
        <v>3</v>
      </c>
      <c r="Y511" s="7">
        <v>6353.97</v>
      </c>
      <c r="Z511" s="7">
        <f t="shared" ref="Z511:AA511" si="519">W511*X511</f>
        <v>19064.849999999999</v>
      </c>
      <c r="AA511" s="7">
        <f t="shared" si="519"/>
        <v>19061.91</v>
      </c>
      <c r="AB511" s="7">
        <f t="shared" si="265"/>
        <v>2.9399999999986903</v>
      </c>
    </row>
    <row r="512" spans="1:28">
      <c r="A512" s="1">
        <v>511</v>
      </c>
      <c r="B512" s="1" t="s">
        <v>1415</v>
      </c>
      <c r="C512" s="2">
        <v>43430</v>
      </c>
      <c r="D512" s="6" t="str">
        <f t="shared" ref="D512:D766" si="520">TEXT(C512,"MMM")</f>
        <v>Nov</v>
      </c>
      <c r="E512" s="6" t="str">
        <f t="shared" ref="E512:E766" si="521">"Qtr "&amp;INT((MONTH(C512)+2)/3)</f>
        <v>Qtr 4</v>
      </c>
      <c r="F512" s="5" t="s">
        <v>1416</v>
      </c>
      <c r="G512" s="1" t="s">
        <v>162</v>
      </c>
      <c r="H512" s="1" t="s">
        <v>1417</v>
      </c>
      <c r="I512" s="1" t="s">
        <v>1418</v>
      </c>
      <c r="J512" s="1" t="str">
        <f ca="1">IFERROR(__xludf.DUMMYFUNCTION("split(I512,"" "")"),"Lynn")</f>
        <v>Lynn</v>
      </c>
      <c r="K512" s="1" t="str">
        <f ca="1">IFERROR(__xludf.DUMMYFUNCTION("""COMPUTED_VALUE"""),"Smith")</f>
        <v>Smith</v>
      </c>
      <c r="L512" s="1"/>
      <c r="M512" s="1" t="s">
        <v>29</v>
      </c>
      <c r="N512" s="1" t="s">
        <v>30</v>
      </c>
      <c r="O512" s="1" t="s">
        <v>1419</v>
      </c>
      <c r="P512" s="1" t="str">
        <f t="shared" ref="P512:P766" si="522">PROPER(O512)</f>
        <v>Gladstone</v>
      </c>
      <c r="Q512" s="1" t="s">
        <v>495</v>
      </c>
      <c r="R512" s="1" t="str">
        <f t="shared" ref="R512:R766" si="523">PROPER(Q512)</f>
        <v>Missouri</v>
      </c>
      <c r="S512" s="1">
        <v>64118</v>
      </c>
      <c r="T512" s="1" t="s">
        <v>90</v>
      </c>
      <c r="U512" s="1" t="s">
        <v>1420</v>
      </c>
      <c r="V512" s="1" t="s">
        <v>35</v>
      </c>
      <c r="W512" s="7">
        <v>126.3</v>
      </c>
      <c r="X512" s="1">
        <v>6</v>
      </c>
      <c r="Y512" s="7">
        <v>125.39</v>
      </c>
      <c r="Z512" s="7">
        <f t="shared" ref="Z512:AA512" si="524">W512*X512</f>
        <v>757.8</v>
      </c>
      <c r="AA512" s="7">
        <f t="shared" si="524"/>
        <v>752.34</v>
      </c>
      <c r="AB512" s="7">
        <f t="shared" ref="AB512:AB766" si="525">Z512-AA512</f>
        <v>5.4599999999999227</v>
      </c>
    </row>
    <row r="513" spans="1:28">
      <c r="A513" s="1">
        <v>512</v>
      </c>
      <c r="B513" s="1" t="s">
        <v>1415</v>
      </c>
      <c r="C513" s="2">
        <v>43430</v>
      </c>
      <c r="D513" s="6" t="str">
        <f t="shared" si="520"/>
        <v>Nov</v>
      </c>
      <c r="E513" s="6" t="str">
        <f t="shared" si="521"/>
        <v>Qtr 4</v>
      </c>
      <c r="F513" s="5" t="s">
        <v>1416</v>
      </c>
      <c r="G513" s="1" t="s">
        <v>162</v>
      </c>
      <c r="H513" s="1" t="s">
        <v>1417</v>
      </c>
      <c r="I513" s="1" t="s">
        <v>1418</v>
      </c>
      <c r="J513" s="1" t="str">
        <f ca="1">IFERROR(__xludf.DUMMYFUNCTION("split(I513,"" "")"),"Lynn")</f>
        <v>Lynn</v>
      </c>
      <c r="K513" s="1" t="str">
        <f ca="1">IFERROR(__xludf.DUMMYFUNCTION("""COMPUTED_VALUE"""),"Smith")</f>
        <v>Smith</v>
      </c>
      <c r="L513" s="1"/>
      <c r="M513" s="1" t="s">
        <v>29</v>
      </c>
      <c r="N513" s="1" t="s">
        <v>30</v>
      </c>
      <c r="O513" s="1" t="s">
        <v>1419</v>
      </c>
      <c r="P513" s="1" t="str">
        <f t="shared" si="522"/>
        <v>Gladstone</v>
      </c>
      <c r="Q513" s="1" t="s">
        <v>495</v>
      </c>
      <c r="R513" s="1" t="str">
        <f t="shared" si="523"/>
        <v>Missouri</v>
      </c>
      <c r="S513" s="1">
        <v>64118</v>
      </c>
      <c r="T513" s="1" t="s">
        <v>90</v>
      </c>
      <c r="U513" s="1" t="s">
        <v>1421</v>
      </c>
      <c r="V513" s="1" t="s">
        <v>64</v>
      </c>
      <c r="W513" s="7">
        <v>38.04</v>
      </c>
      <c r="X513" s="1">
        <v>6</v>
      </c>
      <c r="Y513" s="7">
        <v>37.090000000000003</v>
      </c>
      <c r="Z513" s="7">
        <f t="shared" ref="Z513:AA513" si="526">W513*X513</f>
        <v>228.24</v>
      </c>
      <c r="AA513" s="7">
        <f t="shared" si="526"/>
        <v>222.54000000000002</v>
      </c>
      <c r="AB513" s="7">
        <f t="shared" si="525"/>
        <v>5.6999999999999886</v>
      </c>
    </row>
    <row r="514" spans="1:28">
      <c r="A514" s="1">
        <v>513</v>
      </c>
      <c r="B514" s="1" t="s">
        <v>1422</v>
      </c>
      <c r="C514" s="2">
        <v>43028</v>
      </c>
      <c r="D514" s="6" t="str">
        <f t="shared" si="520"/>
        <v>Oct</v>
      </c>
      <c r="E514" s="6" t="str">
        <f t="shared" si="521"/>
        <v>Qtr 4</v>
      </c>
      <c r="F514" s="5" t="s">
        <v>1423</v>
      </c>
      <c r="G514" s="1" t="s">
        <v>162</v>
      </c>
      <c r="H514" s="1" t="s">
        <v>1154</v>
      </c>
      <c r="I514" s="1" t="s">
        <v>1155</v>
      </c>
      <c r="J514" s="1" t="str">
        <f ca="1">IFERROR(__xludf.DUMMYFUNCTION("split(I514,"" "")"),"Luke")</f>
        <v>Luke</v>
      </c>
      <c r="K514" s="1" t="str">
        <f ca="1">IFERROR(__xludf.DUMMYFUNCTION("""COMPUTED_VALUE"""),"Foster")</f>
        <v>Foster</v>
      </c>
      <c r="L514" s="1"/>
      <c r="M514" s="1" t="s">
        <v>29</v>
      </c>
      <c r="N514" s="1" t="s">
        <v>30</v>
      </c>
      <c r="O514" s="1" t="s">
        <v>505</v>
      </c>
      <c r="P514" s="1" t="str">
        <f t="shared" si="522"/>
        <v>Newark</v>
      </c>
      <c r="Q514" s="1" t="s">
        <v>421</v>
      </c>
      <c r="R514" s="1" t="str">
        <f t="shared" si="523"/>
        <v>Ohio</v>
      </c>
      <c r="S514" s="1">
        <v>43055</v>
      </c>
      <c r="T514" s="1" t="s">
        <v>128</v>
      </c>
      <c r="U514" s="1" t="s">
        <v>311</v>
      </c>
      <c r="V514" s="1" t="s">
        <v>46</v>
      </c>
      <c r="W514" s="7">
        <v>7.1520000000000001</v>
      </c>
      <c r="X514" s="1">
        <v>4</v>
      </c>
      <c r="Y514" s="7">
        <v>7.15</v>
      </c>
      <c r="Z514" s="7">
        <f t="shared" ref="Z514:AA514" si="527">W514*X514</f>
        <v>28.608000000000001</v>
      </c>
      <c r="AA514" s="7">
        <f t="shared" si="527"/>
        <v>28.6</v>
      </c>
      <c r="AB514" s="7">
        <f t="shared" si="525"/>
        <v>7.9999999999991189E-3</v>
      </c>
    </row>
    <row r="515" spans="1:28">
      <c r="A515" s="1">
        <v>514</v>
      </c>
      <c r="B515" s="1" t="s">
        <v>1424</v>
      </c>
      <c r="C515" s="2">
        <v>43455</v>
      </c>
      <c r="D515" s="6" t="str">
        <f t="shared" si="520"/>
        <v>Dec</v>
      </c>
      <c r="E515" s="6" t="str">
        <f t="shared" si="521"/>
        <v>Qtr 4</v>
      </c>
      <c r="F515" s="5" t="s">
        <v>1425</v>
      </c>
      <c r="G515" s="1" t="s">
        <v>49</v>
      </c>
      <c r="H515" s="1" t="s">
        <v>1426</v>
      </c>
      <c r="I515" s="1" t="s">
        <v>1427</v>
      </c>
      <c r="J515" s="1" t="str">
        <f ca="1">IFERROR(__xludf.DUMMYFUNCTION("split(I515,"" "")"),"Bradley")</f>
        <v>Bradley</v>
      </c>
      <c r="K515" s="1" t="str">
        <f ca="1">IFERROR(__xludf.DUMMYFUNCTION("""COMPUTED_VALUE"""),"Nguyen")</f>
        <v>Nguyen</v>
      </c>
      <c r="L515" s="1"/>
      <c r="M515" s="1" t="s">
        <v>29</v>
      </c>
      <c r="N515" s="1" t="s">
        <v>30</v>
      </c>
      <c r="O515" s="1" t="s">
        <v>42</v>
      </c>
      <c r="P515" s="1" t="str">
        <f t="shared" si="522"/>
        <v>Los Angeles</v>
      </c>
      <c r="Q515" s="1" t="s">
        <v>68</v>
      </c>
      <c r="R515" s="1" t="str">
        <f t="shared" si="523"/>
        <v>California</v>
      </c>
      <c r="S515" s="1">
        <v>90049</v>
      </c>
      <c r="T515" s="1" t="s">
        <v>44</v>
      </c>
      <c r="U515" s="1" t="s">
        <v>1428</v>
      </c>
      <c r="V515" s="1" t="s">
        <v>46</v>
      </c>
      <c r="W515" s="7">
        <v>6.63</v>
      </c>
      <c r="X515" s="1">
        <v>9</v>
      </c>
      <c r="Y515" s="7">
        <v>6.52</v>
      </c>
      <c r="Z515" s="7">
        <f t="shared" ref="Z515:AA515" si="528">W515*X515</f>
        <v>59.67</v>
      </c>
      <c r="AA515" s="7">
        <f t="shared" si="528"/>
        <v>58.679999999999993</v>
      </c>
      <c r="AB515" s="7">
        <f t="shared" si="525"/>
        <v>0.99000000000000909</v>
      </c>
    </row>
    <row r="516" spans="1:28">
      <c r="A516" s="1">
        <v>515</v>
      </c>
      <c r="B516" s="1" t="s">
        <v>1424</v>
      </c>
      <c r="C516" s="2">
        <v>43455</v>
      </c>
      <c r="D516" s="6" t="str">
        <f t="shared" si="520"/>
        <v>Dec</v>
      </c>
      <c r="E516" s="6" t="str">
        <f t="shared" si="521"/>
        <v>Qtr 4</v>
      </c>
      <c r="F516" s="5" t="s">
        <v>1425</v>
      </c>
      <c r="G516" s="1" t="s">
        <v>49</v>
      </c>
      <c r="H516" s="1" t="s">
        <v>1426</v>
      </c>
      <c r="I516" s="1" t="s">
        <v>1427</v>
      </c>
      <c r="J516" s="1" t="str">
        <f ca="1">IFERROR(__xludf.DUMMYFUNCTION("split(I516,"" "")"),"Bradley")</f>
        <v>Bradley</v>
      </c>
      <c r="K516" s="1" t="str">
        <f ca="1">IFERROR(__xludf.DUMMYFUNCTION("""COMPUTED_VALUE"""),"Nguyen")</f>
        <v>Nguyen</v>
      </c>
      <c r="L516" s="1"/>
      <c r="M516" s="1" t="s">
        <v>29</v>
      </c>
      <c r="N516" s="1" t="s">
        <v>30</v>
      </c>
      <c r="O516" s="1" t="s">
        <v>42</v>
      </c>
      <c r="P516" s="1" t="str">
        <f t="shared" si="522"/>
        <v>Los Angeles</v>
      </c>
      <c r="Q516" s="1" t="s">
        <v>68</v>
      </c>
      <c r="R516" s="1" t="str">
        <f t="shared" si="523"/>
        <v>California</v>
      </c>
      <c r="S516" s="1">
        <v>90049</v>
      </c>
      <c r="T516" s="1" t="s">
        <v>44</v>
      </c>
      <c r="U516" s="1" t="s">
        <v>1429</v>
      </c>
      <c r="V516" s="1" t="s">
        <v>46</v>
      </c>
      <c r="W516" s="7">
        <v>5.88</v>
      </c>
      <c r="X516" s="1">
        <v>9</v>
      </c>
      <c r="Y516" s="7">
        <v>5.42</v>
      </c>
      <c r="Z516" s="7">
        <f t="shared" ref="Z516:AA516" si="529">W516*X516</f>
        <v>52.92</v>
      </c>
      <c r="AA516" s="7">
        <f t="shared" si="529"/>
        <v>48.78</v>
      </c>
      <c r="AB516" s="7">
        <f t="shared" si="525"/>
        <v>4.1400000000000006</v>
      </c>
    </row>
    <row r="517" spans="1:28">
      <c r="A517" s="1">
        <v>516</v>
      </c>
      <c r="B517" s="1" t="s">
        <v>1430</v>
      </c>
      <c r="C517" s="2">
        <v>43122</v>
      </c>
      <c r="D517" s="6" t="str">
        <f t="shared" si="520"/>
        <v>Jan</v>
      </c>
      <c r="E517" s="6" t="str">
        <f t="shared" si="521"/>
        <v>Qtr 1</v>
      </c>
      <c r="F517" s="5" t="s">
        <v>1431</v>
      </c>
      <c r="G517" s="1" t="s">
        <v>49</v>
      </c>
      <c r="H517" s="1" t="s">
        <v>445</v>
      </c>
      <c r="I517" s="1" t="s">
        <v>446</v>
      </c>
      <c r="J517" s="1" t="str">
        <f ca="1">IFERROR(__xludf.DUMMYFUNCTION("split(I517,"" "")"),"Alan")</f>
        <v>Alan</v>
      </c>
      <c r="K517" s="1" t="str">
        <f ca="1">IFERROR(__xludf.DUMMYFUNCTION("""COMPUTED_VALUE"""),"Dominguez")</f>
        <v>Dominguez</v>
      </c>
      <c r="L517" s="1"/>
      <c r="M517" s="1" t="s">
        <v>87</v>
      </c>
      <c r="N517" s="1" t="s">
        <v>30</v>
      </c>
      <c r="O517" s="1" t="s">
        <v>1432</v>
      </c>
      <c r="P517" s="1" t="str">
        <f t="shared" si="522"/>
        <v>Great Falls</v>
      </c>
      <c r="Q517" s="1" t="s">
        <v>1433</v>
      </c>
      <c r="R517" s="1" t="str">
        <f t="shared" si="523"/>
        <v>Montana</v>
      </c>
      <c r="S517" s="1">
        <v>59405</v>
      </c>
      <c r="T517" s="1" t="s">
        <v>44</v>
      </c>
      <c r="U517" s="1" t="s">
        <v>1434</v>
      </c>
      <c r="V517" s="1" t="s">
        <v>64</v>
      </c>
      <c r="W517" s="7">
        <v>2999.95</v>
      </c>
      <c r="X517" s="1">
        <v>5</v>
      </c>
      <c r="Y517" s="7">
        <v>2998.96</v>
      </c>
      <c r="Z517" s="7">
        <f t="shared" ref="Z517:AA517" si="530">W517*X517</f>
        <v>14999.75</v>
      </c>
      <c r="AA517" s="7">
        <f t="shared" si="530"/>
        <v>14994.8</v>
      </c>
      <c r="AB517" s="7">
        <f t="shared" si="525"/>
        <v>4.9500000000007276</v>
      </c>
    </row>
    <row r="518" spans="1:28">
      <c r="A518" s="1">
        <v>517</v>
      </c>
      <c r="B518" s="1" t="s">
        <v>1430</v>
      </c>
      <c r="C518" s="2">
        <v>43122</v>
      </c>
      <c r="D518" s="6" t="str">
        <f t="shared" si="520"/>
        <v>Jan</v>
      </c>
      <c r="E518" s="6" t="str">
        <f t="shared" si="521"/>
        <v>Qtr 1</v>
      </c>
      <c r="F518" s="5" t="s">
        <v>1431</v>
      </c>
      <c r="G518" s="1" t="s">
        <v>49</v>
      </c>
      <c r="H518" s="1" t="s">
        <v>445</v>
      </c>
      <c r="I518" s="1" t="s">
        <v>446</v>
      </c>
      <c r="J518" s="1" t="str">
        <f ca="1">IFERROR(__xludf.DUMMYFUNCTION("split(I518,"" "")"),"Alan")</f>
        <v>Alan</v>
      </c>
      <c r="K518" s="1" t="str">
        <f ca="1">IFERROR(__xludf.DUMMYFUNCTION("""COMPUTED_VALUE"""),"Dominguez")</f>
        <v>Dominguez</v>
      </c>
      <c r="L518" s="1"/>
      <c r="M518" s="1" t="s">
        <v>87</v>
      </c>
      <c r="N518" s="1" t="s">
        <v>30</v>
      </c>
      <c r="O518" s="1" t="s">
        <v>1432</v>
      </c>
      <c r="P518" s="1" t="str">
        <f t="shared" si="522"/>
        <v>Great Falls</v>
      </c>
      <c r="Q518" s="1" t="s">
        <v>1433</v>
      </c>
      <c r="R518" s="1" t="str">
        <f t="shared" si="523"/>
        <v>Montana</v>
      </c>
      <c r="S518" s="1">
        <v>59405</v>
      </c>
      <c r="T518" s="1" t="s">
        <v>44</v>
      </c>
      <c r="U518" s="1" t="s">
        <v>1435</v>
      </c>
      <c r="V518" s="1" t="s">
        <v>46</v>
      </c>
      <c r="W518" s="7">
        <v>51.45</v>
      </c>
      <c r="X518" s="1">
        <v>5</v>
      </c>
      <c r="Y518" s="7">
        <v>50.93</v>
      </c>
      <c r="Z518" s="7">
        <f t="shared" ref="Z518:AA518" si="531">W518*X518</f>
        <v>257.25</v>
      </c>
      <c r="AA518" s="7">
        <f t="shared" si="531"/>
        <v>254.65</v>
      </c>
      <c r="AB518" s="7">
        <f t="shared" si="525"/>
        <v>2.5999999999999943</v>
      </c>
    </row>
    <row r="519" spans="1:28">
      <c r="A519" s="1">
        <v>518</v>
      </c>
      <c r="B519" s="1" t="s">
        <v>1430</v>
      </c>
      <c r="C519" s="2">
        <v>43122</v>
      </c>
      <c r="D519" s="6" t="str">
        <f t="shared" si="520"/>
        <v>Jan</v>
      </c>
      <c r="E519" s="6" t="str">
        <f t="shared" si="521"/>
        <v>Qtr 1</v>
      </c>
      <c r="F519" s="5" t="s">
        <v>1431</v>
      </c>
      <c r="G519" s="1" t="s">
        <v>49</v>
      </c>
      <c r="H519" s="1" t="s">
        <v>445</v>
      </c>
      <c r="I519" s="1" t="s">
        <v>446</v>
      </c>
      <c r="J519" s="1" t="str">
        <f ca="1">IFERROR(__xludf.DUMMYFUNCTION("split(I519,"" "")"),"Alan")</f>
        <v>Alan</v>
      </c>
      <c r="K519" s="1" t="str">
        <f ca="1">IFERROR(__xludf.DUMMYFUNCTION("""COMPUTED_VALUE"""),"Dominguez")</f>
        <v>Dominguez</v>
      </c>
      <c r="L519" s="1"/>
      <c r="M519" s="1" t="s">
        <v>87</v>
      </c>
      <c r="N519" s="1" t="s">
        <v>30</v>
      </c>
      <c r="O519" s="1" t="s">
        <v>1432</v>
      </c>
      <c r="P519" s="1" t="str">
        <f t="shared" si="522"/>
        <v>Great Falls</v>
      </c>
      <c r="Q519" s="1" t="s">
        <v>1433</v>
      </c>
      <c r="R519" s="1" t="str">
        <f t="shared" si="523"/>
        <v>Montana</v>
      </c>
      <c r="S519" s="1">
        <v>59405</v>
      </c>
      <c r="T519" s="1" t="s">
        <v>44</v>
      </c>
      <c r="U519" s="1" t="s">
        <v>1436</v>
      </c>
      <c r="V519" s="1" t="s">
        <v>46</v>
      </c>
      <c r="W519" s="7">
        <v>11.96</v>
      </c>
      <c r="X519" s="1">
        <v>5</v>
      </c>
      <c r="Y519" s="7">
        <v>11.16</v>
      </c>
      <c r="Z519" s="7">
        <f t="shared" ref="Z519:AA519" si="532">W519*X519</f>
        <v>59.800000000000004</v>
      </c>
      <c r="AA519" s="7">
        <f t="shared" si="532"/>
        <v>55.8</v>
      </c>
      <c r="AB519" s="7">
        <f t="shared" si="525"/>
        <v>4.0000000000000071</v>
      </c>
    </row>
    <row r="520" spans="1:28">
      <c r="A520" s="1">
        <v>519</v>
      </c>
      <c r="B520" s="1" t="s">
        <v>1430</v>
      </c>
      <c r="C520" s="2">
        <v>43122</v>
      </c>
      <c r="D520" s="6" t="str">
        <f t="shared" si="520"/>
        <v>Jan</v>
      </c>
      <c r="E520" s="6" t="str">
        <f t="shared" si="521"/>
        <v>Qtr 1</v>
      </c>
      <c r="F520" s="5" t="s">
        <v>1431</v>
      </c>
      <c r="G520" s="1" t="s">
        <v>49</v>
      </c>
      <c r="H520" s="1" t="s">
        <v>445</v>
      </c>
      <c r="I520" s="1" t="s">
        <v>446</v>
      </c>
      <c r="J520" s="1" t="str">
        <f ca="1">IFERROR(__xludf.DUMMYFUNCTION("split(I520,"" "")"),"Alan")</f>
        <v>Alan</v>
      </c>
      <c r="K520" s="1" t="str">
        <f ca="1">IFERROR(__xludf.DUMMYFUNCTION("""COMPUTED_VALUE"""),"Dominguez")</f>
        <v>Dominguez</v>
      </c>
      <c r="L520" s="1"/>
      <c r="M520" s="1" t="s">
        <v>87</v>
      </c>
      <c r="N520" s="1" t="s">
        <v>30</v>
      </c>
      <c r="O520" s="1" t="s">
        <v>1432</v>
      </c>
      <c r="P520" s="1" t="str">
        <f t="shared" si="522"/>
        <v>Great Falls</v>
      </c>
      <c r="Q520" s="1" t="s">
        <v>1433</v>
      </c>
      <c r="R520" s="1" t="str">
        <f t="shared" si="523"/>
        <v>Montana</v>
      </c>
      <c r="S520" s="1">
        <v>59405</v>
      </c>
      <c r="T520" s="1" t="s">
        <v>44</v>
      </c>
      <c r="U520" s="1" t="s">
        <v>1437</v>
      </c>
      <c r="V520" s="1" t="s">
        <v>46</v>
      </c>
      <c r="W520" s="7">
        <v>1126.02</v>
      </c>
      <c r="X520" s="1">
        <v>5</v>
      </c>
      <c r="Y520" s="7">
        <v>1125.5899999999999</v>
      </c>
      <c r="Z520" s="7">
        <f t="shared" ref="Z520:AA520" si="533">W520*X520</f>
        <v>5630.1</v>
      </c>
      <c r="AA520" s="7">
        <f t="shared" si="533"/>
        <v>5627.95</v>
      </c>
      <c r="AB520" s="7">
        <f t="shared" si="525"/>
        <v>2.1500000000005457</v>
      </c>
    </row>
    <row r="521" spans="1:28">
      <c r="A521" s="1">
        <v>520</v>
      </c>
      <c r="B521" s="1" t="s">
        <v>1438</v>
      </c>
      <c r="C521" s="2">
        <v>42451</v>
      </c>
      <c r="D521" s="6" t="str">
        <f t="shared" si="520"/>
        <v>Mar</v>
      </c>
      <c r="E521" s="6" t="str">
        <f t="shared" si="521"/>
        <v>Qtr 1</v>
      </c>
      <c r="F521" s="5" t="s">
        <v>1439</v>
      </c>
      <c r="G521" s="1" t="s">
        <v>49</v>
      </c>
      <c r="H521" s="1" t="s">
        <v>1440</v>
      </c>
      <c r="I521" s="1" t="s">
        <v>1441</v>
      </c>
      <c r="J521" s="1" t="str">
        <f ca="1">IFERROR(__xludf.DUMMYFUNCTION("split(I521,"" "")"),"Dean")</f>
        <v>Dean</v>
      </c>
      <c r="K521" s="1" t="str">
        <f ca="1">IFERROR(__xludf.DUMMYFUNCTION("""COMPUTED_VALUE"""),"Braden")</f>
        <v>Braden</v>
      </c>
      <c r="L521" s="1"/>
      <c r="M521" s="1" t="s">
        <v>29</v>
      </c>
      <c r="N521" s="1" t="s">
        <v>30</v>
      </c>
      <c r="O521" s="1" t="s">
        <v>172</v>
      </c>
      <c r="P521" s="1" t="str">
        <f t="shared" si="522"/>
        <v>Houston</v>
      </c>
      <c r="Q521" s="1" t="s">
        <v>89</v>
      </c>
      <c r="R521" s="1" t="str">
        <f t="shared" si="523"/>
        <v>Texas</v>
      </c>
      <c r="S521" s="1">
        <v>77041</v>
      </c>
      <c r="T521" s="1" t="s">
        <v>90</v>
      </c>
      <c r="U521" s="1" t="s">
        <v>202</v>
      </c>
      <c r="V521" s="1" t="s">
        <v>64</v>
      </c>
      <c r="W521" s="7">
        <v>18.391999999999999</v>
      </c>
      <c r="X521" s="1">
        <v>7</v>
      </c>
      <c r="Y521" s="7">
        <v>18.12</v>
      </c>
      <c r="Z521" s="7">
        <f t="shared" ref="Z521:AA521" si="534">W521*X521</f>
        <v>128.744</v>
      </c>
      <c r="AA521" s="7">
        <f t="shared" si="534"/>
        <v>126.84</v>
      </c>
      <c r="AB521" s="7">
        <f t="shared" si="525"/>
        <v>1.9039999999999964</v>
      </c>
    </row>
    <row r="522" spans="1:28">
      <c r="A522" s="1">
        <v>521</v>
      </c>
      <c r="B522" s="1" t="s">
        <v>1438</v>
      </c>
      <c r="C522" s="2">
        <v>42451</v>
      </c>
      <c r="D522" s="6" t="str">
        <f t="shared" si="520"/>
        <v>Mar</v>
      </c>
      <c r="E522" s="6" t="str">
        <f t="shared" si="521"/>
        <v>Qtr 1</v>
      </c>
      <c r="F522" s="5" t="s">
        <v>1439</v>
      </c>
      <c r="G522" s="1" t="s">
        <v>49</v>
      </c>
      <c r="H522" s="1" t="s">
        <v>1440</v>
      </c>
      <c r="I522" s="1" t="s">
        <v>1441</v>
      </c>
      <c r="J522" s="1" t="str">
        <f ca="1">IFERROR(__xludf.DUMMYFUNCTION("split(I522,"" "")"),"Dean")</f>
        <v>Dean</v>
      </c>
      <c r="K522" s="1" t="str">
        <f ca="1">IFERROR(__xludf.DUMMYFUNCTION("""COMPUTED_VALUE"""),"Braden")</f>
        <v>Braden</v>
      </c>
      <c r="L522" s="1"/>
      <c r="M522" s="1" t="s">
        <v>29</v>
      </c>
      <c r="N522" s="1" t="s">
        <v>30</v>
      </c>
      <c r="O522" s="1" t="s">
        <v>172</v>
      </c>
      <c r="P522" s="1" t="str">
        <f t="shared" si="522"/>
        <v>Houston</v>
      </c>
      <c r="Q522" s="1" t="s">
        <v>89</v>
      </c>
      <c r="R522" s="1" t="str">
        <f t="shared" si="523"/>
        <v>Texas</v>
      </c>
      <c r="S522" s="1">
        <v>77041</v>
      </c>
      <c r="T522" s="1" t="s">
        <v>90</v>
      </c>
      <c r="U522" s="1" t="s">
        <v>1442</v>
      </c>
      <c r="V522" s="1" t="s">
        <v>46</v>
      </c>
      <c r="W522" s="7">
        <v>129.56800000000001</v>
      </c>
      <c r="X522" s="1">
        <v>7</v>
      </c>
      <c r="Y522" s="7">
        <v>129.1</v>
      </c>
      <c r="Z522" s="7">
        <f t="shared" ref="Z522:AA522" si="535">W522*X522</f>
        <v>906.97600000000011</v>
      </c>
      <c r="AA522" s="7">
        <f t="shared" si="535"/>
        <v>903.69999999999993</v>
      </c>
      <c r="AB522" s="7">
        <f t="shared" si="525"/>
        <v>3.276000000000181</v>
      </c>
    </row>
    <row r="523" spans="1:28">
      <c r="A523" s="1">
        <v>522</v>
      </c>
      <c r="B523" s="1" t="s">
        <v>1438</v>
      </c>
      <c r="C523" s="2">
        <v>42451</v>
      </c>
      <c r="D523" s="6" t="str">
        <f t="shared" si="520"/>
        <v>Mar</v>
      </c>
      <c r="E523" s="6" t="str">
        <f t="shared" si="521"/>
        <v>Qtr 1</v>
      </c>
      <c r="F523" s="5" t="s">
        <v>1439</v>
      </c>
      <c r="G523" s="1" t="s">
        <v>49</v>
      </c>
      <c r="H523" s="1" t="s">
        <v>1440</v>
      </c>
      <c r="I523" s="1" t="s">
        <v>1441</v>
      </c>
      <c r="J523" s="1" t="str">
        <f ca="1">IFERROR(__xludf.DUMMYFUNCTION("split(I523,"" "")"),"Dean")</f>
        <v>Dean</v>
      </c>
      <c r="K523" s="1" t="str">
        <f ca="1">IFERROR(__xludf.DUMMYFUNCTION("""COMPUTED_VALUE"""),"Braden")</f>
        <v>Braden</v>
      </c>
      <c r="L523" s="1"/>
      <c r="M523" s="1" t="s">
        <v>29</v>
      </c>
      <c r="N523" s="1" t="s">
        <v>30</v>
      </c>
      <c r="O523" s="1" t="s">
        <v>172</v>
      </c>
      <c r="P523" s="1" t="str">
        <f t="shared" si="522"/>
        <v>Houston</v>
      </c>
      <c r="Q523" s="1" t="s">
        <v>89</v>
      </c>
      <c r="R523" s="1" t="str">
        <f t="shared" si="523"/>
        <v>Texas</v>
      </c>
      <c r="S523" s="1">
        <v>77041</v>
      </c>
      <c r="T523" s="1" t="s">
        <v>90</v>
      </c>
      <c r="U523" s="1" t="s">
        <v>1443</v>
      </c>
      <c r="V523" s="1" t="s">
        <v>46</v>
      </c>
      <c r="W523" s="7">
        <v>14.112</v>
      </c>
      <c r="X523" s="1">
        <v>7</v>
      </c>
      <c r="Y523" s="7">
        <v>13.35</v>
      </c>
      <c r="Z523" s="7">
        <f t="shared" ref="Z523:AA523" si="536">W523*X523</f>
        <v>98.784000000000006</v>
      </c>
      <c r="AA523" s="7">
        <f t="shared" si="536"/>
        <v>93.45</v>
      </c>
      <c r="AB523" s="7">
        <f t="shared" si="525"/>
        <v>5.3340000000000032</v>
      </c>
    </row>
    <row r="524" spans="1:28">
      <c r="A524" s="1">
        <v>523</v>
      </c>
      <c r="B524" s="1" t="s">
        <v>1444</v>
      </c>
      <c r="C524" s="2">
        <v>43123</v>
      </c>
      <c r="D524" s="6" t="str">
        <f t="shared" si="520"/>
        <v>Jan</v>
      </c>
      <c r="E524" s="6" t="str">
        <f t="shared" si="521"/>
        <v>Qtr 1</v>
      </c>
      <c r="F524" s="5" t="s">
        <v>1445</v>
      </c>
      <c r="G524" s="1" t="s">
        <v>162</v>
      </c>
      <c r="H524" s="1" t="s">
        <v>1446</v>
      </c>
      <c r="I524" s="1" t="s">
        <v>1447</v>
      </c>
      <c r="J524" s="1" t="str">
        <f ca="1">IFERROR(__xludf.DUMMYFUNCTION("split(I524,"" "")"),"Matt")</f>
        <v>Matt</v>
      </c>
      <c r="K524" s="1" t="str">
        <f ca="1">IFERROR(__xludf.DUMMYFUNCTION("""COMPUTED_VALUE"""),"Connell")</f>
        <v>Connell</v>
      </c>
      <c r="L524" s="1"/>
      <c r="M524" s="1" t="s">
        <v>41</v>
      </c>
      <c r="N524" s="1" t="s">
        <v>30</v>
      </c>
      <c r="O524" s="1" t="s">
        <v>728</v>
      </c>
      <c r="P524" s="1" t="str">
        <f t="shared" si="522"/>
        <v>Detroit</v>
      </c>
      <c r="Q524" s="1" t="s">
        <v>209</v>
      </c>
      <c r="R524" s="1" t="str">
        <f t="shared" si="523"/>
        <v>Michigan</v>
      </c>
      <c r="S524" s="1">
        <v>48234</v>
      </c>
      <c r="T524" s="1" t="s">
        <v>90</v>
      </c>
      <c r="U524" s="1" t="s">
        <v>1383</v>
      </c>
      <c r="V524" s="1" t="s">
        <v>35</v>
      </c>
      <c r="W524" s="7">
        <v>210.98</v>
      </c>
      <c r="X524" s="1">
        <v>4</v>
      </c>
      <c r="Y524" s="7">
        <v>210.23</v>
      </c>
      <c r="Z524" s="7">
        <f t="shared" ref="Z524:AA524" si="537">W524*X524</f>
        <v>843.92</v>
      </c>
      <c r="AA524" s="7">
        <f t="shared" si="537"/>
        <v>840.92</v>
      </c>
      <c r="AB524" s="7">
        <f t="shared" si="525"/>
        <v>3</v>
      </c>
    </row>
    <row r="525" spans="1:28">
      <c r="A525" s="1">
        <v>524</v>
      </c>
      <c r="B525" s="1" t="s">
        <v>1448</v>
      </c>
      <c r="C525" s="2">
        <v>42876</v>
      </c>
      <c r="D525" s="6" t="str">
        <f t="shared" si="520"/>
        <v>May</v>
      </c>
      <c r="E525" s="6" t="str">
        <f t="shared" si="521"/>
        <v>Qtr 2</v>
      </c>
      <c r="F525" s="5" t="s">
        <v>1449</v>
      </c>
      <c r="G525" s="1" t="s">
        <v>162</v>
      </c>
      <c r="H525" s="1" t="s">
        <v>771</v>
      </c>
      <c r="I525" s="1" t="s">
        <v>772</v>
      </c>
      <c r="J525" s="1" t="str">
        <f ca="1">IFERROR(__xludf.DUMMYFUNCTION("split(I525,"" "")"),"Logan")</f>
        <v>Logan</v>
      </c>
      <c r="K525" s="1" t="str">
        <f ca="1">IFERROR(__xludf.DUMMYFUNCTION("""COMPUTED_VALUE"""),"Haushalter")</f>
        <v>Haushalter</v>
      </c>
      <c r="L525" s="1"/>
      <c r="M525" s="1" t="s">
        <v>29</v>
      </c>
      <c r="N525" s="1" t="s">
        <v>30</v>
      </c>
      <c r="O525" s="1" t="s">
        <v>42</v>
      </c>
      <c r="P525" s="1" t="str">
        <f t="shared" si="522"/>
        <v>Los Angeles</v>
      </c>
      <c r="Q525" s="1" t="s">
        <v>68</v>
      </c>
      <c r="R525" s="1" t="str">
        <f t="shared" si="523"/>
        <v>California</v>
      </c>
      <c r="S525" s="1">
        <v>90032</v>
      </c>
      <c r="T525" s="1" t="s">
        <v>44</v>
      </c>
      <c r="U525" s="1" t="s">
        <v>1450</v>
      </c>
      <c r="V525" s="1" t="s">
        <v>64</v>
      </c>
      <c r="W525" s="7">
        <v>55.176000000000002</v>
      </c>
      <c r="X525" s="1">
        <v>9</v>
      </c>
      <c r="Y525" s="7">
        <v>54.96</v>
      </c>
      <c r="Z525" s="7">
        <f t="shared" ref="Z525:AA525" si="538">W525*X525</f>
        <v>496.584</v>
      </c>
      <c r="AA525" s="7">
        <f t="shared" si="538"/>
        <v>494.64</v>
      </c>
      <c r="AB525" s="7">
        <f t="shared" si="525"/>
        <v>1.9440000000000168</v>
      </c>
    </row>
    <row r="526" spans="1:28">
      <c r="A526" s="1">
        <v>525</v>
      </c>
      <c r="B526" s="1" t="s">
        <v>1448</v>
      </c>
      <c r="C526" s="2">
        <v>42876</v>
      </c>
      <c r="D526" s="6" t="str">
        <f t="shared" si="520"/>
        <v>May</v>
      </c>
      <c r="E526" s="6" t="str">
        <f t="shared" si="521"/>
        <v>Qtr 2</v>
      </c>
      <c r="F526" s="5" t="s">
        <v>1449</v>
      </c>
      <c r="G526" s="1" t="s">
        <v>162</v>
      </c>
      <c r="H526" s="1" t="s">
        <v>771</v>
      </c>
      <c r="I526" s="1" t="s">
        <v>772</v>
      </c>
      <c r="J526" s="1" t="str">
        <f ca="1">IFERROR(__xludf.DUMMYFUNCTION("split(I526,"" "")"),"Logan")</f>
        <v>Logan</v>
      </c>
      <c r="K526" s="1" t="str">
        <f ca="1">IFERROR(__xludf.DUMMYFUNCTION("""COMPUTED_VALUE"""),"Haushalter")</f>
        <v>Haushalter</v>
      </c>
      <c r="L526" s="1"/>
      <c r="M526" s="1" t="s">
        <v>29</v>
      </c>
      <c r="N526" s="1" t="s">
        <v>30</v>
      </c>
      <c r="O526" s="1" t="s">
        <v>42</v>
      </c>
      <c r="P526" s="1" t="str">
        <f t="shared" si="522"/>
        <v>Los Angeles</v>
      </c>
      <c r="Q526" s="1" t="s">
        <v>68</v>
      </c>
      <c r="R526" s="1" t="str">
        <f t="shared" si="523"/>
        <v>California</v>
      </c>
      <c r="S526" s="1">
        <v>90032</v>
      </c>
      <c r="T526" s="1" t="s">
        <v>44</v>
      </c>
      <c r="U526" s="1" t="s">
        <v>747</v>
      </c>
      <c r="V526" s="1" t="s">
        <v>64</v>
      </c>
      <c r="W526" s="7">
        <v>66.260000000000005</v>
      </c>
      <c r="X526" s="1">
        <v>9</v>
      </c>
      <c r="Y526" s="7">
        <v>66.069999999999993</v>
      </c>
      <c r="Z526" s="7">
        <f t="shared" ref="Z526:AA526" si="539">W526*X526</f>
        <v>596.34</v>
      </c>
      <c r="AA526" s="7">
        <f t="shared" si="539"/>
        <v>594.62999999999988</v>
      </c>
      <c r="AB526" s="7">
        <f t="shared" si="525"/>
        <v>1.7100000000001501</v>
      </c>
    </row>
    <row r="527" spans="1:28">
      <c r="A527" s="1">
        <v>526</v>
      </c>
      <c r="B527" s="1" t="s">
        <v>1451</v>
      </c>
      <c r="C527" s="2">
        <v>42730</v>
      </c>
      <c r="D527" s="6" t="str">
        <f t="shared" si="520"/>
        <v>Dec</v>
      </c>
      <c r="E527" s="6" t="str">
        <f t="shared" si="521"/>
        <v>Qtr 4</v>
      </c>
      <c r="F527" s="5">
        <v>42767</v>
      </c>
      <c r="G527" s="1" t="s">
        <v>49</v>
      </c>
      <c r="H527" s="1" t="s">
        <v>1452</v>
      </c>
      <c r="I527" s="1" t="s">
        <v>1453</v>
      </c>
      <c r="J527" s="1" t="str">
        <f ca="1">IFERROR(__xludf.DUMMYFUNCTION("split(I527,"" "")"),"Brian")</f>
        <v>Brian</v>
      </c>
      <c r="K527" s="1" t="str">
        <f ca="1">IFERROR(__xludf.DUMMYFUNCTION("""COMPUTED_VALUE"""),"Dahlen")</f>
        <v>Dahlen</v>
      </c>
      <c r="L527" s="1"/>
      <c r="M527" s="1" t="s">
        <v>29</v>
      </c>
      <c r="N527" s="1" t="s">
        <v>30</v>
      </c>
      <c r="O527" s="1" t="s">
        <v>1204</v>
      </c>
      <c r="P527" s="1" t="str">
        <f t="shared" si="522"/>
        <v>Lawrence</v>
      </c>
      <c r="Q527" s="1" t="s">
        <v>1014</v>
      </c>
      <c r="R527" s="1" t="str">
        <f t="shared" si="523"/>
        <v>Massachusetts</v>
      </c>
      <c r="S527" s="1">
        <v>1841</v>
      </c>
      <c r="T527" s="1" t="s">
        <v>128</v>
      </c>
      <c r="U527" s="1" t="s">
        <v>1454</v>
      </c>
      <c r="V527" s="1" t="s">
        <v>46</v>
      </c>
      <c r="W527" s="7">
        <v>22.2</v>
      </c>
      <c r="X527" s="1">
        <v>1</v>
      </c>
      <c r="Y527" s="7">
        <v>22.09</v>
      </c>
      <c r="Z527" s="7">
        <f t="shared" ref="Z527:AA527" si="540">W527*X527</f>
        <v>22.2</v>
      </c>
      <c r="AA527" s="7">
        <f t="shared" si="540"/>
        <v>22.09</v>
      </c>
      <c r="AB527" s="7">
        <f t="shared" si="525"/>
        <v>0.10999999999999943</v>
      </c>
    </row>
    <row r="528" spans="1:28">
      <c r="A528" s="1">
        <v>527</v>
      </c>
      <c r="B528" s="1" t="s">
        <v>1455</v>
      </c>
      <c r="C528" s="2">
        <v>43394</v>
      </c>
      <c r="D528" s="6" t="str">
        <f t="shared" si="520"/>
        <v>Oct</v>
      </c>
      <c r="E528" s="6" t="str">
        <f t="shared" si="521"/>
        <v>Qtr 4</v>
      </c>
      <c r="F528" s="5" t="s">
        <v>1456</v>
      </c>
      <c r="G528" s="1" t="s">
        <v>49</v>
      </c>
      <c r="H528" s="1" t="s">
        <v>1457</v>
      </c>
      <c r="I528" s="1" t="s">
        <v>1458</v>
      </c>
      <c r="J528" s="1" t="str">
        <f ca="1">IFERROR(__xludf.DUMMYFUNCTION("split(I528,"" "")"),"Patricia")</f>
        <v>Patricia</v>
      </c>
      <c r="K528" s="1" t="str">
        <f ca="1">IFERROR(__xludf.DUMMYFUNCTION("""COMPUTED_VALUE"""),"Hirasaki")</f>
        <v>Hirasaki</v>
      </c>
      <c r="L528" s="1"/>
      <c r="M528" s="1" t="s">
        <v>87</v>
      </c>
      <c r="N528" s="1" t="s">
        <v>30</v>
      </c>
      <c r="O528" s="1" t="s">
        <v>1459</v>
      </c>
      <c r="P528" s="1" t="str">
        <f t="shared" si="522"/>
        <v>Lakeland</v>
      </c>
      <c r="Q528" s="1" t="s">
        <v>194</v>
      </c>
      <c r="R528" s="1" t="str">
        <f t="shared" si="523"/>
        <v>Florida</v>
      </c>
      <c r="S528" s="1">
        <v>33801</v>
      </c>
      <c r="T528" s="1" t="s">
        <v>33</v>
      </c>
      <c r="U528" s="1" t="s">
        <v>1460</v>
      </c>
      <c r="V528" s="1" t="s">
        <v>35</v>
      </c>
      <c r="W528" s="7">
        <v>683.952</v>
      </c>
      <c r="X528" s="1">
        <v>3</v>
      </c>
      <c r="Y528" s="7">
        <v>683.38</v>
      </c>
      <c r="Z528" s="7">
        <f t="shared" ref="Z528:AA528" si="541">W528*X528</f>
        <v>2051.8559999999998</v>
      </c>
      <c r="AA528" s="7">
        <f t="shared" si="541"/>
        <v>2050.14</v>
      </c>
      <c r="AB528" s="7">
        <f t="shared" si="525"/>
        <v>1.7159999999998945</v>
      </c>
    </row>
    <row r="529" spans="1:28">
      <c r="A529" s="1">
        <v>528</v>
      </c>
      <c r="B529" s="1" t="s">
        <v>1455</v>
      </c>
      <c r="C529" s="2">
        <v>43394</v>
      </c>
      <c r="D529" s="6" t="str">
        <f t="shared" si="520"/>
        <v>Oct</v>
      </c>
      <c r="E529" s="6" t="str">
        <f t="shared" si="521"/>
        <v>Qtr 4</v>
      </c>
      <c r="F529" s="5" t="s">
        <v>1456</v>
      </c>
      <c r="G529" s="1" t="s">
        <v>49</v>
      </c>
      <c r="H529" s="1" t="s">
        <v>1457</v>
      </c>
      <c r="I529" s="1" t="s">
        <v>1458</v>
      </c>
      <c r="J529" s="1" t="str">
        <f ca="1">IFERROR(__xludf.DUMMYFUNCTION("split(I529,"" "")"),"Patricia")</f>
        <v>Patricia</v>
      </c>
      <c r="K529" s="1" t="str">
        <f ca="1">IFERROR(__xludf.DUMMYFUNCTION("""COMPUTED_VALUE"""),"Hirasaki")</f>
        <v>Hirasaki</v>
      </c>
      <c r="L529" s="1"/>
      <c r="M529" s="1" t="s">
        <v>87</v>
      </c>
      <c r="N529" s="1" t="s">
        <v>30</v>
      </c>
      <c r="O529" s="1" t="s">
        <v>1459</v>
      </c>
      <c r="P529" s="1" t="str">
        <f t="shared" si="522"/>
        <v>Lakeland</v>
      </c>
      <c r="Q529" s="1" t="s">
        <v>194</v>
      </c>
      <c r="R529" s="1" t="str">
        <f t="shared" si="523"/>
        <v>Florida</v>
      </c>
      <c r="S529" s="1">
        <v>33801</v>
      </c>
      <c r="T529" s="1" t="s">
        <v>33</v>
      </c>
      <c r="U529" s="1" t="s">
        <v>926</v>
      </c>
      <c r="V529" s="1" t="s">
        <v>35</v>
      </c>
      <c r="W529" s="7">
        <v>45.695999999999998</v>
      </c>
      <c r="X529" s="1">
        <v>3</v>
      </c>
      <c r="Y529" s="7">
        <v>44.75</v>
      </c>
      <c r="Z529" s="7">
        <f t="shared" ref="Z529:AA529" si="542">W529*X529</f>
        <v>137.08799999999999</v>
      </c>
      <c r="AA529" s="7">
        <f t="shared" si="542"/>
        <v>134.25</v>
      </c>
      <c r="AB529" s="7">
        <f t="shared" si="525"/>
        <v>2.8379999999999939</v>
      </c>
    </row>
    <row r="530" spans="1:28">
      <c r="A530" s="1">
        <v>529</v>
      </c>
      <c r="B530" s="1" t="s">
        <v>1461</v>
      </c>
      <c r="C530" s="2">
        <v>42438</v>
      </c>
      <c r="D530" s="6" t="str">
        <f t="shared" si="520"/>
        <v>Mar</v>
      </c>
      <c r="E530" s="6" t="str">
        <f t="shared" si="521"/>
        <v>Qtr 1</v>
      </c>
      <c r="F530" s="5">
        <v>42560</v>
      </c>
      <c r="G530" s="1" t="s">
        <v>49</v>
      </c>
      <c r="H530" s="1" t="s">
        <v>1462</v>
      </c>
      <c r="I530" s="1" t="s">
        <v>1463</v>
      </c>
      <c r="J530" s="1" t="str">
        <f ca="1">IFERROR(__xludf.DUMMYFUNCTION("split(I530,"" "")"),"Mike")</f>
        <v>Mike</v>
      </c>
      <c r="K530" s="1" t="str">
        <f ca="1">IFERROR(__xludf.DUMMYFUNCTION("""COMPUTED_VALUE"""),"Gockenbach")</f>
        <v>Gockenbach</v>
      </c>
      <c r="L530" s="1"/>
      <c r="M530" s="1" t="s">
        <v>29</v>
      </c>
      <c r="N530" s="1" t="s">
        <v>30</v>
      </c>
      <c r="O530" s="1" t="s">
        <v>126</v>
      </c>
      <c r="P530" s="1" t="str">
        <f t="shared" si="522"/>
        <v>Philadelphia</v>
      </c>
      <c r="Q530" s="1" t="s">
        <v>127</v>
      </c>
      <c r="R530" s="1" t="str">
        <f t="shared" si="523"/>
        <v>Pennsylvania</v>
      </c>
      <c r="S530" s="1">
        <v>19134</v>
      </c>
      <c r="T530" s="1" t="s">
        <v>128</v>
      </c>
      <c r="U530" s="1" t="s">
        <v>1464</v>
      </c>
      <c r="V530" s="1" t="s">
        <v>46</v>
      </c>
      <c r="W530" s="7">
        <v>36.335999999999999</v>
      </c>
      <c r="X530" s="1">
        <v>1</v>
      </c>
      <c r="Y530" s="7">
        <v>35.79</v>
      </c>
      <c r="Z530" s="7">
        <f t="shared" ref="Z530:AA530" si="543">W530*X530</f>
        <v>36.335999999999999</v>
      </c>
      <c r="AA530" s="7">
        <f t="shared" si="543"/>
        <v>35.79</v>
      </c>
      <c r="AB530" s="7">
        <f t="shared" si="525"/>
        <v>0.54599999999999937</v>
      </c>
    </row>
    <row r="531" spans="1:28">
      <c r="A531" s="1">
        <v>530</v>
      </c>
      <c r="B531" s="1" t="s">
        <v>1461</v>
      </c>
      <c r="C531" s="2">
        <v>42438</v>
      </c>
      <c r="D531" s="6" t="str">
        <f t="shared" si="520"/>
        <v>Mar</v>
      </c>
      <c r="E531" s="6" t="str">
        <f t="shared" si="521"/>
        <v>Qtr 1</v>
      </c>
      <c r="F531" s="5">
        <v>42560</v>
      </c>
      <c r="G531" s="1" t="s">
        <v>49</v>
      </c>
      <c r="H531" s="1" t="s">
        <v>1462</v>
      </c>
      <c r="I531" s="1" t="s">
        <v>1463</v>
      </c>
      <c r="J531" s="1" t="str">
        <f ca="1">IFERROR(__xludf.DUMMYFUNCTION("split(I531,"" "")"),"Mike")</f>
        <v>Mike</v>
      </c>
      <c r="K531" s="1" t="str">
        <f ca="1">IFERROR(__xludf.DUMMYFUNCTION("""COMPUTED_VALUE"""),"Gockenbach")</f>
        <v>Gockenbach</v>
      </c>
      <c r="L531" s="1"/>
      <c r="M531" s="1" t="s">
        <v>29</v>
      </c>
      <c r="N531" s="1" t="s">
        <v>30</v>
      </c>
      <c r="O531" s="1" t="s">
        <v>126</v>
      </c>
      <c r="P531" s="1" t="str">
        <f t="shared" si="522"/>
        <v>Philadelphia</v>
      </c>
      <c r="Q531" s="1" t="s">
        <v>127</v>
      </c>
      <c r="R531" s="1" t="str">
        <f t="shared" si="523"/>
        <v>Pennsylvania</v>
      </c>
      <c r="S531" s="1">
        <v>19134</v>
      </c>
      <c r="T531" s="1" t="s">
        <v>128</v>
      </c>
      <c r="U531" s="1" t="s">
        <v>1465</v>
      </c>
      <c r="V531" s="1" t="s">
        <v>46</v>
      </c>
      <c r="W531" s="7">
        <v>666.24800000000005</v>
      </c>
      <c r="X531" s="1">
        <v>1</v>
      </c>
      <c r="Y531" s="7">
        <v>665.42</v>
      </c>
      <c r="Z531" s="7">
        <f t="shared" ref="Z531:AA531" si="544">W531*X531</f>
        <v>666.24800000000005</v>
      </c>
      <c r="AA531" s="7">
        <f t="shared" si="544"/>
        <v>665.42</v>
      </c>
      <c r="AB531" s="7">
        <f t="shared" si="525"/>
        <v>0.82800000000008822</v>
      </c>
    </row>
    <row r="532" spans="1:28">
      <c r="A532" s="1">
        <v>531</v>
      </c>
      <c r="B532" s="1" t="s">
        <v>1461</v>
      </c>
      <c r="C532" s="2">
        <v>42438</v>
      </c>
      <c r="D532" s="6" t="str">
        <f t="shared" si="520"/>
        <v>Mar</v>
      </c>
      <c r="E532" s="6" t="str">
        <f t="shared" si="521"/>
        <v>Qtr 1</v>
      </c>
      <c r="F532" s="5">
        <v>42560</v>
      </c>
      <c r="G532" s="1" t="s">
        <v>49</v>
      </c>
      <c r="H532" s="1" t="s">
        <v>1462</v>
      </c>
      <c r="I532" s="1" t="s">
        <v>1463</v>
      </c>
      <c r="J532" s="1" t="str">
        <f ca="1">IFERROR(__xludf.DUMMYFUNCTION("split(I532,"" "")"),"Mike")</f>
        <v>Mike</v>
      </c>
      <c r="K532" s="1" t="str">
        <f ca="1">IFERROR(__xludf.DUMMYFUNCTION("""COMPUTED_VALUE"""),"Gockenbach")</f>
        <v>Gockenbach</v>
      </c>
      <c r="L532" s="1"/>
      <c r="M532" s="1" t="s">
        <v>29</v>
      </c>
      <c r="N532" s="1" t="s">
        <v>30</v>
      </c>
      <c r="O532" s="1" t="s">
        <v>126</v>
      </c>
      <c r="P532" s="1" t="str">
        <f t="shared" si="522"/>
        <v>Philadelphia</v>
      </c>
      <c r="Q532" s="1" t="s">
        <v>127</v>
      </c>
      <c r="R532" s="1" t="str">
        <f t="shared" si="523"/>
        <v>Pennsylvania</v>
      </c>
      <c r="S532" s="1">
        <v>19134</v>
      </c>
      <c r="T532" s="1" t="s">
        <v>128</v>
      </c>
      <c r="U532" s="1" t="s">
        <v>1466</v>
      </c>
      <c r="V532" s="1" t="s">
        <v>46</v>
      </c>
      <c r="W532" s="7">
        <v>52.512</v>
      </c>
      <c r="X532" s="1">
        <v>1</v>
      </c>
      <c r="Y532" s="7">
        <v>51.96</v>
      </c>
      <c r="Z532" s="7">
        <f t="shared" ref="Z532:AA532" si="545">W532*X532</f>
        <v>52.512</v>
      </c>
      <c r="AA532" s="7">
        <f t="shared" si="545"/>
        <v>51.96</v>
      </c>
      <c r="AB532" s="7">
        <f t="shared" si="525"/>
        <v>0.5519999999999996</v>
      </c>
    </row>
    <row r="533" spans="1:28">
      <c r="A533" s="1">
        <v>532</v>
      </c>
      <c r="B533" s="1" t="s">
        <v>1467</v>
      </c>
      <c r="C533" s="2">
        <v>42562</v>
      </c>
      <c r="D533" s="6" t="str">
        <f t="shared" si="520"/>
        <v>Jul</v>
      </c>
      <c r="E533" s="6" t="str">
        <f t="shared" si="521"/>
        <v>Qtr 3</v>
      </c>
      <c r="F533" s="5">
        <v>42624</v>
      </c>
      <c r="G533" s="1" t="s">
        <v>26</v>
      </c>
      <c r="H533" s="1" t="s">
        <v>1468</v>
      </c>
      <c r="I533" s="1" t="s">
        <v>1469</v>
      </c>
      <c r="J533" s="1" t="str">
        <f ca="1">IFERROR(__xludf.DUMMYFUNCTION("split(I533,"" "")"),"Karen")</f>
        <v>Karen</v>
      </c>
      <c r="K533" s="1" t="str">
        <f ca="1">IFERROR(__xludf.DUMMYFUNCTION("""COMPUTED_VALUE"""),"Bern")</f>
        <v>Bern</v>
      </c>
      <c r="L533" s="1"/>
      <c r="M533" s="1" t="s">
        <v>41</v>
      </c>
      <c r="N533" s="1" t="s">
        <v>30</v>
      </c>
      <c r="O533" s="1" t="s">
        <v>42</v>
      </c>
      <c r="P533" s="1" t="str">
        <f t="shared" si="522"/>
        <v>Los Angeles</v>
      </c>
      <c r="Q533" s="1" t="s">
        <v>68</v>
      </c>
      <c r="R533" s="1" t="str">
        <f t="shared" si="523"/>
        <v>California</v>
      </c>
      <c r="S533" s="1">
        <v>90036</v>
      </c>
      <c r="T533" s="1" t="s">
        <v>44</v>
      </c>
      <c r="U533" s="1" t="s">
        <v>1470</v>
      </c>
      <c r="V533" s="1" t="s">
        <v>35</v>
      </c>
      <c r="W533" s="7">
        <v>190.72</v>
      </c>
      <c r="X533" s="1">
        <v>9</v>
      </c>
      <c r="Y533" s="7">
        <v>190.15</v>
      </c>
      <c r="Z533" s="7">
        <f t="shared" ref="Z533:AA533" si="546">W533*X533</f>
        <v>1716.48</v>
      </c>
      <c r="AA533" s="7">
        <f t="shared" si="546"/>
        <v>1711.3500000000001</v>
      </c>
      <c r="AB533" s="7">
        <f t="shared" si="525"/>
        <v>5.1299999999998818</v>
      </c>
    </row>
    <row r="534" spans="1:28">
      <c r="A534" s="1">
        <v>533</v>
      </c>
      <c r="B534" s="1" t="s">
        <v>1471</v>
      </c>
      <c r="C534" s="2">
        <v>43290</v>
      </c>
      <c r="D534" s="6" t="str">
        <f t="shared" si="520"/>
        <v>Jul</v>
      </c>
      <c r="E534" s="6" t="str">
        <f t="shared" si="521"/>
        <v>Qtr 3</v>
      </c>
      <c r="F534" s="5">
        <v>43413</v>
      </c>
      <c r="G534" s="1" t="s">
        <v>49</v>
      </c>
      <c r="H534" s="1" t="s">
        <v>1472</v>
      </c>
      <c r="I534" s="1" t="s">
        <v>1473</v>
      </c>
      <c r="J534" s="1" t="str">
        <f ca="1">IFERROR(__xludf.DUMMYFUNCTION("split(I534,"" "")"),"Jasper")</f>
        <v>Jasper</v>
      </c>
      <c r="K534" s="1" t="str">
        <f ca="1">IFERROR(__xludf.DUMMYFUNCTION("""COMPUTED_VALUE"""),"Cacioppo")</f>
        <v>Cacioppo</v>
      </c>
      <c r="L534" s="1"/>
      <c r="M534" s="1" t="s">
        <v>29</v>
      </c>
      <c r="N534" s="1" t="s">
        <v>30</v>
      </c>
      <c r="O534" s="1" t="s">
        <v>42</v>
      </c>
      <c r="P534" s="1" t="str">
        <f t="shared" si="522"/>
        <v>Los Angeles</v>
      </c>
      <c r="Q534" s="1" t="s">
        <v>68</v>
      </c>
      <c r="R534" s="1" t="str">
        <f t="shared" si="523"/>
        <v>California</v>
      </c>
      <c r="S534" s="1">
        <v>90032</v>
      </c>
      <c r="T534" s="1" t="s">
        <v>44</v>
      </c>
      <c r="U534" s="1" t="s">
        <v>1474</v>
      </c>
      <c r="V534" s="1" t="s">
        <v>35</v>
      </c>
      <c r="W534" s="7">
        <v>47.94</v>
      </c>
      <c r="X534" s="1">
        <v>9</v>
      </c>
      <c r="Y534" s="7">
        <v>47.47</v>
      </c>
      <c r="Z534" s="7">
        <f t="shared" ref="Z534:AA534" si="547">W534*X534</f>
        <v>431.46</v>
      </c>
      <c r="AA534" s="7">
        <f t="shared" si="547"/>
        <v>427.23</v>
      </c>
      <c r="AB534" s="7">
        <f t="shared" si="525"/>
        <v>4.2299999999999613</v>
      </c>
    </row>
    <row r="535" spans="1:28">
      <c r="A535" s="1">
        <v>534</v>
      </c>
      <c r="B535" s="1" t="s">
        <v>1475</v>
      </c>
      <c r="C535" s="2">
        <v>42884</v>
      </c>
      <c r="D535" s="6" t="str">
        <f t="shared" si="520"/>
        <v>May</v>
      </c>
      <c r="E535" s="6" t="str">
        <f t="shared" si="521"/>
        <v>Qtr 2</v>
      </c>
      <c r="F535" s="5">
        <v>42741</v>
      </c>
      <c r="G535" s="1" t="s">
        <v>26</v>
      </c>
      <c r="H535" s="1" t="s">
        <v>1476</v>
      </c>
      <c r="I535" s="1" t="s">
        <v>1477</v>
      </c>
      <c r="J535" s="1" t="str">
        <f ca="1">IFERROR(__xludf.DUMMYFUNCTION("split(I535,"" "")"),"Rob")</f>
        <v>Rob</v>
      </c>
      <c r="K535" s="1" t="str">
        <f ca="1">IFERROR(__xludf.DUMMYFUNCTION("""COMPUTED_VALUE"""),"Lucas")</f>
        <v>Lucas</v>
      </c>
      <c r="L535" s="1"/>
      <c r="M535" s="1" t="s">
        <v>29</v>
      </c>
      <c r="N535" s="1" t="s">
        <v>30</v>
      </c>
      <c r="O535" s="1" t="s">
        <v>1478</v>
      </c>
      <c r="P535" s="1" t="str">
        <f t="shared" si="522"/>
        <v>Montgomery</v>
      </c>
      <c r="Q535" s="1" t="s">
        <v>304</v>
      </c>
      <c r="R535" s="1" t="str">
        <f t="shared" si="523"/>
        <v>Alabama</v>
      </c>
      <c r="S535" s="1">
        <v>36116</v>
      </c>
      <c r="T535" s="1" t="s">
        <v>33</v>
      </c>
      <c r="U535" s="1" t="s">
        <v>1479</v>
      </c>
      <c r="V535" s="1" t="s">
        <v>64</v>
      </c>
      <c r="W535" s="7">
        <v>979.95</v>
      </c>
      <c r="X535" s="1">
        <v>3</v>
      </c>
      <c r="Y535" s="7">
        <v>979.35</v>
      </c>
      <c r="Z535" s="7">
        <f t="shared" ref="Z535:AA535" si="548">W535*X535</f>
        <v>2939.8500000000004</v>
      </c>
      <c r="AA535" s="7">
        <f t="shared" si="548"/>
        <v>2938.05</v>
      </c>
      <c r="AB535" s="7">
        <f t="shared" si="525"/>
        <v>1.8000000000001819</v>
      </c>
    </row>
    <row r="536" spans="1:28">
      <c r="A536" s="1">
        <v>535</v>
      </c>
      <c r="B536" s="1" t="s">
        <v>1475</v>
      </c>
      <c r="C536" s="2">
        <v>42884</v>
      </c>
      <c r="D536" s="6" t="str">
        <f t="shared" si="520"/>
        <v>May</v>
      </c>
      <c r="E536" s="6" t="str">
        <f t="shared" si="521"/>
        <v>Qtr 2</v>
      </c>
      <c r="F536" s="5">
        <v>42741</v>
      </c>
      <c r="G536" s="1" t="s">
        <v>26</v>
      </c>
      <c r="H536" s="1" t="s">
        <v>1476</v>
      </c>
      <c r="I536" s="1" t="s">
        <v>1477</v>
      </c>
      <c r="J536" s="1" t="str">
        <f ca="1">IFERROR(__xludf.DUMMYFUNCTION("split(I536,"" "")"),"Rob")</f>
        <v>Rob</v>
      </c>
      <c r="K536" s="1" t="str">
        <f ca="1">IFERROR(__xludf.DUMMYFUNCTION("""COMPUTED_VALUE"""),"Lucas")</f>
        <v>Lucas</v>
      </c>
      <c r="L536" s="1"/>
      <c r="M536" s="1" t="s">
        <v>29</v>
      </c>
      <c r="N536" s="1" t="s">
        <v>30</v>
      </c>
      <c r="O536" s="1" t="s">
        <v>1478</v>
      </c>
      <c r="P536" s="1" t="str">
        <f t="shared" si="522"/>
        <v>Montgomery</v>
      </c>
      <c r="Q536" s="1" t="s">
        <v>304</v>
      </c>
      <c r="R536" s="1" t="str">
        <f t="shared" si="523"/>
        <v>Alabama</v>
      </c>
      <c r="S536" s="1">
        <v>36116</v>
      </c>
      <c r="T536" s="1" t="s">
        <v>33</v>
      </c>
      <c r="U536" s="1" t="s">
        <v>840</v>
      </c>
      <c r="V536" s="1" t="s">
        <v>46</v>
      </c>
      <c r="W536" s="7">
        <v>22.75</v>
      </c>
      <c r="X536" s="1">
        <v>3</v>
      </c>
      <c r="Y536" s="7">
        <v>22.51</v>
      </c>
      <c r="Z536" s="7">
        <f t="shared" ref="Z536:AA536" si="549">W536*X536</f>
        <v>68.25</v>
      </c>
      <c r="AA536" s="7">
        <f t="shared" si="549"/>
        <v>67.53</v>
      </c>
      <c r="AB536" s="7">
        <f t="shared" si="525"/>
        <v>0.71999999999999886</v>
      </c>
    </row>
    <row r="537" spans="1:28">
      <c r="A537" s="1">
        <v>536</v>
      </c>
      <c r="B537" s="1" t="s">
        <v>1480</v>
      </c>
      <c r="C537" s="2">
        <v>43015</v>
      </c>
      <c r="D537" s="6" t="str">
        <f t="shared" si="520"/>
        <v>Oct</v>
      </c>
      <c r="E537" s="6" t="str">
        <f t="shared" si="521"/>
        <v>Qtr 4</v>
      </c>
      <c r="F537" s="5" t="s">
        <v>1481</v>
      </c>
      <c r="G537" s="1" t="s">
        <v>49</v>
      </c>
      <c r="H537" s="1" t="s">
        <v>1482</v>
      </c>
      <c r="I537" s="1" t="s">
        <v>1483</v>
      </c>
      <c r="J537" s="1" t="str">
        <f ca="1">IFERROR(__xludf.DUMMYFUNCTION("split(I537,"" "")"),"Allen")</f>
        <v>Allen</v>
      </c>
      <c r="K537" s="1" t="str">
        <f ca="1">IFERROR(__xludf.DUMMYFUNCTION("""COMPUTED_VALUE"""),"Armold")</f>
        <v>Armold</v>
      </c>
      <c r="L537" s="1"/>
      <c r="M537" s="1" t="s">
        <v>29</v>
      </c>
      <c r="N537" s="1" t="s">
        <v>30</v>
      </c>
      <c r="O537" s="1" t="s">
        <v>1484</v>
      </c>
      <c r="P537" s="1" t="str">
        <f t="shared" si="522"/>
        <v>Mesa</v>
      </c>
      <c r="Q537" s="1" t="s">
        <v>265</v>
      </c>
      <c r="R537" s="1" t="str">
        <f t="shared" si="523"/>
        <v>Arizona</v>
      </c>
      <c r="S537" s="1">
        <v>85204</v>
      </c>
      <c r="T537" s="1" t="s">
        <v>44</v>
      </c>
      <c r="U537" s="1" t="s">
        <v>1485</v>
      </c>
      <c r="V537" s="1" t="s">
        <v>46</v>
      </c>
      <c r="W537" s="7">
        <v>16.768000000000001</v>
      </c>
      <c r="X537" s="1">
        <v>8</v>
      </c>
      <c r="Y537" s="7">
        <v>16.100000000000001</v>
      </c>
      <c r="Z537" s="7">
        <f t="shared" ref="Z537:AA537" si="550">W537*X537</f>
        <v>134.14400000000001</v>
      </c>
      <c r="AA537" s="7">
        <f t="shared" si="550"/>
        <v>128.80000000000001</v>
      </c>
      <c r="AB537" s="7">
        <f t="shared" si="525"/>
        <v>5.3439999999999941</v>
      </c>
    </row>
    <row r="538" spans="1:28">
      <c r="A538" s="1">
        <v>537</v>
      </c>
      <c r="B538" s="1" t="s">
        <v>1486</v>
      </c>
      <c r="C538" s="2">
        <v>43168</v>
      </c>
      <c r="D538" s="6" t="str">
        <f t="shared" si="520"/>
        <v>Mar</v>
      </c>
      <c r="E538" s="6" t="str">
        <f t="shared" si="521"/>
        <v>Qtr 1</v>
      </c>
      <c r="F538" s="5">
        <v>43321</v>
      </c>
      <c r="G538" s="1" t="s">
        <v>26</v>
      </c>
      <c r="H538" s="1" t="s">
        <v>1487</v>
      </c>
      <c r="I538" s="1" t="s">
        <v>1488</v>
      </c>
      <c r="J538" s="1" t="str">
        <f ca="1">IFERROR(__xludf.DUMMYFUNCTION("split(I538,"" "")"),"Emily")</f>
        <v>Emily</v>
      </c>
      <c r="K538" s="1" t="str">
        <f ca="1">IFERROR(__xludf.DUMMYFUNCTION("""COMPUTED_VALUE"""),"Phan")</f>
        <v>Phan</v>
      </c>
      <c r="L538" s="1"/>
      <c r="M538" s="1" t="s">
        <v>29</v>
      </c>
      <c r="N538" s="1" t="s">
        <v>30</v>
      </c>
      <c r="O538" s="1" t="s">
        <v>259</v>
      </c>
      <c r="P538" s="1" t="str">
        <f t="shared" si="522"/>
        <v>Chicago</v>
      </c>
      <c r="Q538" s="1" t="s">
        <v>182</v>
      </c>
      <c r="R538" s="1" t="str">
        <f t="shared" si="523"/>
        <v>Illinois</v>
      </c>
      <c r="S538" s="1">
        <v>60653</v>
      </c>
      <c r="T538" s="1" t="s">
        <v>90</v>
      </c>
      <c r="U538" s="1" t="s">
        <v>1489</v>
      </c>
      <c r="V538" s="1" t="s">
        <v>46</v>
      </c>
      <c r="W538" s="7">
        <v>42.616</v>
      </c>
      <c r="X538" s="1">
        <v>6</v>
      </c>
      <c r="Y538" s="7">
        <v>41.78</v>
      </c>
      <c r="Z538" s="7">
        <f t="shared" ref="Z538:AA538" si="551">W538*X538</f>
        <v>255.696</v>
      </c>
      <c r="AA538" s="7">
        <f t="shared" si="551"/>
        <v>250.68</v>
      </c>
      <c r="AB538" s="7">
        <f t="shared" si="525"/>
        <v>5.0159999999999911</v>
      </c>
    </row>
    <row r="539" spans="1:28">
      <c r="A539" s="1">
        <v>538</v>
      </c>
      <c r="B539" s="1" t="s">
        <v>1490</v>
      </c>
      <c r="C539" s="2">
        <v>42441</v>
      </c>
      <c r="D539" s="6" t="str">
        <f t="shared" si="520"/>
        <v>Mar</v>
      </c>
      <c r="E539" s="6" t="str">
        <f t="shared" si="521"/>
        <v>Qtr 1</v>
      </c>
      <c r="F539" s="5">
        <v>42594</v>
      </c>
      <c r="G539" s="1" t="s">
        <v>49</v>
      </c>
      <c r="H539" s="1" t="s">
        <v>631</v>
      </c>
      <c r="I539" s="1" t="s">
        <v>632</v>
      </c>
      <c r="J539" s="1" t="str">
        <f ca="1">IFERROR(__xludf.DUMMYFUNCTION("split(I539,"" "")"),"Mark")</f>
        <v>Mark</v>
      </c>
      <c r="K539" s="1" t="str">
        <f ca="1">IFERROR(__xludf.DUMMYFUNCTION("""COMPUTED_VALUE"""),"Packer")</f>
        <v>Packer</v>
      </c>
      <c r="L539" s="1"/>
      <c r="M539" s="1" t="s">
        <v>87</v>
      </c>
      <c r="N539" s="1" t="s">
        <v>30</v>
      </c>
      <c r="O539" s="1" t="s">
        <v>233</v>
      </c>
      <c r="P539" s="1" t="str">
        <f t="shared" si="522"/>
        <v>New York City</v>
      </c>
      <c r="Q539" s="1" t="s">
        <v>234</v>
      </c>
      <c r="R539" s="1" t="str">
        <f t="shared" si="523"/>
        <v>New York</v>
      </c>
      <c r="S539" s="1">
        <v>10009</v>
      </c>
      <c r="T539" s="1" t="s">
        <v>128</v>
      </c>
      <c r="U539" s="1" t="s">
        <v>1491</v>
      </c>
      <c r="V539" s="1" t="s">
        <v>46</v>
      </c>
      <c r="W539" s="7">
        <v>10.752000000000001</v>
      </c>
      <c r="X539" s="1">
        <v>1</v>
      </c>
      <c r="Y539" s="7">
        <v>10.57</v>
      </c>
      <c r="Z539" s="7">
        <f t="shared" ref="Z539:AA539" si="552">W539*X539</f>
        <v>10.752000000000001</v>
      </c>
      <c r="AA539" s="7">
        <f t="shared" si="552"/>
        <v>10.57</v>
      </c>
      <c r="AB539" s="7">
        <f t="shared" si="525"/>
        <v>0.18200000000000038</v>
      </c>
    </row>
    <row r="540" spans="1:28">
      <c r="A540" s="1">
        <v>539</v>
      </c>
      <c r="B540" s="1" t="s">
        <v>1492</v>
      </c>
      <c r="C540" s="2">
        <v>42563</v>
      </c>
      <c r="D540" s="6" t="str">
        <f t="shared" si="520"/>
        <v>Jul</v>
      </c>
      <c r="E540" s="6" t="str">
        <f t="shared" si="521"/>
        <v>Qtr 3</v>
      </c>
      <c r="F540" s="5">
        <v>42686</v>
      </c>
      <c r="G540" s="1" t="s">
        <v>49</v>
      </c>
      <c r="H540" s="1" t="s">
        <v>1493</v>
      </c>
      <c r="I540" s="1" t="s">
        <v>1494</v>
      </c>
      <c r="J540" s="1" t="str">
        <f ca="1">IFERROR(__xludf.DUMMYFUNCTION("split(I540,"" "")"),"Darren")</f>
        <v>Darren</v>
      </c>
      <c r="K540" s="1" t="str">
        <f ca="1">IFERROR(__xludf.DUMMYFUNCTION("""COMPUTED_VALUE"""),"Koutras")</f>
        <v>Koutras</v>
      </c>
      <c r="L540" s="1"/>
      <c r="M540" s="1" t="s">
        <v>29</v>
      </c>
      <c r="N540" s="1" t="s">
        <v>30</v>
      </c>
      <c r="O540" s="1" t="s">
        <v>31</v>
      </c>
      <c r="P540" s="1" t="str">
        <f t="shared" si="522"/>
        <v>Henderson</v>
      </c>
      <c r="Q540" s="1" t="s">
        <v>32</v>
      </c>
      <c r="R540" s="1" t="str">
        <f t="shared" si="523"/>
        <v>Kentucky</v>
      </c>
      <c r="S540" s="1">
        <v>42420</v>
      </c>
      <c r="T540" s="1" t="s">
        <v>33</v>
      </c>
      <c r="U540" s="1" t="s">
        <v>1495</v>
      </c>
      <c r="V540" s="1" t="s">
        <v>46</v>
      </c>
      <c r="W540" s="7">
        <v>152.94</v>
      </c>
      <c r="X540" s="1">
        <v>4</v>
      </c>
      <c r="Y540" s="7">
        <v>152.58000000000001</v>
      </c>
      <c r="Z540" s="7">
        <f t="shared" ref="Z540:AA540" si="553">W540*X540</f>
        <v>611.76</v>
      </c>
      <c r="AA540" s="7">
        <f t="shared" si="553"/>
        <v>610.32000000000005</v>
      </c>
      <c r="AB540" s="7">
        <f t="shared" si="525"/>
        <v>1.4399999999999409</v>
      </c>
    </row>
    <row r="541" spans="1:28">
      <c r="A541" s="1">
        <v>540</v>
      </c>
      <c r="B541" s="1" t="s">
        <v>1492</v>
      </c>
      <c r="C541" s="2">
        <v>42563</v>
      </c>
      <c r="D541" s="6" t="str">
        <f t="shared" si="520"/>
        <v>Jul</v>
      </c>
      <c r="E541" s="6" t="str">
        <f t="shared" si="521"/>
        <v>Qtr 3</v>
      </c>
      <c r="F541" s="5">
        <v>42686</v>
      </c>
      <c r="G541" s="1" t="s">
        <v>49</v>
      </c>
      <c r="H541" s="1" t="s">
        <v>1493</v>
      </c>
      <c r="I541" s="1" t="s">
        <v>1494</v>
      </c>
      <c r="J541" s="1" t="str">
        <f ca="1">IFERROR(__xludf.DUMMYFUNCTION("split(I541,"" "")"),"Darren")</f>
        <v>Darren</v>
      </c>
      <c r="K541" s="1" t="str">
        <f ca="1">IFERROR(__xludf.DUMMYFUNCTION("""COMPUTED_VALUE"""),"Koutras")</f>
        <v>Koutras</v>
      </c>
      <c r="L541" s="1"/>
      <c r="M541" s="1" t="s">
        <v>29</v>
      </c>
      <c r="N541" s="1" t="s">
        <v>30</v>
      </c>
      <c r="O541" s="1" t="s">
        <v>31</v>
      </c>
      <c r="P541" s="1" t="str">
        <f t="shared" si="522"/>
        <v>Henderson</v>
      </c>
      <c r="Q541" s="1" t="s">
        <v>32</v>
      </c>
      <c r="R541" s="1" t="str">
        <f t="shared" si="523"/>
        <v>Kentucky</v>
      </c>
      <c r="S541" s="1">
        <v>42420</v>
      </c>
      <c r="T541" s="1" t="s">
        <v>33</v>
      </c>
      <c r="U541" s="1" t="s">
        <v>1496</v>
      </c>
      <c r="V541" s="1" t="s">
        <v>35</v>
      </c>
      <c r="W541" s="7">
        <v>283.92</v>
      </c>
      <c r="X541" s="1">
        <v>4</v>
      </c>
      <c r="Y541" s="7">
        <v>282.95</v>
      </c>
      <c r="Z541" s="7">
        <f t="shared" ref="Z541:AA541" si="554">W541*X541</f>
        <v>1135.68</v>
      </c>
      <c r="AA541" s="7">
        <f t="shared" si="554"/>
        <v>1131.8</v>
      </c>
      <c r="AB541" s="7">
        <f t="shared" si="525"/>
        <v>3.8800000000001091</v>
      </c>
    </row>
    <row r="542" spans="1:28">
      <c r="A542" s="1">
        <v>541</v>
      </c>
      <c r="B542" s="1" t="s">
        <v>1497</v>
      </c>
      <c r="C542" s="2">
        <v>42006</v>
      </c>
      <c r="D542" s="6" t="str">
        <f t="shared" si="520"/>
        <v>Jan</v>
      </c>
      <c r="E542" s="6" t="str">
        <f t="shared" si="521"/>
        <v>Qtr 1</v>
      </c>
      <c r="F542" s="5">
        <v>42065</v>
      </c>
      <c r="G542" s="1" t="s">
        <v>162</v>
      </c>
      <c r="H542" s="1" t="s">
        <v>1498</v>
      </c>
      <c r="I542" s="1" t="s">
        <v>1499</v>
      </c>
      <c r="J542" s="1" t="str">
        <f ca="1">IFERROR(__xludf.DUMMYFUNCTION("split(I542,"" "")"),"Bradley")</f>
        <v>Bradley</v>
      </c>
      <c r="K542" s="1" t="str">
        <f ca="1">IFERROR(__xludf.DUMMYFUNCTION("""COMPUTED_VALUE"""),"Drucker")</f>
        <v>Drucker</v>
      </c>
      <c r="L542" s="1"/>
      <c r="M542" s="1" t="s">
        <v>29</v>
      </c>
      <c r="N542" s="1" t="s">
        <v>30</v>
      </c>
      <c r="O542" s="1" t="s">
        <v>1500</v>
      </c>
      <c r="P542" s="1" t="str">
        <f t="shared" si="522"/>
        <v>Green Bay</v>
      </c>
      <c r="Q542" s="1" t="s">
        <v>98</v>
      </c>
      <c r="R542" s="1" t="str">
        <f t="shared" si="523"/>
        <v>Wisconsin</v>
      </c>
      <c r="S542" s="1">
        <v>54302</v>
      </c>
      <c r="T542" s="1" t="s">
        <v>90</v>
      </c>
      <c r="U542" s="1" t="s">
        <v>1501</v>
      </c>
      <c r="V542" s="1" t="s">
        <v>64</v>
      </c>
      <c r="W542" s="7">
        <v>468.9</v>
      </c>
      <c r="X542" s="1">
        <v>5</v>
      </c>
      <c r="Y542" s="7">
        <v>467.96</v>
      </c>
      <c r="Z542" s="7">
        <f t="shared" ref="Z542:AA542" si="555">W542*X542</f>
        <v>2344.5</v>
      </c>
      <c r="AA542" s="7">
        <f t="shared" si="555"/>
        <v>2339.7999999999997</v>
      </c>
      <c r="AB542" s="7">
        <f t="shared" si="525"/>
        <v>4.7000000000002728</v>
      </c>
    </row>
    <row r="543" spans="1:28">
      <c r="A543" s="1">
        <v>542</v>
      </c>
      <c r="B543" s="1" t="s">
        <v>1502</v>
      </c>
      <c r="C543" s="2">
        <v>42930</v>
      </c>
      <c r="D543" s="6" t="str">
        <f t="shared" si="520"/>
        <v>Jul</v>
      </c>
      <c r="E543" s="6" t="str">
        <f t="shared" si="521"/>
        <v>Qtr 3</v>
      </c>
      <c r="F543" s="5" t="s">
        <v>1503</v>
      </c>
      <c r="G543" s="1" t="s">
        <v>162</v>
      </c>
      <c r="H543" s="1" t="s">
        <v>191</v>
      </c>
      <c r="I543" s="1" t="s">
        <v>192</v>
      </c>
      <c r="J543" s="1" t="str">
        <f ca="1">IFERROR(__xludf.DUMMYFUNCTION("split(I543,"" "")"),"Erin")</f>
        <v>Erin</v>
      </c>
      <c r="K543" s="1" t="str">
        <f ca="1">IFERROR(__xludf.DUMMYFUNCTION("""COMPUTED_VALUE"""),"Smith")</f>
        <v>Smith</v>
      </c>
      <c r="L543" s="1"/>
      <c r="M543" s="1" t="s">
        <v>41</v>
      </c>
      <c r="N543" s="1" t="s">
        <v>30</v>
      </c>
      <c r="O543" s="1" t="s">
        <v>1067</v>
      </c>
      <c r="P543" s="1" t="str">
        <f t="shared" si="522"/>
        <v>Tucson</v>
      </c>
      <c r="Q543" s="1" t="s">
        <v>265</v>
      </c>
      <c r="R543" s="1" t="str">
        <f t="shared" si="523"/>
        <v>Arizona</v>
      </c>
      <c r="S543" s="1">
        <v>85705</v>
      </c>
      <c r="T543" s="1" t="s">
        <v>44</v>
      </c>
      <c r="U543" s="1" t="s">
        <v>1504</v>
      </c>
      <c r="V543" s="1" t="s">
        <v>64</v>
      </c>
      <c r="W543" s="7">
        <v>380.86399999999998</v>
      </c>
      <c r="X543" s="1">
        <v>8</v>
      </c>
      <c r="Y543" s="7">
        <v>380.6</v>
      </c>
      <c r="Z543" s="7">
        <f t="shared" ref="Z543:AA543" si="556">W543*X543</f>
        <v>3046.9119999999998</v>
      </c>
      <c r="AA543" s="7">
        <f t="shared" si="556"/>
        <v>3044.8</v>
      </c>
      <c r="AB543" s="7">
        <f t="shared" si="525"/>
        <v>2.1119999999996253</v>
      </c>
    </row>
    <row r="544" spans="1:28">
      <c r="A544" s="1">
        <v>543</v>
      </c>
      <c r="B544" s="1" t="s">
        <v>1505</v>
      </c>
      <c r="C544" s="2">
        <v>42722</v>
      </c>
      <c r="D544" s="6" t="str">
        <f t="shared" si="520"/>
        <v>Dec</v>
      </c>
      <c r="E544" s="6" t="str">
        <f t="shared" si="521"/>
        <v>Qtr 4</v>
      </c>
      <c r="F544" s="5" t="s">
        <v>1506</v>
      </c>
      <c r="G544" s="1" t="s">
        <v>49</v>
      </c>
      <c r="H544" s="1" t="s">
        <v>1507</v>
      </c>
      <c r="I544" s="1" t="s">
        <v>1508</v>
      </c>
      <c r="J544" s="1" t="str">
        <f ca="1">IFERROR(__xludf.DUMMYFUNCTION("split(I544,"" "")"),"Liz")</f>
        <v>Liz</v>
      </c>
      <c r="K544" s="1" t="str">
        <f ca="1">IFERROR(__xludf.DUMMYFUNCTION("""COMPUTED_VALUE"""),"MacKendrick")</f>
        <v>MacKendrick</v>
      </c>
      <c r="L544" s="1"/>
      <c r="M544" s="1" t="s">
        <v>29</v>
      </c>
      <c r="N544" s="1" t="s">
        <v>30</v>
      </c>
      <c r="O544" s="1" t="s">
        <v>271</v>
      </c>
      <c r="P544" s="1" t="str">
        <f t="shared" si="522"/>
        <v>Springfield</v>
      </c>
      <c r="Q544" s="1" t="s">
        <v>421</v>
      </c>
      <c r="R544" s="1" t="str">
        <f t="shared" si="523"/>
        <v>Ohio</v>
      </c>
      <c r="S544" s="1">
        <v>45503</v>
      </c>
      <c r="T544" s="1" t="s">
        <v>128</v>
      </c>
      <c r="U544" s="1" t="s">
        <v>1372</v>
      </c>
      <c r="V544" s="1" t="s">
        <v>46</v>
      </c>
      <c r="W544" s="7">
        <v>646.77599999999995</v>
      </c>
      <c r="X544" s="1">
        <v>4</v>
      </c>
      <c r="Y544" s="7">
        <v>646.66</v>
      </c>
      <c r="Z544" s="7">
        <f t="shared" ref="Z544:AA544" si="557">W544*X544</f>
        <v>2587.1039999999998</v>
      </c>
      <c r="AA544" s="7">
        <f t="shared" si="557"/>
        <v>2586.64</v>
      </c>
      <c r="AB544" s="7">
        <f t="shared" si="525"/>
        <v>0.46399999999994179</v>
      </c>
    </row>
    <row r="545" spans="1:28">
      <c r="A545" s="1">
        <v>544</v>
      </c>
      <c r="B545" s="1" t="s">
        <v>1509</v>
      </c>
      <c r="C545" s="2">
        <v>42313</v>
      </c>
      <c r="D545" s="6" t="str">
        <f t="shared" si="520"/>
        <v>Nov</v>
      </c>
      <c r="E545" s="6" t="str">
        <f t="shared" si="521"/>
        <v>Qtr 4</v>
      </c>
      <c r="F545" s="5" t="s">
        <v>1510</v>
      </c>
      <c r="G545" s="1" t="s">
        <v>49</v>
      </c>
      <c r="H545" s="1" t="s">
        <v>329</v>
      </c>
      <c r="I545" s="1" t="s">
        <v>330</v>
      </c>
      <c r="J545" s="1" t="str">
        <f ca="1">IFERROR(__xludf.DUMMYFUNCTION("split(I545,"" "")"),"Paul")</f>
        <v>Paul</v>
      </c>
      <c r="K545" s="1" t="str">
        <f ca="1">IFERROR(__xludf.DUMMYFUNCTION("""COMPUTED_VALUE"""),"Gonzalez")</f>
        <v>Gonzalez</v>
      </c>
      <c r="L545" s="1"/>
      <c r="M545" s="1" t="s">
        <v>29</v>
      </c>
      <c r="N545" s="1" t="s">
        <v>30</v>
      </c>
      <c r="O545" s="1" t="s">
        <v>88</v>
      </c>
      <c r="P545" s="1" t="str">
        <f t="shared" si="522"/>
        <v>Fort Worth</v>
      </c>
      <c r="Q545" s="1" t="s">
        <v>89</v>
      </c>
      <c r="R545" s="1" t="str">
        <f t="shared" si="523"/>
        <v>Texas</v>
      </c>
      <c r="S545" s="1">
        <v>76106</v>
      </c>
      <c r="T545" s="1" t="s">
        <v>90</v>
      </c>
      <c r="U545" s="1" t="s">
        <v>1511</v>
      </c>
      <c r="V545" s="1" t="s">
        <v>64</v>
      </c>
      <c r="W545" s="7">
        <v>58.112000000000002</v>
      </c>
      <c r="X545" s="1">
        <v>7</v>
      </c>
      <c r="Y545" s="7">
        <v>57.94</v>
      </c>
      <c r="Z545" s="7">
        <f t="shared" ref="Z545:AA545" si="558">W545*X545</f>
        <v>406.78399999999999</v>
      </c>
      <c r="AA545" s="7">
        <f t="shared" si="558"/>
        <v>405.58</v>
      </c>
      <c r="AB545" s="7">
        <f t="shared" si="525"/>
        <v>1.2040000000000077</v>
      </c>
    </row>
    <row r="546" spans="1:28">
      <c r="A546" s="1">
        <v>545</v>
      </c>
      <c r="B546" s="1" t="s">
        <v>1509</v>
      </c>
      <c r="C546" s="2">
        <v>42313</v>
      </c>
      <c r="D546" s="6" t="str">
        <f t="shared" si="520"/>
        <v>Nov</v>
      </c>
      <c r="E546" s="6" t="str">
        <f t="shared" si="521"/>
        <v>Qtr 4</v>
      </c>
      <c r="F546" s="5" t="s">
        <v>1510</v>
      </c>
      <c r="G546" s="1" t="s">
        <v>49</v>
      </c>
      <c r="H546" s="1" t="s">
        <v>329</v>
      </c>
      <c r="I546" s="1" t="s">
        <v>330</v>
      </c>
      <c r="J546" s="1" t="str">
        <f ca="1">IFERROR(__xludf.DUMMYFUNCTION("split(I546,"" "")"),"Paul")</f>
        <v>Paul</v>
      </c>
      <c r="K546" s="1" t="str">
        <f ca="1">IFERROR(__xludf.DUMMYFUNCTION("""COMPUTED_VALUE"""),"Gonzalez")</f>
        <v>Gonzalez</v>
      </c>
      <c r="L546" s="1"/>
      <c r="M546" s="1" t="s">
        <v>29</v>
      </c>
      <c r="N546" s="1" t="s">
        <v>30</v>
      </c>
      <c r="O546" s="1" t="s">
        <v>88</v>
      </c>
      <c r="P546" s="1" t="str">
        <f t="shared" si="522"/>
        <v>Fort Worth</v>
      </c>
      <c r="Q546" s="1" t="s">
        <v>89</v>
      </c>
      <c r="R546" s="1" t="str">
        <f t="shared" si="523"/>
        <v>Texas</v>
      </c>
      <c r="S546" s="1">
        <v>76106</v>
      </c>
      <c r="T546" s="1" t="s">
        <v>90</v>
      </c>
      <c r="U546" s="1" t="s">
        <v>1512</v>
      </c>
      <c r="V546" s="1" t="s">
        <v>64</v>
      </c>
      <c r="W546" s="7">
        <v>100.792</v>
      </c>
      <c r="X546" s="1">
        <v>7</v>
      </c>
      <c r="Y546" s="7">
        <v>100.58</v>
      </c>
      <c r="Z546" s="7">
        <f t="shared" ref="Z546:AA546" si="559">W546*X546</f>
        <v>705.54399999999998</v>
      </c>
      <c r="AA546" s="7">
        <f t="shared" si="559"/>
        <v>704.06</v>
      </c>
      <c r="AB546" s="7">
        <f t="shared" si="525"/>
        <v>1.4840000000000373</v>
      </c>
    </row>
    <row r="547" spans="1:28">
      <c r="A547" s="1">
        <v>546</v>
      </c>
      <c r="B547" s="1" t="s">
        <v>1509</v>
      </c>
      <c r="C547" s="2">
        <v>42313</v>
      </c>
      <c r="D547" s="6" t="str">
        <f t="shared" si="520"/>
        <v>Nov</v>
      </c>
      <c r="E547" s="6" t="str">
        <f t="shared" si="521"/>
        <v>Qtr 4</v>
      </c>
      <c r="F547" s="5" t="s">
        <v>1510</v>
      </c>
      <c r="G547" s="1" t="s">
        <v>49</v>
      </c>
      <c r="H547" s="1" t="s">
        <v>329</v>
      </c>
      <c r="I547" s="1" t="s">
        <v>330</v>
      </c>
      <c r="J547" s="1" t="str">
        <f ca="1">IFERROR(__xludf.DUMMYFUNCTION("split(I547,"" "")"),"Paul")</f>
        <v>Paul</v>
      </c>
      <c r="K547" s="1" t="str">
        <f ca="1">IFERROR(__xludf.DUMMYFUNCTION("""COMPUTED_VALUE"""),"Gonzalez")</f>
        <v>Gonzalez</v>
      </c>
      <c r="L547" s="1"/>
      <c r="M547" s="1" t="s">
        <v>29</v>
      </c>
      <c r="N547" s="1" t="s">
        <v>30</v>
      </c>
      <c r="O547" s="1" t="s">
        <v>88</v>
      </c>
      <c r="P547" s="1" t="str">
        <f t="shared" si="522"/>
        <v>Fort Worth</v>
      </c>
      <c r="Q547" s="1" t="s">
        <v>89</v>
      </c>
      <c r="R547" s="1" t="str">
        <f t="shared" si="523"/>
        <v>Texas</v>
      </c>
      <c r="S547" s="1">
        <v>76106</v>
      </c>
      <c r="T547" s="1" t="s">
        <v>90</v>
      </c>
      <c r="U547" s="1" t="s">
        <v>1513</v>
      </c>
      <c r="V547" s="1" t="s">
        <v>35</v>
      </c>
      <c r="W547" s="7">
        <v>66.111999999999995</v>
      </c>
      <c r="X547" s="1">
        <v>7</v>
      </c>
      <c r="Y547" s="7">
        <v>65.650000000000006</v>
      </c>
      <c r="Z547" s="7">
        <f t="shared" ref="Z547:AA547" si="560">W547*X547</f>
        <v>462.78399999999999</v>
      </c>
      <c r="AA547" s="7">
        <f t="shared" si="560"/>
        <v>459.55000000000007</v>
      </c>
      <c r="AB547" s="7">
        <f t="shared" si="525"/>
        <v>3.2339999999999236</v>
      </c>
    </row>
    <row r="548" spans="1:28">
      <c r="A548" s="1">
        <v>547</v>
      </c>
      <c r="B548" s="1" t="s">
        <v>1514</v>
      </c>
      <c r="C548" s="2">
        <v>43423</v>
      </c>
      <c r="D548" s="6" t="str">
        <f t="shared" si="520"/>
        <v>Nov</v>
      </c>
      <c r="E548" s="6" t="str">
        <f t="shared" si="521"/>
        <v>Qtr 4</v>
      </c>
      <c r="F548" s="5" t="s">
        <v>1515</v>
      </c>
      <c r="G548" s="1" t="s">
        <v>162</v>
      </c>
      <c r="H548" s="1" t="s">
        <v>1516</v>
      </c>
      <c r="I548" s="1" t="s">
        <v>1517</v>
      </c>
      <c r="J548" s="1" t="str">
        <f ca="1">IFERROR(__xludf.DUMMYFUNCTION("split(I548,"" "")"),"Adrian")</f>
        <v>Adrian</v>
      </c>
      <c r="K548" s="1" t="str">
        <f ca="1">IFERROR(__xludf.DUMMYFUNCTION("""COMPUTED_VALUE"""),"Shami")</f>
        <v>Shami</v>
      </c>
      <c r="L548" s="1"/>
      <c r="M548" s="1" t="s">
        <v>87</v>
      </c>
      <c r="N548" s="1" t="s">
        <v>30</v>
      </c>
      <c r="O548" s="1" t="s">
        <v>233</v>
      </c>
      <c r="P548" s="1" t="str">
        <f t="shared" si="522"/>
        <v>New York City</v>
      </c>
      <c r="Q548" s="1" t="s">
        <v>234</v>
      </c>
      <c r="R548" s="1" t="str">
        <f t="shared" si="523"/>
        <v>New York</v>
      </c>
      <c r="S548" s="1">
        <v>10035</v>
      </c>
      <c r="T548" s="1" t="s">
        <v>128</v>
      </c>
      <c r="U548" s="1" t="s">
        <v>1518</v>
      </c>
      <c r="V548" s="1" t="s">
        <v>46</v>
      </c>
      <c r="W548" s="7">
        <v>41.28</v>
      </c>
      <c r="X548" s="1">
        <v>1</v>
      </c>
      <c r="Y548" s="7">
        <v>40.590000000000003</v>
      </c>
      <c r="Z548" s="7">
        <f t="shared" ref="Z548:AA548" si="561">W548*X548</f>
        <v>41.28</v>
      </c>
      <c r="AA548" s="7">
        <f t="shared" si="561"/>
        <v>40.590000000000003</v>
      </c>
      <c r="AB548" s="7">
        <f t="shared" si="525"/>
        <v>0.68999999999999773</v>
      </c>
    </row>
    <row r="549" spans="1:28">
      <c r="A549" s="1">
        <v>548</v>
      </c>
      <c r="B549" s="1" t="s">
        <v>1514</v>
      </c>
      <c r="C549" s="2">
        <v>43423</v>
      </c>
      <c r="D549" s="6" t="str">
        <f t="shared" si="520"/>
        <v>Nov</v>
      </c>
      <c r="E549" s="6" t="str">
        <f t="shared" si="521"/>
        <v>Qtr 4</v>
      </c>
      <c r="F549" s="5" t="s">
        <v>1515</v>
      </c>
      <c r="G549" s="1" t="s">
        <v>162</v>
      </c>
      <c r="H549" s="1" t="s">
        <v>1516</v>
      </c>
      <c r="I549" s="1" t="s">
        <v>1517</v>
      </c>
      <c r="J549" s="1" t="str">
        <f ca="1">IFERROR(__xludf.DUMMYFUNCTION("split(I549,"" "")"),"Adrian")</f>
        <v>Adrian</v>
      </c>
      <c r="K549" s="1" t="str">
        <f ca="1">IFERROR(__xludf.DUMMYFUNCTION("""COMPUTED_VALUE"""),"Shami")</f>
        <v>Shami</v>
      </c>
      <c r="L549" s="1"/>
      <c r="M549" s="1" t="s">
        <v>87</v>
      </c>
      <c r="N549" s="1" t="s">
        <v>30</v>
      </c>
      <c r="O549" s="1" t="s">
        <v>233</v>
      </c>
      <c r="P549" s="1" t="str">
        <f t="shared" si="522"/>
        <v>New York City</v>
      </c>
      <c r="Q549" s="1" t="s">
        <v>234</v>
      </c>
      <c r="R549" s="1" t="str">
        <f t="shared" si="523"/>
        <v>New York</v>
      </c>
      <c r="S549" s="1">
        <v>10035</v>
      </c>
      <c r="T549" s="1" t="s">
        <v>128</v>
      </c>
      <c r="U549" s="1" t="s">
        <v>1519</v>
      </c>
      <c r="V549" s="1" t="s">
        <v>46</v>
      </c>
      <c r="W549" s="7">
        <v>13.36</v>
      </c>
      <c r="X549" s="1">
        <v>1</v>
      </c>
      <c r="Y549" s="7">
        <v>12.82</v>
      </c>
      <c r="Z549" s="7">
        <f t="shared" ref="Z549:AA549" si="562">W549*X549</f>
        <v>13.36</v>
      </c>
      <c r="AA549" s="7">
        <f t="shared" si="562"/>
        <v>12.82</v>
      </c>
      <c r="AB549" s="7">
        <f t="shared" si="525"/>
        <v>0.53999999999999915</v>
      </c>
    </row>
    <row r="550" spans="1:28">
      <c r="A550" s="1">
        <v>549</v>
      </c>
      <c r="B550" s="1" t="s">
        <v>1520</v>
      </c>
      <c r="C550" s="2">
        <v>42689</v>
      </c>
      <c r="D550" s="6" t="str">
        <f t="shared" si="520"/>
        <v>Nov</v>
      </c>
      <c r="E550" s="6" t="str">
        <f t="shared" si="521"/>
        <v>Qtr 4</v>
      </c>
      <c r="F550" s="5" t="s">
        <v>382</v>
      </c>
      <c r="G550" s="1" t="s">
        <v>26</v>
      </c>
      <c r="H550" s="1" t="s">
        <v>1104</v>
      </c>
      <c r="I550" s="1" t="s">
        <v>1105</v>
      </c>
      <c r="J550" s="1" t="str">
        <f ca="1">IFERROR(__xludf.DUMMYFUNCTION("split(I550,"" "")"),"Dean")</f>
        <v>Dean</v>
      </c>
      <c r="K550" s="1" t="str">
        <f ca="1">IFERROR(__xludf.DUMMYFUNCTION("""COMPUTED_VALUE"""),"Katz")</f>
        <v>Katz</v>
      </c>
      <c r="L550" s="1"/>
      <c r="M550" s="1" t="s">
        <v>41</v>
      </c>
      <c r="N550" s="1" t="s">
        <v>30</v>
      </c>
      <c r="O550" s="1" t="s">
        <v>259</v>
      </c>
      <c r="P550" s="1" t="str">
        <f t="shared" si="522"/>
        <v>Chicago</v>
      </c>
      <c r="Q550" s="1" t="s">
        <v>182</v>
      </c>
      <c r="R550" s="1" t="str">
        <f t="shared" si="523"/>
        <v>Illinois</v>
      </c>
      <c r="S550" s="1">
        <v>60653</v>
      </c>
      <c r="T550" s="1" t="s">
        <v>90</v>
      </c>
      <c r="U550" s="1" t="s">
        <v>242</v>
      </c>
      <c r="V550" s="1" t="s">
        <v>46</v>
      </c>
      <c r="W550" s="7">
        <v>250.27199999999999</v>
      </c>
      <c r="X550" s="1">
        <v>6</v>
      </c>
      <c r="Y550" s="7">
        <v>249.83</v>
      </c>
      <c r="Z550" s="7">
        <f t="shared" ref="Z550:AA550" si="563">W550*X550</f>
        <v>1501.6320000000001</v>
      </c>
      <c r="AA550" s="7">
        <f t="shared" si="563"/>
        <v>1498.98</v>
      </c>
      <c r="AB550" s="7">
        <f t="shared" si="525"/>
        <v>2.6520000000000437</v>
      </c>
    </row>
    <row r="551" spans="1:28">
      <c r="A551" s="1">
        <v>550</v>
      </c>
      <c r="B551" s="1" t="s">
        <v>1520</v>
      </c>
      <c r="C551" s="2">
        <v>42689</v>
      </c>
      <c r="D551" s="6" t="str">
        <f t="shared" si="520"/>
        <v>Nov</v>
      </c>
      <c r="E551" s="6" t="str">
        <f t="shared" si="521"/>
        <v>Qtr 4</v>
      </c>
      <c r="F551" s="5" t="s">
        <v>382</v>
      </c>
      <c r="G551" s="1" t="s">
        <v>26</v>
      </c>
      <c r="H551" s="1" t="s">
        <v>1104</v>
      </c>
      <c r="I551" s="1" t="s">
        <v>1105</v>
      </c>
      <c r="J551" s="1" t="str">
        <f ca="1">IFERROR(__xludf.DUMMYFUNCTION("split(I551,"" "")"),"Dean")</f>
        <v>Dean</v>
      </c>
      <c r="K551" s="1" t="str">
        <f ca="1">IFERROR(__xludf.DUMMYFUNCTION("""COMPUTED_VALUE"""),"Katz")</f>
        <v>Katz</v>
      </c>
      <c r="L551" s="1"/>
      <c r="M551" s="1" t="s">
        <v>41</v>
      </c>
      <c r="N551" s="1" t="s">
        <v>30</v>
      </c>
      <c r="O551" s="1" t="s">
        <v>259</v>
      </c>
      <c r="P551" s="1" t="str">
        <f t="shared" si="522"/>
        <v>Chicago</v>
      </c>
      <c r="Q551" s="1" t="s">
        <v>182</v>
      </c>
      <c r="R551" s="1" t="str">
        <f t="shared" si="523"/>
        <v>Illinois</v>
      </c>
      <c r="S551" s="1">
        <v>60653</v>
      </c>
      <c r="T551" s="1" t="s">
        <v>90</v>
      </c>
      <c r="U551" s="1" t="s">
        <v>356</v>
      </c>
      <c r="V551" s="1" t="s">
        <v>46</v>
      </c>
      <c r="W551" s="7">
        <v>11.364000000000001</v>
      </c>
      <c r="X551" s="1">
        <v>6</v>
      </c>
      <c r="Y551" s="7">
        <v>10.83</v>
      </c>
      <c r="Z551" s="7">
        <f t="shared" ref="Z551:AA551" si="564">W551*X551</f>
        <v>68.183999999999997</v>
      </c>
      <c r="AA551" s="7">
        <f t="shared" si="564"/>
        <v>64.98</v>
      </c>
      <c r="AB551" s="7">
        <f t="shared" si="525"/>
        <v>3.2039999999999935</v>
      </c>
    </row>
    <row r="552" spans="1:28">
      <c r="A552" s="1">
        <v>551</v>
      </c>
      <c r="B552" s="1" t="s">
        <v>1520</v>
      </c>
      <c r="C552" s="2">
        <v>42689</v>
      </c>
      <c r="D552" s="6" t="str">
        <f t="shared" si="520"/>
        <v>Nov</v>
      </c>
      <c r="E552" s="6" t="str">
        <f t="shared" si="521"/>
        <v>Qtr 4</v>
      </c>
      <c r="F552" s="5" t="s">
        <v>382</v>
      </c>
      <c r="G552" s="1" t="s">
        <v>26</v>
      </c>
      <c r="H552" s="1" t="s">
        <v>1104</v>
      </c>
      <c r="I552" s="1" t="s">
        <v>1105</v>
      </c>
      <c r="J552" s="1" t="str">
        <f ca="1">IFERROR(__xludf.DUMMYFUNCTION("split(I552,"" "")"),"Dean")</f>
        <v>Dean</v>
      </c>
      <c r="K552" s="1" t="str">
        <f ca="1">IFERROR(__xludf.DUMMYFUNCTION("""COMPUTED_VALUE"""),"Katz")</f>
        <v>Katz</v>
      </c>
      <c r="L552" s="1"/>
      <c r="M552" s="1" t="s">
        <v>41</v>
      </c>
      <c r="N552" s="1" t="s">
        <v>30</v>
      </c>
      <c r="O552" s="1" t="s">
        <v>259</v>
      </c>
      <c r="P552" s="1" t="str">
        <f t="shared" si="522"/>
        <v>Chicago</v>
      </c>
      <c r="Q552" s="1" t="s">
        <v>182</v>
      </c>
      <c r="R552" s="1" t="str">
        <f t="shared" si="523"/>
        <v>Illinois</v>
      </c>
      <c r="S552" s="1">
        <v>60653</v>
      </c>
      <c r="T552" s="1" t="s">
        <v>90</v>
      </c>
      <c r="U552" s="1" t="s">
        <v>1521</v>
      </c>
      <c r="V552" s="1" t="s">
        <v>46</v>
      </c>
      <c r="W552" s="7">
        <v>8.7200000000000006</v>
      </c>
      <c r="X552" s="1">
        <v>6</v>
      </c>
      <c r="Y552" s="7">
        <v>7.76</v>
      </c>
      <c r="Z552" s="7">
        <f t="shared" ref="Z552:AA552" si="565">W552*X552</f>
        <v>52.320000000000007</v>
      </c>
      <c r="AA552" s="7">
        <f t="shared" si="565"/>
        <v>46.56</v>
      </c>
      <c r="AB552" s="7">
        <f t="shared" si="525"/>
        <v>5.7600000000000051</v>
      </c>
    </row>
    <row r="553" spans="1:28">
      <c r="A553" s="1">
        <v>552</v>
      </c>
      <c r="B553" s="1" t="s">
        <v>1522</v>
      </c>
      <c r="C553" s="2">
        <v>42840</v>
      </c>
      <c r="D553" s="6" t="str">
        <f t="shared" si="520"/>
        <v>Apr</v>
      </c>
      <c r="E553" s="6" t="str">
        <f t="shared" si="521"/>
        <v>Qtr 2</v>
      </c>
      <c r="F553" s="5" t="s">
        <v>1523</v>
      </c>
      <c r="G553" s="1" t="s">
        <v>26</v>
      </c>
      <c r="H553" s="1" t="s">
        <v>1524</v>
      </c>
      <c r="I553" s="1" t="s">
        <v>1525</v>
      </c>
      <c r="J553" s="1" t="str">
        <f ca="1">IFERROR(__xludf.DUMMYFUNCTION("split(I553,"" "")"),"Bill")</f>
        <v>Bill</v>
      </c>
      <c r="K553" s="1" t="str">
        <f ca="1">IFERROR(__xludf.DUMMYFUNCTION("""COMPUTED_VALUE"""),"Donatelli")</f>
        <v>Donatelli</v>
      </c>
      <c r="L553" s="1"/>
      <c r="M553" s="1" t="s">
        <v>29</v>
      </c>
      <c r="N553" s="1" t="s">
        <v>30</v>
      </c>
      <c r="O553" s="1" t="s">
        <v>110</v>
      </c>
      <c r="P553" s="1" t="str">
        <f t="shared" si="522"/>
        <v>San Francisco</v>
      </c>
      <c r="Q553" s="1" t="s">
        <v>68</v>
      </c>
      <c r="R553" s="1" t="str">
        <f t="shared" si="523"/>
        <v>California</v>
      </c>
      <c r="S553" s="1">
        <v>94110</v>
      </c>
      <c r="T553" s="1" t="s">
        <v>44</v>
      </c>
      <c r="U553" s="1" t="s">
        <v>1526</v>
      </c>
      <c r="V553" s="1" t="s">
        <v>35</v>
      </c>
      <c r="W553" s="7">
        <v>1121.568</v>
      </c>
      <c r="X553" s="1">
        <v>9</v>
      </c>
      <c r="Y553" s="7">
        <v>1120.83</v>
      </c>
      <c r="Z553" s="7">
        <f t="shared" ref="Z553:AA553" si="566">W553*X553</f>
        <v>10094.111999999999</v>
      </c>
      <c r="AA553" s="7">
        <f t="shared" si="566"/>
        <v>10087.469999999999</v>
      </c>
      <c r="AB553" s="7">
        <f t="shared" si="525"/>
        <v>6.6419999999998254</v>
      </c>
    </row>
    <row r="554" spans="1:28">
      <c r="A554" s="1">
        <v>553</v>
      </c>
      <c r="B554" s="1" t="s">
        <v>1527</v>
      </c>
      <c r="C554" s="2">
        <v>43413</v>
      </c>
      <c r="D554" s="6" t="str">
        <f t="shared" si="520"/>
        <v>Nov</v>
      </c>
      <c r="E554" s="6" t="str">
        <f t="shared" si="521"/>
        <v>Qtr 4</v>
      </c>
      <c r="F554" s="5">
        <v>43443</v>
      </c>
      <c r="G554" s="1" t="s">
        <v>162</v>
      </c>
      <c r="H554" s="1" t="s">
        <v>418</v>
      </c>
      <c r="I554" s="1" t="s">
        <v>419</v>
      </c>
      <c r="J554" s="1" t="str">
        <f ca="1">IFERROR(__xludf.DUMMYFUNCTION("split(I554,"" "")"),"Ryan")</f>
        <v>Ryan</v>
      </c>
      <c r="K554" s="1" t="str">
        <f ca="1">IFERROR(__xludf.DUMMYFUNCTION("""COMPUTED_VALUE"""),"Crowe")</f>
        <v>Crowe</v>
      </c>
      <c r="L554" s="1"/>
      <c r="M554" s="1" t="s">
        <v>29</v>
      </c>
      <c r="N554" s="1" t="s">
        <v>30</v>
      </c>
      <c r="O554" s="1" t="s">
        <v>1241</v>
      </c>
      <c r="P554" s="1" t="str">
        <f t="shared" si="522"/>
        <v>Jacksonville</v>
      </c>
      <c r="Q554" s="1" t="s">
        <v>194</v>
      </c>
      <c r="R554" s="1" t="str">
        <f t="shared" si="523"/>
        <v>Florida</v>
      </c>
      <c r="S554" s="1">
        <v>32216</v>
      </c>
      <c r="T554" s="1" t="s">
        <v>33</v>
      </c>
      <c r="U554" s="1" t="s">
        <v>1528</v>
      </c>
      <c r="V554" s="1" t="s">
        <v>35</v>
      </c>
      <c r="W554" s="7">
        <v>34.503999999999998</v>
      </c>
      <c r="X554" s="1">
        <v>3</v>
      </c>
      <c r="Y554" s="7">
        <v>33.799999999999997</v>
      </c>
      <c r="Z554" s="7">
        <f t="shared" ref="Z554:AA554" si="567">W554*X554</f>
        <v>103.512</v>
      </c>
      <c r="AA554" s="7">
        <f t="shared" si="567"/>
        <v>101.39999999999999</v>
      </c>
      <c r="AB554" s="7">
        <f t="shared" si="525"/>
        <v>2.112000000000009</v>
      </c>
    </row>
    <row r="555" spans="1:28">
      <c r="A555" s="1">
        <v>554</v>
      </c>
      <c r="B555" s="1" t="s">
        <v>1529</v>
      </c>
      <c r="C555" s="2">
        <v>43428</v>
      </c>
      <c r="D555" s="6" t="str">
        <f t="shared" si="520"/>
        <v>Nov</v>
      </c>
      <c r="E555" s="6" t="str">
        <f t="shared" si="521"/>
        <v>Qtr 4</v>
      </c>
      <c r="F555" s="5" t="s">
        <v>391</v>
      </c>
      <c r="G555" s="1" t="s">
        <v>49</v>
      </c>
      <c r="H555" s="1" t="s">
        <v>1530</v>
      </c>
      <c r="I555" s="1" t="s">
        <v>1531</v>
      </c>
      <c r="J555" s="1" t="str">
        <f ca="1">IFERROR(__xludf.DUMMYFUNCTION("split(I555,"" "")"),"Greg")</f>
        <v>Greg</v>
      </c>
      <c r="K555" s="1" t="str">
        <f ca="1">IFERROR(__xludf.DUMMYFUNCTION("""COMPUTED_VALUE"""),"Tran")</f>
        <v>Tran</v>
      </c>
      <c r="L555" s="1"/>
      <c r="M555" s="1" t="s">
        <v>29</v>
      </c>
      <c r="N555" s="1" t="s">
        <v>30</v>
      </c>
      <c r="O555" s="1" t="s">
        <v>172</v>
      </c>
      <c r="P555" s="1" t="str">
        <f t="shared" si="522"/>
        <v>Houston</v>
      </c>
      <c r="Q555" s="1" t="s">
        <v>89</v>
      </c>
      <c r="R555" s="1" t="str">
        <f t="shared" si="523"/>
        <v>Texas</v>
      </c>
      <c r="S555" s="1">
        <v>77070</v>
      </c>
      <c r="T555" s="1" t="s">
        <v>90</v>
      </c>
      <c r="U555" s="1" t="s">
        <v>1532</v>
      </c>
      <c r="V555" s="1" t="s">
        <v>46</v>
      </c>
      <c r="W555" s="7">
        <v>10.824</v>
      </c>
      <c r="X555" s="1">
        <v>7</v>
      </c>
      <c r="Y555" s="7">
        <v>10.039999999999999</v>
      </c>
      <c r="Z555" s="7">
        <f t="shared" ref="Z555:AA555" si="568">W555*X555</f>
        <v>75.768000000000001</v>
      </c>
      <c r="AA555" s="7">
        <f t="shared" si="568"/>
        <v>70.28</v>
      </c>
      <c r="AB555" s="7">
        <f t="shared" si="525"/>
        <v>5.4879999999999995</v>
      </c>
    </row>
    <row r="556" spans="1:28">
      <c r="A556" s="1">
        <v>555</v>
      </c>
      <c r="B556" s="1" t="s">
        <v>1533</v>
      </c>
      <c r="C556" s="2">
        <v>43280</v>
      </c>
      <c r="D556" s="6" t="str">
        <f t="shared" si="520"/>
        <v>Jun</v>
      </c>
      <c r="E556" s="6" t="str">
        <f t="shared" si="521"/>
        <v>Qtr 2</v>
      </c>
      <c r="F556" s="5">
        <v>43166</v>
      </c>
      <c r="G556" s="1" t="s">
        <v>26</v>
      </c>
      <c r="H556" s="1" t="s">
        <v>1104</v>
      </c>
      <c r="I556" s="1" t="s">
        <v>1105</v>
      </c>
      <c r="J556" s="1" t="str">
        <f ca="1">IFERROR(__xludf.DUMMYFUNCTION("split(I556,"" "")"),"Dean")</f>
        <v>Dean</v>
      </c>
      <c r="K556" s="1" t="str">
        <f ca="1">IFERROR(__xludf.DUMMYFUNCTION("""COMPUTED_VALUE"""),"Katz")</f>
        <v>Katz</v>
      </c>
      <c r="L556" s="1"/>
      <c r="M556" s="1" t="s">
        <v>41</v>
      </c>
      <c r="N556" s="1" t="s">
        <v>30</v>
      </c>
      <c r="O556" s="1" t="s">
        <v>1534</v>
      </c>
      <c r="P556" s="1" t="str">
        <f t="shared" si="522"/>
        <v>Anaheim</v>
      </c>
      <c r="Q556" s="1" t="s">
        <v>68</v>
      </c>
      <c r="R556" s="1" t="str">
        <f t="shared" si="523"/>
        <v>California</v>
      </c>
      <c r="S556" s="1">
        <v>92804</v>
      </c>
      <c r="T556" s="1" t="s">
        <v>44</v>
      </c>
      <c r="U556" s="1" t="s">
        <v>1535</v>
      </c>
      <c r="V556" s="1" t="s">
        <v>46</v>
      </c>
      <c r="W556" s="7">
        <v>1295.78</v>
      </c>
      <c r="X556" s="1">
        <v>9</v>
      </c>
      <c r="Y556" s="7">
        <v>1295.24</v>
      </c>
      <c r="Z556" s="7">
        <f t="shared" ref="Z556:AA556" si="569">W556*X556</f>
        <v>11662.02</v>
      </c>
      <c r="AA556" s="7">
        <f t="shared" si="569"/>
        <v>11657.16</v>
      </c>
      <c r="AB556" s="7">
        <f t="shared" si="525"/>
        <v>4.8600000000005821</v>
      </c>
    </row>
    <row r="557" spans="1:28">
      <c r="A557" s="1">
        <v>556</v>
      </c>
      <c r="B557" s="1" t="s">
        <v>1536</v>
      </c>
      <c r="C557" s="2">
        <v>42066</v>
      </c>
      <c r="D557" s="6" t="str">
        <f t="shared" si="520"/>
        <v>Mar</v>
      </c>
      <c r="E557" s="6" t="str">
        <f t="shared" si="521"/>
        <v>Qtr 1</v>
      </c>
      <c r="F557" s="5">
        <v>42188</v>
      </c>
      <c r="G557" s="1" t="s">
        <v>26</v>
      </c>
      <c r="H557" s="1" t="s">
        <v>1537</v>
      </c>
      <c r="I557" s="1" t="s">
        <v>1538</v>
      </c>
      <c r="J557" s="1" t="str">
        <f ca="1">IFERROR(__xludf.DUMMYFUNCTION("split(I557,"" "")"),"Ashley")</f>
        <v>Ashley</v>
      </c>
      <c r="K557" s="1" t="str">
        <f ca="1">IFERROR(__xludf.DUMMYFUNCTION("""COMPUTED_VALUE"""),"Jarboe")</f>
        <v>Jarboe</v>
      </c>
      <c r="L557" s="1"/>
      <c r="M557" s="1" t="s">
        <v>29</v>
      </c>
      <c r="N557" s="1" t="s">
        <v>30</v>
      </c>
      <c r="O557" s="1" t="s">
        <v>438</v>
      </c>
      <c r="P557" s="1" t="str">
        <f t="shared" si="522"/>
        <v>Wilmington</v>
      </c>
      <c r="Q557" s="1" t="s">
        <v>75</v>
      </c>
      <c r="R557" s="1" t="str">
        <f t="shared" si="523"/>
        <v>North Carolina</v>
      </c>
      <c r="S557" s="1">
        <v>28403</v>
      </c>
      <c r="T557" s="1" t="s">
        <v>33</v>
      </c>
      <c r="U557" s="1" t="s">
        <v>1539</v>
      </c>
      <c r="V557" s="1" t="s">
        <v>46</v>
      </c>
      <c r="W557" s="7">
        <v>19.456</v>
      </c>
      <c r="X557" s="1">
        <v>2</v>
      </c>
      <c r="Y557" s="7">
        <v>18.87</v>
      </c>
      <c r="Z557" s="7">
        <f t="shared" ref="Z557:AA557" si="570">W557*X557</f>
        <v>38.911999999999999</v>
      </c>
      <c r="AA557" s="7">
        <f t="shared" si="570"/>
        <v>37.74</v>
      </c>
      <c r="AB557" s="7">
        <f t="shared" si="525"/>
        <v>1.171999999999997</v>
      </c>
    </row>
    <row r="558" spans="1:28">
      <c r="A558" s="1">
        <v>557</v>
      </c>
      <c r="B558" s="1" t="s">
        <v>1540</v>
      </c>
      <c r="C558" s="2">
        <v>43014</v>
      </c>
      <c r="D558" s="6" t="str">
        <f t="shared" si="520"/>
        <v>Oct</v>
      </c>
      <c r="E558" s="6" t="str">
        <f t="shared" si="521"/>
        <v>Qtr 4</v>
      </c>
      <c r="F558" s="5" t="s">
        <v>300</v>
      </c>
      <c r="G558" s="1" t="s">
        <v>49</v>
      </c>
      <c r="H558" s="1" t="s">
        <v>1541</v>
      </c>
      <c r="I558" s="1" t="s">
        <v>1542</v>
      </c>
      <c r="J558" s="1" t="str">
        <f ca="1">IFERROR(__xludf.DUMMYFUNCTION("split(I558,"" "")"),"Olvera")</f>
        <v>Olvera</v>
      </c>
      <c r="K558" s="1" t="str">
        <f ca="1">IFERROR(__xludf.DUMMYFUNCTION("""COMPUTED_VALUE"""),"Toch")</f>
        <v>Toch</v>
      </c>
      <c r="L558" s="1"/>
      <c r="M558" s="1" t="s">
        <v>29</v>
      </c>
      <c r="N558" s="1" t="s">
        <v>30</v>
      </c>
      <c r="O558" s="1" t="s">
        <v>42</v>
      </c>
      <c r="P558" s="1" t="str">
        <f t="shared" si="522"/>
        <v>Los Angeles</v>
      </c>
      <c r="Q558" s="1" t="s">
        <v>68</v>
      </c>
      <c r="R558" s="1" t="str">
        <f t="shared" si="523"/>
        <v>California</v>
      </c>
      <c r="S558" s="1">
        <v>90045</v>
      </c>
      <c r="T558" s="1" t="s">
        <v>44</v>
      </c>
      <c r="U558" s="1" t="s">
        <v>1543</v>
      </c>
      <c r="V558" s="1" t="s">
        <v>46</v>
      </c>
      <c r="W558" s="7">
        <v>20.7</v>
      </c>
      <c r="X558" s="1">
        <v>9</v>
      </c>
      <c r="Y558" s="7">
        <v>20.46</v>
      </c>
      <c r="Z558" s="7">
        <f t="shared" ref="Z558:AA558" si="571">W558*X558</f>
        <v>186.29999999999998</v>
      </c>
      <c r="AA558" s="7">
        <f t="shared" si="571"/>
        <v>184.14000000000001</v>
      </c>
      <c r="AB558" s="7">
        <f t="shared" si="525"/>
        <v>2.1599999999999682</v>
      </c>
    </row>
    <row r="559" spans="1:28">
      <c r="A559" s="1">
        <v>558</v>
      </c>
      <c r="B559" s="1" t="s">
        <v>1540</v>
      </c>
      <c r="C559" s="2">
        <v>43014</v>
      </c>
      <c r="D559" s="6" t="str">
        <f t="shared" si="520"/>
        <v>Oct</v>
      </c>
      <c r="E559" s="6" t="str">
        <f t="shared" si="521"/>
        <v>Qtr 4</v>
      </c>
      <c r="F559" s="5" t="s">
        <v>300</v>
      </c>
      <c r="G559" s="1" t="s">
        <v>49</v>
      </c>
      <c r="H559" s="1" t="s">
        <v>1541</v>
      </c>
      <c r="I559" s="1" t="s">
        <v>1542</v>
      </c>
      <c r="J559" s="1" t="str">
        <f ca="1">IFERROR(__xludf.DUMMYFUNCTION("split(I559,"" "")"),"Olvera")</f>
        <v>Olvera</v>
      </c>
      <c r="K559" s="1" t="str">
        <f ca="1">IFERROR(__xludf.DUMMYFUNCTION("""COMPUTED_VALUE"""),"Toch")</f>
        <v>Toch</v>
      </c>
      <c r="L559" s="1"/>
      <c r="M559" s="1" t="s">
        <v>29</v>
      </c>
      <c r="N559" s="1" t="s">
        <v>30</v>
      </c>
      <c r="O559" s="1" t="s">
        <v>42</v>
      </c>
      <c r="P559" s="1" t="str">
        <f t="shared" si="522"/>
        <v>Los Angeles</v>
      </c>
      <c r="Q559" s="1" t="s">
        <v>68</v>
      </c>
      <c r="R559" s="1" t="str">
        <f t="shared" si="523"/>
        <v>California</v>
      </c>
      <c r="S559" s="1">
        <v>90045</v>
      </c>
      <c r="T559" s="1" t="s">
        <v>44</v>
      </c>
      <c r="U559" s="1" t="s">
        <v>1544</v>
      </c>
      <c r="V559" s="1" t="s">
        <v>35</v>
      </c>
      <c r="W559" s="7">
        <v>1335.68</v>
      </c>
      <c r="X559" s="1">
        <v>9</v>
      </c>
      <c r="Y559" s="7">
        <v>1335.12</v>
      </c>
      <c r="Z559" s="7">
        <f t="shared" ref="Z559:AA559" si="572">W559*X559</f>
        <v>12021.12</v>
      </c>
      <c r="AA559" s="7">
        <f t="shared" si="572"/>
        <v>12016.079999999998</v>
      </c>
      <c r="AB559" s="7">
        <f t="shared" si="525"/>
        <v>5.0400000000026921</v>
      </c>
    </row>
    <row r="560" spans="1:28">
      <c r="A560" s="1">
        <v>559</v>
      </c>
      <c r="B560" s="1" t="s">
        <v>1540</v>
      </c>
      <c r="C560" s="2">
        <v>43014</v>
      </c>
      <c r="D560" s="6" t="str">
        <f t="shared" si="520"/>
        <v>Oct</v>
      </c>
      <c r="E560" s="6" t="str">
        <f t="shared" si="521"/>
        <v>Qtr 4</v>
      </c>
      <c r="F560" s="5" t="s">
        <v>300</v>
      </c>
      <c r="G560" s="1" t="s">
        <v>49</v>
      </c>
      <c r="H560" s="1" t="s">
        <v>1541</v>
      </c>
      <c r="I560" s="1" t="s">
        <v>1542</v>
      </c>
      <c r="J560" s="1" t="str">
        <f ca="1">IFERROR(__xludf.DUMMYFUNCTION("split(I560,"" "")"),"Olvera")</f>
        <v>Olvera</v>
      </c>
      <c r="K560" s="1" t="str">
        <f ca="1">IFERROR(__xludf.DUMMYFUNCTION("""COMPUTED_VALUE"""),"Toch")</f>
        <v>Toch</v>
      </c>
      <c r="L560" s="1"/>
      <c r="M560" s="1" t="s">
        <v>29</v>
      </c>
      <c r="N560" s="1" t="s">
        <v>30</v>
      </c>
      <c r="O560" s="1" t="s">
        <v>42</v>
      </c>
      <c r="P560" s="1" t="str">
        <f t="shared" si="522"/>
        <v>Los Angeles</v>
      </c>
      <c r="Q560" s="1" t="s">
        <v>68</v>
      </c>
      <c r="R560" s="1" t="str">
        <f t="shared" si="523"/>
        <v>California</v>
      </c>
      <c r="S560" s="1">
        <v>90045</v>
      </c>
      <c r="T560" s="1" t="s">
        <v>44</v>
      </c>
      <c r="U560" s="1" t="s">
        <v>1545</v>
      </c>
      <c r="V560" s="1" t="s">
        <v>46</v>
      </c>
      <c r="W560" s="7">
        <v>32.4</v>
      </c>
      <c r="X560" s="1">
        <v>9</v>
      </c>
      <c r="Y560" s="7">
        <v>31.82</v>
      </c>
      <c r="Z560" s="7">
        <f t="shared" ref="Z560:AA560" si="573">W560*X560</f>
        <v>291.59999999999997</v>
      </c>
      <c r="AA560" s="7">
        <f t="shared" si="573"/>
        <v>286.38</v>
      </c>
      <c r="AB560" s="7">
        <f t="shared" si="525"/>
        <v>5.2199999999999704</v>
      </c>
    </row>
    <row r="561" spans="1:28">
      <c r="A561" s="1">
        <v>560</v>
      </c>
      <c r="B561" s="1" t="s">
        <v>1546</v>
      </c>
      <c r="C561" s="2">
        <v>43424</v>
      </c>
      <c r="D561" s="6" t="str">
        <f t="shared" si="520"/>
        <v>Nov</v>
      </c>
      <c r="E561" s="6" t="str">
        <f t="shared" si="521"/>
        <v>Qtr 4</v>
      </c>
      <c r="F561" s="5" t="s">
        <v>1515</v>
      </c>
      <c r="G561" s="1" t="s">
        <v>26</v>
      </c>
      <c r="H561" s="1" t="s">
        <v>1547</v>
      </c>
      <c r="I561" s="1" t="s">
        <v>1548</v>
      </c>
      <c r="J561" s="1" t="str">
        <f ca="1">IFERROR(__xludf.DUMMYFUNCTION("split(I561,"" "")"),"Liz")</f>
        <v>Liz</v>
      </c>
      <c r="K561" s="1" t="str">
        <f ca="1">IFERROR(__xludf.DUMMYFUNCTION("""COMPUTED_VALUE"""),"Pelletier")</f>
        <v>Pelletier</v>
      </c>
      <c r="L561" s="1"/>
      <c r="M561" s="1" t="s">
        <v>29</v>
      </c>
      <c r="N561" s="1" t="s">
        <v>30</v>
      </c>
      <c r="O561" s="1" t="s">
        <v>110</v>
      </c>
      <c r="P561" s="1" t="str">
        <f t="shared" si="522"/>
        <v>San Francisco</v>
      </c>
      <c r="Q561" s="1" t="s">
        <v>68</v>
      </c>
      <c r="R561" s="1" t="str">
        <f t="shared" si="523"/>
        <v>California</v>
      </c>
      <c r="S561" s="1">
        <v>94110</v>
      </c>
      <c r="T561" s="1" t="s">
        <v>44</v>
      </c>
      <c r="U561" s="1" t="s">
        <v>1216</v>
      </c>
      <c r="V561" s="1" t="s">
        <v>35</v>
      </c>
      <c r="W561" s="7">
        <v>42.6</v>
      </c>
      <c r="X561" s="1">
        <v>9</v>
      </c>
      <c r="Y561" s="7">
        <v>41.71</v>
      </c>
      <c r="Z561" s="7">
        <f t="shared" ref="Z561:AA561" si="574">W561*X561</f>
        <v>383.40000000000003</v>
      </c>
      <c r="AA561" s="7">
        <f t="shared" si="574"/>
        <v>375.39</v>
      </c>
      <c r="AB561" s="7">
        <f t="shared" si="525"/>
        <v>8.0100000000000477</v>
      </c>
    </row>
    <row r="562" spans="1:28">
      <c r="A562" s="1">
        <v>561</v>
      </c>
      <c r="B562" s="1" t="s">
        <v>1546</v>
      </c>
      <c r="C562" s="2">
        <v>43424</v>
      </c>
      <c r="D562" s="6" t="str">
        <f t="shared" si="520"/>
        <v>Nov</v>
      </c>
      <c r="E562" s="6" t="str">
        <f t="shared" si="521"/>
        <v>Qtr 4</v>
      </c>
      <c r="F562" s="5" t="s">
        <v>1515</v>
      </c>
      <c r="G562" s="1" t="s">
        <v>26</v>
      </c>
      <c r="H562" s="1" t="s">
        <v>1547</v>
      </c>
      <c r="I562" s="1" t="s">
        <v>1548</v>
      </c>
      <c r="J562" s="1" t="str">
        <f ca="1">IFERROR(__xludf.DUMMYFUNCTION("split(I562,"" "")"),"Liz")</f>
        <v>Liz</v>
      </c>
      <c r="K562" s="1" t="str">
        <f ca="1">IFERROR(__xludf.DUMMYFUNCTION("""COMPUTED_VALUE"""),"Pelletier")</f>
        <v>Pelletier</v>
      </c>
      <c r="L562" s="1"/>
      <c r="M562" s="1" t="s">
        <v>29</v>
      </c>
      <c r="N562" s="1" t="s">
        <v>30</v>
      </c>
      <c r="O562" s="1" t="s">
        <v>110</v>
      </c>
      <c r="P562" s="1" t="str">
        <f t="shared" si="522"/>
        <v>San Francisco</v>
      </c>
      <c r="Q562" s="1" t="s">
        <v>68</v>
      </c>
      <c r="R562" s="1" t="str">
        <f t="shared" si="523"/>
        <v>California</v>
      </c>
      <c r="S562" s="1">
        <v>94110</v>
      </c>
      <c r="T562" s="1" t="s">
        <v>44</v>
      </c>
      <c r="U562" s="1" t="s">
        <v>1549</v>
      </c>
      <c r="V562" s="1" t="s">
        <v>46</v>
      </c>
      <c r="W562" s="7">
        <v>84.055999999999997</v>
      </c>
      <c r="X562" s="1">
        <v>9</v>
      </c>
      <c r="Y562" s="7">
        <v>83.54</v>
      </c>
      <c r="Z562" s="7">
        <f t="shared" ref="Z562:AA562" si="575">W562*X562</f>
        <v>756.50400000000002</v>
      </c>
      <c r="AA562" s="7">
        <f t="shared" si="575"/>
        <v>751.86</v>
      </c>
      <c r="AB562" s="7">
        <f t="shared" si="525"/>
        <v>4.6440000000000055</v>
      </c>
    </row>
    <row r="563" spans="1:28">
      <c r="A563" s="1">
        <v>562</v>
      </c>
      <c r="B563" s="1" t="s">
        <v>1550</v>
      </c>
      <c r="C563" s="2">
        <v>42261</v>
      </c>
      <c r="D563" s="6" t="str">
        <f t="shared" si="520"/>
        <v>Sep</v>
      </c>
      <c r="E563" s="6" t="str">
        <f t="shared" si="521"/>
        <v>Qtr 3</v>
      </c>
      <c r="F563" s="5" t="s">
        <v>1551</v>
      </c>
      <c r="G563" s="1" t="s">
        <v>26</v>
      </c>
      <c r="H563" s="1" t="s">
        <v>1552</v>
      </c>
      <c r="I563" s="1" t="s">
        <v>1553</v>
      </c>
      <c r="J563" s="1" t="str">
        <f ca="1">IFERROR(__xludf.DUMMYFUNCTION("split(I563,"" "")"),"Cynthia")</f>
        <v>Cynthia</v>
      </c>
      <c r="K563" s="1" t="str">
        <f ca="1">IFERROR(__xludf.DUMMYFUNCTION("""COMPUTED_VALUE"""),"Arntzen")</f>
        <v>Arntzen</v>
      </c>
      <c r="L563" s="1"/>
      <c r="M563" s="1" t="s">
        <v>29</v>
      </c>
      <c r="N563" s="1" t="s">
        <v>30</v>
      </c>
      <c r="O563" s="1" t="s">
        <v>743</v>
      </c>
      <c r="P563" s="1" t="str">
        <f t="shared" si="522"/>
        <v>Tampa</v>
      </c>
      <c r="Q563" s="1" t="s">
        <v>194</v>
      </c>
      <c r="R563" s="1" t="str">
        <f t="shared" si="523"/>
        <v>Florida</v>
      </c>
      <c r="S563" s="1">
        <v>33614</v>
      </c>
      <c r="T563" s="1" t="s">
        <v>33</v>
      </c>
      <c r="U563" s="1" t="s">
        <v>1554</v>
      </c>
      <c r="V563" s="1" t="s">
        <v>46</v>
      </c>
      <c r="W563" s="7">
        <v>13</v>
      </c>
      <c r="X563" s="1">
        <v>3</v>
      </c>
      <c r="Y563" s="7">
        <v>12.2</v>
      </c>
      <c r="Z563" s="7">
        <f t="shared" ref="Z563:AA563" si="576">W563*X563</f>
        <v>39</v>
      </c>
      <c r="AA563" s="7">
        <f t="shared" si="576"/>
        <v>36.599999999999994</v>
      </c>
      <c r="AB563" s="7">
        <f t="shared" si="525"/>
        <v>2.4000000000000057</v>
      </c>
    </row>
    <row r="564" spans="1:28">
      <c r="A564" s="1">
        <v>563</v>
      </c>
      <c r="B564" s="1" t="s">
        <v>1550</v>
      </c>
      <c r="C564" s="2">
        <v>42261</v>
      </c>
      <c r="D564" s="6" t="str">
        <f t="shared" si="520"/>
        <v>Sep</v>
      </c>
      <c r="E564" s="6" t="str">
        <f t="shared" si="521"/>
        <v>Qtr 3</v>
      </c>
      <c r="F564" s="5" t="s">
        <v>1551</v>
      </c>
      <c r="G564" s="1" t="s">
        <v>26</v>
      </c>
      <c r="H564" s="1" t="s">
        <v>1552</v>
      </c>
      <c r="I564" s="1" t="s">
        <v>1553</v>
      </c>
      <c r="J564" s="1" t="str">
        <f ca="1">IFERROR(__xludf.DUMMYFUNCTION("split(I564,"" "")"),"Cynthia")</f>
        <v>Cynthia</v>
      </c>
      <c r="K564" s="1" t="str">
        <f ca="1">IFERROR(__xludf.DUMMYFUNCTION("""COMPUTED_VALUE"""),"Arntzen")</f>
        <v>Arntzen</v>
      </c>
      <c r="L564" s="1"/>
      <c r="M564" s="1" t="s">
        <v>29</v>
      </c>
      <c r="N564" s="1" t="s">
        <v>30</v>
      </c>
      <c r="O564" s="1" t="s">
        <v>743</v>
      </c>
      <c r="P564" s="1" t="str">
        <f t="shared" si="522"/>
        <v>Tampa</v>
      </c>
      <c r="Q564" s="1" t="s">
        <v>194</v>
      </c>
      <c r="R564" s="1" t="str">
        <f t="shared" si="523"/>
        <v>Florida</v>
      </c>
      <c r="S564" s="1">
        <v>33614</v>
      </c>
      <c r="T564" s="1" t="s">
        <v>33</v>
      </c>
      <c r="U564" s="1" t="s">
        <v>1555</v>
      </c>
      <c r="V564" s="1" t="s">
        <v>35</v>
      </c>
      <c r="W564" s="7">
        <v>13.128</v>
      </c>
      <c r="X564" s="1">
        <v>3</v>
      </c>
      <c r="Y564" s="7">
        <v>13.05</v>
      </c>
      <c r="Z564" s="7">
        <f t="shared" ref="Z564:AA564" si="577">W564*X564</f>
        <v>39.384</v>
      </c>
      <c r="AA564" s="7">
        <f t="shared" si="577"/>
        <v>39.150000000000006</v>
      </c>
      <c r="AB564" s="7">
        <f t="shared" si="525"/>
        <v>0.23399999999999466</v>
      </c>
    </row>
    <row r="565" spans="1:28">
      <c r="A565" s="1">
        <v>564</v>
      </c>
      <c r="B565" s="1" t="s">
        <v>1556</v>
      </c>
      <c r="C565" s="2">
        <v>42563</v>
      </c>
      <c r="D565" s="6" t="str">
        <f t="shared" si="520"/>
        <v>Jul</v>
      </c>
      <c r="E565" s="6" t="str">
        <f t="shared" si="521"/>
        <v>Qtr 3</v>
      </c>
      <c r="F565" s="5">
        <v>42625</v>
      </c>
      <c r="G565" s="1" t="s">
        <v>162</v>
      </c>
      <c r="H565" s="1" t="s">
        <v>1557</v>
      </c>
      <c r="I565" s="1" t="s">
        <v>1558</v>
      </c>
      <c r="J565" s="1" t="str">
        <f ca="1">IFERROR(__xludf.DUMMYFUNCTION("split(I565,"" "")"),"Jeremy")</f>
        <v>Jeremy</v>
      </c>
      <c r="K565" s="1" t="str">
        <f ca="1">IFERROR(__xludf.DUMMYFUNCTION("""COMPUTED_VALUE"""),"Farry")</f>
        <v>Farry</v>
      </c>
      <c r="L565" s="1"/>
      <c r="M565" s="1" t="s">
        <v>29</v>
      </c>
      <c r="N565" s="1" t="s">
        <v>30</v>
      </c>
      <c r="O565" s="1" t="s">
        <v>80</v>
      </c>
      <c r="P565" s="1" t="str">
        <f t="shared" si="522"/>
        <v>Seattle</v>
      </c>
      <c r="Q565" s="1" t="s">
        <v>81</v>
      </c>
      <c r="R565" s="1" t="str">
        <f t="shared" si="523"/>
        <v>Washington</v>
      </c>
      <c r="S565" s="1">
        <v>98105</v>
      </c>
      <c r="T565" s="1" t="s">
        <v>44</v>
      </c>
      <c r="U565" s="1" t="s">
        <v>1559</v>
      </c>
      <c r="V565" s="1" t="s">
        <v>46</v>
      </c>
      <c r="W565" s="7">
        <v>3.96</v>
      </c>
      <c r="X565" s="1">
        <v>9</v>
      </c>
      <c r="Y565" s="7">
        <v>3.3</v>
      </c>
      <c r="Z565" s="7">
        <f t="shared" ref="Z565:AA565" si="578">W565*X565</f>
        <v>35.64</v>
      </c>
      <c r="AA565" s="7">
        <f t="shared" si="578"/>
        <v>29.7</v>
      </c>
      <c r="AB565" s="7">
        <f t="shared" si="525"/>
        <v>5.9400000000000013</v>
      </c>
    </row>
    <row r="566" spans="1:28">
      <c r="A566" s="1">
        <v>565</v>
      </c>
      <c r="B566" s="1" t="s">
        <v>1556</v>
      </c>
      <c r="C566" s="2">
        <v>42563</v>
      </c>
      <c r="D566" s="6" t="str">
        <f t="shared" si="520"/>
        <v>Jul</v>
      </c>
      <c r="E566" s="6" t="str">
        <f t="shared" si="521"/>
        <v>Qtr 3</v>
      </c>
      <c r="F566" s="5">
        <v>42625</v>
      </c>
      <c r="G566" s="1" t="s">
        <v>162</v>
      </c>
      <c r="H566" s="1" t="s">
        <v>1557</v>
      </c>
      <c r="I566" s="1" t="s">
        <v>1558</v>
      </c>
      <c r="J566" s="1" t="str">
        <f ca="1">IFERROR(__xludf.DUMMYFUNCTION("split(I566,"" "")"),"Jeremy")</f>
        <v>Jeremy</v>
      </c>
      <c r="K566" s="1" t="str">
        <f ca="1">IFERROR(__xludf.DUMMYFUNCTION("""COMPUTED_VALUE"""),"Farry")</f>
        <v>Farry</v>
      </c>
      <c r="L566" s="1"/>
      <c r="M566" s="1" t="s">
        <v>29</v>
      </c>
      <c r="N566" s="1" t="s">
        <v>30</v>
      </c>
      <c r="O566" s="1" t="s">
        <v>80</v>
      </c>
      <c r="P566" s="1" t="str">
        <f t="shared" si="522"/>
        <v>Seattle</v>
      </c>
      <c r="Q566" s="1" t="s">
        <v>81</v>
      </c>
      <c r="R566" s="1" t="str">
        <f t="shared" si="523"/>
        <v>Washington</v>
      </c>
      <c r="S566" s="1">
        <v>98105</v>
      </c>
      <c r="T566" s="1" t="s">
        <v>44</v>
      </c>
      <c r="U566" s="1" t="s">
        <v>927</v>
      </c>
      <c r="V566" s="1" t="s">
        <v>46</v>
      </c>
      <c r="W566" s="7">
        <v>2.61</v>
      </c>
      <c r="X566" s="1">
        <v>9</v>
      </c>
      <c r="Y566" s="7">
        <v>2.36</v>
      </c>
      <c r="Z566" s="7">
        <f t="shared" ref="Z566:AA566" si="579">W566*X566</f>
        <v>23.49</v>
      </c>
      <c r="AA566" s="7">
        <f t="shared" si="579"/>
        <v>21.24</v>
      </c>
      <c r="AB566" s="7">
        <f t="shared" si="525"/>
        <v>2.25</v>
      </c>
    </row>
    <row r="567" spans="1:28">
      <c r="A567" s="1">
        <v>566</v>
      </c>
      <c r="B567" s="1" t="s">
        <v>1560</v>
      </c>
      <c r="C567" s="2">
        <v>43293</v>
      </c>
      <c r="D567" s="6" t="str">
        <f t="shared" si="520"/>
        <v>Jul</v>
      </c>
      <c r="E567" s="6" t="str">
        <f t="shared" si="521"/>
        <v>Qtr 3</v>
      </c>
      <c r="F567" s="5">
        <v>43385</v>
      </c>
      <c r="G567" s="1" t="s">
        <v>162</v>
      </c>
      <c r="H567" s="1" t="s">
        <v>1561</v>
      </c>
      <c r="I567" s="1" t="s">
        <v>1562</v>
      </c>
      <c r="J567" s="1" t="str">
        <f ca="1">IFERROR(__xludf.DUMMYFUNCTION("split(I567,"" "")"),"Frank")</f>
        <v>Frank</v>
      </c>
      <c r="K567" s="1" t="str">
        <f ca="1">IFERROR(__xludf.DUMMYFUNCTION("""COMPUTED_VALUE"""),"Preis")</f>
        <v>Preis</v>
      </c>
      <c r="L567" s="1"/>
      <c r="M567" s="1" t="s">
        <v>29</v>
      </c>
      <c r="N567" s="1" t="s">
        <v>30</v>
      </c>
      <c r="O567" s="1" t="s">
        <v>42</v>
      </c>
      <c r="P567" s="1" t="str">
        <f t="shared" si="522"/>
        <v>Los Angeles</v>
      </c>
      <c r="Q567" s="1" t="s">
        <v>68</v>
      </c>
      <c r="R567" s="1" t="str">
        <f t="shared" si="523"/>
        <v>California</v>
      </c>
      <c r="S567" s="1">
        <v>90008</v>
      </c>
      <c r="T567" s="1" t="s">
        <v>44</v>
      </c>
      <c r="U567" s="1" t="s">
        <v>1563</v>
      </c>
      <c r="V567" s="1" t="s">
        <v>64</v>
      </c>
      <c r="W567" s="7">
        <v>374.37599999999998</v>
      </c>
      <c r="X567" s="1">
        <v>9</v>
      </c>
      <c r="Y567" s="7">
        <v>373.52</v>
      </c>
      <c r="Z567" s="7">
        <f t="shared" ref="Z567:AA567" si="580">W567*X567</f>
        <v>3369.384</v>
      </c>
      <c r="AA567" s="7">
        <f t="shared" si="580"/>
        <v>3361.68</v>
      </c>
      <c r="AB567" s="7">
        <f t="shared" si="525"/>
        <v>7.7040000000001783</v>
      </c>
    </row>
    <row r="568" spans="1:28">
      <c r="A568" s="1">
        <v>567</v>
      </c>
      <c r="B568" s="1" t="s">
        <v>1564</v>
      </c>
      <c r="C568" s="2">
        <v>43110</v>
      </c>
      <c r="D568" s="6" t="str">
        <f t="shared" si="520"/>
        <v>Jan</v>
      </c>
      <c r="E568" s="6" t="str">
        <f t="shared" si="521"/>
        <v>Qtr 1</v>
      </c>
      <c r="F568" s="5">
        <v>43322</v>
      </c>
      <c r="G568" s="1" t="s">
        <v>49</v>
      </c>
      <c r="H568" s="1" t="s">
        <v>1565</v>
      </c>
      <c r="I568" s="1" t="s">
        <v>1566</v>
      </c>
      <c r="J568" s="1" t="str">
        <f ca="1">IFERROR(__xludf.DUMMYFUNCTION("split(I568,"" "")"),"Ellis")</f>
        <v>Ellis</v>
      </c>
      <c r="K568" s="1" t="str">
        <f ca="1">IFERROR(__xludf.DUMMYFUNCTION("""COMPUTED_VALUE"""),"Ballard")</f>
        <v>Ballard</v>
      </c>
      <c r="L568" s="1"/>
      <c r="M568" s="1" t="s">
        <v>41</v>
      </c>
      <c r="N568" s="1" t="s">
        <v>30</v>
      </c>
      <c r="O568" s="1" t="s">
        <v>80</v>
      </c>
      <c r="P568" s="1" t="str">
        <f t="shared" si="522"/>
        <v>Seattle</v>
      </c>
      <c r="Q568" s="1" t="s">
        <v>81</v>
      </c>
      <c r="R568" s="1" t="str">
        <f t="shared" si="523"/>
        <v>Washington</v>
      </c>
      <c r="S568" s="1">
        <v>98105</v>
      </c>
      <c r="T568" s="1" t="s">
        <v>44</v>
      </c>
      <c r="U568" s="1" t="s">
        <v>1567</v>
      </c>
      <c r="V568" s="1" t="s">
        <v>46</v>
      </c>
      <c r="W568" s="7">
        <v>91.84</v>
      </c>
      <c r="X568" s="1">
        <v>9</v>
      </c>
      <c r="Y568" s="7">
        <v>91.28</v>
      </c>
      <c r="Z568" s="7">
        <f t="shared" ref="Z568:AA568" si="581">W568*X568</f>
        <v>826.56000000000006</v>
      </c>
      <c r="AA568" s="7">
        <f t="shared" si="581"/>
        <v>821.52</v>
      </c>
      <c r="AB568" s="7">
        <f t="shared" si="525"/>
        <v>5.0400000000000773</v>
      </c>
    </row>
    <row r="569" spans="1:28">
      <c r="A569" s="1">
        <v>568</v>
      </c>
      <c r="B569" s="1" t="s">
        <v>1564</v>
      </c>
      <c r="C569" s="2">
        <v>43110</v>
      </c>
      <c r="D569" s="6" t="str">
        <f t="shared" si="520"/>
        <v>Jan</v>
      </c>
      <c r="E569" s="6" t="str">
        <f t="shared" si="521"/>
        <v>Qtr 1</v>
      </c>
      <c r="F569" s="5">
        <v>43322</v>
      </c>
      <c r="G569" s="1" t="s">
        <v>49</v>
      </c>
      <c r="H569" s="1" t="s">
        <v>1565</v>
      </c>
      <c r="I569" s="1" t="s">
        <v>1566</v>
      </c>
      <c r="J569" s="1" t="str">
        <f ca="1">IFERROR(__xludf.DUMMYFUNCTION("split(I569,"" "")"),"Ellis")</f>
        <v>Ellis</v>
      </c>
      <c r="K569" s="1" t="str">
        <f ca="1">IFERROR(__xludf.DUMMYFUNCTION("""COMPUTED_VALUE"""),"Ballard")</f>
        <v>Ballard</v>
      </c>
      <c r="L569" s="1"/>
      <c r="M569" s="1" t="s">
        <v>41</v>
      </c>
      <c r="N569" s="1" t="s">
        <v>30</v>
      </c>
      <c r="O569" s="1" t="s">
        <v>80</v>
      </c>
      <c r="P569" s="1" t="str">
        <f t="shared" si="522"/>
        <v>Seattle</v>
      </c>
      <c r="Q569" s="1" t="s">
        <v>81</v>
      </c>
      <c r="R569" s="1" t="str">
        <f t="shared" si="523"/>
        <v>Washington</v>
      </c>
      <c r="S569" s="1">
        <v>98105</v>
      </c>
      <c r="T569" s="1" t="s">
        <v>44</v>
      </c>
      <c r="U569" s="1" t="s">
        <v>1568</v>
      </c>
      <c r="V569" s="1" t="s">
        <v>46</v>
      </c>
      <c r="W569" s="7">
        <v>81.087999999999994</v>
      </c>
      <c r="X569" s="1">
        <v>9</v>
      </c>
      <c r="Y569" s="7">
        <v>80.34</v>
      </c>
      <c r="Z569" s="7">
        <f t="shared" ref="Z569:AA569" si="582">W569*X569</f>
        <v>729.79199999999992</v>
      </c>
      <c r="AA569" s="7">
        <f t="shared" si="582"/>
        <v>723.06000000000006</v>
      </c>
      <c r="AB569" s="7">
        <f t="shared" si="525"/>
        <v>6.7319999999998572</v>
      </c>
    </row>
    <row r="570" spans="1:28">
      <c r="A570" s="1">
        <v>569</v>
      </c>
      <c r="B570" s="1" t="s">
        <v>1564</v>
      </c>
      <c r="C570" s="2">
        <v>43110</v>
      </c>
      <c r="D570" s="6" t="str">
        <f t="shared" si="520"/>
        <v>Jan</v>
      </c>
      <c r="E570" s="6" t="str">
        <f t="shared" si="521"/>
        <v>Qtr 1</v>
      </c>
      <c r="F570" s="5">
        <v>43322</v>
      </c>
      <c r="G570" s="1" t="s">
        <v>49</v>
      </c>
      <c r="H570" s="1" t="s">
        <v>1565</v>
      </c>
      <c r="I570" s="1" t="s">
        <v>1566</v>
      </c>
      <c r="J570" s="1" t="str">
        <f ca="1">IFERROR(__xludf.DUMMYFUNCTION("split(I570,"" "")"),"Ellis")</f>
        <v>Ellis</v>
      </c>
      <c r="K570" s="1" t="str">
        <f ca="1">IFERROR(__xludf.DUMMYFUNCTION("""COMPUTED_VALUE"""),"Ballard")</f>
        <v>Ballard</v>
      </c>
      <c r="L570" s="1"/>
      <c r="M570" s="1" t="s">
        <v>41</v>
      </c>
      <c r="N570" s="1" t="s">
        <v>30</v>
      </c>
      <c r="O570" s="1" t="s">
        <v>80</v>
      </c>
      <c r="P570" s="1" t="str">
        <f t="shared" si="522"/>
        <v>Seattle</v>
      </c>
      <c r="Q570" s="1" t="s">
        <v>81</v>
      </c>
      <c r="R570" s="1" t="str">
        <f t="shared" si="523"/>
        <v>Washington</v>
      </c>
      <c r="S570" s="1">
        <v>98105</v>
      </c>
      <c r="T570" s="1" t="s">
        <v>44</v>
      </c>
      <c r="U570" s="1" t="s">
        <v>1569</v>
      </c>
      <c r="V570" s="1" t="s">
        <v>46</v>
      </c>
      <c r="W570" s="7">
        <v>19.440000000000001</v>
      </c>
      <c r="X570" s="1">
        <v>9</v>
      </c>
      <c r="Y570" s="7">
        <v>19.239999999999998</v>
      </c>
      <c r="Z570" s="7">
        <f t="shared" ref="Z570:AA570" si="583">W570*X570</f>
        <v>174.96</v>
      </c>
      <c r="AA570" s="7">
        <f t="shared" si="583"/>
        <v>173.16</v>
      </c>
      <c r="AB570" s="7">
        <f t="shared" si="525"/>
        <v>1.8000000000000114</v>
      </c>
    </row>
    <row r="571" spans="1:28">
      <c r="A571" s="1">
        <v>570</v>
      </c>
      <c r="B571" s="1" t="s">
        <v>1564</v>
      </c>
      <c r="C571" s="2">
        <v>43110</v>
      </c>
      <c r="D571" s="6" t="str">
        <f t="shared" si="520"/>
        <v>Jan</v>
      </c>
      <c r="E571" s="6" t="str">
        <f t="shared" si="521"/>
        <v>Qtr 1</v>
      </c>
      <c r="F571" s="5">
        <v>43322</v>
      </c>
      <c r="G571" s="1" t="s">
        <v>49</v>
      </c>
      <c r="H571" s="1" t="s">
        <v>1565</v>
      </c>
      <c r="I571" s="1" t="s">
        <v>1566</v>
      </c>
      <c r="J571" s="1" t="str">
        <f ca="1">IFERROR(__xludf.DUMMYFUNCTION("split(I571,"" "")"),"Ellis")</f>
        <v>Ellis</v>
      </c>
      <c r="K571" s="1" t="str">
        <f ca="1">IFERROR(__xludf.DUMMYFUNCTION("""COMPUTED_VALUE"""),"Ballard")</f>
        <v>Ballard</v>
      </c>
      <c r="L571" s="1"/>
      <c r="M571" s="1" t="s">
        <v>41</v>
      </c>
      <c r="N571" s="1" t="s">
        <v>30</v>
      </c>
      <c r="O571" s="1" t="s">
        <v>80</v>
      </c>
      <c r="P571" s="1" t="str">
        <f t="shared" si="522"/>
        <v>Seattle</v>
      </c>
      <c r="Q571" s="1" t="s">
        <v>81</v>
      </c>
      <c r="R571" s="1" t="str">
        <f t="shared" si="523"/>
        <v>Washington</v>
      </c>
      <c r="S571" s="1">
        <v>98105</v>
      </c>
      <c r="T571" s="1" t="s">
        <v>44</v>
      </c>
      <c r="U571" s="1" t="s">
        <v>1570</v>
      </c>
      <c r="V571" s="1" t="s">
        <v>35</v>
      </c>
      <c r="W571" s="7">
        <v>451.15199999999999</v>
      </c>
      <c r="X571" s="1">
        <v>9</v>
      </c>
      <c r="Y571" s="7">
        <v>450.79</v>
      </c>
      <c r="Z571" s="7">
        <f t="shared" ref="Z571:AA571" si="584">W571*X571</f>
        <v>4060.3679999999999</v>
      </c>
      <c r="AA571" s="7">
        <f t="shared" si="584"/>
        <v>4057.11</v>
      </c>
      <c r="AB571" s="7">
        <f t="shared" si="525"/>
        <v>3.2579999999998108</v>
      </c>
    </row>
    <row r="572" spans="1:28">
      <c r="A572" s="1">
        <v>571</v>
      </c>
      <c r="B572" s="1" t="s">
        <v>1571</v>
      </c>
      <c r="C572" s="2">
        <v>43462</v>
      </c>
      <c r="D572" s="6" t="str">
        <f t="shared" si="520"/>
        <v>Dec</v>
      </c>
      <c r="E572" s="6" t="str">
        <f t="shared" si="521"/>
        <v>Qtr 4</v>
      </c>
      <c r="F572" s="5">
        <v>43556</v>
      </c>
      <c r="G572" s="1" t="s">
        <v>49</v>
      </c>
      <c r="H572" s="1" t="s">
        <v>1572</v>
      </c>
      <c r="I572" s="1" t="s">
        <v>1573</v>
      </c>
      <c r="J572" s="1" t="str">
        <f ca="1">IFERROR(__xludf.DUMMYFUNCTION("split(I572,"" "")"),"Jennifer")</f>
        <v>Jennifer</v>
      </c>
      <c r="K572" s="1" t="str">
        <f ca="1">IFERROR(__xludf.DUMMYFUNCTION("""COMPUTED_VALUE"""),"Ferguson")</f>
        <v>Ferguson</v>
      </c>
      <c r="L572" s="1"/>
      <c r="M572" s="1" t="s">
        <v>29</v>
      </c>
      <c r="N572" s="1" t="s">
        <v>30</v>
      </c>
      <c r="O572" s="1" t="s">
        <v>233</v>
      </c>
      <c r="P572" s="1" t="str">
        <f t="shared" si="522"/>
        <v>New York City</v>
      </c>
      <c r="Q572" s="1" t="s">
        <v>234</v>
      </c>
      <c r="R572" s="1" t="str">
        <f t="shared" si="523"/>
        <v>New York</v>
      </c>
      <c r="S572" s="1">
        <v>10024</v>
      </c>
      <c r="T572" s="1" t="s">
        <v>128</v>
      </c>
      <c r="U572" s="1" t="s">
        <v>1543</v>
      </c>
      <c r="V572" s="1" t="s">
        <v>46</v>
      </c>
      <c r="W572" s="7">
        <v>72.45</v>
      </c>
      <c r="X572" s="1">
        <v>1</v>
      </c>
      <c r="Y572" s="7">
        <v>71.959999999999994</v>
      </c>
      <c r="Z572" s="7">
        <f t="shared" ref="Z572:AA572" si="585">W572*X572</f>
        <v>72.45</v>
      </c>
      <c r="AA572" s="7">
        <f t="shared" si="585"/>
        <v>71.959999999999994</v>
      </c>
      <c r="AB572" s="7">
        <f t="shared" si="525"/>
        <v>0.49000000000000909</v>
      </c>
    </row>
    <row r="573" spans="1:28">
      <c r="A573" s="1">
        <v>572</v>
      </c>
      <c r="B573" s="1" t="s">
        <v>1571</v>
      </c>
      <c r="C573" s="2">
        <v>43462</v>
      </c>
      <c r="D573" s="6" t="str">
        <f t="shared" si="520"/>
        <v>Dec</v>
      </c>
      <c r="E573" s="6" t="str">
        <f t="shared" si="521"/>
        <v>Qtr 4</v>
      </c>
      <c r="F573" s="5">
        <v>43556</v>
      </c>
      <c r="G573" s="1" t="s">
        <v>49</v>
      </c>
      <c r="H573" s="1" t="s">
        <v>1572</v>
      </c>
      <c r="I573" s="1" t="s">
        <v>1573</v>
      </c>
      <c r="J573" s="1" t="str">
        <f ca="1">IFERROR(__xludf.DUMMYFUNCTION("split(I573,"" "")"),"Jennifer")</f>
        <v>Jennifer</v>
      </c>
      <c r="K573" s="1" t="str">
        <f ca="1">IFERROR(__xludf.DUMMYFUNCTION("""COMPUTED_VALUE"""),"Ferguson")</f>
        <v>Ferguson</v>
      </c>
      <c r="L573" s="1"/>
      <c r="M573" s="1" t="s">
        <v>29</v>
      </c>
      <c r="N573" s="1" t="s">
        <v>30</v>
      </c>
      <c r="O573" s="1" t="s">
        <v>233</v>
      </c>
      <c r="P573" s="1" t="str">
        <f t="shared" si="522"/>
        <v>New York City</v>
      </c>
      <c r="Q573" s="1" t="s">
        <v>234</v>
      </c>
      <c r="R573" s="1" t="str">
        <f t="shared" si="523"/>
        <v>New York</v>
      </c>
      <c r="S573" s="1">
        <v>10024</v>
      </c>
      <c r="T573" s="1" t="s">
        <v>128</v>
      </c>
      <c r="U573" s="1" t="s">
        <v>719</v>
      </c>
      <c r="V573" s="1" t="s">
        <v>46</v>
      </c>
      <c r="W573" s="7">
        <v>13.96</v>
      </c>
      <c r="X573" s="1">
        <v>1</v>
      </c>
      <c r="Y573" s="7">
        <v>13.67</v>
      </c>
      <c r="Z573" s="7">
        <f t="shared" ref="Z573:AA573" si="586">W573*X573</f>
        <v>13.96</v>
      </c>
      <c r="AA573" s="7">
        <f t="shared" si="586"/>
        <v>13.67</v>
      </c>
      <c r="AB573" s="7">
        <f t="shared" si="525"/>
        <v>0.29000000000000092</v>
      </c>
    </row>
    <row r="574" spans="1:28">
      <c r="A574" s="1">
        <v>573</v>
      </c>
      <c r="B574" s="1" t="s">
        <v>1571</v>
      </c>
      <c r="C574" s="2">
        <v>43462</v>
      </c>
      <c r="D574" s="6" t="str">
        <f t="shared" si="520"/>
        <v>Dec</v>
      </c>
      <c r="E574" s="6" t="str">
        <f t="shared" si="521"/>
        <v>Qtr 4</v>
      </c>
      <c r="F574" s="5">
        <v>43556</v>
      </c>
      <c r="G574" s="1" t="s">
        <v>49</v>
      </c>
      <c r="H574" s="1" t="s">
        <v>1572</v>
      </c>
      <c r="I574" s="1" t="s">
        <v>1573</v>
      </c>
      <c r="J574" s="1" t="str">
        <f ca="1">IFERROR(__xludf.DUMMYFUNCTION("split(I574,"" "")"),"Jennifer")</f>
        <v>Jennifer</v>
      </c>
      <c r="K574" s="1" t="str">
        <f ca="1">IFERROR(__xludf.DUMMYFUNCTION("""COMPUTED_VALUE"""),"Ferguson")</f>
        <v>Ferguson</v>
      </c>
      <c r="L574" s="1"/>
      <c r="M574" s="1" t="s">
        <v>29</v>
      </c>
      <c r="N574" s="1" t="s">
        <v>30</v>
      </c>
      <c r="O574" s="1" t="s">
        <v>233</v>
      </c>
      <c r="P574" s="1" t="str">
        <f t="shared" si="522"/>
        <v>New York City</v>
      </c>
      <c r="Q574" s="1" t="s">
        <v>234</v>
      </c>
      <c r="R574" s="1" t="str">
        <f t="shared" si="523"/>
        <v>New York</v>
      </c>
      <c r="S574" s="1">
        <v>10024</v>
      </c>
      <c r="T574" s="1" t="s">
        <v>128</v>
      </c>
      <c r="U574" s="1" t="s">
        <v>986</v>
      </c>
      <c r="V574" s="1" t="s">
        <v>46</v>
      </c>
      <c r="W574" s="7">
        <v>33.264000000000003</v>
      </c>
      <c r="X574" s="1">
        <v>1</v>
      </c>
      <c r="Y574" s="7">
        <v>32.56</v>
      </c>
      <c r="Z574" s="7">
        <f t="shared" ref="Z574:AA574" si="587">W574*X574</f>
        <v>33.264000000000003</v>
      </c>
      <c r="AA574" s="7">
        <f t="shared" si="587"/>
        <v>32.56</v>
      </c>
      <c r="AB574" s="7">
        <f t="shared" si="525"/>
        <v>0.70400000000000063</v>
      </c>
    </row>
    <row r="575" spans="1:28">
      <c r="A575" s="1">
        <v>574</v>
      </c>
      <c r="B575" s="1" t="s">
        <v>1571</v>
      </c>
      <c r="C575" s="2">
        <v>43462</v>
      </c>
      <c r="D575" s="6" t="str">
        <f t="shared" si="520"/>
        <v>Dec</v>
      </c>
      <c r="E575" s="6" t="str">
        <f t="shared" si="521"/>
        <v>Qtr 4</v>
      </c>
      <c r="F575" s="5">
        <v>43556</v>
      </c>
      <c r="G575" s="1" t="s">
        <v>49</v>
      </c>
      <c r="H575" s="1" t="s">
        <v>1572</v>
      </c>
      <c r="I575" s="1" t="s">
        <v>1573</v>
      </c>
      <c r="J575" s="1" t="str">
        <f ca="1">IFERROR(__xludf.DUMMYFUNCTION("split(I575,"" "")"),"Jennifer")</f>
        <v>Jennifer</v>
      </c>
      <c r="K575" s="1" t="str">
        <f ca="1">IFERROR(__xludf.DUMMYFUNCTION("""COMPUTED_VALUE"""),"Ferguson")</f>
        <v>Ferguson</v>
      </c>
      <c r="L575" s="1"/>
      <c r="M575" s="1" t="s">
        <v>29</v>
      </c>
      <c r="N575" s="1" t="s">
        <v>30</v>
      </c>
      <c r="O575" s="1" t="s">
        <v>233</v>
      </c>
      <c r="P575" s="1" t="str">
        <f t="shared" si="522"/>
        <v>New York City</v>
      </c>
      <c r="Q575" s="1" t="s">
        <v>234</v>
      </c>
      <c r="R575" s="1" t="str">
        <f t="shared" si="523"/>
        <v>New York</v>
      </c>
      <c r="S575" s="1">
        <v>10024</v>
      </c>
      <c r="T575" s="1" t="s">
        <v>128</v>
      </c>
      <c r="U575" s="1" t="s">
        <v>1574</v>
      </c>
      <c r="V575" s="1" t="s">
        <v>64</v>
      </c>
      <c r="W575" s="7">
        <v>14.85</v>
      </c>
      <c r="X575" s="1">
        <v>1</v>
      </c>
      <c r="Y575" s="7">
        <v>14.03</v>
      </c>
      <c r="Z575" s="7">
        <f t="shared" ref="Z575:AA575" si="588">W575*X575</f>
        <v>14.85</v>
      </c>
      <c r="AA575" s="7">
        <f t="shared" si="588"/>
        <v>14.03</v>
      </c>
      <c r="AB575" s="7">
        <f t="shared" si="525"/>
        <v>0.82000000000000028</v>
      </c>
    </row>
    <row r="576" spans="1:28">
      <c r="A576" s="1">
        <v>575</v>
      </c>
      <c r="B576" s="1" t="s">
        <v>1575</v>
      </c>
      <c r="C576" s="2">
        <v>42805</v>
      </c>
      <c r="D576" s="6" t="str">
        <f t="shared" si="520"/>
        <v>Mar</v>
      </c>
      <c r="E576" s="6" t="str">
        <f t="shared" si="521"/>
        <v>Qtr 1</v>
      </c>
      <c r="F576" s="5">
        <v>42927</v>
      </c>
      <c r="G576" s="1" t="s">
        <v>49</v>
      </c>
      <c r="H576" s="1" t="s">
        <v>1576</v>
      </c>
      <c r="I576" s="1" t="s">
        <v>1577</v>
      </c>
      <c r="J576" s="1" t="str">
        <f ca="1">IFERROR(__xludf.DUMMYFUNCTION("split(I576,"" "")"),"Sarah")</f>
        <v>Sarah</v>
      </c>
      <c r="K576" s="1" t="str">
        <f ca="1">IFERROR(__xludf.DUMMYFUNCTION("""COMPUTED_VALUE"""),"Foster")</f>
        <v>Foster</v>
      </c>
      <c r="L576" s="1"/>
      <c r="M576" s="1" t="s">
        <v>29</v>
      </c>
      <c r="N576" s="1" t="s">
        <v>30</v>
      </c>
      <c r="O576" s="1" t="s">
        <v>1578</v>
      </c>
      <c r="P576" s="1" t="str">
        <f t="shared" si="522"/>
        <v>Marysville</v>
      </c>
      <c r="Q576" s="1" t="s">
        <v>81</v>
      </c>
      <c r="R576" s="1" t="str">
        <f t="shared" si="523"/>
        <v>Washington</v>
      </c>
      <c r="S576" s="1">
        <v>98270</v>
      </c>
      <c r="T576" s="1" t="s">
        <v>44</v>
      </c>
      <c r="U576" s="1" t="s">
        <v>1579</v>
      </c>
      <c r="V576" s="1" t="s">
        <v>46</v>
      </c>
      <c r="W576" s="7">
        <v>8.82</v>
      </c>
      <c r="X576" s="1">
        <v>9</v>
      </c>
      <c r="Y576" s="7">
        <v>7.93</v>
      </c>
      <c r="Z576" s="7">
        <f t="shared" ref="Z576:AA576" si="589">W576*X576</f>
        <v>79.38</v>
      </c>
      <c r="AA576" s="7">
        <f t="shared" si="589"/>
        <v>71.37</v>
      </c>
      <c r="AB576" s="7">
        <f t="shared" si="525"/>
        <v>8.0099999999999909</v>
      </c>
    </row>
    <row r="577" spans="1:28">
      <c r="A577" s="1">
        <v>576</v>
      </c>
      <c r="B577" s="1" t="s">
        <v>1580</v>
      </c>
      <c r="C577" s="2">
        <v>42631</v>
      </c>
      <c r="D577" s="6" t="str">
        <f t="shared" si="520"/>
        <v>Sep</v>
      </c>
      <c r="E577" s="6" t="str">
        <f t="shared" si="521"/>
        <v>Qtr 3</v>
      </c>
      <c r="F577" s="5" t="s">
        <v>1581</v>
      </c>
      <c r="G577" s="1" t="s">
        <v>26</v>
      </c>
      <c r="H577" s="1" t="s">
        <v>1582</v>
      </c>
      <c r="I577" s="1" t="s">
        <v>1583</v>
      </c>
      <c r="J577" s="1" t="str">
        <f ca="1">IFERROR(__xludf.DUMMYFUNCTION("split(I577,"" "")"),"Trudy")</f>
        <v>Trudy</v>
      </c>
      <c r="K577" s="1" t="str">
        <f ca="1">IFERROR(__xludf.DUMMYFUNCTION("""COMPUTED_VALUE"""),"Glocke")</f>
        <v>Glocke</v>
      </c>
      <c r="L577" s="1"/>
      <c r="M577" s="1" t="s">
        <v>29</v>
      </c>
      <c r="N577" s="1" t="s">
        <v>30</v>
      </c>
      <c r="O577" s="1" t="s">
        <v>955</v>
      </c>
      <c r="P577" s="1" t="str">
        <f t="shared" si="522"/>
        <v>Long Beach</v>
      </c>
      <c r="Q577" s="1" t="s">
        <v>68</v>
      </c>
      <c r="R577" s="1" t="str">
        <f t="shared" si="523"/>
        <v>California</v>
      </c>
      <c r="S577" s="1">
        <v>90805</v>
      </c>
      <c r="T577" s="1" t="s">
        <v>44</v>
      </c>
      <c r="U577" s="1" t="s">
        <v>1567</v>
      </c>
      <c r="V577" s="1" t="s">
        <v>46</v>
      </c>
      <c r="W577" s="7">
        <v>160.72</v>
      </c>
      <c r="X577" s="1">
        <v>9</v>
      </c>
      <c r="Y577" s="7">
        <v>160.1</v>
      </c>
      <c r="Z577" s="7">
        <f t="shared" ref="Z577:AA577" si="590">W577*X577</f>
        <v>1446.48</v>
      </c>
      <c r="AA577" s="7">
        <f t="shared" si="590"/>
        <v>1440.8999999999999</v>
      </c>
      <c r="AB577" s="7">
        <f t="shared" si="525"/>
        <v>5.5800000000001546</v>
      </c>
    </row>
    <row r="578" spans="1:28">
      <c r="A578" s="1">
        <v>577</v>
      </c>
      <c r="B578" s="1" t="s">
        <v>1580</v>
      </c>
      <c r="C578" s="2">
        <v>42631</v>
      </c>
      <c r="D578" s="6" t="str">
        <f t="shared" si="520"/>
        <v>Sep</v>
      </c>
      <c r="E578" s="6" t="str">
        <f t="shared" si="521"/>
        <v>Qtr 3</v>
      </c>
      <c r="F578" s="5" t="s">
        <v>1581</v>
      </c>
      <c r="G578" s="1" t="s">
        <v>26</v>
      </c>
      <c r="H578" s="1" t="s">
        <v>1582</v>
      </c>
      <c r="I578" s="1" t="s">
        <v>1583</v>
      </c>
      <c r="J578" s="1" t="str">
        <f ca="1">IFERROR(__xludf.DUMMYFUNCTION("split(I578,"" "")"),"Trudy")</f>
        <v>Trudy</v>
      </c>
      <c r="K578" s="1" t="str">
        <f ca="1">IFERROR(__xludf.DUMMYFUNCTION("""COMPUTED_VALUE"""),"Glocke")</f>
        <v>Glocke</v>
      </c>
      <c r="L578" s="1"/>
      <c r="M578" s="1" t="s">
        <v>29</v>
      </c>
      <c r="N578" s="1" t="s">
        <v>30</v>
      </c>
      <c r="O578" s="1" t="s">
        <v>955</v>
      </c>
      <c r="P578" s="1" t="str">
        <f t="shared" si="522"/>
        <v>Long Beach</v>
      </c>
      <c r="Q578" s="1" t="s">
        <v>68</v>
      </c>
      <c r="R578" s="1" t="str">
        <f t="shared" si="523"/>
        <v>California</v>
      </c>
      <c r="S578" s="1">
        <v>90805</v>
      </c>
      <c r="T578" s="1" t="s">
        <v>44</v>
      </c>
      <c r="U578" s="1" t="s">
        <v>1584</v>
      </c>
      <c r="V578" s="1" t="s">
        <v>46</v>
      </c>
      <c r="W578" s="7">
        <v>19.920000000000002</v>
      </c>
      <c r="X578" s="1">
        <v>9</v>
      </c>
      <c r="Y578" s="7">
        <v>19.399999999999999</v>
      </c>
      <c r="Z578" s="7">
        <f t="shared" ref="Z578:AA578" si="591">W578*X578</f>
        <v>179.28000000000003</v>
      </c>
      <c r="AA578" s="7">
        <f t="shared" si="591"/>
        <v>174.6</v>
      </c>
      <c r="AB578" s="7">
        <f t="shared" si="525"/>
        <v>4.6800000000000352</v>
      </c>
    </row>
    <row r="579" spans="1:28">
      <c r="A579" s="1">
        <v>578</v>
      </c>
      <c r="B579" s="1" t="s">
        <v>1580</v>
      </c>
      <c r="C579" s="2">
        <v>42631</v>
      </c>
      <c r="D579" s="6" t="str">
        <f t="shared" si="520"/>
        <v>Sep</v>
      </c>
      <c r="E579" s="6" t="str">
        <f t="shared" si="521"/>
        <v>Qtr 3</v>
      </c>
      <c r="F579" s="5" t="s">
        <v>1581</v>
      </c>
      <c r="G579" s="1" t="s">
        <v>26</v>
      </c>
      <c r="H579" s="1" t="s">
        <v>1582</v>
      </c>
      <c r="I579" s="1" t="s">
        <v>1583</v>
      </c>
      <c r="J579" s="1" t="str">
        <f ca="1">IFERROR(__xludf.DUMMYFUNCTION("split(I579,"" "")"),"Trudy")</f>
        <v>Trudy</v>
      </c>
      <c r="K579" s="1" t="str">
        <f ca="1">IFERROR(__xludf.DUMMYFUNCTION("""COMPUTED_VALUE"""),"Glocke")</f>
        <v>Glocke</v>
      </c>
      <c r="L579" s="1"/>
      <c r="M579" s="1" t="s">
        <v>29</v>
      </c>
      <c r="N579" s="1" t="s">
        <v>30</v>
      </c>
      <c r="O579" s="1" t="s">
        <v>955</v>
      </c>
      <c r="P579" s="1" t="str">
        <f t="shared" si="522"/>
        <v>Long Beach</v>
      </c>
      <c r="Q579" s="1" t="s">
        <v>68</v>
      </c>
      <c r="R579" s="1" t="str">
        <f t="shared" si="523"/>
        <v>California</v>
      </c>
      <c r="S579" s="1">
        <v>90805</v>
      </c>
      <c r="T579" s="1" t="s">
        <v>44</v>
      </c>
      <c r="U579" s="1" t="s">
        <v>1585</v>
      </c>
      <c r="V579" s="1" t="s">
        <v>46</v>
      </c>
      <c r="W579" s="7">
        <v>7.3</v>
      </c>
      <c r="X579" s="1">
        <v>9</v>
      </c>
      <c r="Y579" s="7">
        <v>6.4</v>
      </c>
      <c r="Z579" s="7">
        <f t="shared" ref="Z579:AA579" si="592">W579*X579</f>
        <v>65.7</v>
      </c>
      <c r="AA579" s="7">
        <f t="shared" si="592"/>
        <v>57.6</v>
      </c>
      <c r="AB579" s="7">
        <f t="shared" si="525"/>
        <v>8.1000000000000014</v>
      </c>
    </row>
    <row r="580" spans="1:28">
      <c r="A580" s="1">
        <v>579</v>
      </c>
      <c r="B580" s="1" t="s">
        <v>1586</v>
      </c>
      <c r="C580" s="2">
        <v>43301</v>
      </c>
      <c r="D580" s="6" t="str">
        <f t="shared" si="520"/>
        <v>Jul</v>
      </c>
      <c r="E580" s="6" t="str">
        <f t="shared" si="521"/>
        <v>Qtr 3</v>
      </c>
      <c r="F580" s="5" t="s">
        <v>1587</v>
      </c>
      <c r="G580" s="1" t="s">
        <v>49</v>
      </c>
      <c r="H580" s="1" t="s">
        <v>1588</v>
      </c>
      <c r="I580" s="1" t="s">
        <v>1589</v>
      </c>
      <c r="J580" s="1" t="str">
        <f ca="1">IFERROR(__xludf.DUMMYFUNCTION("split(I580,"" "")"),"Carlos")</f>
        <v>Carlos</v>
      </c>
      <c r="K580" s="1" t="str">
        <f ca="1">IFERROR(__xludf.DUMMYFUNCTION("""COMPUTED_VALUE"""),"Soltero")</f>
        <v>Soltero</v>
      </c>
      <c r="L580" s="1"/>
      <c r="M580" s="1" t="s">
        <v>29</v>
      </c>
      <c r="N580" s="1" t="s">
        <v>30</v>
      </c>
      <c r="O580" s="1" t="s">
        <v>259</v>
      </c>
      <c r="P580" s="1" t="str">
        <f t="shared" si="522"/>
        <v>Chicago</v>
      </c>
      <c r="Q580" s="1" t="s">
        <v>182</v>
      </c>
      <c r="R580" s="1" t="str">
        <f t="shared" si="523"/>
        <v>Illinois</v>
      </c>
      <c r="S580" s="1">
        <v>60610</v>
      </c>
      <c r="T580" s="1" t="s">
        <v>90</v>
      </c>
      <c r="U580" s="1" t="s">
        <v>459</v>
      </c>
      <c r="V580" s="1" t="s">
        <v>46</v>
      </c>
      <c r="W580" s="7">
        <v>69.712000000000003</v>
      </c>
      <c r="X580" s="1">
        <v>6</v>
      </c>
      <c r="Y580" s="7">
        <v>69.08</v>
      </c>
      <c r="Z580" s="7">
        <f t="shared" ref="Z580:AA580" si="593">W580*X580</f>
        <v>418.27200000000005</v>
      </c>
      <c r="AA580" s="7">
        <f t="shared" si="593"/>
        <v>414.48</v>
      </c>
      <c r="AB580" s="7">
        <f t="shared" si="525"/>
        <v>3.79200000000003</v>
      </c>
    </row>
    <row r="581" spans="1:28">
      <c r="A581" s="1">
        <v>580</v>
      </c>
      <c r="B581" s="1" t="s">
        <v>1586</v>
      </c>
      <c r="C581" s="2">
        <v>43301</v>
      </c>
      <c r="D581" s="6" t="str">
        <f t="shared" si="520"/>
        <v>Jul</v>
      </c>
      <c r="E581" s="6" t="str">
        <f t="shared" si="521"/>
        <v>Qtr 3</v>
      </c>
      <c r="F581" s="5" t="s">
        <v>1587</v>
      </c>
      <c r="G581" s="1" t="s">
        <v>49</v>
      </c>
      <c r="H581" s="1" t="s">
        <v>1588</v>
      </c>
      <c r="I581" s="1" t="s">
        <v>1589</v>
      </c>
      <c r="J581" s="1" t="str">
        <f ca="1">IFERROR(__xludf.DUMMYFUNCTION("split(I581,"" "")"),"Carlos")</f>
        <v>Carlos</v>
      </c>
      <c r="K581" s="1" t="str">
        <f ca="1">IFERROR(__xludf.DUMMYFUNCTION("""COMPUTED_VALUE"""),"Soltero")</f>
        <v>Soltero</v>
      </c>
      <c r="L581" s="1"/>
      <c r="M581" s="1" t="s">
        <v>29</v>
      </c>
      <c r="N581" s="1" t="s">
        <v>30</v>
      </c>
      <c r="O581" s="1" t="s">
        <v>259</v>
      </c>
      <c r="P581" s="1" t="str">
        <f t="shared" si="522"/>
        <v>Chicago</v>
      </c>
      <c r="Q581" s="1" t="s">
        <v>182</v>
      </c>
      <c r="R581" s="1" t="str">
        <f t="shared" si="523"/>
        <v>Illinois</v>
      </c>
      <c r="S581" s="1">
        <v>60610</v>
      </c>
      <c r="T581" s="1" t="s">
        <v>90</v>
      </c>
      <c r="U581" s="1" t="s">
        <v>1590</v>
      </c>
      <c r="V581" s="1" t="s">
        <v>35</v>
      </c>
      <c r="W581" s="7">
        <v>8.7919999999999998</v>
      </c>
      <c r="X581" s="1">
        <v>6</v>
      </c>
      <c r="Y581" s="7">
        <v>8.0399999999999991</v>
      </c>
      <c r="Z581" s="7">
        <f t="shared" ref="Z581:AA581" si="594">W581*X581</f>
        <v>52.751999999999995</v>
      </c>
      <c r="AA581" s="7">
        <f t="shared" si="594"/>
        <v>48.239999999999995</v>
      </c>
      <c r="AB581" s="7">
        <f t="shared" si="525"/>
        <v>4.5120000000000005</v>
      </c>
    </row>
    <row r="582" spans="1:28">
      <c r="A582" s="1">
        <v>581</v>
      </c>
      <c r="B582" s="1" t="s">
        <v>1591</v>
      </c>
      <c r="C582" s="2">
        <v>42652</v>
      </c>
      <c r="D582" s="6" t="str">
        <f t="shared" si="520"/>
        <v>Oct</v>
      </c>
      <c r="E582" s="6" t="str">
        <f t="shared" si="521"/>
        <v>Qtr 4</v>
      </c>
      <c r="F582" s="5" t="s">
        <v>1592</v>
      </c>
      <c r="G582" s="1" t="s">
        <v>49</v>
      </c>
      <c r="H582" s="1" t="s">
        <v>1593</v>
      </c>
      <c r="I582" s="1" t="s">
        <v>1594</v>
      </c>
      <c r="J582" s="1" t="str">
        <f ca="1">IFERROR(__xludf.DUMMYFUNCTION("split(I582,"" "")"),"Charles")</f>
        <v>Charles</v>
      </c>
      <c r="K582" s="1" t="str">
        <f ca="1">IFERROR(__xludf.DUMMYFUNCTION("""COMPUTED_VALUE"""),"Crestani")</f>
        <v>Crestani</v>
      </c>
      <c r="L582" s="1"/>
      <c r="M582" s="1" t="s">
        <v>29</v>
      </c>
      <c r="N582" s="1" t="s">
        <v>30</v>
      </c>
      <c r="O582" s="1" t="s">
        <v>42</v>
      </c>
      <c r="P582" s="1" t="str">
        <f t="shared" si="522"/>
        <v>Los Angeles</v>
      </c>
      <c r="Q582" s="1" t="s">
        <v>68</v>
      </c>
      <c r="R582" s="1" t="str">
        <f t="shared" si="523"/>
        <v>California</v>
      </c>
      <c r="S582" s="1">
        <v>90004</v>
      </c>
      <c r="T582" s="1" t="s">
        <v>44</v>
      </c>
      <c r="U582" s="1" t="s">
        <v>1595</v>
      </c>
      <c r="V582" s="1" t="s">
        <v>46</v>
      </c>
      <c r="W582" s="7">
        <v>51.52</v>
      </c>
      <c r="X582" s="1">
        <v>9</v>
      </c>
      <c r="Y582" s="7">
        <v>50.87</v>
      </c>
      <c r="Z582" s="7">
        <f t="shared" ref="Z582:AA582" si="595">W582*X582</f>
        <v>463.68</v>
      </c>
      <c r="AA582" s="7">
        <f t="shared" si="595"/>
        <v>457.83</v>
      </c>
      <c r="AB582" s="7">
        <f t="shared" si="525"/>
        <v>5.8500000000000227</v>
      </c>
    </row>
    <row r="583" spans="1:28">
      <c r="A583" s="1">
        <v>582</v>
      </c>
      <c r="B583" s="1" t="s">
        <v>1596</v>
      </c>
      <c r="C583" s="2">
        <v>43112</v>
      </c>
      <c r="D583" s="6" t="str">
        <f t="shared" si="520"/>
        <v>Jan</v>
      </c>
      <c r="E583" s="6" t="str">
        <f t="shared" si="521"/>
        <v>Qtr 1</v>
      </c>
      <c r="F583" s="5">
        <v>43232</v>
      </c>
      <c r="G583" s="1" t="s">
        <v>49</v>
      </c>
      <c r="H583" s="1" t="s">
        <v>1597</v>
      </c>
      <c r="I583" s="1" t="s">
        <v>1598</v>
      </c>
      <c r="J583" s="1" t="str">
        <f ca="1">IFERROR(__xludf.DUMMYFUNCTION("split(I583,"" "")"),"Dianna")</f>
        <v>Dianna</v>
      </c>
      <c r="K583" s="1" t="str">
        <f ca="1">IFERROR(__xludf.DUMMYFUNCTION("""COMPUTED_VALUE"""),"Vittorini")</f>
        <v>Vittorini</v>
      </c>
      <c r="L583" s="1"/>
      <c r="M583" s="1" t="s">
        <v>29</v>
      </c>
      <c r="N583" s="1" t="s">
        <v>30</v>
      </c>
      <c r="O583" s="1" t="s">
        <v>670</v>
      </c>
      <c r="P583" s="1" t="str">
        <f t="shared" si="522"/>
        <v>Denver</v>
      </c>
      <c r="Q583" s="1" t="s">
        <v>386</v>
      </c>
      <c r="R583" s="1" t="str">
        <f t="shared" si="523"/>
        <v>Colorado</v>
      </c>
      <c r="S583" s="1">
        <v>80219</v>
      </c>
      <c r="T583" s="1" t="s">
        <v>44</v>
      </c>
      <c r="U583" s="1" t="s">
        <v>166</v>
      </c>
      <c r="V583" s="1" t="s">
        <v>64</v>
      </c>
      <c r="W583" s="7">
        <v>470.37599999999998</v>
      </c>
      <c r="X583" s="1">
        <v>8</v>
      </c>
      <c r="Y583" s="7">
        <v>469.87</v>
      </c>
      <c r="Z583" s="7">
        <f t="shared" ref="Z583:AA583" si="596">W583*X583</f>
        <v>3763.0079999999998</v>
      </c>
      <c r="AA583" s="7">
        <f t="shared" si="596"/>
        <v>3758.96</v>
      </c>
      <c r="AB583" s="7">
        <f t="shared" si="525"/>
        <v>4.0479999999997744</v>
      </c>
    </row>
    <row r="584" spans="1:28">
      <c r="A584" s="1">
        <v>583</v>
      </c>
      <c r="B584" s="1" t="s">
        <v>1596</v>
      </c>
      <c r="C584" s="2">
        <v>43112</v>
      </c>
      <c r="D584" s="6" t="str">
        <f t="shared" si="520"/>
        <v>Jan</v>
      </c>
      <c r="E584" s="6" t="str">
        <f t="shared" si="521"/>
        <v>Qtr 1</v>
      </c>
      <c r="F584" s="5">
        <v>43232</v>
      </c>
      <c r="G584" s="1" t="s">
        <v>49</v>
      </c>
      <c r="H584" s="1" t="s">
        <v>1597</v>
      </c>
      <c r="I584" s="1" t="s">
        <v>1598</v>
      </c>
      <c r="J584" s="1" t="str">
        <f ca="1">IFERROR(__xludf.DUMMYFUNCTION("split(I584,"" "")"),"Dianna")</f>
        <v>Dianna</v>
      </c>
      <c r="K584" s="1" t="str">
        <f ca="1">IFERROR(__xludf.DUMMYFUNCTION("""COMPUTED_VALUE"""),"Vittorini")</f>
        <v>Vittorini</v>
      </c>
      <c r="L584" s="1"/>
      <c r="M584" s="1" t="s">
        <v>29</v>
      </c>
      <c r="N584" s="1" t="s">
        <v>30</v>
      </c>
      <c r="O584" s="1" t="s">
        <v>670</v>
      </c>
      <c r="P584" s="1" t="str">
        <f t="shared" si="522"/>
        <v>Denver</v>
      </c>
      <c r="Q584" s="1" t="s">
        <v>386</v>
      </c>
      <c r="R584" s="1" t="str">
        <f t="shared" si="523"/>
        <v>Colorado</v>
      </c>
      <c r="S584" s="1">
        <v>80219</v>
      </c>
      <c r="T584" s="1" t="s">
        <v>44</v>
      </c>
      <c r="U584" s="1" t="s">
        <v>1599</v>
      </c>
      <c r="V584" s="1" t="s">
        <v>64</v>
      </c>
      <c r="W584" s="7">
        <v>105.584</v>
      </c>
      <c r="X584" s="1">
        <v>8</v>
      </c>
      <c r="Y584" s="7">
        <v>104.8</v>
      </c>
      <c r="Z584" s="7">
        <f t="shared" ref="Z584:AA584" si="597">W584*X584</f>
        <v>844.67200000000003</v>
      </c>
      <c r="AA584" s="7">
        <f t="shared" si="597"/>
        <v>838.4</v>
      </c>
      <c r="AB584" s="7">
        <f t="shared" si="525"/>
        <v>6.2720000000000482</v>
      </c>
    </row>
    <row r="585" spans="1:28">
      <c r="A585" s="1">
        <v>584</v>
      </c>
      <c r="B585" s="1" t="s">
        <v>1596</v>
      </c>
      <c r="C585" s="2">
        <v>43112</v>
      </c>
      <c r="D585" s="6" t="str">
        <f t="shared" si="520"/>
        <v>Jan</v>
      </c>
      <c r="E585" s="6" t="str">
        <f t="shared" si="521"/>
        <v>Qtr 1</v>
      </c>
      <c r="F585" s="5">
        <v>43232</v>
      </c>
      <c r="G585" s="1" t="s">
        <v>49</v>
      </c>
      <c r="H585" s="1" t="s">
        <v>1597</v>
      </c>
      <c r="I585" s="1" t="s">
        <v>1598</v>
      </c>
      <c r="J585" s="1" t="str">
        <f ca="1">IFERROR(__xludf.DUMMYFUNCTION("split(I585,"" "")"),"Dianna")</f>
        <v>Dianna</v>
      </c>
      <c r="K585" s="1" t="str">
        <f ca="1">IFERROR(__xludf.DUMMYFUNCTION("""COMPUTED_VALUE"""),"Vittorini")</f>
        <v>Vittorini</v>
      </c>
      <c r="L585" s="1"/>
      <c r="M585" s="1" t="s">
        <v>29</v>
      </c>
      <c r="N585" s="1" t="s">
        <v>30</v>
      </c>
      <c r="O585" s="1" t="s">
        <v>670</v>
      </c>
      <c r="P585" s="1" t="str">
        <f t="shared" si="522"/>
        <v>Denver</v>
      </c>
      <c r="Q585" s="1" t="s">
        <v>386</v>
      </c>
      <c r="R585" s="1" t="str">
        <f t="shared" si="523"/>
        <v>Colorado</v>
      </c>
      <c r="S585" s="1">
        <v>80219</v>
      </c>
      <c r="T585" s="1" t="s">
        <v>44</v>
      </c>
      <c r="U585" s="1" t="s">
        <v>370</v>
      </c>
      <c r="V585" s="1" t="s">
        <v>46</v>
      </c>
      <c r="W585" s="7">
        <v>31.152000000000001</v>
      </c>
      <c r="X585" s="1">
        <v>8</v>
      </c>
      <c r="Y585" s="7">
        <v>30.52</v>
      </c>
      <c r="Z585" s="7">
        <f t="shared" ref="Z585:AA585" si="598">W585*X585</f>
        <v>249.21600000000001</v>
      </c>
      <c r="AA585" s="7">
        <f t="shared" si="598"/>
        <v>244.16</v>
      </c>
      <c r="AB585" s="7">
        <f t="shared" si="525"/>
        <v>5.0560000000000116</v>
      </c>
    </row>
    <row r="586" spans="1:28">
      <c r="A586" s="1">
        <v>585</v>
      </c>
      <c r="B586" s="1" t="s">
        <v>1596</v>
      </c>
      <c r="C586" s="2">
        <v>43112</v>
      </c>
      <c r="D586" s="6" t="str">
        <f t="shared" si="520"/>
        <v>Jan</v>
      </c>
      <c r="E586" s="6" t="str">
        <f t="shared" si="521"/>
        <v>Qtr 1</v>
      </c>
      <c r="F586" s="5">
        <v>43232</v>
      </c>
      <c r="G586" s="1" t="s">
        <v>49</v>
      </c>
      <c r="H586" s="1" t="s">
        <v>1597</v>
      </c>
      <c r="I586" s="1" t="s">
        <v>1598</v>
      </c>
      <c r="J586" s="1" t="str">
        <f ca="1">IFERROR(__xludf.DUMMYFUNCTION("split(I586,"" "")"),"Dianna")</f>
        <v>Dianna</v>
      </c>
      <c r="K586" s="1" t="str">
        <f ca="1">IFERROR(__xludf.DUMMYFUNCTION("""COMPUTED_VALUE"""),"Vittorini")</f>
        <v>Vittorini</v>
      </c>
      <c r="L586" s="1"/>
      <c r="M586" s="1" t="s">
        <v>29</v>
      </c>
      <c r="N586" s="1" t="s">
        <v>30</v>
      </c>
      <c r="O586" s="1" t="s">
        <v>670</v>
      </c>
      <c r="P586" s="1" t="str">
        <f t="shared" si="522"/>
        <v>Denver</v>
      </c>
      <c r="Q586" s="1" t="s">
        <v>386</v>
      </c>
      <c r="R586" s="1" t="str">
        <f t="shared" si="523"/>
        <v>Colorado</v>
      </c>
      <c r="S586" s="1">
        <v>80219</v>
      </c>
      <c r="T586" s="1" t="s">
        <v>44</v>
      </c>
      <c r="U586" s="1" t="s">
        <v>1600</v>
      </c>
      <c r="V586" s="1" t="s">
        <v>46</v>
      </c>
      <c r="W586" s="7">
        <v>6.7830000000000004</v>
      </c>
      <c r="X586" s="1">
        <v>8</v>
      </c>
      <c r="Y586" s="7">
        <v>6.77</v>
      </c>
      <c r="Z586" s="7">
        <f t="shared" ref="Z586:AA586" si="599">W586*X586</f>
        <v>54.264000000000003</v>
      </c>
      <c r="AA586" s="7">
        <f t="shared" si="599"/>
        <v>54.16</v>
      </c>
      <c r="AB586" s="7">
        <f t="shared" si="525"/>
        <v>0.10400000000000631</v>
      </c>
    </row>
    <row r="587" spans="1:28">
      <c r="A587" s="1">
        <v>586</v>
      </c>
      <c r="B587" s="1" t="s">
        <v>1596</v>
      </c>
      <c r="C587" s="2">
        <v>43112</v>
      </c>
      <c r="D587" s="6" t="str">
        <f t="shared" si="520"/>
        <v>Jan</v>
      </c>
      <c r="E587" s="6" t="str">
        <f t="shared" si="521"/>
        <v>Qtr 1</v>
      </c>
      <c r="F587" s="5">
        <v>43232</v>
      </c>
      <c r="G587" s="1" t="s">
        <v>49</v>
      </c>
      <c r="H587" s="1" t="s">
        <v>1597</v>
      </c>
      <c r="I587" s="1" t="s">
        <v>1598</v>
      </c>
      <c r="J587" s="1" t="str">
        <f ca="1">IFERROR(__xludf.DUMMYFUNCTION("split(I587,"" "")"),"Dianna")</f>
        <v>Dianna</v>
      </c>
      <c r="K587" s="1" t="str">
        <f ca="1">IFERROR(__xludf.DUMMYFUNCTION("""COMPUTED_VALUE"""),"Vittorini")</f>
        <v>Vittorini</v>
      </c>
      <c r="L587" s="1"/>
      <c r="M587" s="1" t="s">
        <v>29</v>
      </c>
      <c r="N587" s="1" t="s">
        <v>30</v>
      </c>
      <c r="O587" s="1" t="s">
        <v>670</v>
      </c>
      <c r="P587" s="1" t="str">
        <f t="shared" si="522"/>
        <v>Denver</v>
      </c>
      <c r="Q587" s="1" t="s">
        <v>386</v>
      </c>
      <c r="R587" s="1" t="str">
        <f t="shared" si="523"/>
        <v>Colorado</v>
      </c>
      <c r="S587" s="1">
        <v>80219</v>
      </c>
      <c r="T587" s="1" t="s">
        <v>44</v>
      </c>
      <c r="U587" s="1" t="s">
        <v>520</v>
      </c>
      <c r="V587" s="1" t="s">
        <v>64</v>
      </c>
      <c r="W587" s="7">
        <v>406.36799999999999</v>
      </c>
      <c r="X587" s="1">
        <v>8</v>
      </c>
      <c r="Y587" s="7">
        <v>406.22</v>
      </c>
      <c r="Z587" s="7">
        <f t="shared" ref="Z587:AA587" si="600">W587*X587</f>
        <v>3250.944</v>
      </c>
      <c r="AA587" s="7">
        <f t="shared" si="600"/>
        <v>3249.76</v>
      </c>
      <c r="AB587" s="7">
        <f t="shared" si="525"/>
        <v>1.1839999999997417</v>
      </c>
    </row>
    <row r="588" spans="1:28">
      <c r="A588" s="1">
        <v>587</v>
      </c>
      <c r="B588" s="1" t="s">
        <v>1601</v>
      </c>
      <c r="C588" s="2">
        <v>42436</v>
      </c>
      <c r="D588" s="6" t="str">
        <f t="shared" si="520"/>
        <v>Mar</v>
      </c>
      <c r="E588" s="6" t="str">
        <f t="shared" si="521"/>
        <v>Qtr 1</v>
      </c>
      <c r="F588" s="5">
        <v>42620</v>
      </c>
      <c r="G588" s="1" t="s">
        <v>49</v>
      </c>
      <c r="H588" s="1" t="s">
        <v>1602</v>
      </c>
      <c r="I588" s="1" t="s">
        <v>1603</v>
      </c>
      <c r="J588" s="1" t="str">
        <f ca="1">IFERROR(__xludf.DUMMYFUNCTION("split(I588,"" "")"),"Bruce")</f>
        <v>Bruce</v>
      </c>
      <c r="K588" s="1" t="str">
        <f ca="1">IFERROR(__xludf.DUMMYFUNCTION("""COMPUTED_VALUE"""),"Degenhardt")</f>
        <v>Degenhardt</v>
      </c>
      <c r="L588" s="1"/>
      <c r="M588" s="1" t="s">
        <v>29</v>
      </c>
      <c r="N588" s="1" t="s">
        <v>30</v>
      </c>
      <c r="O588" s="1" t="s">
        <v>1192</v>
      </c>
      <c r="P588" s="1" t="str">
        <f t="shared" si="522"/>
        <v>Richmond</v>
      </c>
      <c r="Q588" s="1" t="s">
        <v>32</v>
      </c>
      <c r="R588" s="1" t="str">
        <f t="shared" si="523"/>
        <v>Kentucky</v>
      </c>
      <c r="S588" s="1">
        <v>40475</v>
      </c>
      <c r="T588" s="1" t="s">
        <v>33</v>
      </c>
      <c r="U588" s="1" t="s">
        <v>1175</v>
      </c>
      <c r="V588" s="1" t="s">
        <v>35</v>
      </c>
      <c r="W588" s="7">
        <v>70.98</v>
      </c>
      <c r="X588" s="1">
        <v>4</v>
      </c>
      <c r="Y588" s="7">
        <v>70.650000000000006</v>
      </c>
      <c r="Z588" s="7">
        <f t="shared" ref="Z588:AA588" si="601">W588*X588</f>
        <v>283.92</v>
      </c>
      <c r="AA588" s="7">
        <f t="shared" si="601"/>
        <v>282.60000000000002</v>
      </c>
      <c r="AB588" s="7">
        <f t="shared" si="525"/>
        <v>1.3199999999999932</v>
      </c>
    </row>
    <row r="589" spans="1:28">
      <c r="A589" s="1">
        <v>588</v>
      </c>
      <c r="B589" s="1" t="s">
        <v>1601</v>
      </c>
      <c r="C589" s="2">
        <v>42436</v>
      </c>
      <c r="D589" s="6" t="str">
        <f t="shared" si="520"/>
        <v>Mar</v>
      </c>
      <c r="E589" s="6" t="str">
        <f t="shared" si="521"/>
        <v>Qtr 1</v>
      </c>
      <c r="F589" s="5">
        <v>42620</v>
      </c>
      <c r="G589" s="1" t="s">
        <v>49</v>
      </c>
      <c r="H589" s="1" t="s">
        <v>1602</v>
      </c>
      <c r="I589" s="1" t="s">
        <v>1603</v>
      </c>
      <c r="J589" s="1" t="str">
        <f ca="1">IFERROR(__xludf.DUMMYFUNCTION("split(I589,"" "")"),"Bruce")</f>
        <v>Bruce</v>
      </c>
      <c r="K589" s="1" t="str">
        <f ca="1">IFERROR(__xludf.DUMMYFUNCTION("""COMPUTED_VALUE"""),"Degenhardt")</f>
        <v>Degenhardt</v>
      </c>
      <c r="L589" s="1"/>
      <c r="M589" s="1" t="s">
        <v>29</v>
      </c>
      <c r="N589" s="1" t="s">
        <v>30</v>
      </c>
      <c r="O589" s="1" t="s">
        <v>1192</v>
      </c>
      <c r="P589" s="1" t="str">
        <f t="shared" si="522"/>
        <v>Richmond</v>
      </c>
      <c r="Q589" s="1" t="s">
        <v>32</v>
      </c>
      <c r="R589" s="1" t="str">
        <f t="shared" si="523"/>
        <v>Kentucky</v>
      </c>
      <c r="S589" s="1">
        <v>40475</v>
      </c>
      <c r="T589" s="1" t="s">
        <v>33</v>
      </c>
      <c r="U589" s="1" t="s">
        <v>1604</v>
      </c>
      <c r="V589" s="1" t="s">
        <v>46</v>
      </c>
      <c r="W589" s="7">
        <v>294.93</v>
      </c>
      <c r="X589" s="1">
        <v>4</v>
      </c>
      <c r="Y589" s="7">
        <v>294.81</v>
      </c>
      <c r="Z589" s="7">
        <f t="shared" ref="Z589:AA589" si="602">W589*X589</f>
        <v>1179.72</v>
      </c>
      <c r="AA589" s="7">
        <f t="shared" si="602"/>
        <v>1179.24</v>
      </c>
      <c r="AB589" s="7">
        <f t="shared" si="525"/>
        <v>0.48000000000001819</v>
      </c>
    </row>
    <row r="590" spans="1:28">
      <c r="A590" s="1">
        <v>589</v>
      </c>
      <c r="B590" s="1" t="s">
        <v>1605</v>
      </c>
      <c r="C590" s="2">
        <v>42814</v>
      </c>
      <c r="D590" s="6" t="str">
        <f t="shared" si="520"/>
        <v>Mar</v>
      </c>
      <c r="E590" s="6" t="str">
        <f t="shared" si="521"/>
        <v>Qtr 1</v>
      </c>
      <c r="F590" s="5" t="s">
        <v>1606</v>
      </c>
      <c r="G590" s="1" t="s">
        <v>49</v>
      </c>
      <c r="H590" s="1" t="s">
        <v>1607</v>
      </c>
      <c r="I590" s="1" t="s">
        <v>1608</v>
      </c>
      <c r="J590" s="1" t="str">
        <f ca="1">IFERROR(__xludf.DUMMYFUNCTION("split(I590,"" "")"),"Zuschuss")</f>
        <v>Zuschuss</v>
      </c>
      <c r="K590" s="1" t="str">
        <f ca="1">IFERROR(__xludf.DUMMYFUNCTION("""COMPUTED_VALUE"""),"Carroll")</f>
        <v>Carroll</v>
      </c>
      <c r="L590" s="1"/>
      <c r="M590" s="1" t="s">
        <v>29</v>
      </c>
      <c r="N590" s="1" t="s">
        <v>30</v>
      </c>
      <c r="O590" s="1" t="s">
        <v>1609</v>
      </c>
      <c r="P590" s="1" t="str">
        <f t="shared" si="522"/>
        <v>Salem</v>
      </c>
      <c r="Q590" s="1" t="s">
        <v>355</v>
      </c>
      <c r="R590" s="1" t="str">
        <f t="shared" si="523"/>
        <v>Oregon</v>
      </c>
      <c r="S590" s="1">
        <v>97301</v>
      </c>
      <c r="T590" s="1" t="s">
        <v>44</v>
      </c>
      <c r="U590" s="1" t="s">
        <v>1610</v>
      </c>
      <c r="V590" s="1" t="s">
        <v>64</v>
      </c>
      <c r="W590" s="7">
        <v>84.784000000000006</v>
      </c>
      <c r="X590" s="1">
        <v>9</v>
      </c>
      <c r="Y590" s="7">
        <v>84.02</v>
      </c>
      <c r="Z590" s="7">
        <f t="shared" ref="Z590:AA590" si="603">W590*X590</f>
        <v>763.05600000000004</v>
      </c>
      <c r="AA590" s="7">
        <f t="shared" si="603"/>
        <v>756.18</v>
      </c>
      <c r="AB590" s="7">
        <f t="shared" si="525"/>
        <v>6.87600000000009</v>
      </c>
    </row>
    <row r="591" spans="1:28">
      <c r="A591" s="1">
        <v>590</v>
      </c>
      <c r="B591" s="1" t="s">
        <v>1605</v>
      </c>
      <c r="C591" s="2">
        <v>42814</v>
      </c>
      <c r="D591" s="6" t="str">
        <f t="shared" si="520"/>
        <v>Mar</v>
      </c>
      <c r="E591" s="6" t="str">
        <f t="shared" si="521"/>
        <v>Qtr 1</v>
      </c>
      <c r="F591" s="5" t="s">
        <v>1606</v>
      </c>
      <c r="G591" s="1" t="s">
        <v>49</v>
      </c>
      <c r="H591" s="1" t="s">
        <v>1607</v>
      </c>
      <c r="I591" s="1" t="s">
        <v>1608</v>
      </c>
      <c r="J591" s="1" t="str">
        <f ca="1">IFERROR(__xludf.DUMMYFUNCTION("split(I591,"" "")"),"Zuschuss")</f>
        <v>Zuschuss</v>
      </c>
      <c r="K591" s="1" t="str">
        <f ca="1">IFERROR(__xludf.DUMMYFUNCTION("""COMPUTED_VALUE"""),"Carroll")</f>
        <v>Carroll</v>
      </c>
      <c r="L591" s="1"/>
      <c r="M591" s="1" t="s">
        <v>29</v>
      </c>
      <c r="N591" s="1" t="s">
        <v>30</v>
      </c>
      <c r="O591" s="1" t="s">
        <v>1609</v>
      </c>
      <c r="P591" s="1" t="str">
        <f t="shared" si="522"/>
        <v>Salem</v>
      </c>
      <c r="Q591" s="1" t="s">
        <v>355</v>
      </c>
      <c r="R591" s="1" t="str">
        <f t="shared" si="523"/>
        <v>Oregon</v>
      </c>
      <c r="S591" s="1">
        <v>97301</v>
      </c>
      <c r="T591" s="1" t="s">
        <v>44</v>
      </c>
      <c r="U591" s="1" t="s">
        <v>1611</v>
      </c>
      <c r="V591" s="1" t="s">
        <v>46</v>
      </c>
      <c r="W591" s="7">
        <v>20.736000000000001</v>
      </c>
      <c r="X591" s="1">
        <v>9</v>
      </c>
      <c r="Y591" s="7">
        <v>19.739999999999998</v>
      </c>
      <c r="Z591" s="7">
        <f t="shared" ref="Z591:AA591" si="604">W591*X591</f>
        <v>186.624</v>
      </c>
      <c r="AA591" s="7">
        <f t="shared" si="604"/>
        <v>177.66</v>
      </c>
      <c r="AB591" s="7">
        <f t="shared" si="525"/>
        <v>8.9639999999999986</v>
      </c>
    </row>
    <row r="592" spans="1:28">
      <c r="A592" s="1">
        <v>591</v>
      </c>
      <c r="B592" s="1" t="s">
        <v>1605</v>
      </c>
      <c r="C592" s="2">
        <v>42814</v>
      </c>
      <c r="D592" s="6" t="str">
        <f t="shared" si="520"/>
        <v>Mar</v>
      </c>
      <c r="E592" s="6" t="str">
        <f t="shared" si="521"/>
        <v>Qtr 1</v>
      </c>
      <c r="F592" s="5" t="s">
        <v>1606</v>
      </c>
      <c r="G592" s="1" t="s">
        <v>49</v>
      </c>
      <c r="H592" s="1" t="s">
        <v>1607</v>
      </c>
      <c r="I592" s="1" t="s">
        <v>1608</v>
      </c>
      <c r="J592" s="1" t="str">
        <f ca="1">IFERROR(__xludf.DUMMYFUNCTION("split(I592,"" "")"),"Zuschuss")</f>
        <v>Zuschuss</v>
      </c>
      <c r="K592" s="1" t="str">
        <f ca="1">IFERROR(__xludf.DUMMYFUNCTION("""COMPUTED_VALUE"""),"Carroll")</f>
        <v>Carroll</v>
      </c>
      <c r="L592" s="1"/>
      <c r="M592" s="1" t="s">
        <v>29</v>
      </c>
      <c r="N592" s="1" t="s">
        <v>30</v>
      </c>
      <c r="O592" s="1" t="s">
        <v>1609</v>
      </c>
      <c r="P592" s="1" t="str">
        <f t="shared" si="522"/>
        <v>Salem</v>
      </c>
      <c r="Q592" s="1" t="s">
        <v>355</v>
      </c>
      <c r="R592" s="1" t="str">
        <f t="shared" si="523"/>
        <v>Oregon</v>
      </c>
      <c r="S592" s="1">
        <v>97301</v>
      </c>
      <c r="T592" s="1" t="s">
        <v>44</v>
      </c>
      <c r="U592" s="1" t="s">
        <v>1393</v>
      </c>
      <c r="V592" s="1" t="s">
        <v>46</v>
      </c>
      <c r="W592" s="7">
        <v>16.821000000000002</v>
      </c>
      <c r="X592" s="1">
        <v>9</v>
      </c>
      <c r="Y592" s="7">
        <v>16.29</v>
      </c>
      <c r="Z592" s="7">
        <f t="shared" ref="Z592:AA592" si="605">W592*X592</f>
        <v>151.38900000000001</v>
      </c>
      <c r="AA592" s="7">
        <f t="shared" si="605"/>
        <v>146.60999999999999</v>
      </c>
      <c r="AB592" s="7">
        <f t="shared" si="525"/>
        <v>4.7790000000000248</v>
      </c>
    </row>
    <row r="593" spans="1:28">
      <c r="A593" s="1">
        <v>592</v>
      </c>
      <c r="B593" s="1" t="s">
        <v>1605</v>
      </c>
      <c r="C593" s="2">
        <v>42814</v>
      </c>
      <c r="D593" s="6" t="str">
        <f t="shared" si="520"/>
        <v>Mar</v>
      </c>
      <c r="E593" s="6" t="str">
        <f t="shared" si="521"/>
        <v>Qtr 1</v>
      </c>
      <c r="F593" s="5" t="s">
        <v>1606</v>
      </c>
      <c r="G593" s="1" t="s">
        <v>49</v>
      </c>
      <c r="H593" s="1" t="s">
        <v>1607</v>
      </c>
      <c r="I593" s="1" t="s">
        <v>1608</v>
      </c>
      <c r="J593" s="1" t="str">
        <f ca="1">IFERROR(__xludf.DUMMYFUNCTION("split(I593,"" "")"),"Zuschuss")</f>
        <v>Zuschuss</v>
      </c>
      <c r="K593" s="1" t="str">
        <f ca="1">IFERROR(__xludf.DUMMYFUNCTION("""COMPUTED_VALUE"""),"Carroll")</f>
        <v>Carroll</v>
      </c>
      <c r="L593" s="1"/>
      <c r="M593" s="1" t="s">
        <v>29</v>
      </c>
      <c r="N593" s="1" t="s">
        <v>30</v>
      </c>
      <c r="O593" s="1" t="s">
        <v>1609</v>
      </c>
      <c r="P593" s="1" t="str">
        <f t="shared" si="522"/>
        <v>Salem</v>
      </c>
      <c r="Q593" s="1" t="s">
        <v>355</v>
      </c>
      <c r="R593" s="1" t="str">
        <f t="shared" si="523"/>
        <v>Oregon</v>
      </c>
      <c r="S593" s="1">
        <v>97301</v>
      </c>
      <c r="T593" s="1" t="s">
        <v>44</v>
      </c>
      <c r="U593" s="1" t="s">
        <v>1612</v>
      </c>
      <c r="V593" s="1" t="s">
        <v>46</v>
      </c>
      <c r="W593" s="7">
        <v>10.368</v>
      </c>
      <c r="X593" s="1">
        <v>9</v>
      </c>
      <c r="Y593" s="7">
        <v>10.1</v>
      </c>
      <c r="Z593" s="7">
        <f t="shared" ref="Z593:AA593" si="606">W593*X593</f>
        <v>93.311999999999998</v>
      </c>
      <c r="AA593" s="7">
        <f t="shared" si="606"/>
        <v>90.899999999999991</v>
      </c>
      <c r="AB593" s="7">
        <f t="shared" si="525"/>
        <v>2.4120000000000061</v>
      </c>
    </row>
    <row r="594" spans="1:28">
      <c r="A594" s="1">
        <v>593</v>
      </c>
      <c r="B594" s="1" t="s">
        <v>1613</v>
      </c>
      <c r="C594" s="2">
        <v>42248</v>
      </c>
      <c r="D594" s="6" t="str">
        <f t="shared" si="520"/>
        <v>Sep</v>
      </c>
      <c r="E594" s="6" t="str">
        <f t="shared" si="521"/>
        <v>Qtr 3</v>
      </c>
      <c r="F594" s="5" t="s">
        <v>1614</v>
      </c>
      <c r="G594" s="1" t="s">
        <v>49</v>
      </c>
      <c r="H594" s="1" t="s">
        <v>1615</v>
      </c>
      <c r="I594" s="1" t="s">
        <v>1616</v>
      </c>
      <c r="J594" s="1" t="str">
        <f ca="1">IFERROR(__xludf.DUMMYFUNCTION("split(I594,"" "")"),"Melanie")</f>
        <v>Melanie</v>
      </c>
      <c r="K594" s="1" t="str">
        <f ca="1">IFERROR(__xludf.DUMMYFUNCTION("""COMPUTED_VALUE"""),"Seite")</f>
        <v>Seite</v>
      </c>
      <c r="L594" s="1"/>
      <c r="M594" s="1" t="s">
        <v>29</v>
      </c>
      <c r="N594" s="1" t="s">
        <v>30</v>
      </c>
      <c r="O594" s="1" t="s">
        <v>1617</v>
      </c>
      <c r="P594" s="1" t="str">
        <f t="shared" si="522"/>
        <v>Laredo</v>
      </c>
      <c r="Q594" s="1" t="s">
        <v>89</v>
      </c>
      <c r="R594" s="1" t="str">
        <f t="shared" si="523"/>
        <v>Texas</v>
      </c>
      <c r="S594" s="1">
        <v>78041</v>
      </c>
      <c r="T594" s="1" t="s">
        <v>90</v>
      </c>
      <c r="U594" s="1" t="s">
        <v>1618</v>
      </c>
      <c r="V594" s="1" t="s">
        <v>46</v>
      </c>
      <c r="W594" s="7">
        <v>9.3439999999999994</v>
      </c>
      <c r="X594" s="1">
        <v>7</v>
      </c>
      <c r="Y594" s="7">
        <v>8.59</v>
      </c>
      <c r="Z594" s="7">
        <f t="shared" ref="Z594:AA594" si="607">W594*X594</f>
        <v>65.408000000000001</v>
      </c>
      <c r="AA594" s="7">
        <f t="shared" si="607"/>
        <v>60.129999999999995</v>
      </c>
      <c r="AB594" s="7">
        <f t="shared" si="525"/>
        <v>5.2780000000000058</v>
      </c>
    </row>
    <row r="595" spans="1:28">
      <c r="A595" s="1">
        <v>594</v>
      </c>
      <c r="B595" s="1" t="s">
        <v>1613</v>
      </c>
      <c r="C595" s="2">
        <v>42248</v>
      </c>
      <c r="D595" s="6" t="str">
        <f t="shared" si="520"/>
        <v>Sep</v>
      </c>
      <c r="E595" s="6" t="str">
        <f t="shared" si="521"/>
        <v>Qtr 3</v>
      </c>
      <c r="F595" s="5" t="s">
        <v>1614</v>
      </c>
      <c r="G595" s="1" t="s">
        <v>49</v>
      </c>
      <c r="H595" s="1" t="s">
        <v>1615</v>
      </c>
      <c r="I595" s="1" t="s">
        <v>1616</v>
      </c>
      <c r="J595" s="1" t="str">
        <f ca="1">IFERROR(__xludf.DUMMYFUNCTION("split(I595,"" "")"),"Melanie")</f>
        <v>Melanie</v>
      </c>
      <c r="K595" s="1" t="str">
        <f ca="1">IFERROR(__xludf.DUMMYFUNCTION("""COMPUTED_VALUE"""),"Seite")</f>
        <v>Seite</v>
      </c>
      <c r="L595" s="1"/>
      <c r="M595" s="1" t="s">
        <v>29</v>
      </c>
      <c r="N595" s="1" t="s">
        <v>30</v>
      </c>
      <c r="O595" s="1" t="s">
        <v>1617</v>
      </c>
      <c r="P595" s="1" t="str">
        <f t="shared" si="522"/>
        <v>Laredo</v>
      </c>
      <c r="Q595" s="1" t="s">
        <v>89</v>
      </c>
      <c r="R595" s="1" t="str">
        <f t="shared" si="523"/>
        <v>Texas</v>
      </c>
      <c r="S595" s="1">
        <v>78041</v>
      </c>
      <c r="T595" s="1" t="s">
        <v>90</v>
      </c>
      <c r="U595" s="1" t="s">
        <v>701</v>
      </c>
      <c r="V595" s="1" t="s">
        <v>64</v>
      </c>
      <c r="W595" s="7">
        <v>31.2</v>
      </c>
      <c r="X595" s="1">
        <v>7</v>
      </c>
      <c r="Y595" s="7">
        <v>30.73</v>
      </c>
      <c r="Z595" s="7">
        <f t="shared" ref="Z595:AA595" si="608">W595*X595</f>
        <v>218.4</v>
      </c>
      <c r="AA595" s="7">
        <f t="shared" si="608"/>
        <v>215.11</v>
      </c>
      <c r="AB595" s="7">
        <f t="shared" si="525"/>
        <v>3.289999999999992</v>
      </c>
    </row>
    <row r="596" spans="1:28">
      <c r="A596" s="1">
        <v>595</v>
      </c>
      <c r="B596" s="1" t="s">
        <v>1619</v>
      </c>
      <c r="C596" s="2">
        <v>42224</v>
      </c>
      <c r="D596" s="6" t="str">
        <f t="shared" si="520"/>
        <v>Aug</v>
      </c>
      <c r="E596" s="6" t="str">
        <f t="shared" si="521"/>
        <v>Qtr 3</v>
      </c>
      <c r="F596" s="5" t="s">
        <v>1620</v>
      </c>
      <c r="G596" s="1" t="s">
        <v>49</v>
      </c>
      <c r="H596" s="1" t="s">
        <v>1621</v>
      </c>
      <c r="I596" s="1" t="s">
        <v>1622</v>
      </c>
      <c r="J596" s="1" t="str">
        <f ca="1">IFERROR(__xludf.DUMMYFUNCTION("split(I596,"" "")"),"Lena")</f>
        <v>Lena</v>
      </c>
      <c r="K596" s="1" t="str">
        <f ca="1">IFERROR(__xludf.DUMMYFUNCTION("""COMPUTED_VALUE"""),"Radford")</f>
        <v>Radford</v>
      </c>
      <c r="L596" s="1"/>
      <c r="M596" s="1" t="s">
        <v>29</v>
      </c>
      <c r="N596" s="1" t="s">
        <v>30</v>
      </c>
      <c r="O596" s="1" t="s">
        <v>778</v>
      </c>
      <c r="P596" s="1" t="str">
        <f t="shared" si="522"/>
        <v>San Diego</v>
      </c>
      <c r="Q596" s="1" t="s">
        <v>68</v>
      </c>
      <c r="R596" s="1" t="str">
        <f t="shared" si="523"/>
        <v>California</v>
      </c>
      <c r="S596" s="1">
        <v>92024</v>
      </c>
      <c r="T596" s="1" t="s">
        <v>44</v>
      </c>
      <c r="U596" s="1" t="s">
        <v>1623</v>
      </c>
      <c r="V596" s="1" t="s">
        <v>46</v>
      </c>
      <c r="W596" s="7">
        <v>76.12</v>
      </c>
      <c r="X596" s="1">
        <v>9</v>
      </c>
      <c r="Y596" s="7">
        <v>75.459999999999994</v>
      </c>
      <c r="Z596" s="7">
        <f t="shared" ref="Z596:AA596" si="609">W596*X596</f>
        <v>685.08</v>
      </c>
      <c r="AA596" s="7">
        <f t="shared" si="609"/>
        <v>679.14</v>
      </c>
      <c r="AB596" s="7">
        <f t="shared" si="525"/>
        <v>5.9400000000000546</v>
      </c>
    </row>
    <row r="597" spans="1:28">
      <c r="A597" s="1">
        <v>596</v>
      </c>
      <c r="B597" s="1" t="s">
        <v>1619</v>
      </c>
      <c r="C597" s="2">
        <v>42224</v>
      </c>
      <c r="D597" s="6" t="str">
        <f t="shared" si="520"/>
        <v>Aug</v>
      </c>
      <c r="E597" s="6" t="str">
        <f t="shared" si="521"/>
        <v>Qtr 3</v>
      </c>
      <c r="F597" s="5" t="s">
        <v>1620</v>
      </c>
      <c r="G597" s="1" t="s">
        <v>49</v>
      </c>
      <c r="H597" s="1" t="s">
        <v>1621</v>
      </c>
      <c r="I597" s="1" t="s">
        <v>1622</v>
      </c>
      <c r="J597" s="1" t="str">
        <f ca="1">IFERROR(__xludf.DUMMYFUNCTION("split(I597,"" "")"),"Lena")</f>
        <v>Lena</v>
      </c>
      <c r="K597" s="1" t="str">
        <f ca="1">IFERROR(__xludf.DUMMYFUNCTION("""COMPUTED_VALUE"""),"Radford")</f>
        <v>Radford</v>
      </c>
      <c r="L597" s="1"/>
      <c r="M597" s="1" t="s">
        <v>29</v>
      </c>
      <c r="N597" s="1" t="s">
        <v>30</v>
      </c>
      <c r="O597" s="1" t="s">
        <v>778</v>
      </c>
      <c r="P597" s="1" t="str">
        <f t="shared" si="522"/>
        <v>San Diego</v>
      </c>
      <c r="Q597" s="1" t="s">
        <v>68</v>
      </c>
      <c r="R597" s="1" t="str">
        <f t="shared" si="523"/>
        <v>California</v>
      </c>
      <c r="S597" s="1">
        <v>92024</v>
      </c>
      <c r="T597" s="1" t="s">
        <v>44</v>
      </c>
      <c r="U597" s="1" t="s">
        <v>1169</v>
      </c>
      <c r="V597" s="1" t="s">
        <v>64</v>
      </c>
      <c r="W597" s="7">
        <v>1199.9760000000001</v>
      </c>
      <c r="X597" s="1">
        <v>9</v>
      </c>
      <c r="Y597" s="7">
        <v>1199.23</v>
      </c>
      <c r="Z597" s="7">
        <f t="shared" ref="Z597:AA597" si="610">W597*X597</f>
        <v>10799.784000000001</v>
      </c>
      <c r="AA597" s="7">
        <f t="shared" si="610"/>
        <v>10793.07</v>
      </c>
      <c r="AB597" s="7">
        <f t="shared" si="525"/>
        <v>6.7140000000017608</v>
      </c>
    </row>
    <row r="598" spans="1:28">
      <c r="A598" s="1">
        <v>597</v>
      </c>
      <c r="B598" s="1" t="s">
        <v>1619</v>
      </c>
      <c r="C598" s="2">
        <v>42224</v>
      </c>
      <c r="D598" s="6" t="str">
        <f t="shared" si="520"/>
        <v>Aug</v>
      </c>
      <c r="E598" s="6" t="str">
        <f t="shared" si="521"/>
        <v>Qtr 3</v>
      </c>
      <c r="F598" s="5" t="s">
        <v>1620</v>
      </c>
      <c r="G598" s="1" t="s">
        <v>49</v>
      </c>
      <c r="H598" s="1" t="s">
        <v>1621</v>
      </c>
      <c r="I598" s="1" t="s">
        <v>1622</v>
      </c>
      <c r="J598" s="1" t="str">
        <f ca="1">IFERROR(__xludf.DUMMYFUNCTION("split(I598,"" "")"),"Lena")</f>
        <v>Lena</v>
      </c>
      <c r="K598" s="1" t="str">
        <f ca="1">IFERROR(__xludf.DUMMYFUNCTION("""COMPUTED_VALUE"""),"Radford")</f>
        <v>Radford</v>
      </c>
      <c r="L598" s="1"/>
      <c r="M598" s="1" t="s">
        <v>29</v>
      </c>
      <c r="N598" s="1" t="s">
        <v>30</v>
      </c>
      <c r="O598" s="1" t="s">
        <v>778</v>
      </c>
      <c r="P598" s="1" t="str">
        <f t="shared" si="522"/>
        <v>San Diego</v>
      </c>
      <c r="Q598" s="1" t="s">
        <v>68</v>
      </c>
      <c r="R598" s="1" t="str">
        <f t="shared" si="523"/>
        <v>California</v>
      </c>
      <c r="S598" s="1">
        <v>92024</v>
      </c>
      <c r="T598" s="1" t="s">
        <v>44</v>
      </c>
      <c r="U598" s="1" t="s">
        <v>938</v>
      </c>
      <c r="V598" s="1" t="s">
        <v>64</v>
      </c>
      <c r="W598" s="7">
        <v>445.96</v>
      </c>
      <c r="X598" s="1">
        <v>9</v>
      </c>
      <c r="Y598" s="7">
        <v>445.38</v>
      </c>
      <c r="Z598" s="7">
        <f t="shared" ref="Z598:AA598" si="611">W598*X598</f>
        <v>4013.64</v>
      </c>
      <c r="AA598" s="7">
        <f t="shared" si="611"/>
        <v>4008.42</v>
      </c>
      <c r="AB598" s="7">
        <f t="shared" si="525"/>
        <v>5.2199999999997999</v>
      </c>
    </row>
    <row r="599" spans="1:28">
      <c r="A599" s="1">
        <v>598</v>
      </c>
      <c r="B599" s="1" t="s">
        <v>1619</v>
      </c>
      <c r="C599" s="2">
        <v>42224</v>
      </c>
      <c r="D599" s="6" t="str">
        <f t="shared" si="520"/>
        <v>Aug</v>
      </c>
      <c r="E599" s="6" t="str">
        <f t="shared" si="521"/>
        <v>Qtr 3</v>
      </c>
      <c r="F599" s="5" t="s">
        <v>1620</v>
      </c>
      <c r="G599" s="1" t="s">
        <v>49</v>
      </c>
      <c r="H599" s="1" t="s">
        <v>1621</v>
      </c>
      <c r="I599" s="1" t="s">
        <v>1622</v>
      </c>
      <c r="J599" s="1" t="str">
        <f ca="1">IFERROR(__xludf.DUMMYFUNCTION("split(I599,"" "")"),"Lena")</f>
        <v>Lena</v>
      </c>
      <c r="K599" s="1" t="str">
        <f ca="1">IFERROR(__xludf.DUMMYFUNCTION("""COMPUTED_VALUE"""),"Radford")</f>
        <v>Radford</v>
      </c>
      <c r="L599" s="1"/>
      <c r="M599" s="1" t="s">
        <v>29</v>
      </c>
      <c r="N599" s="1" t="s">
        <v>30</v>
      </c>
      <c r="O599" s="1" t="s">
        <v>778</v>
      </c>
      <c r="P599" s="1" t="str">
        <f t="shared" si="522"/>
        <v>San Diego</v>
      </c>
      <c r="Q599" s="1" t="s">
        <v>68</v>
      </c>
      <c r="R599" s="1" t="str">
        <f t="shared" si="523"/>
        <v>California</v>
      </c>
      <c r="S599" s="1">
        <v>92024</v>
      </c>
      <c r="T599" s="1" t="s">
        <v>44</v>
      </c>
      <c r="U599" s="1" t="s">
        <v>1624</v>
      </c>
      <c r="V599" s="1" t="s">
        <v>35</v>
      </c>
      <c r="W599" s="7">
        <v>327.76</v>
      </c>
      <c r="X599" s="1">
        <v>9</v>
      </c>
      <c r="Y599" s="7">
        <v>327.51</v>
      </c>
      <c r="Z599" s="7">
        <f t="shared" ref="Z599:AA599" si="612">W599*X599</f>
        <v>2949.84</v>
      </c>
      <c r="AA599" s="7">
        <f t="shared" si="612"/>
        <v>2947.59</v>
      </c>
      <c r="AB599" s="7">
        <f t="shared" si="525"/>
        <v>2.25</v>
      </c>
    </row>
    <row r="600" spans="1:28">
      <c r="A600" s="1">
        <v>599</v>
      </c>
      <c r="B600" s="1" t="s">
        <v>1625</v>
      </c>
      <c r="C600" s="2">
        <v>42930</v>
      </c>
      <c r="D600" s="6" t="str">
        <f t="shared" si="520"/>
        <v>Jul</v>
      </c>
      <c r="E600" s="6" t="str">
        <f t="shared" si="521"/>
        <v>Qtr 3</v>
      </c>
      <c r="F600" s="5" t="s">
        <v>1481</v>
      </c>
      <c r="G600" s="1" t="s">
        <v>162</v>
      </c>
      <c r="H600" s="1" t="s">
        <v>1626</v>
      </c>
      <c r="I600" s="1" t="s">
        <v>1627</v>
      </c>
      <c r="J600" s="1" t="str">
        <f ca="1">IFERROR(__xludf.DUMMYFUNCTION("split(I600,"" "")"),"Theone")</f>
        <v>Theone</v>
      </c>
      <c r="K600" s="1" t="str">
        <f ca="1">IFERROR(__xludf.DUMMYFUNCTION("""COMPUTED_VALUE"""),"Pippenger")</f>
        <v>Pippenger</v>
      </c>
      <c r="L600" s="1"/>
      <c r="M600" s="1" t="s">
        <v>29</v>
      </c>
      <c r="N600" s="1" t="s">
        <v>30</v>
      </c>
      <c r="O600" s="1" t="s">
        <v>126</v>
      </c>
      <c r="P600" s="1" t="str">
        <f t="shared" si="522"/>
        <v>Philadelphia</v>
      </c>
      <c r="Q600" s="1" t="s">
        <v>127</v>
      </c>
      <c r="R600" s="1" t="str">
        <f t="shared" si="523"/>
        <v>Pennsylvania</v>
      </c>
      <c r="S600" s="1">
        <v>19134</v>
      </c>
      <c r="T600" s="1" t="s">
        <v>128</v>
      </c>
      <c r="U600" s="1" t="s">
        <v>1628</v>
      </c>
      <c r="V600" s="1" t="s">
        <v>46</v>
      </c>
      <c r="W600" s="7">
        <v>11.632</v>
      </c>
      <c r="X600" s="1">
        <v>1</v>
      </c>
      <c r="Y600" s="7">
        <v>11.38</v>
      </c>
      <c r="Z600" s="7">
        <f t="shared" ref="Z600:AA600" si="613">W600*X600</f>
        <v>11.632</v>
      </c>
      <c r="AA600" s="7">
        <f t="shared" si="613"/>
        <v>11.38</v>
      </c>
      <c r="AB600" s="7">
        <f t="shared" si="525"/>
        <v>0.25199999999999889</v>
      </c>
    </row>
    <row r="601" spans="1:28">
      <c r="A601" s="1">
        <v>600</v>
      </c>
      <c r="B601" s="1" t="s">
        <v>1629</v>
      </c>
      <c r="C601" s="2">
        <v>42932</v>
      </c>
      <c r="D601" s="6" t="str">
        <f t="shared" si="520"/>
        <v>Jul</v>
      </c>
      <c r="E601" s="6" t="str">
        <f t="shared" si="521"/>
        <v>Qtr 3</v>
      </c>
      <c r="F601" s="5" t="s">
        <v>1630</v>
      </c>
      <c r="G601" s="1" t="s">
        <v>49</v>
      </c>
      <c r="H601" s="1" t="s">
        <v>1631</v>
      </c>
      <c r="I601" s="1" t="s">
        <v>1632</v>
      </c>
      <c r="J601" s="1" t="str">
        <f ca="1">IFERROR(__xludf.DUMMYFUNCTION("split(I601,"" "")"),"Chloris")</f>
        <v>Chloris</v>
      </c>
      <c r="K601" s="1" t="str">
        <f ca="1">IFERROR(__xludf.DUMMYFUNCTION("""COMPUTED_VALUE"""),"Kastensmidt")</f>
        <v>Kastensmidt</v>
      </c>
      <c r="L601" s="1"/>
      <c r="M601" s="1" t="s">
        <v>29</v>
      </c>
      <c r="N601" s="1" t="s">
        <v>30</v>
      </c>
      <c r="O601" s="1" t="s">
        <v>126</v>
      </c>
      <c r="P601" s="1" t="str">
        <f t="shared" si="522"/>
        <v>Philadelphia</v>
      </c>
      <c r="Q601" s="1" t="s">
        <v>127</v>
      </c>
      <c r="R601" s="1" t="str">
        <f t="shared" si="523"/>
        <v>Pennsylvania</v>
      </c>
      <c r="S601" s="1">
        <v>19120</v>
      </c>
      <c r="T601" s="1" t="s">
        <v>128</v>
      </c>
      <c r="U601" s="1" t="s">
        <v>1633</v>
      </c>
      <c r="V601" s="1" t="s">
        <v>64</v>
      </c>
      <c r="W601" s="7">
        <v>143.982</v>
      </c>
      <c r="X601" s="1">
        <v>1</v>
      </c>
      <c r="Y601" s="7">
        <v>143.97999999999999</v>
      </c>
      <c r="Z601" s="7">
        <f t="shared" ref="Z601:AA601" si="614">W601*X601</f>
        <v>143.982</v>
      </c>
      <c r="AA601" s="7">
        <f t="shared" si="614"/>
        <v>143.97999999999999</v>
      </c>
      <c r="AB601" s="7">
        <f t="shared" si="525"/>
        <v>2.0000000000095497E-3</v>
      </c>
    </row>
    <row r="602" spans="1:28">
      <c r="A602" s="1">
        <v>601</v>
      </c>
      <c r="B602" s="1" t="s">
        <v>1629</v>
      </c>
      <c r="C602" s="2">
        <v>42932</v>
      </c>
      <c r="D602" s="6" t="str">
        <f t="shared" si="520"/>
        <v>Jul</v>
      </c>
      <c r="E602" s="6" t="str">
        <f t="shared" si="521"/>
        <v>Qtr 3</v>
      </c>
      <c r="F602" s="5" t="s">
        <v>1630</v>
      </c>
      <c r="G602" s="1" t="s">
        <v>49</v>
      </c>
      <c r="H602" s="1" t="s">
        <v>1631</v>
      </c>
      <c r="I602" s="1" t="s">
        <v>1632</v>
      </c>
      <c r="J602" s="1" t="str">
        <f ca="1">IFERROR(__xludf.DUMMYFUNCTION("split(I602,"" "")"),"Chloris")</f>
        <v>Chloris</v>
      </c>
      <c r="K602" s="1" t="str">
        <f ca="1">IFERROR(__xludf.DUMMYFUNCTION("""COMPUTED_VALUE"""),"Kastensmidt")</f>
        <v>Kastensmidt</v>
      </c>
      <c r="L602" s="1"/>
      <c r="M602" s="1" t="s">
        <v>29</v>
      </c>
      <c r="N602" s="1" t="s">
        <v>30</v>
      </c>
      <c r="O602" s="1" t="s">
        <v>126</v>
      </c>
      <c r="P602" s="1" t="str">
        <f t="shared" si="522"/>
        <v>Philadelphia</v>
      </c>
      <c r="Q602" s="1" t="s">
        <v>127</v>
      </c>
      <c r="R602" s="1" t="str">
        <f t="shared" si="523"/>
        <v>Pennsylvania</v>
      </c>
      <c r="S602" s="1">
        <v>19120</v>
      </c>
      <c r="T602" s="1" t="s">
        <v>128</v>
      </c>
      <c r="U602" s="1" t="s">
        <v>1634</v>
      </c>
      <c r="V602" s="1" t="s">
        <v>64</v>
      </c>
      <c r="W602" s="7">
        <v>494.37599999999998</v>
      </c>
      <c r="X602" s="1">
        <v>1</v>
      </c>
      <c r="Y602" s="7">
        <v>493.7</v>
      </c>
      <c r="Z602" s="7">
        <f t="shared" ref="Z602:AA602" si="615">W602*X602</f>
        <v>494.37599999999998</v>
      </c>
      <c r="AA602" s="7">
        <f t="shared" si="615"/>
        <v>493.7</v>
      </c>
      <c r="AB602" s="7">
        <f t="shared" si="525"/>
        <v>0.67599999999998772</v>
      </c>
    </row>
    <row r="603" spans="1:28">
      <c r="A603" s="1">
        <v>602</v>
      </c>
      <c r="B603" s="1" t="s">
        <v>1629</v>
      </c>
      <c r="C603" s="2">
        <v>42932</v>
      </c>
      <c r="D603" s="6" t="str">
        <f t="shared" si="520"/>
        <v>Jul</v>
      </c>
      <c r="E603" s="6" t="str">
        <f t="shared" si="521"/>
        <v>Qtr 3</v>
      </c>
      <c r="F603" s="5" t="s">
        <v>1630</v>
      </c>
      <c r="G603" s="1" t="s">
        <v>49</v>
      </c>
      <c r="H603" s="1" t="s">
        <v>1631</v>
      </c>
      <c r="I603" s="1" t="s">
        <v>1632</v>
      </c>
      <c r="J603" s="1" t="str">
        <f ca="1">IFERROR(__xludf.DUMMYFUNCTION("split(I603,"" "")"),"Chloris")</f>
        <v>Chloris</v>
      </c>
      <c r="K603" s="1" t="str">
        <f ca="1">IFERROR(__xludf.DUMMYFUNCTION("""COMPUTED_VALUE"""),"Kastensmidt")</f>
        <v>Kastensmidt</v>
      </c>
      <c r="L603" s="1"/>
      <c r="M603" s="1" t="s">
        <v>29</v>
      </c>
      <c r="N603" s="1" t="s">
        <v>30</v>
      </c>
      <c r="O603" s="1" t="s">
        <v>126</v>
      </c>
      <c r="P603" s="1" t="str">
        <f t="shared" si="522"/>
        <v>Philadelphia</v>
      </c>
      <c r="Q603" s="1" t="s">
        <v>127</v>
      </c>
      <c r="R603" s="1" t="str">
        <f t="shared" si="523"/>
        <v>Pennsylvania</v>
      </c>
      <c r="S603" s="1">
        <v>19120</v>
      </c>
      <c r="T603" s="1" t="s">
        <v>128</v>
      </c>
      <c r="U603" s="1" t="s">
        <v>1585</v>
      </c>
      <c r="V603" s="1" t="s">
        <v>46</v>
      </c>
      <c r="W603" s="7">
        <v>5.84</v>
      </c>
      <c r="X603" s="1">
        <v>1</v>
      </c>
      <c r="Y603" s="7">
        <v>4.88</v>
      </c>
      <c r="Z603" s="7">
        <f t="shared" ref="Z603:AA603" si="616">W603*X603</f>
        <v>5.84</v>
      </c>
      <c r="AA603" s="7">
        <f t="shared" si="616"/>
        <v>4.88</v>
      </c>
      <c r="AB603" s="7">
        <f t="shared" si="525"/>
        <v>0.96</v>
      </c>
    </row>
    <row r="604" spans="1:28">
      <c r="A604" s="1">
        <v>603</v>
      </c>
      <c r="B604" s="1" t="s">
        <v>1635</v>
      </c>
      <c r="C604" s="2">
        <v>42078</v>
      </c>
      <c r="D604" s="6" t="str">
        <f t="shared" si="520"/>
        <v>Mar</v>
      </c>
      <c r="E604" s="6" t="str">
        <f t="shared" si="521"/>
        <v>Qtr 1</v>
      </c>
      <c r="F604" s="5" t="s">
        <v>1636</v>
      </c>
      <c r="G604" s="1" t="s">
        <v>49</v>
      </c>
      <c r="H604" s="1" t="s">
        <v>1637</v>
      </c>
      <c r="I604" s="1" t="s">
        <v>1638</v>
      </c>
      <c r="J604" s="1" t="str">
        <f ca="1">IFERROR(__xludf.DUMMYFUNCTION("split(I604,"" "")"),"Alan")</f>
        <v>Alan</v>
      </c>
      <c r="K604" s="1" t="str">
        <f ca="1">IFERROR(__xludf.DUMMYFUNCTION("""COMPUTED_VALUE"""),"Shonely")</f>
        <v>Shonely</v>
      </c>
      <c r="L604" s="1"/>
      <c r="M604" s="1" t="s">
        <v>29</v>
      </c>
      <c r="N604" s="1" t="s">
        <v>30</v>
      </c>
      <c r="O604" s="1" t="s">
        <v>743</v>
      </c>
      <c r="P604" s="1" t="str">
        <f t="shared" si="522"/>
        <v>Tampa</v>
      </c>
      <c r="Q604" s="1" t="s">
        <v>194</v>
      </c>
      <c r="R604" s="1" t="str">
        <f t="shared" si="523"/>
        <v>Florida</v>
      </c>
      <c r="S604" s="1">
        <v>33614</v>
      </c>
      <c r="T604" s="1" t="s">
        <v>33</v>
      </c>
      <c r="U604" s="1" t="s">
        <v>1639</v>
      </c>
      <c r="V604" s="1" t="s">
        <v>46</v>
      </c>
      <c r="W604" s="7">
        <v>142.77600000000001</v>
      </c>
      <c r="X604" s="1">
        <v>3</v>
      </c>
      <c r="Y604" s="7">
        <v>142.63999999999999</v>
      </c>
      <c r="Z604" s="7">
        <f t="shared" ref="Z604:AA604" si="617">W604*X604</f>
        <v>428.32800000000003</v>
      </c>
      <c r="AA604" s="7">
        <f t="shared" si="617"/>
        <v>427.91999999999996</v>
      </c>
      <c r="AB604" s="7">
        <f t="shared" si="525"/>
        <v>0.4080000000000723</v>
      </c>
    </row>
    <row r="605" spans="1:28">
      <c r="A605" s="1">
        <v>604</v>
      </c>
      <c r="B605" s="1" t="s">
        <v>1635</v>
      </c>
      <c r="C605" s="2">
        <v>42078</v>
      </c>
      <c r="D605" s="6" t="str">
        <f t="shared" si="520"/>
        <v>Mar</v>
      </c>
      <c r="E605" s="6" t="str">
        <f t="shared" si="521"/>
        <v>Qtr 1</v>
      </c>
      <c r="F605" s="5" t="s">
        <v>1636</v>
      </c>
      <c r="G605" s="1" t="s">
        <v>49</v>
      </c>
      <c r="H605" s="1" t="s">
        <v>1637</v>
      </c>
      <c r="I605" s="1" t="s">
        <v>1638</v>
      </c>
      <c r="J605" s="1" t="str">
        <f ca="1">IFERROR(__xludf.DUMMYFUNCTION("split(I605,"" "")"),"Alan")</f>
        <v>Alan</v>
      </c>
      <c r="K605" s="1" t="str">
        <f ca="1">IFERROR(__xludf.DUMMYFUNCTION("""COMPUTED_VALUE"""),"Shonely")</f>
        <v>Shonely</v>
      </c>
      <c r="L605" s="1"/>
      <c r="M605" s="1" t="s">
        <v>29</v>
      </c>
      <c r="N605" s="1" t="s">
        <v>30</v>
      </c>
      <c r="O605" s="1" t="s">
        <v>743</v>
      </c>
      <c r="P605" s="1" t="str">
        <f t="shared" si="522"/>
        <v>Tampa</v>
      </c>
      <c r="Q605" s="1" t="s">
        <v>194</v>
      </c>
      <c r="R605" s="1" t="str">
        <f t="shared" si="523"/>
        <v>Florida</v>
      </c>
      <c r="S605" s="1">
        <v>33614</v>
      </c>
      <c r="T605" s="1" t="s">
        <v>33</v>
      </c>
      <c r="U605" s="1" t="s">
        <v>926</v>
      </c>
      <c r="V605" s="1" t="s">
        <v>35</v>
      </c>
      <c r="W605" s="7">
        <v>45.695999999999998</v>
      </c>
      <c r="X605" s="1">
        <v>3</v>
      </c>
      <c r="Y605" s="7">
        <v>45.65</v>
      </c>
      <c r="Z605" s="7">
        <f t="shared" ref="Z605:AA605" si="618">W605*X605</f>
        <v>137.08799999999999</v>
      </c>
      <c r="AA605" s="7">
        <f t="shared" si="618"/>
        <v>136.94999999999999</v>
      </c>
      <c r="AB605" s="7">
        <f t="shared" si="525"/>
        <v>0.13800000000000523</v>
      </c>
    </row>
    <row r="606" spans="1:28">
      <c r="A606" s="1">
        <v>605</v>
      </c>
      <c r="B606" s="1" t="s">
        <v>1635</v>
      </c>
      <c r="C606" s="2">
        <v>42078</v>
      </c>
      <c r="D606" s="6" t="str">
        <f t="shared" si="520"/>
        <v>Mar</v>
      </c>
      <c r="E606" s="6" t="str">
        <f t="shared" si="521"/>
        <v>Qtr 1</v>
      </c>
      <c r="F606" s="5" t="s">
        <v>1636</v>
      </c>
      <c r="G606" s="1" t="s">
        <v>49</v>
      </c>
      <c r="H606" s="1" t="s">
        <v>1637</v>
      </c>
      <c r="I606" s="1" t="s">
        <v>1638</v>
      </c>
      <c r="J606" s="1" t="str">
        <f ca="1">IFERROR(__xludf.DUMMYFUNCTION("split(I606,"" "")"),"Alan")</f>
        <v>Alan</v>
      </c>
      <c r="K606" s="1" t="str">
        <f ca="1">IFERROR(__xludf.DUMMYFUNCTION("""COMPUTED_VALUE"""),"Shonely")</f>
        <v>Shonely</v>
      </c>
      <c r="L606" s="1"/>
      <c r="M606" s="1" t="s">
        <v>29</v>
      </c>
      <c r="N606" s="1" t="s">
        <v>30</v>
      </c>
      <c r="O606" s="1" t="s">
        <v>743</v>
      </c>
      <c r="P606" s="1" t="str">
        <f t="shared" si="522"/>
        <v>Tampa</v>
      </c>
      <c r="Q606" s="1" t="s">
        <v>194</v>
      </c>
      <c r="R606" s="1" t="str">
        <f t="shared" si="523"/>
        <v>Florida</v>
      </c>
      <c r="S606" s="1">
        <v>33614</v>
      </c>
      <c r="T606" s="1" t="s">
        <v>33</v>
      </c>
      <c r="U606" s="1" t="s">
        <v>1242</v>
      </c>
      <c r="V606" s="1" t="s">
        <v>46</v>
      </c>
      <c r="W606" s="7">
        <v>7.218</v>
      </c>
      <c r="X606" s="1">
        <v>3</v>
      </c>
      <c r="Y606" s="7">
        <v>6.25</v>
      </c>
      <c r="Z606" s="7">
        <f t="shared" ref="Z606:AA606" si="619">W606*X606</f>
        <v>21.654</v>
      </c>
      <c r="AA606" s="7">
        <f t="shared" si="619"/>
        <v>18.75</v>
      </c>
      <c r="AB606" s="7">
        <f t="shared" si="525"/>
        <v>2.9039999999999999</v>
      </c>
    </row>
    <row r="607" spans="1:28">
      <c r="A607" s="1">
        <v>606</v>
      </c>
      <c r="B607" s="1" t="s">
        <v>1635</v>
      </c>
      <c r="C607" s="2">
        <v>42078</v>
      </c>
      <c r="D607" s="6" t="str">
        <f t="shared" si="520"/>
        <v>Mar</v>
      </c>
      <c r="E607" s="6" t="str">
        <f t="shared" si="521"/>
        <v>Qtr 1</v>
      </c>
      <c r="F607" s="5" t="s">
        <v>1636</v>
      </c>
      <c r="G607" s="1" t="s">
        <v>49</v>
      </c>
      <c r="H607" s="1" t="s">
        <v>1637</v>
      </c>
      <c r="I607" s="1" t="s">
        <v>1638</v>
      </c>
      <c r="J607" s="1" t="str">
        <f ca="1">IFERROR(__xludf.DUMMYFUNCTION("split(I607,"" "")"),"Alan")</f>
        <v>Alan</v>
      </c>
      <c r="K607" s="1" t="str">
        <f ca="1">IFERROR(__xludf.DUMMYFUNCTION("""COMPUTED_VALUE"""),"Shonely")</f>
        <v>Shonely</v>
      </c>
      <c r="L607" s="1"/>
      <c r="M607" s="1" t="s">
        <v>29</v>
      </c>
      <c r="N607" s="1" t="s">
        <v>30</v>
      </c>
      <c r="O607" s="1" t="s">
        <v>743</v>
      </c>
      <c r="P607" s="1" t="str">
        <f t="shared" si="522"/>
        <v>Tampa</v>
      </c>
      <c r="Q607" s="1" t="s">
        <v>194</v>
      </c>
      <c r="R607" s="1" t="str">
        <f t="shared" si="523"/>
        <v>Florida</v>
      </c>
      <c r="S607" s="1">
        <v>33614</v>
      </c>
      <c r="T607" s="1" t="s">
        <v>33</v>
      </c>
      <c r="U607" s="1" t="s">
        <v>1217</v>
      </c>
      <c r="V607" s="1" t="s">
        <v>46</v>
      </c>
      <c r="W607" s="7">
        <v>43.188000000000002</v>
      </c>
      <c r="X607" s="1">
        <v>3</v>
      </c>
      <c r="Y607" s="7">
        <v>42.61</v>
      </c>
      <c r="Z607" s="7">
        <f t="shared" ref="Z607:AA607" si="620">W607*X607</f>
        <v>129.56400000000002</v>
      </c>
      <c r="AA607" s="7">
        <f t="shared" si="620"/>
        <v>127.83</v>
      </c>
      <c r="AB607" s="7">
        <f t="shared" si="525"/>
        <v>1.7340000000000231</v>
      </c>
    </row>
    <row r="608" spans="1:28">
      <c r="A608" s="1">
        <v>607</v>
      </c>
      <c r="B608" s="1" t="s">
        <v>1635</v>
      </c>
      <c r="C608" s="2">
        <v>42078</v>
      </c>
      <c r="D608" s="6" t="str">
        <f t="shared" si="520"/>
        <v>Mar</v>
      </c>
      <c r="E608" s="6" t="str">
        <f t="shared" si="521"/>
        <v>Qtr 1</v>
      </c>
      <c r="F608" s="5" t="s">
        <v>1636</v>
      </c>
      <c r="G608" s="1" t="s">
        <v>49</v>
      </c>
      <c r="H608" s="1" t="s">
        <v>1637</v>
      </c>
      <c r="I608" s="1" t="s">
        <v>1638</v>
      </c>
      <c r="J608" s="1" t="str">
        <f ca="1">IFERROR(__xludf.DUMMYFUNCTION("split(I608,"" "")"),"Alan")</f>
        <v>Alan</v>
      </c>
      <c r="K608" s="1" t="str">
        <f ca="1">IFERROR(__xludf.DUMMYFUNCTION("""COMPUTED_VALUE"""),"Shonely")</f>
        <v>Shonely</v>
      </c>
      <c r="L608" s="1"/>
      <c r="M608" s="1" t="s">
        <v>29</v>
      </c>
      <c r="N608" s="1" t="s">
        <v>30</v>
      </c>
      <c r="O608" s="1" t="s">
        <v>743</v>
      </c>
      <c r="P608" s="1" t="str">
        <f t="shared" si="522"/>
        <v>Tampa</v>
      </c>
      <c r="Q608" s="1" t="s">
        <v>194</v>
      </c>
      <c r="R608" s="1" t="str">
        <f t="shared" si="523"/>
        <v>Florida</v>
      </c>
      <c r="S608" s="1">
        <v>33614</v>
      </c>
      <c r="T608" s="1" t="s">
        <v>33</v>
      </c>
      <c r="U608" s="1" t="s">
        <v>1640</v>
      </c>
      <c r="V608" s="1" t="s">
        <v>46</v>
      </c>
      <c r="W608" s="7">
        <v>131.904</v>
      </c>
      <c r="X608" s="1">
        <v>3</v>
      </c>
      <c r="Y608" s="7">
        <v>131.07</v>
      </c>
      <c r="Z608" s="7">
        <f t="shared" ref="Z608:AA608" si="621">W608*X608</f>
        <v>395.71199999999999</v>
      </c>
      <c r="AA608" s="7">
        <f t="shared" si="621"/>
        <v>393.21</v>
      </c>
      <c r="AB608" s="7">
        <f t="shared" si="525"/>
        <v>2.5020000000000095</v>
      </c>
    </row>
    <row r="609" spans="1:28">
      <c r="A609" s="1">
        <v>608</v>
      </c>
      <c r="B609" s="1" t="s">
        <v>1641</v>
      </c>
      <c r="C609" s="2">
        <v>42147</v>
      </c>
      <c r="D609" s="6" t="str">
        <f t="shared" si="520"/>
        <v>May</v>
      </c>
      <c r="E609" s="6" t="str">
        <f t="shared" si="521"/>
        <v>Qtr 2</v>
      </c>
      <c r="F609" s="5" t="s">
        <v>1642</v>
      </c>
      <c r="G609" s="1" t="s">
        <v>49</v>
      </c>
      <c r="H609" s="1" t="s">
        <v>1643</v>
      </c>
      <c r="I609" s="1" t="s">
        <v>1644</v>
      </c>
      <c r="J609" s="1" t="str">
        <f ca="1">IFERROR(__xludf.DUMMYFUNCTION("split(I609,"" "")"),"Andrew")</f>
        <v>Andrew</v>
      </c>
      <c r="K609" s="1" t="str">
        <f ca="1">IFERROR(__xludf.DUMMYFUNCTION("""COMPUTED_VALUE"""),"Roberts")</f>
        <v>Roberts</v>
      </c>
      <c r="L609" s="1"/>
      <c r="M609" s="1" t="s">
        <v>29</v>
      </c>
      <c r="N609" s="1" t="s">
        <v>30</v>
      </c>
      <c r="O609" s="1" t="s">
        <v>126</v>
      </c>
      <c r="P609" s="1" t="str">
        <f t="shared" si="522"/>
        <v>Philadelphia</v>
      </c>
      <c r="Q609" s="1" t="s">
        <v>127</v>
      </c>
      <c r="R609" s="1" t="str">
        <f t="shared" si="523"/>
        <v>Pennsylvania</v>
      </c>
      <c r="S609" s="1">
        <v>19134</v>
      </c>
      <c r="T609" s="1" t="s">
        <v>128</v>
      </c>
      <c r="U609" s="1" t="s">
        <v>1645</v>
      </c>
      <c r="V609" s="1" t="s">
        <v>46</v>
      </c>
      <c r="W609" s="7">
        <v>3.282</v>
      </c>
      <c r="X609" s="1">
        <v>1</v>
      </c>
      <c r="Y609" s="7">
        <v>2.64</v>
      </c>
      <c r="Z609" s="7">
        <f t="shared" ref="Z609:AA609" si="622">W609*X609</f>
        <v>3.282</v>
      </c>
      <c r="AA609" s="7">
        <f t="shared" si="622"/>
        <v>2.64</v>
      </c>
      <c r="AB609" s="7">
        <f t="shared" si="525"/>
        <v>0.6419999999999999</v>
      </c>
    </row>
    <row r="610" spans="1:28">
      <c r="A610" s="1">
        <v>609</v>
      </c>
      <c r="B610" s="1" t="s">
        <v>1641</v>
      </c>
      <c r="C610" s="2">
        <v>42147</v>
      </c>
      <c r="D610" s="6" t="str">
        <f t="shared" si="520"/>
        <v>May</v>
      </c>
      <c r="E610" s="6" t="str">
        <f t="shared" si="521"/>
        <v>Qtr 2</v>
      </c>
      <c r="F610" s="5" t="s">
        <v>1642</v>
      </c>
      <c r="G610" s="1" t="s">
        <v>49</v>
      </c>
      <c r="H610" s="1" t="s">
        <v>1643</v>
      </c>
      <c r="I610" s="1" t="s">
        <v>1644</v>
      </c>
      <c r="J610" s="1" t="str">
        <f ca="1">IFERROR(__xludf.DUMMYFUNCTION("split(I610,"" "")"),"Andrew")</f>
        <v>Andrew</v>
      </c>
      <c r="K610" s="1" t="str">
        <f ca="1">IFERROR(__xludf.DUMMYFUNCTION("""COMPUTED_VALUE"""),"Roberts")</f>
        <v>Roberts</v>
      </c>
      <c r="L610" s="1"/>
      <c r="M610" s="1" t="s">
        <v>29</v>
      </c>
      <c r="N610" s="1" t="s">
        <v>30</v>
      </c>
      <c r="O610" s="1" t="s">
        <v>126</v>
      </c>
      <c r="P610" s="1" t="str">
        <f t="shared" si="522"/>
        <v>Philadelphia</v>
      </c>
      <c r="Q610" s="1" t="s">
        <v>127</v>
      </c>
      <c r="R610" s="1" t="str">
        <f t="shared" si="523"/>
        <v>Pennsylvania</v>
      </c>
      <c r="S610" s="1">
        <v>19134</v>
      </c>
      <c r="T610" s="1" t="s">
        <v>128</v>
      </c>
      <c r="U610" s="1" t="s">
        <v>1429</v>
      </c>
      <c r="V610" s="1" t="s">
        <v>46</v>
      </c>
      <c r="W610" s="7">
        <v>21.167999999999999</v>
      </c>
      <c r="X610" s="1">
        <v>1</v>
      </c>
      <c r="Y610" s="7">
        <v>20.68</v>
      </c>
      <c r="Z610" s="7">
        <f t="shared" ref="Z610:AA610" si="623">W610*X610</f>
        <v>21.167999999999999</v>
      </c>
      <c r="AA610" s="7">
        <f t="shared" si="623"/>
        <v>20.68</v>
      </c>
      <c r="AB610" s="7">
        <f t="shared" si="525"/>
        <v>0.48799999999999955</v>
      </c>
    </row>
    <row r="611" spans="1:28">
      <c r="A611" s="1">
        <v>610</v>
      </c>
      <c r="B611" s="1" t="s">
        <v>1641</v>
      </c>
      <c r="C611" s="2">
        <v>42147</v>
      </c>
      <c r="D611" s="6" t="str">
        <f t="shared" si="520"/>
        <v>May</v>
      </c>
      <c r="E611" s="6" t="str">
        <f t="shared" si="521"/>
        <v>Qtr 2</v>
      </c>
      <c r="F611" s="5" t="s">
        <v>1642</v>
      </c>
      <c r="G611" s="1" t="s">
        <v>49</v>
      </c>
      <c r="H611" s="1" t="s">
        <v>1643</v>
      </c>
      <c r="I611" s="1" t="s">
        <v>1644</v>
      </c>
      <c r="J611" s="1" t="str">
        <f ca="1">IFERROR(__xludf.DUMMYFUNCTION("split(I611,"" "")"),"Andrew")</f>
        <v>Andrew</v>
      </c>
      <c r="K611" s="1" t="str">
        <f ca="1">IFERROR(__xludf.DUMMYFUNCTION("""COMPUTED_VALUE"""),"Roberts")</f>
        <v>Roberts</v>
      </c>
      <c r="L611" s="1"/>
      <c r="M611" s="1" t="s">
        <v>29</v>
      </c>
      <c r="N611" s="1" t="s">
        <v>30</v>
      </c>
      <c r="O611" s="1" t="s">
        <v>126</v>
      </c>
      <c r="P611" s="1" t="str">
        <f t="shared" si="522"/>
        <v>Philadelphia</v>
      </c>
      <c r="Q611" s="1" t="s">
        <v>127</v>
      </c>
      <c r="R611" s="1" t="str">
        <f t="shared" si="523"/>
        <v>Pennsylvania</v>
      </c>
      <c r="S611" s="1">
        <v>19134</v>
      </c>
      <c r="T611" s="1" t="s">
        <v>128</v>
      </c>
      <c r="U611" s="1" t="s">
        <v>1646</v>
      </c>
      <c r="V611" s="1" t="s">
        <v>64</v>
      </c>
      <c r="W611" s="7">
        <v>55.188000000000002</v>
      </c>
      <c r="X611" s="1">
        <v>1</v>
      </c>
      <c r="Y611" s="7">
        <v>54.68</v>
      </c>
      <c r="Z611" s="7">
        <f t="shared" ref="Z611:AA611" si="624">W611*X611</f>
        <v>55.188000000000002</v>
      </c>
      <c r="AA611" s="7">
        <f t="shared" si="624"/>
        <v>54.68</v>
      </c>
      <c r="AB611" s="7">
        <f t="shared" si="525"/>
        <v>0.50800000000000267</v>
      </c>
    </row>
    <row r="612" spans="1:28">
      <c r="A612" s="1">
        <v>611</v>
      </c>
      <c r="B612" s="1" t="s">
        <v>1647</v>
      </c>
      <c r="C612" s="2">
        <v>42853</v>
      </c>
      <c r="D612" s="6" t="str">
        <f t="shared" si="520"/>
        <v>Apr</v>
      </c>
      <c r="E612" s="6" t="str">
        <f t="shared" si="521"/>
        <v>Qtr 2</v>
      </c>
      <c r="F612" s="5">
        <v>42740</v>
      </c>
      <c r="G612" s="1" t="s">
        <v>162</v>
      </c>
      <c r="H612" s="1" t="s">
        <v>1648</v>
      </c>
      <c r="I612" s="1" t="s">
        <v>1649</v>
      </c>
      <c r="J612" s="1" t="str">
        <f ca="1">IFERROR(__xludf.DUMMYFUNCTION("split(I612,"" "")"),"Nona")</f>
        <v>Nona</v>
      </c>
      <c r="K612" s="1" t="str">
        <f ca="1">IFERROR(__xludf.DUMMYFUNCTION("""COMPUTED_VALUE"""),"Balk")</f>
        <v>Balk</v>
      </c>
      <c r="L612" s="1"/>
      <c r="M612" s="1" t="s">
        <v>41</v>
      </c>
      <c r="N612" s="1" t="s">
        <v>30</v>
      </c>
      <c r="O612" s="1" t="s">
        <v>677</v>
      </c>
      <c r="P612" s="1" t="str">
        <f t="shared" si="522"/>
        <v>Dallas</v>
      </c>
      <c r="Q612" s="1" t="s">
        <v>89</v>
      </c>
      <c r="R612" s="1" t="str">
        <f t="shared" si="523"/>
        <v>Texas</v>
      </c>
      <c r="S612" s="1">
        <v>75217</v>
      </c>
      <c r="T612" s="1" t="s">
        <v>90</v>
      </c>
      <c r="U612" s="1" t="s">
        <v>1123</v>
      </c>
      <c r="V612" s="1" t="s">
        <v>64</v>
      </c>
      <c r="W612" s="7">
        <v>369.57600000000002</v>
      </c>
      <c r="X612" s="1">
        <v>7</v>
      </c>
      <c r="Y612" s="7">
        <v>369.43</v>
      </c>
      <c r="Z612" s="7">
        <f t="shared" ref="Z612:AA612" si="625">W612*X612</f>
        <v>2587.0320000000002</v>
      </c>
      <c r="AA612" s="7">
        <f t="shared" si="625"/>
        <v>2586.0100000000002</v>
      </c>
      <c r="AB612" s="7">
        <f t="shared" si="525"/>
        <v>1.0219999999999345</v>
      </c>
    </row>
    <row r="613" spans="1:28">
      <c r="A613" s="1">
        <v>612</v>
      </c>
      <c r="B613" s="1" t="s">
        <v>1647</v>
      </c>
      <c r="C613" s="2">
        <v>42853</v>
      </c>
      <c r="D613" s="6" t="str">
        <f t="shared" si="520"/>
        <v>Apr</v>
      </c>
      <c r="E613" s="6" t="str">
        <f t="shared" si="521"/>
        <v>Qtr 2</v>
      </c>
      <c r="F613" s="5">
        <v>42740</v>
      </c>
      <c r="G613" s="1" t="s">
        <v>162</v>
      </c>
      <c r="H613" s="1" t="s">
        <v>1648</v>
      </c>
      <c r="I613" s="1" t="s">
        <v>1649</v>
      </c>
      <c r="J613" s="1" t="str">
        <f ca="1">IFERROR(__xludf.DUMMYFUNCTION("split(I613,"" "")"),"Nona")</f>
        <v>Nona</v>
      </c>
      <c r="K613" s="1" t="str">
        <f ca="1">IFERROR(__xludf.DUMMYFUNCTION("""COMPUTED_VALUE"""),"Balk")</f>
        <v>Balk</v>
      </c>
      <c r="L613" s="1"/>
      <c r="M613" s="1" t="s">
        <v>41</v>
      </c>
      <c r="N613" s="1" t="s">
        <v>30</v>
      </c>
      <c r="O613" s="1" t="s">
        <v>677</v>
      </c>
      <c r="P613" s="1" t="str">
        <f t="shared" si="522"/>
        <v>Dallas</v>
      </c>
      <c r="Q613" s="1" t="s">
        <v>89</v>
      </c>
      <c r="R613" s="1" t="str">
        <f t="shared" si="523"/>
        <v>Texas</v>
      </c>
      <c r="S613" s="1">
        <v>75217</v>
      </c>
      <c r="T613" s="1" t="s">
        <v>90</v>
      </c>
      <c r="U613" s="1" t="s">
        <v>1650</v>
      </c>
      <c r="V613" s="1" t="s">
        <v>46</v>
      </c>
      <c r="W613" s="7">
        <v>15.712</v>
      </c>
      <c r="X613" s="1">
        <v>7</v>
      </c>
      <c r="Y613" s="7">
        <v>15.41</v>
      </c>
      <c r="Z613" s="7">
        <f t="shared" ref="Z613:AA613" si="626">W613*X613</f>
        <v>109.98399999999999</v>
      </c>
      <c r="AA613" s="7">
        <f t="shared" si="626"/>
        <v>107.87</v>
      </c>
      <c r="AB613" s="7">
        <f t="shared" si="525"/>
        <v>2.1139999999999901</v>
      </c>
    </row>
    <row r="614" spans="1:28">
      <c r="A614" s="1">
        <v>613</v>
      </c>
      <c r="B614" s="1" t="s">
        <v>1651</v>
      </c>
      <c r="C614" s="2">
        <v>43048</v>
      </c>
      <c r="D614" s="6" t="str">
        <f t="shared" si="520"/>
        <v>Nov</v>
      </c>
      <c r="E614" s="6" t="str">
        <f t="shared" si="521"/>
        <v>Qtr 4</v>
      </c>
      <c r="F614" s="5" t="s">
        <v>1652</v>
      </c>
      <c r="G614" s="1" t="s">
        <v>26</v>
      </c>
      <c r="H614" s="1" t="s">
        <v>1653</v>
      </c>
      <c r="I614" s="1" t="s">
        <v>1654</v>
      </c>
      <c r="J614" s="1" t="str">
        <f ca="1">IFERROR(__xludf.DUMMYFUNCTION("split(I614,"" "")"),"Giulietta")</f>
        <v>Giulietta</v>
      </c>
      <c r="K614" s="1" t="str">
        <f ca="1">IFERROR(__xludf.DUMMYFUNCTION("""COMPUTED_VALUE"""),"Dortch")</f>
        <v>Dortch</v>
      </c>
      <c r="L614" s="1"/>
      <c r="M614" s="1" t="s">
        <v>41</v>
      </c>
      <c r="N614" s="1" t="s">
        <v>30</v>
      </c>
      <c r="O614" s="1" t="s">
        <v>126</v>
      </c>
      <c r="P614" s="1" t="str">
        <f t="shared" si="522"/>
        <v>Philadelphia</v>
      </c>
      <c r="Q614" s="1" t="s">
        <v>127</v>
      </c>
      <c r="R614" s="1" t="str">
        <f t="shared" si="523"/>
        <v>Pennsylvania</v>
      </c>
      <c r="S614" s="1">
        <v>19143</v>
      </c>
      <c r="T614" s="1" t="s">
        <v>128</v>
      </c>
      <c r="U614" s="1" t="s">
        <v>1655</v>
      </c>
      <c r="V614" s="1" t="s">
        <v>46</v>
      </c>
      <c r="W614" s="7">
        <v>8.4480000000000004</v>
      </c>
      <c r="X614" s="1">
        <v>1</v>
      </c>
      <c r="Y614" s="7">
        <v>7.49</v>
      </c>
      <c r="Z614" s="7">
        <f t="shared" ref="Z614:AA614" si="627">W614*X614</f>
        <v>8.4480000000000004</v>
      </c>
      <c r="AA614" s="7">
        <f t="shared" si="627"/>
        <v>7.49</v>
      </c>
      <c r="AB614" s="7">
        <f t="shared" si="525"/>
        <v>0.95800000000000018</v>
      </c>
    </row>
    <row r="615" spans="1:28">
      <c r="A615" s="1">
        <v>614</v>
      </c>
      <c r="B615" s="1" t="s">
        <v>1651</v>
      </c>
      <c r="C615" s="2">
        <v>43048</v>
      </c>
      <c r="D615" s="6" t="str">
        <f t="shared" si="520"/>
        <v>Nov</v>
      </c>
      <c r="E615" s="6" t="str">
        <f t="shared" si="521"/>
        <v>Qtr 4</v>
      </c>
      <c r="F615" s="5" t="s">
        <v>1652</v>
      </c>
      <c r="G615" s="1" t="s">
        <v>26</v>
      </c>
      <c r="H615" s="1" t="s">
        <v>1653</v>
      </c>
      <c r="I615" s="1" t="s">
        <v>1654</v>
      </c>
      <c r="J615" s="1" t="str">
        <f ca="1">IFERROR(__xludf.DUMMYFUNCTION("split(I615,"" "")"),"Giulietta")</f>
        <v>Giulietta</v>
      </c>
      <c r="K615" s="1" t="str">
        <f ca="1">IFERROR(__xludf.DUMMYFUNCTION("""COMPUTED_VALUE"""),"Dortch")</f>
        <v>Dortch</v>
      </c>
      <c r="L615" s="1"/>
      <c r="M615" s="1" t="s">
        <v>41</v>
      </c>
      <c r="N615" s="1" t="s">
        <v>30</v>
      </c>
      <c r="O615" s="1" t="s">
        <v>126</v>
      </c>
      <c r="P615" s="1" t="str">
        <f t="shared" si="522"/>
        <v>Philadelphia</v>
      </c>
      <c r="Q615" s="1" t="s">
        <v>127</v>
      </c>
      <c r="R615" s="1" t="str">
        <f t="shared" si="523"/>
        <v>Pennsylvania</v>
      </c>
      <c r="S615" s="1">
        <v>19143</v>
      </c>
      <c r="T615" s="1" t="s">
        <v>128</v>
      </c>
      <c r="U615" s="1" t="s">
        <v>1656</v>
      </c>
      <c r="V615" s="1" t="s">
        <v>64</v>
      </c>
      <c r="W615" s="7">
        <v>728.94600000000003</v>
      </c>
      <c r="X615" s="1">
        <v>1</v>
      </c>
      <c r="Y615" s="7">
        <v>727.99</v>
      </c>
      <c r="Z615" s="7">
        <f t="shared" ref="Z615:AA615" si="628">W615*X615</f>
        <v>728.94600000000003</v>
      </c>
      <c r="AA615" s="7">
        <f t="shared" si="628"/>
        <v>727.99</v>
      </c>
      <c r="AB615" s="7">
        <f t="shared" si="525"/>
        <v>0.95600000000001728</v>
      </c>
    </row>
    <row r="616" spans="1:28">
      <c r="A616" s="1">
        <v>615</v>
      </c>
      <c r="B616" s="1" t="s">
        <v>1657</v>
      </c>
      <c r="C616" s="2">
        <v>43418</v>
      </c>
      <c r="D616" s="6" t="str">
        <f t="shared" si="520"/>
        <v>Nov</v>
      </c>
      <c r="E616" s="6" t="str">
        <f t="shared" si="521"/>
        <v>Qtr 4</v>
      </c>
      <c r="F616" s="5" t="s">
        <v>1658</v>
      </c>
      <c r="G616" s="1" t="s">
        <v>26</v>
      </c>
      <c r="H616" s="1" t="s">
        <v>1659</v>
      </c>
      <c r="I616" s="1" t="s">
        <v>1660</v>
      </c>
      <c r="J616" s="1" t="str">
        <f ca="1">IFERROR(__xludf.DUMMYFUNCTION("split(I616,"" "")"),"Clytie")</f>
        <v>Clytie</v>
      </c>
      <c r="K616" s="1" t="str">
        <f ca="1">IFERROR(__xludf.DUMMYFUNCTION("""COMPUTED_VALUE"""),"Kelty")</f>
        <v>Kelty</v>
      </c>
      <c r="L616" s="1"/>
      <c r="M616" s="1" t="s">
        <v>29</v>
      </c>
      <c r="N616" s="1" t="s">
        <v>30</v>
      </c>
      <c r="O616" s="1" t="s">
        <v>1661</v>
      </c>
      <c r="P616" s="1" t="str">
        <f t="shared" si="522"/>
        <v>Grove City</v>
      </c>
      <c r="Q616" s="1" t="s">
        <v>421</v>
      </c>
      <c r="R616" s="1" t="str">
        <f t="shared" si="523"/>
        <v>Ohio</v>
      </c>
      <c r="S616" s="1">
        <v>43123</v>
      </c>
      <c r="T616" s="1" t="s">
        <v>128</v>
      </c>
      <c r="U616" s="1" t="s">
        <v>759</v>
      </c>
      <c r="V616" s="1" t="s">
        <v>64</v>
      </c>
      <c r="W616" s="7">
        <v>119.94</v>
      </c>
      <c r="X616" s="1">
        <v>4</v>
      </c>
      <c r="Y616" s="7">
        <v>119.72</v>
      </c>
      <c r="Z616" s="7">
        <f t="shared" ref="Z616:AA616" si="629">W616*X616</f>
        <v>479.76</v>
      </c>
      <c r="AA616" s="7">
        <f t="shared" si="629"/>
        <v>478.88</v>
      </c>
      <c r="AB616" s="7">
        <f t="shared" si="525"/>
        <v>0.87999999999999545</v>
      </c>
    </row>
    <row r="617" spans="1:28">
      <c r="A617" s="1">
        <v>616</v>
      </c>
      <c r="B617" s="1" t="s">
        <v>1657</v>
      </c>
      <c r="C617" s="2">
        <v>43418</v>
      </c>
      <c r="D617" s="6" t="str">
        <f t="shared" si="520"/>
        <v>Nov</v>
      </c>
      <c r="E617" s="6" t="str">
        <f t="shared" si="521"/>
        <v>Qtr 4</v>
      </c>
      <c r="F617" s="5" t="s">
        <v>1658</v>
      </c>
      <c r="G617" s="1" t="s">
        <v>26</v>
      </c>
      <c r="H617" s="1" t="s">
        <v>1659</v>
      </c>
      <c r="I617" s="1" t="s">
        <v>1660</v>
      </c>
      <c r="J617" s="1" t="str">
        <f ca="1">IFERROR(__xludf.DUMMYFUNCTION("split(I617,"" "")"),"Clytie")</f>
        <v>Clytie</v>
      </c>
      <c r="K617" s="1" t="str">
        <f ca="1">IFERROR(__xludf.DUMMYFUNCTION("""COMPUTED_VALUE"""),"Kelty")</f>
        <v>Kelty</v>
      </c>
      <c r="L617" s="1"/>
      <c r="M617" s="1" t="s">
        <v>29</v>
      </c>
      <c r="N617" s="1" t="s">
        <v>30</v>
      </c>
      <c r="O617" s="1" t="s">
        <v>1661</v>
      </c>
      <c r="P617" s="1" t="str">
        <f t="shared" si="522"/>
        <v>Grove City</v>
      </c>
      <c r="Q617" s="1" t="s">
        <v>421</v>
      </c>
      <c r="R617" s="1" t="str">
        <f t="shared" si="523"/>
        <v>Ohio</v>
      </c>
      <c r="S617" s="1">
        <v>43123</v>
      </c>
      <c r="T617" s="1" t="s">
        <v>128</v>
      </c>
      <c r="U617" s="1" t="s">
        <v>1662</v>
      </c>
      <c r="V617" s="1" t="s">
        <v>46</v>
      </c>
      <c r="W617" s="7">
        <v>3.6480000000000001</v>
      </c>
      <c r="X617" s="1">
        <v>4</v>
      </c>
      <c r="Y617" s="7">
        <v>2.81</v>
      </c>
      <c r="Z617" s="7">
        <f t="shared" ref="Z617:AA617" si="630">W617*X617</f>
        <v>14.592000000000001</v>
      </c>
      <c r="AA617" s="7">
        <f t="shared" si="630"/>
        <v>11.24</v>
      </c>
      <c r="AB617" s="7">
        <f t="shared" si="525"/>
        <v>3.3520000000000003</v>
      </c>
    </row>
    <row r="618" spans="1:28">
      <c r="A618" s="1">
        <v>617</v>
      </c>
      <c r="B618" s="1" t="s">
        <v>1663</v>
      </c>
      <c r="C618" s="2">
        <v>43330</v>
      </c>
      <c r="D618" s="6" t="str">
        <f t="shared" si="520"/>
        <v>Aug</v>
      </c>
      <c r="E618" s="6" t="str">
        <f t="shared" si="521"/>
        <v>Qtr 3</v>
      </c>
      <c r="F618" s="5" t="s">
        <v>1208</v>
      </c>
      <c r="G618" s="1" t="s">
        <v>26</v>
      </c>
      <c r="H618" s="1" t="s">
        <v>1664</v>
      </c>
      <c r="I618" s="1" t="s">
        <v>1665</v>
      </c>
      <c r="J618" s="1" t="str">
        <f ca="1">IFERROR(__xludf.DUMMYFUNCTION("split(I618,"" "")"),"Nat")</f>
        <v>Nat</v>
      </c>
      <c r="K618" s="1" t="str">
        <f ca="1">IFERROR(__xludf.DUMMYFUNCTION("""COMPUTED_VALUE"""),"Gilpin")</f>
        <v>Gilpin</v>
      </c>
      <c r="L618" s="1"/>
      <c r="M618" s="1" t="s">
        <v>41</v>
      </c>
      <c r="N618" s="1" t="s">
        <v>30</v>
      </c>
      <c r="O618" s="1" t="s">
        <v>233</v>
      </c>
      <c r="P618" s="1" t="str">
        <f t="shared" si="522"/>
        <v>New York City</v>
      </c>
      <c r="Q618" s="1" t="s">
        <v>234</v>
      </c>
      <c r="R618" s="1" t="str">
        <f t="shared" si="523"/>
        <v>New York</v>
      </c>
      <c r="S618" s="1">
        <v>10011</v>
      </c>
      <c r="T618" s="1" t="s">
        <v>128</v>
      </c>
      <c r="U618" s="1" t="s">
        <v>1666</v>
      </c>
      <c r="V618" s="1" t="s">
        <v>35</v>
      </c>
      <c r="W618" s="7">
        <v>40.479999999999997</v>
      </c>
      <c r="X618" s="1">
        <v>1</v>
      </c>
      <c r="Y618" s="7">
        <v>40.35</v>
      </c>
      <c r="Z618" s="7">
        <f t="shared" ref="Z618:AA618" si="631">W618*X618</f>
        <v>40.479999999999997</v>
      </c>
      <c r="AA618" s="7">
        <f t="shared" si="631"/>
        <v>40.35</v>
      </c>
      <c r="AB618" s="7">
        <f t="shared" si="525"/>
        <v>0.12999999999999545</v>
      </c>
    </row>
    <row r="619" spans="1:28">
      <c r="A619" s="1">
        <v>618</v>
      </c>
      <c r="B619" s="1" t="s">
        <v>1663</v>
      </c>
      <c r="C619" s="2">
        <v>43330</v>
      </c>
      <c r="D619" s="6" t="str">
        <f t="shared" si="520"/>
        <v>Aug</v>
      </c>
      <c r="E619" s="6" t="str">
        <f t="shared" si="521"/>
        <v>Qtr 3</v>
      </c>
      <c r="F619" s="5" t="s">
        <v>1208</v>
      </c>
      <c r="G619" s="1" t="s">
        <v>26</v>
      </c>
      <c r="H619" s="1" t="s">
        <v>1664</v>
      </c>
      <c r="I619" s="1" t="s">
        <v>1665</v>
      </c>
      <c r="J619" s="1" t="str">
        <f ca="1">IFERROR(__xludf.DUMMYFUNCTION("split(I619,"" "")"),"Nat")</f>
        <v>Nat</v>
      </c>
      <c r="K619" s="1" t="str">
        <f ca="1">IFERROR(__xludf.DUMMYFUNCTION("""COMPUTED_VALUE"""),"Gilpin")</f>
        <v>Gilpin</v>
      </c>
      <c r="L619" s="1"/>
      <c r="M619" s="1" t="s">
        <v>41</v>
      </c>
      <c r="N619" s="1" t="s">
        <v>30</v>
      </c>
      <c r="O619" s="1" t="s">
        <v>233</v>
      </c>
      <c r="P619" s="1" t="str">
        <f t="shared" si="522"/>
        <v>New York City</v>
      </c>
      <c r="Q619" s="1" t="s">
        <v>234</v>
      </c>
      <c r="R619" s="1" t="str">
        <f t="shared" si="523"/>
        <v>New York</v>
      </c>
      <c r="S619" s="1">
        <v>10011</v>
      </c>
      <c r="T619" s="1" t="s">
        <v>128</v>
      </c>
      <c r="U619" s="1" t="s">
        <v>1667</v>
      </c>
      <c r="V619" s="1" t="s">
        <v>35</v>
      </c>
      <c r="W619" s="7">
        <v>9.94</v>
      </c>
      <c r="X619" s="1">
        <v>1</v>
      </c>
      <c r="Y619" s="7">
        <v>9.42</v>
      </c>
      <c r="Z619" s="7">
        <f t="shared" ref="Z619:AA619" si="632">W619*X619</f>
        <v>9.94</v>
      </c>
      <c r="AA619" s="7">
        <f t="shared" si="632"/>
        <v>9.42</v>
      </c>
      <c r="AB619" s="7">
        <f t="shared" si="525"/>
        <v>0.51999999999999957</v>
      </c>
    </row>
    <row r="620" spans="1:28">
      <c r="A620" s="1">
        <v>619</v>
      </c>
      <c r="B620" s="1" t="s">
        <v>1663</v>
      </c>
      <c r="C620" s="2">
        <v>43330</v>
      </c>
      <c r="D620" s="6" t="str">
        <f t="shared" si="520"/>
        <v>Aug</v>
      </c>
      <c r="E620" s="6" t="str">
        <f t="shared" si="521"/>
        <v>Qtr 3</v>
      </c>
      <c r="F620" s="5" t="s">
        <v>1208</v>
      </c>
      <c r="G620" s="1" t="s">
        <v>26</v>
      </c>
      <c r="H620" s="1" t="s">
        <v>1664</v>
      </c>
      <c r="I620" s="1" t="s">
        <v>1665</v>
      </c>
      <c r="J620" s="1" t="str">
        <f ca="1">IFERROR(__xludf.DUMMYFUNCTION("split(I620,"" "")"),"Nat")</f>
        <v>Nat</v>
      </c>
      <c r="K620" s="1" t="str">
        <f ca="1">IFERROR(__xludf.DUMMYFUNCTION("""COMPUTED_VALUE"""),"Gilpin")</f>
        <v>Gilpin</v>
      </c>
      <c r="L620" s="1"/>
      <c r="M620" s="1" t="s">
        <v>41</v>
      </c>
      <c r="N620" s="1" t="s">
        <v>30</v>
      </c>
      <c r="O620" s="1" t="s">
        <v>233</v>
      </c>
      <c r="P620" s="1" t="str">
        <f t="shared" si="522"/>
        <v>New York City</v>
      </c>
      <c r="Q620" s="1" t="s">
        <v>234</v>
      </c>
      <c r="R620" s="1" t="str">
        <f t="shared" si="523"/>
        <v>New York</v>
      </c>
      <c r="S620" s="1">
        <v>10011</v>
      </c>
      <c r="T620" s="1" t="s">
        <v>128</v>
      </c>
      <c r="U620" s="1" t="s">
        <v>1668</v>
      </c>
      <c r="V620" s="1" t="s">
        <v>46</v>
      </c>
      <c r="W620" s="7">
        <v>107.42400000000001</v>
      </c>
      <c r="X620" s="1">
        <v>1</v>
      </c>
      <c r="Y620" s="7">
        <v>107.26</v>
      </c>
      <c r="Z620" s="7">
        <f t="shared" ref="Z620:AA620" si="633">W620*X620</f>
        <v>107.42400000000001</v>
      </c>
      <c r="AA620" s="7">
        <f t="shared" si="633"/>
        <v>107.26</v>
      </c>
      <c r="AB620" s="7">
        <f t="shared" si="525"/>
        <v>0.16400000000000148</v>
      </c>
    </row>
    <row r="621" spans="1:28">
      <c r="A621" s="1">
        <v>620</v>
      </c>
      <c r="B621" s="1" t="s">
        <v>1663</v>
      </c>
      <c r="C621" s="2">
        <v>43330</v>
      </c>
      <c r="D621" s="6" t="str">
        <f t="shared" si="520"/>
        <v>Aug</v>
      </c>
      <c r="E621" s="6" t="str">
        <f t="shared" si="521"/>
        <v>Qtr 3</v>
      </c>
      <c r="F621" s="5" t="s">
        <v>1208</v>
      </c>
      <c r="G621" s="1" t="s">
        <v>26</v>
      </c>
      <c r="H621" s="1" t="s">
        <v>1664</v>
      </c>
      <c r="I621" s="1" t="s">
        <v>1665</v>
      </c>
      <c r="J621" s="1" t="str">
        <f ca="1">IFERROR(__xludf.DUMMYFUNCTION("split(I621,"" "")"),"Nat")</f>
        <v>Nat</v>
      </c>
      <c r="K621" s="1" t="str">
        <f ca="1">IFERROR(__xludf.DUMMYFUNCTION("""COMPUTED_VALUE"""),"Gilpin")</f>
        <v>Gilpin</v>
      </c>
      <c r="L621" s="1"/>
      <c r="M621" s="1" t="s">
        <v>41</v>
      </c>
      <c r="N621" s="1" t="s">
        <v>30</v>
      </c>
      <c r="O621" s="1" t="s">
        <v>233</v>
      </c>
      <c r="P621" s="1" t="str">
        <f t="shared" si="522"/>
        <v>New York City</v>
      </c>
      <c r="Q621" s="1" t="s">
        <v>234</v>
      </c>
      <c r="R621" s="1" t="str">
        <f t="shared" si="523"/>
        <v>New York</v>
      </c>
      <c r="S621" s="1">
        <v>10011</v>
      </c>
      <c r="T621" s="1" t="s">
        <v>128</v>
      </c>
      <c r="U621" s="1" t="s">
        <v>1669</v>
      </c>
      <c r="V621" s="1" t="s">
        <v>64</v>
      </c>
      <c r="W621" s="7">
        <v>37.909999999999997</v>
      </c>
      <c r="X621" s="1">
        <v>1</v>
      </c>
      <c r="Y621" s="7">
        <v>37.76</v>
      </c>
      <c r="Z621" s="7">
        <f t="shared" ref="Z621:AA621" si="634">W621*X621</f>
        <v>37.909999999999997</v>
      </c>
      <c r="AA621" s="7">
        <f t="shared" si="634"/>
        <v>37.76</v>
      </c>
      <c r="AB621" s="7">
        <f t="shared" si="525"/>
        <v>0.14999999999999858</v>
      </c>
    </row>
    <row r="622" spans="1:28">
      <c r="A622" s="1">
        <v>621</v>
      </c>
      <c r="B622" s="1" t="s">
        <v>1663</v>
      </c>
      <c r="C622" s="2">
        <v>43330</v>
      </c>
      <c r="D622" s="6" t="str">
        <f t="shared" si="520"/>
        <v>Aug</v>
      </c>
      <c r="E622" s="6" t="str">
        <f t="shared" si="521"/>
        <v>Qtr 3</v>
      </c>
      <c r="F622" s="5" t="s">
        <v>1208</v>
      </c>
      <c r="G622" s="1" t="s">
        <v>26</v>
      </c>
      <c r="H622" s="1" t="s">
        <v>1664</v>
      </c>
      <c r="I622" s="1" t="s">
        <v>1665</v>
      </c>
      <c r="J622" s="1" t="str">
        <f ca="1">IFERROR(__xludf.DUMMYFUNCTION("split(I622,"" "")"),"Nat")</f>
        <v>Nat</v>
      </c>
      <c r="K622" s="1" t="str">
        <f ca="1">IFERROR(__xludf.DUMMYFUNCTION("""COMPUTED_VALUE"""),"Gilpin")</f>
        <v>Gilpin</v>
      </c>
      <c r="L622" s="1"/>
      <c r="M622" s="1" t="s">
        <v>41</v>
      </c>
      <c r="N622" s="1" t="s">
        <v>30</v>
      </c>
      <c r="O622" s="1" t="s">
        <v>233</v>
      </c>
      <c r="P622" s="1" t="str">
        <f t="shared" si="522"/>
        <v>New York City</v>
      </c>
      <c r="Q622" s="1" t="s">
        <v>234</v>
      </c>
      <c r="R622" s="1" t="str">
        <f t="shared" si="523"/>
        <v>New York</v>
      </c>
      <c r="S622" s="1">
        <v>10011</v>
      </c>
      <c r="T622" s="1" t="s">
        <v>128</v>
      </c>
      <c r="U622" s="1" t="s">
        <v>506</v>
      </c>
      <c r="V622" s="1" t="s">
        <v>35</v>
      </c>
      <c r="W622" s="7">
        <v>88.02</v>
      </c>
      <c r="X622" s="1">
        <v>1</v>
      </c>
      <c r="Y622" s="7">
        <v>87.89</v>
      </c>
      <c r="Z622" s="7">
        <f t="shared" ref="Z622:AA622" si="635">W622*X622</f>
        <v>88.02</v>
      </c>
      <c r="AA622" s="7">
        <f t="shared" si="635"/>
        <v>87.89</v>
      </c>
      <c r="AB622" s="7">
        <f t="shared" si="525"/>
        <v>0.12999999999999545</v>
      </c>
    </row>
    <row r="623" spans="1:28">
      <c r="A623" s="1">
        <v>622</v>
      </c>
      <c r="B623" s="1" t="s">
        <v>1670</v>
      </c>
      <c r="C623" s="2">
        <v>42364</v>
      </c>
      <c r="D623" s="6" t="str">
        <f t="shared" si="520"/>
        <v>Dec</v>
      </c>
      <c r="E623" s="6" t="str">
        <f t="shared" si="521"/>
        <v>Qtr 4</v>
      </c>
      <c r="F623" s="5" t="s">
        <v>1671</v>
      </c>
      <c r="G623" s="1" t="s">
        <v>49</v>
      </c>
      <c r="H623" s="1" t="s">
        <v>1672</v>
      </c>
      <c r="I623" s="1" t="s">
        <v>1673</v>
      </c>
      <c r="J623" s="1" t="str">
        <f ca="1">IFERROR(__xludf.DUMMYFUNCTION("split(I623,"" "")"),"Christina")</f>
        <v>Christina</v>
      </c>
      <c r="K623" s="1" t="str">
        <f ca="1">IFERROR(__xludf.DUMMYFUNCTION("""COMPUTED_VALUE"""),"Anderson")</f>
        <v>Anderson</v>
      </c>
      <c r="L623" s="1"/>
      <c r="M623" s="1" t="s">
        <v>29</v>
      </c>
      <c r="N623" s="1" t="s">
        <v>30</v>
      </c>
      <c r="O623" s="1" t="s">
        <v>259</v>
      </c>
      <c r="P623" s="1" t="str">
        <f t="shared" si="522"/>
        <v>Chicago</v>
      </c>
      <c r="Q623" s="1" t="s">
        <v>182</v>
      </c>
      <c r="R623" s="1" t="str">
        <f t="shared" si="523"/>
        <v>Illinois</v>
      </c>
      <c r="S623" s="1">
        <v>60610</v>
      </c>
      <c r="T623" s="1" t="s">
        <v>90</v>
      </c>
      <c r="U623" s="1" t="s">
        <v>1674</v>
      </c>
      <c r="V623" s="1" t="s">
        <v>46</v>
      </c>
      <c r="W623" s="7">
        <v>8.69</v>
      </c>
      <c r="X623" s="1">
        <v>6</v>
      </c>
      <c r="Y623" s="7">
        <v>8.16</v>
      </c>
      <c r="Z623" s="7">
        <f t="shared" ref="Z623:AA623" si="636">W623*X623</f>
        <v>52.14</v>
      </c>
      <c r="AA623" s="7">
        <f t="shared" si="636"/>
        <v>48.96</v>
      </c>
      <c r="AB623" s="7">
        <f t="shared" si="525"/>
        <v>3.1799999999999997</v>
      </c>
    </row>
    <row r="624" spans="1:28">
      <c r="A624" s="1">
        <v>623</v>
      </c>
      <c r="B624" s="1" t="s">
        <v>1675</v>
      </c>
      <c r="C624" s="2">
        <v>42703</v>
      </c>
      <c r="D624" s="6" t="str">
        <f t="shared" si="520"/>
        <v>Nov</v>
      </c>
      <c r="E624" s="6" t="str">
        <f t="shared" si="521"/>
        <v>Qtr 4</v>
      </c>
      <c r="F624" s="5">
        <v>42441</v>
      </c>
      <c r="G624" s="1" t="s">
        <v>49</v>
      </c>
      <c r="H624" s="1" t="s">
        <v>1676</v>
      </c>
      <c r="I624" s="1" t="s">
        <v>1677</v>
      </c>
      <c r="J624" s="1" t="str">
        <f ca="1">IFERROR(__xludf.DUMMYFUNCTION("split(I624,"" "")"),"Sylvia")</f>
        <v>Sylvia</v>
      </c>
      <c r="K624" s="1" t="str">
        <f ca="1">IFERROR(__xludf.DUMMYFUNCTION("""COMPUTED_VALUE"""),"Foulston")</f>
        <v>Foulston</v>
      </c>
      <c r="L624" s="1"/>
      <c r="M624" s="1" t="s">
        <v>41</v>
      </c>
      <c r="N624" s="1" t="s">
        <v>30</v>
      </c>
      <c r="O624" s="1" t="s">
        <v>1678</v>
      </c>
      <c r="P624" s="1" t="str">
        <f t="shared" si="522"/>
        <v>Dearborn</v>
      </c>
      <c r="Q624" s="1" t="s">
        <v>209</v>
      </c>
      <c r="R624" s="1" t="str">
        <f t="shared" si="523"/>
        <v>Michigan</v>
      </c>
      <c r="S624" s="1">
        <v>48126</v>
      </c>
      <c r="T624" s="1" t="s">
        <v>90</v>
      </c>
      <c r="U624" s="1" t="s">
        <v>1679</v>
      </c>
      <c r="V624" s="1" t="s">
        <v>35</v>
      </c>
      <c r="W624" s="7">
        <v>301.95999999999998</v>
      </c>
      <c r="X624" s="1">
        <v>4</v>
      </c>
      <c r="Y624" s="7">
        <v>301.62</v>
      </c>
      <c r="Z624" s="7">
        <f t="shared" ref="Z624:AA624" si="637">W624*X624</f>
        <v>1207.8399999999999</v>
      </c>
      <c r="AA624" s="7">
        <f t="shared" si="637"/>
        <v>1206.48</v>
      </c>
      <c r="AB624" s="7">
        <f t="shared" si="525"/>
        <v>1.3599999999999</v>
      </c>
    </row>
    <row r="625" spans="1:28">
      <c r="A625" s="1">
        <v>624</v>
      </c>
      <c r="B625" s="1" t="s">
        <v>1675</v>
      </c>
      <c r="C625" s="2">
        <v>42703</v>
      </c>
      <c r="D625" s="6" t="str">
        <f t="shared" si="520"/>
        <v>Nov</v>
      </c>
      <c r="E625" s="6" t="str">
        <f t="shared" si="521"/>
        <v>Qtr 4</v>
      </c>
      <c r="F625" s="5">
        <v>42441</v>
      </c>
      <c r="G625" s="1" t="s">
        <v>49</v>
      </c>
      <c r="H625" s="1" t="s">
        <v>1676</v>
      </c>
      <c r="I625" s="1" t="s">
        <v>1677</v>
      </c>
      <c r="J625" s="1" t="str">
        <f ca="1">IFERROR(__xludf.DUMMYFUNCTION("split(I625,"" "")"),"Sylvia")</f>
        <v>Sylvia</v>
      </c>
      <c r="K625" s="1" t="str">
        <f ca="1">IFERROR(__xludf.DUMMYFUNCTION("""COMPUTED_VALUE"""),"Foulston")</f>
        <v>Foulston</v>
      </c>
      <c r="L625" s="1"/>
      <c r="M625" s="1" t="s">
        <v>41</v>
      </c>
      <c r="N625" s="1" t="s">
        <v>30</v>
      </c>
      <c r="O625" s="1" t="s">
        <v>1678</v>
      </c>
      <c r="P625" s="1" t="str">
        <f t="shared" si="522"/>
        <v>Dearborn</v>
      </c>
      <c r="Q625" s="1" t="s">
        <v>209</v>
      </c>
      <c r="R625" s="1" t="str">
        <f t="shared" si="523"/>
        <v>Michigan</v>
      </c>
      <c r="S625" s="1">
        <v>48126</v>
      </c>
      <c r="T625" s="1" t="s">
        <v>90</v>
      </c>
      <c r="U625" s="1" t="s">
        <v>1680</v>
      </c>
      <c r="V625" s="1" t="s">
        <v>46</v>
      </c>
      <c r="W625" s="7">
        <v>555.21</v>
      </c>
      <c r="X625" s="1">
        <v>4</v>
      </c>
      <c r="Y625" s="7">
        <v>554.84</v>
      </c>
      <c r="Z625" s="7">
        <f t="shared" ref="Z625:AA625" si="638">W625*X625</f>
        <v>2220.84</v>
      </c>
      <c r="AA625" s="7">
        <f t="shared" si="638"/>
        <v>2219.36</v>
      </c>
      <c r="AB625" s="7">
        <f t="shared" si="525"/>
        <v>1.4800000000000182</v>
      </c>
    </row>
    <row r="626" spans="1:28">
      <c r="A626" s="1">
        <v>625</v>
      </c>
      <c r="B626" s="1" t="s">
        <v>1675</v>
      </c>
      <c r="C626" s="2">
        <v>42703</v>
      </c>
      <c r="D626" s="6" t="str">
        <f t="shared" si="520"/>
        <v>Nov</v>
      </c>
      <c r="E626" s="6" t="str">
        <f t="shared" si="521"/>
        <v>Qtr 4</v>
      </c>
      <c r="F626" s="5">
        <v>42441</v>
      </c>
      <c r="G626" s="1" t="s">
        <v>49</v>
      </c>
      <c r="H626" s="1" t="s">
        <v>1676</v>
      </c>
      <c r="I626" s="1" t="s">
        <v>1677</v>
      </c>
      <c r="J626" s="1" t="str">
        <f ca="1">IFERROR(__xludf.DUMMYFUNCTION("split(I626,"" "")"),"Sylvia")</f>
        <v>Sylvia</v>
      </c>
      <c r="K626" s="1" t="str">
        <f ca="1">IFERROR(__xludf.DUMMYFUNCTION("""COMPUTED_VALUE"""),"Foulston")</f>
        <v>Foulston</v>
      </c>
      <c r="L626" s="1"/>
      <c r="M626" s="1" t="s">
        <v>41</v>
      </c>
      <c r="N626" s="1" t="s">
        <v>30</v>
      </c>
      <c r="O626" s="1" t="s">
        <v>1678</v>
      </c>
      <c r="P626" s="1" t="str">
        <f t="shared" si="522"/>
        <v>Dearborn</v>
      </c>
      <c r="Q626" s="1" t="s">
        <v>209</v>
      </c>
      <c r="R626" s="1" t="str">
        <f t="shared" si="523"/>
        <v>Michigan</v>
      </c>
      <c r="S626" s="1">
        <v>48126</v>
      </c>
      <c r="T626" s="1" t="s">
        <v>90</v>
      </c>
      <c r="U626" s="1" t="s">
        <v>1681</v>
      </c>
      <c r="V626" s="1" t="s">
        <v>46</v>
      </c>
      <c r="W626" s="7">
        <v>523.48</v>
      </c>
      <c r="X626" s="1">
        <v>4</v>
      </c>
      <c r="Y626" s="7">
        <v>522.95000000000005</v>
      </c>
      <c r="Z626" s="7">
        <f t="shared" ref="Z626:AA626" si="639">W626*X626</f>
        <v>2093.92</v>
      </c>
      <c r="AA626" s="7">
        <f t="shared" si="639"/>
        <v>2091.8000000000002</v>
      </c>
      <c r="AB626" s="7">
        <f t="shared" si="525"/>
        <v>2.1199999999998909</v>
      </c>
    </row>
    <row r="627" spans="1:28">
      <c r="A627" s="1">
        <v>626</v>
      </c>
      <c r="B627" s="1" t="s">
        <v>1675</v>
      </c>
      <c r="C627" s="2">
        <v>42703</v>
      </c>
      <c r="D627" s="6" t="str">
        <f t="shared" si="520"/>
        <v>Nov</v>
      </c>
      <c r="E627" s="6" t="str">
        <f t="shared" si="521"/>
        <v>Qtr 4</v>
      </c>
      <c r="F627" s="5">
        <v>42441</v>
      </c>
      <c r="G627" s="1" t="s">
        <v>49</v>
      </c>
      <c r="H627" s="1" t="s">
        <v>1676</v>
      </c>
      <c r="I627" s="1" t="s">
        <v>1677</v>
      </c>
      <c r="J627" s="1" t="str">
        <f ca="1">IFERROR(__xludf.DUMMYFUNCTION("split(I627,"" "")"),"Sylvia")</f>
        <v>Sylvia</v>
      </c>
      <c r="K627" s="1" t="str">
        <f ca="1">IFERROR(__xludf.DUMMYFUNCTION("""COMPUTED_VALUE"""),"Foulston")</f>
        <v>Foulston</v>
      </c>
      <c r="L627" s="1"/>
      <c r="M627" s="1" t="s">
        <v>41</v>
      </c>
      <c r="N627" s="1" t="s">
        <v>30</v>
      </c>
      <c r="O627" s="1" t="s">
        <v>1678</v>
      </c>
      <c r="P627" s="1" t="str">
        <f t="shared" si="522"/>
        <v>Dearborn</v>
      </c>
      <c r="Q627" s="1" t="s">
        <v>209</v>
      </c>
      <c r="R627" s="1" t="str">
        <f t="shared" si="523"/>
        <v>Michigan</v>
      </c>
      <c r="S627" s="1">
        <v>48126</v>
      </c>
      <c r="T627" s="1" t="s">
        <v>90</v>
      </c>
      <c r="U627" s="1" t="s">
        <v>152</v>
      </c>
      <c r="V627" s="1" t="s">
        <v>46</v>
      </c>
      <c r="W627" s="7">
        <v>161.82</v>
      </c>
      <c r="X627" s="1">
        <v>4</v>
      </c>
      <c r="Y627" s="7">
        <v>161.05000000000001</v>
      </c>
      <c r="Z627" s="7">
        <f t="shared" ref="Z627:AA627" si="640">W627*X627</f>
        <v>647.28</v>
      </c>
      <c r="AA627" s="7">
        <f t="shared" si="640"/>
        <v>644.20000000000005</v>
      </c>
      <c r="AB627" s="7">
        <f t="shared" si="525"/>
        <v>3.0799999999999272</v>
      </c>
    </row>
    <row r="628" spans="1:28">
      <c r="A628" s="1">
        <v>627</v>
      </c>
      <c r="B628" s="1" t="s">
        <v>1682</v>
      </c>
      <c r="C628" s="2">
        <v>43358</v>
      </c>
      <c r="D628" s="6" t="str">
        <f t="shared" si="520"/>
        <v>Sep</v>
      </c>
      <c r="E628" s="6" t="str">
        <f t="shared" si="521"/>
        <v>Qtr 3</v>
      </c>
      <c r="F628" s="5" t="s">
        <v>1250</v>
      </c>
      <c r="G628" s="1" t="s">
        <v>49</v>
      </c>
      <c r="H628" s="1" t="s">
        <v>1683</v>
      </c>
      <c r="I628" s="1" t="s">
        <v>1684</v>
      </c>
      <c r="J628" s="1" t="str">
        <f ca="1">IFERROR(__xludf.DUMMYFUNCTION("split(I628,"" "")"),"Meg")</f>
        <v>Meg</v>
      </c>
      <c r="K628" s="1" t="str">
        <f ca="1">IFERROR(__xludf.DUMMYFUNCTION("""COMPUTED_VALUE"""),"O'Connel")</f>
        <v>O'Connel</v>
      </c>
      <c r="L628" s="1"/>
      <c r="M628" s="1" t="s">
        <v>87</v>
      </c>
      <c r="N628" s="1" t="s">
        <v>30</v>
      </c>
      <c r="O628" s="1" t="s">
        <v>233</v>
      </c>
      <c r="P628" s="1" t="str">
        <f t="shared" si="522"/>
        <v>New York City</v>
      </c>
      <c r="Q628" s="1" t="s">
        <v>234</v>
      </c>
      <c r="R628" s="1" t="str">
        <f t="shared" si="523"/>
        <v>New York</v>
      </c>
      <c r="S628" s="1">
        <v>10009</v>
      </c>
      <c r="T628" s="1" t="s">
        <v>128</v>
      </c>
      <c r="U628" s="1" t="s">
        <v>1685</v>
      </c>
      <c r="V628" s="1" t="s">
        <v>35</v>
      </c>
      <c r="W628" s="7">
        <v>35.56</v>
      </c>
      <c r="X628" s="1">
        <v>1</v>
      </c>
      <c r="Y628" s="7">
        <v>35.04</v>
      </c>
      <c r="Z628" s="7">
        <f t="shared" ref="Z628:AA628" si="641">W628*X628</f>
        <v>35.56</v>
      </c>
      <c r="AA628" s="7">
        <f t="shared" si="641"/>
        <v>35.04</v>
      </c>
      <c r="AB628" s="7">
        <f t="shared" si="525"/>
        <v>0.52000000000000313</v>
      </c>
    </row>
    <row r="629" spans="1:28">
      <c r="A629" s="1">
        <v>628</v>
      </c>
      <c r="B629" s="1" t="s">
        <v>1686</v>
      </c>
      <c r="C629" s="2">
        <v>43239</v>
      </c>
      <c r="D629" s="6" t="str">
        <f t="shared" si="520"/>
        <v>May</v>
      </c>
      <c r="E629" s="6" t="str">
        <f t="shared" si="521"/>
        <v>Qtr 2</v>
      </c>
      <c r="F629" s="5" t="s">
        <v>1687</v>
      </c>
      <c r="G629" s="1" t="s">
        <v>49</v>
      </c>
      <c r="H629" s="1" t="s">
        <v>1688</v>
      </c>
      <c r="I629" s="1" t="s">
        <v>1689</v>
      </c>
      <c r="J629" s="1" t="str">
        <f ca="1">IFERROR(__xludf.DUMMYFUNCTION("split(I629,"" "")"),"Annie")</f>
        <v>Annie</v>
      </c>
      <c r="K629" s="1" t="str">
        <f ca="1">IFERROR(__xludf.DUMMYFUNCTION("""COMPUTED_VALUE"""),"Thurman")</f>
        <v>Thurman</v>
      </c>
      <c r="L629" s="1"/>
      <c r="M629" s="1" t="s">
        <v>29</v>
      </c>
      <c r="N629" s="1" t="s">
        <v>30</v>
      </c>
      <c r="O629" s="1" t="s">
        <v>80</v>
      </c>
      <c r="P629" s="1" t="str">
        <f t="shared" si="522"/>
        <v>Seattle</v>
      </c>
      <c r="Q629" s="1" t="s">
        <v>81</v>
      </c>
      <c r="R629" s="1" t="str">
        <f t="shared" si="523"/>
        <v>Washington</v>
      </c>
      <c r="S629" s="1">
        <v>98115</v>
      </c>
      <c r="T629" s="1" t="s">
        <v>44</v>
      </c>
      <c r="U629" s="1" t="s">
        <v>1690</v>
      </c>
      <c r="V629" s="1" t="s">
        <v>46</v>
      </c>
      <c r="W629" s="7">
        <v>97.16</v>
      </c>
      <c r="X629" s="1">
        <v>9</v>
      </c>
      <c r="Y629" s="7">
        <v>97.09</v>
      </c>
      <c r="Z629" s="7">
        <f t="shared" ref="Z629:AA629" si="642">W629*X629</f>
        <v>874.43999999999994</v>
      </c>
      <c r="AA629" s="7">
        <f t="shared" si="642"/>
        <v>873.81000000000006</v>
      </c>
      <c r="AB629" s="7">
        <f t="shared" si="525"/>
        <v>0.62999999999988177</v>
      </c>
    </row>
    <row r="630" spans="1:28">
      <c r="A630" s="1">
        <v>629</v>
      </c>
      <c r="B630" s="1" t="s">
        <v>1691</v>
      </c>
      <c r="C630" s="2">
        <v>43451</v>
      </c>
      <c r="D630" s="6" t="str">
        <f t="shared" si="520"/>
        <v>Dec</v>
      </c>
      <c r="E630" s="6" t="str">
        <f t="shared" si="521"/>
        <v>Qtr 4</v>
      </c>
      <c r="F630" s="5" t="s">
        <v>674</v>
      </c>
      <c r="G630" s="1" t="s">
        <v>49</v>
      </c>
      <c r="H630" s="1" t="s">
        <v>675</v>
      </c>
      <c r="I630" s="1" t="s">
        <v>676</v>
      </c>
      <c r="J630" s="1" t="str">
        <f ca="1">IFERROR(__xludf.DUMMYFUNCTION("split(I630,"" "")"),"Logan")</f>
        <v>Logan</v>
      </c>
      <c r="K630" s="1" t="str">
        <f ca="1">IFERROR(__xludf.DUMMYFUNCTION("""COMPUTED_VALUE"""),"Currie")</f>
        <v>Currie</v>
      </c>
      <c r="L630" s="1"/>
      <c r="M630" s="1" t="s">
        <v>29</v>
      </c>
      <c r="N630" s="1" t="s">
        <v>30</v>
      </c>
      <c r="O630" s="1" t="s">
        <v>110</v>
      </c>
      <c r="P630" s="1" t="str">
        <f t="shared" si="522"/>
        <v>San Francisco</v>
      </c>
      <c r="Q630" s="1" t="s">
        <v>68</v>
      </c>
      <c r="R630" s="1" t="str">
        <f t="shared" si="523"/>
        <v>California</v>
      </c>
      <c r="S630" s="1">
        <v>94122</v>
      </c>
      <c r="T630" s="1" t="s">
        <v>44</v>
      </c>
      <c r="U630" s="1" t="s">
        <v>1692</v>
      </c>
      <c r="V630" s="1" t="s">
        <v>46</v>
      </c>
      <c r="W630" s="7">
        <v>15.24</v>
      </c>
      <c r="X630" s="1">
        <v>9</v>
      </c>
      <c r="Y630" s="7">
        <v>14.45</v>
      </c>
      <c r="Z630" s="7">
        <f t="shared" ref="Z630:AA630" si="643">W630*X630</f>
        <v>137.16</v>
      </c>
      <c r="AA630" s="7">
        <f t="shared" si="643"/>
        <v>130.04999999999998</v>
      </c>
      <c r="AB630" s="7">
        <f t="shared" si="525"/>
        <v>7.1100000000000136</v>
      </c>
    </row>
    <row r="631" spans="1:28">
      <c r="A631" s="1">
        <v>630</v>
      </c>
      <c r="B631" s="1" t="s">
        <v>1691</v>
      </c>
      <c r="C631" s="2">
        <v>43451</v>
      </c>
      <c r="D631" s="6" t="str">
        <f t="shared" si="520"/>
        <v>Dec</v>
      </c>
      <c r="E631" s="6" t="str">
        <f t="shared" si="521"/>
        <v>Qtr 4</v>
      </c>
      <c r="F631" s="5" t="s">
        <v>674</v>
      </c>
      <c r="G631" s="1" t="s">
        <v>49</v>
      </c>
      <c r="H631" s="1" t="s">
        <v>675</v>
      </c>
      <c r="I631" s="1" t="s">
        <v>676</v>
      </c>
      <c r="J631" s="1" t="str">
        <f ca="1">IFERROR(__xludf.DUMMYFUNCTION("split(I631,"" "")"),"Logan")</f>
        <v>Logan</v>
      </c>
      <c r="K631" s="1" t="str">
        <f ca="1">IFERROR(__xludf.DUMMYFUNCTION("""COMPUTED_VALUE"""),"Currie")</f>
        <v>Currie</v>
      </c>
      <c r="L631" s="1"/>
      <c r="M631" s="1" t="s">
        <v>29</v>
      </c>
      <c r="N631" s="1" t="s">
        <v>30</v>
      </c>
      <c r="O631" s="1" t="s">
        <v>110</v>
      </c>
      <c r="P631" s="1" t="str">
        <f t="shared" si="522"/>
        <v>San Francisco</v>
      </c>
      <c r="Q631" s="1" t="s">
        <v>68</v>
      </c>
      <c r="R631" s="1" t="str">
        <f t="shared" si="523"/>
        <v>California</v>
      </c>
      <c r="S631" s="1">
        <v>94122</v>
      </c>
      <c r="T631" s="1" t="s">
        <v>44</v>
      </c>
      <c r="U631" s="1" t="s">
        <v>845</v>
      </c>
      <c r="V631" s="1" t="s">
        <v>46</v>
      </c>
      <c r="W631" s="7">
        <v>13.23</v>
      </c>
      <c r="X631" s="1">
        <v>9</v>
      </c>
      <c r="Y631" s="7">
        <v>12.83</v>
      </c>
      <c r="Z631" s="7">
        <f t="shared" ref="Z631:AA631" si="644">W631*X631</f>
        <v>119.07000000000001</v>
      </c>
      <c r="AA631" s="7">
        <f t="shared" si="644"/>
        <v>115.47</v>
      </c>
      <c r="AB631" s="7">
        <f t="shared" si="525"/>
        <v>3.6000000000000085</v>
      </c>
    </row>
    <row r="632" spans="1:28">
      <c r="A632" s="1">
        <v>631</v>
      </c>
      <c r="B632" s="1" t="s">
        <v>1693</v>
      </c>
      <c r="C632" s="2">
        <v>43051</v>
      </c>
      <c r="D632" s="6" t="str">
        <f t="shared" si="520"/>
        <v>Nov</v>
      </c>
      <c r="E632" s="6" t="str">
        <f t="shared" si="521"/>
        <v>Qtr 4</v>
      </c>
      <c r="F632" s="5" t="s">
        <v>115</v>
      </c>
      <c r="G632" s="1" t="s">
        <v>26</v>
      </c>
      <c r="H632" s="1" t="s">
        <v>1694</v>
      </c>
      <c r="I632" s="1" t="s">
        <v>1695</v>
      </c>
      <c r="J632" s="1" t="str">
        <f ca="1">IFERROR(__xludf.DUMMYFUNCTION("split(I632,"" "")"),"Fred")</f>
        <v>Fred</v>
      </c>
      <c r="K632" s="1" t="str">
        <f ca="1">IFERROR(__xludf.DUMMYFUNCTION("""COMPUTED_VALUE"""),"McMath")</f>
        <v>McMath</v>
      </c>
      <c r="L632" s="1"/>
      <c r="M632" s="1" t="s">
        <v>29</v>
      </c>
      <c r="N632" s="1" t="s">
        <v>30</v>
      </c>
      <c r="O632" s="1" t="s">
        <v>385</v>
      </c>
      <c r="P632" s="1" t="str">
        <f t="shared" si="522"/>
        <v>Aurora</v>
      </c>
      <c r="Q632" s="1" t="s">
        <v>386</v>
      </c>
      <c r="R632" s="1" t="str">
        <f t="shared" si="523"/>
        <v>Colorado</v>
      </c>
      <c r="S632" s="1">
        <v>80013</v>
      </c>
      <c r="T632" s="1" t="s">
        <v>44</v>
      </c>
      <c r="U632" s="1" t="s">
        <v>1696</v>
      </c>
      <c r="V632" s="1" t="s">
        <v>46</v>
      </c>
      <c r="W632" s="7">
        <v>243.38399999999999</v>
      </c>
      <c r="X632" s="1">
        <v>8</v>
      </c>
      <c r="Y632" s="7">
        <v>242.8</v>
      </c>
      <c r="Z632" s="7">
        <f t="shared" ref="Z632:AA632" si="645">W632*X632</f>
        <v>1947.0719999999999</v>
      </c>
      <c r="AA632" s="7">
        <f t="shared" si="645"/>
        <v>1942.4</v>
      </c>
      <c r="AB632" s="7">
        <f t="shared" si="525"/>
        <v>4.6719999999997981</v>
      </c>
    </row>
    <row r="633" spans="1:28">
      <c r="A633" s="1">
        <v>632</v>
      </c>
      <c r="B633" s="1" t="s">
        <v>1693</v>
      </c>
      <c r="C633" s="2">
        <v>43051</v>
      </c>
      <c r="D633" s="6" t="str">
        <f t="shared" si="520"/>
        <v>Nov</v>
      </c>
      <c r="E633" s="6" t="str">
        <f t="shared" si="521"/>
        <v>Qtr 4</v>
      </c>
      <c r="F633" s="5" t="s">
        <v>115</v>
      </c>
      <c r="G633" s="1" t="s">
        <v>26</v>
      </c>
      <c r="H633" s="1" t="s">
        <v>1694</v>
      </c>
      <c r="I633" s="1" t="s">
        <v>1695</v>
      </c>
      <c r="J633" s="1" t="str">
        <f ca="1">IFERROR(__xludf.DUMMYFUNCTION("split(I633,"" "")"),"Fred")</f>
        <v>Fred</v>
      </c>
      <c r="K633" s="1" t="str">
        <f ca="1">IFERROR(__xludf.DUMMYFUNCTION("""COMPUTED_VALUE"""),"McMath")</f>
        <v>McMath</v>
      </c>
      <c r="L633" s="1"/>
      <c r="M633" s="1" t="s">
        <v>29</v>
      </c>
      <c r="N633" s="1" t="s">
        <v>30</v>
      </c>
      <c r="O633" s="1" t="s">
        <v>385</v>
      </c>
      <c r="P633" s="1" t="str">
        <f t="shared" si="522"/>
        <v>Aurora</v>
      </c>
      <c r="Q633" s="1" t="s">
        <v>386</v>
      </c>
      <c r="R633" s="1" t="str">
        <f t="shared" si="523"/>
        <v>Colorado</v>
      </c>
      <c r="S633" s="1">
        <v>80013</v>
      </c>
      <c r="T633" s="1" t="s">
        <v>44</v>
      </c>
      <c r="U633" s="1" t="s">
        <v>1697</v>
      </c>
      <c r="V633" s="1" t="s">
        <v>64</v>
      </c>
      <c r="W633" s="7">
        <v>119.8</v>
      </c>
      <c r="X633" s="1">
        <v>8</v>
      </c>
      <c r="Y633" s="7">
        <v>119.49</v>
      </c>
      <c r="Z633" s="7">
        <f t="shared" ref="Z633:AA633" si="646">W633*X633</f>
        <v>958.4</v>
      </c>
      <c r="AA633" s="7">
        <f t="shared" si="646"/>
        <v>955.92</v>
      </c>
      <c r="AB633" s="7">
        <f t="shared" si="525"/>
        <v>2.4800000000000182</v>
      </c>
    </row>
    <row r="634" spans="1:28">
      <c r="A634" s="1">
        <v>633</v>
      </c>
      <c r="B634" s="1" t="s">
        <v>1693</v>
      </c>
      <c r="C634" s="2">
        <v>43051</v>
      </c>
      <c r="D634" s="6" t="str">
        <f t="shared" si="520"/>
        <v>Nov</v>
      </c>
      <c r="E634" s="6" t="str">
        <f t="shared" si="521"/>
        <v>Qtr 4</v>
      </c>
      <c r="F634" s="5" t="s">
        <v>115</v>
      </c>
      <c r="G634" s="1" t="s">
        <v>26</v>
      </c>
      <c r="H634" s="1" t="s">
        <v>1694</v>
      </c>
      <c r="I634" s="1" t="s">
        <v>1695</v>
      </c>
      <c r="J634" s="1" t="str">
        <f ca="1">IFERROR(__xludf.DUMMYFUNCTION("split(I634,"" "")"),"Fred")</f>
        <v>Fred</v>
      </c>
      <c r="K634" s="1" t="str">
        <f ca="1">IFERROR(__xludf.DUMMYFUNCTION("""COMPUTED_VALUE"""),"McMath")</f>
        <v>McMath</v>
      </c>
      <c r="L634" s="1"/>
      <c r="M634" s="1" t="s">
        <v>29</v>
      </c>
      <c r="N634" s="1" t="s">
        <v>30</v>
      </c>
      <c r="O634" s="1" t="s">
        <v>385</v>
      </c>
      <c r="P634" s="1" t="str">
        <f t="shared" si="522"/>
        <v>Aurora</v>
      </c>
      <c r="Q634" s="1" t="s">
        <v>386</v>
      </c>
      <c r="R634" s="1" t="str">
        <f t="shared" si="523"/>
        <v>Colorado</v>
      </c>
      <c r="S634" s="1">
        <v>80013</v>
      </c>
      <c r="T634" s="1" t="s">
        <v>44</v>
      </c>
      <c r="U634" s="1" t="s">
        <v>1698</v>
      </c>
      <c r="V634" s="1" t="s">
        <v>64</v>
      </c>
      <c r="W634" s="7">
        <v>300.76799999999997</v>
      </c>
      <c r="X634" s="1">
        <v>8</v>
      </c>
      <c r="Y634" s="7">
        <v>300.08999999999997</v>
      </c>
      <c r="Z634" s="7">
        <f t="shared" ref="Z634:AA634" si="647">W634*X634</f>
        <v>2406.1439999999998</v>
      </c>
      <c r="AA634" s="7">
        <f t="shared" si="647"/>
        <v>2400.7199999999998</v>
      </c>
      <c r="AB634" s="7">
        <f t="shared" si="525"/>
        <v>5.4239999999999782</v>
      </c>
    </row>
    <row r="635" spans="1:28">
      <c r="A635" s="1">
        <v>634</v>
      </c>
      <c r="B635" s="1" t="s">
        <v>1699</v>
      </c>
      <c r="C635" s="2">
        <v>43367</v>
      </c>
      <c r="D635" s="6" t="str">
        <f t="shared" si="520"/>
        <v>Sep</v>
      </c>
      <c r="E635" s="6" t="str">
        <f t="shared" si="521"/>
        <v>Qtr 3</v>
      </c>
      <c r="F635" s="5" t="s">
        <v>1700</v>
      </c>
      <c r="G635" s="1" t="s">
        <v>26</v>
      </c>
      <c r="H635" s="1" t="s">
        <v>1452</v>
      </c>
      <c r="I635" s="1" t="s">
        <v>1453</v>
      </c>
      <c r="J635" s="1" t="str">
        <f ca="1">IFERROR(__xludf.DUMMYFUNCTION("split(I635,"" "")"),"Brian")</f>
        <v>Brian</v>
      </c>
      <c r="K635" s="1" t="str">
        <f ca="1">IFERROR(__xludf.DUMMYFUNCTION("""COMPUTED_VALUE"""),"Dahlen")</f>
        <v>Dahlen</v>
      </c>
      <c r="L635" s="1"/>
      <c r="M635" s="1" t="s">
        <v>29</v>
      </c>
      <c r="N635" s="1" t="s">
        <v>30</v>
      </c>
      <c r="O635" s="1" t="s">
        <v>1156</v>
      </c>
      <c r="P635" s="1" t="str">
        <f t="shared" si="522"/>
        <v>Miami</v>
      </c>
      <c r="Q635" s="1" t="s">
        <v>194</v>
      </c>
      <c r="R635" s="1" t="str">
        <f t="shared" si="523"/>
        <v>Florida</v>
      </c>
      <c r="S635" s="1">
        <v>33180</v>
      </c>
      <c r="T635" s="1" t="s">
        <v>33</v>
      </c>
      <c r="U635" s="1" t="s">
        <v>1701</v>
      </c>
      <c r="V635" s="1" t="s">
        <v>64</v>
      </c>
      <c r="W635" s="7">
        <v>17.88</v>
      </c>
      <c r="X635" s="1">
        <v>3</v>
      </c>
      <c r="Y635" s="7">
        <v>16.89</v>
      </c>
      <c r="Z635" s="7">
        <f t="shared" ref="Z635:AA635" si="648">W635*X635</f>
        <v>53.64</v>
      </c>
      <c r="AA635" s="7">
        <f t="shared" si="648"/>
        <v>50.67</v>
      </c>
      <c r="AB635" s="7">
        <f t="shared" si="525"/>
        <v>2.9699999999999989</v>
      </c>
    </row>
    <row r="636" spans="1:28">
      <c r="A636" s="1">
        <v>635</v>
      </c>
      <c r="B636" s="1" t="s">
        <v>1699</v>
      </c>
      <c r="C636" s="2">
        <v>43367</v>
      </c>
      <c r="D636" s="6" t="str">
        <f t="shared" si="520"/>
        <v>Sep</v>
      </c>
      <c r="E636" s="6" t="str">
        <f t="shared" si="521"/>
        <v>Qtr 3</v>
      </c>
      <c r="F636" s="5" t="s">
        <v>1700</v>
      </c>
      <c r="G636" s="1" t="s">
        <v>26</v>
      </c>
      <c r="H636" s="1" t="s">
        <v>1452</v>
      </c>
      <c r="I636" s="1" t="s">
        <v>1453</v>
      </c>
      <c r="J636" s="1" t="str">
        <f ca="1">IFERROR(__xludf.DUMMYFUNCTION("split(I636,"" "")"),"Brian")</f>
        <v>Brian</v>
      </c>
      <c r="K636" s="1" t="str">
        <f ca="1">IFERROR(__xludf.DUMMYFUNCTION("""COMPUTED_VALUE"""),"Dahlen")</f>
        <v>Dahlen</v>
      </c>
      <c r="L636" s="1"/>
      <c r="M636" s="1" t="s">
        <v>29</v>
      </c>
      <c r="N636" s="1" t="s">
        <v>30</v>
      </c>
      <c r="O636" s="1" t="s">
        <v>1156</v>
      </c>
      <c r="P636" s="1" t="str">
        <f t="shared" si="522"/>
        <v>Miami</v>
      </c>
      <c r="Q636" s="1" t="s">
        <v>194</v>
      </c>
      <c r="R636" s="1" t="str">
        <f t="shared" si="523"/>
        <v>Florida</v>
      </c>
      <c r="S636" s="1">
        <v>33180</v>
      </c>
      <c r="T636" s="1" t="s">
        <v>33</v>
      </c>
      <c r="U636" s="1" t="s">
        <v>1604</v>
      </c>
      <c r="V636" s="1" t="s">
        <v>46</v>
      </c>
      <c r="W636" s="7">
        <v>235.94399999999999</v>
      </c>
      <c r="X636" s="1">
        <v>3</v>
      </c>
      <c r="Y636" s="7">
        <v>235.05</v>
      </c>
      <c r="Z636" s="7">
        <f t="shared" ref="Z636:AA636" si="649">W636*X636</f>
        <v>707.83199999999999</v>
      </c>
      <c r="AA636" s="7">
        <f t="shared" si="649"/>
        <v>705.15000000000009</v>
      </c>
      <c r="AB636" s="7">
        <f t="shared" si="525"/>
        <v>2.6819999999999027</v>
      </c>
    </row>
    <row r="637" spans="1:28">
      <c r="A637" s="1">
        <v>636</v>
      </c>
      <c r="B637" s="1" t="s">
        <v>1702</v>
      </c>
      <c r="C637" s="2">
        <v>42470</v>
      </c>
      <c r="D637" s="6" t="str">
        <f t="shared" si="520"/>
        <v>Apr</v>
      </c>
      <c r="E637" s="6" t="str">
        <f t="shared" si="521"/>
        <v>Qtr 2</v>
      </c>
      <c r="F637" s="5">
        <v>42623</v>
      </c>
      <c r="G637" s="1" t="s">
        <v>26</v>
      </c>
      <c r="H637" s="1" t="s">
        <v>1703</v>
      </c>
      <c r="I637" s="1" t="s">
        <v>1704</v>
      </c>
      <c r="J637" s="1" t="str">
        <f ca="1">IFERROR(__xludf.DUMMYFUNCTION("split(I637,"" "")"),"Denny")</f>
        <v>Denny</v>
      </c>
      <c r="K637" s="1" t="str">
        <f ca="1">IFERROR(__xludf.DUMMYFUNCTION("""COMPUTED_VALUE"""),"Joy")</f>
        <v>Joy</v>
      </c>
      <c r="L637" s="1"/>
      <c r="M637" s="1" t="s">
        <v>41</v>
      </c>
      <c r="N637" s="1" t="s">
        <v>30</v>
      </c>
      <c r="O637" s="1" t="s">
        <v>1705</v>
      </c>
      <c r="P637" s="1" t="str">
        <f t="shared" si="522"/>
        <v>Warner Robins</v>
      </c>
      <c r="Q637" s="1" t="s">
        <v>1035</v>
      </c>
      <c r="R637" s="1" t="str">
        <f t="shared" si="523"/>
        <v>Georgia</v>
      </c>
      <c r="S637" s="1">
        <v>31088</v>
      </c>
      <c r="T637" s="1" t="s">
        <v>33</v>
      </c>
      <c r="U637" s="1" t="s">
        <v>1706</v>
      </c>
      <c r="V637" s="1" t="s">
        <v>35</v>
      </c>
      <c r="W637" s="7">
        <v>392.94</v>
      </c>
      <c r="X637" s="1">
        <v>3</v>
      </c>
      <c r="Y637" s="7">
        <v>392.3</v>
      </c>
      <c r="Z637" s="7">
        <f t="shared" ref="Z637:AA637" si="650">W637*X637</f>
        <v>1178.82</v>
      </c>
      <c r="AA637" s="7">
        <f t="shared" si="650"/>
        <v>1176.9000000000001</v>
      </c>
      <c r="AB637" s="7">
        <f t="shared" si="525"/>
        <v>1.9199999999998454</v>
      </c>
    </row>
    <row r="638" spans="1:28">
      <c r="A638" s="1">
        <v>637</v>
      </c>
      <c r="B638" s="1" t="s">
        <v>1707</v>
      </c>
      <c r="C638" s="2">
        <v>42962</v>
      </c>
      <c r="D638" s="6" t="str">
        <f t="shared" si="520"/>
        <v>Aug</v>
      </c>
      <c r="E638" s="6" t="str">
        <f t="shared" si="521"/>
        <v>Qtr 3</v>
      </c>
      <c r="F638" s="5" t="s">
        <v>1708</v>
      </c>
      <c r="G638" s="1" t="s">
        <v>49</v>
      </c>
      <c r="H638" s="1" t="s">
        <v>1709</v>
      </c>
      <c r="I638" s="1" t="s">
        <v>1710</v>
      </c>
      <c r="J638" s="1" t="str">
        <f ca="1">IFERROR(__xludf.DUMMYFUNCTION("split(I638,"" "")"),"Max")</f>
        <v>Max</v>
      </c>
      <c r="K638" s="1" t="str">
        <f ca="1">IFERROR(__xludf.DUMMYFUNCTION("""COMPUTED_VALUE"""),"Engle")</f>
        <v>Engle</v>
      </c>
      <c r="L638" s="1"/>
      <c r="M638" s="1" t="s">
        <v>29</v>
      </c>
      <c r="N638" s="1" t="s">
        <v>30</v>
      </c>
      <c r="O638" s="1" t="s">
        <v>385</v>
      </c>
      <c r="P638" s="1" t="str">
        <f t="shared" si="522"/>
        <v>Aurora</v>
      </c>
      <c r="Q638" s="1" t="s">
        <v>386</v>
      </c>
      <c r="R638" s="1" t="str">
        <f t="shared" si="523"/>
        <v>Colorado</v>
      </c>
      <c r="S638" s="1">
        <v>80013</v>
      </c>
      <c r="T638" s="1" t="s">
        <v>44</v>
      </c>
      <c r="U638" s="1" t="s">
        <v>1711</v>
      </c>
      <c r="V638" s="1" t="s">
        <v>46</v>
      </c>
      <c r="W638" s="7">
        <v>18.882000000000001</v>
      </c>
      <c r="X638" s="1">
        <v>8</v>
      </c>
      <c r="Y638" s="7">
        <v>18.82</v>
      </c>
      <c r="Z638" s="7">
        <f t="shared" ref="Z638:AA638" si="651">W638*X638</f>
        <v>151.05600000000001</v>
      </c>
      <c r="AA638" s="7">
        <f t="shared" si="651"/>
        <v>150.56</v>
      </c>
      <c r="AB638" s="7">
        <f t="shared" si="525"/>
        <v>0.49600000000000932</v>
      </c>
    </row>
    <row r="639" spans="1:28">
      <c r="A639" s="1">
        <v>638</v>
      </c>
      <c r="B639" s="1" t="s">
        <v>1707</v>
      </c>
      <c r="C639" s="2">
        <v>42962</v>
      </c>
      <c r="D639" s="6" t="str">
        <f t="shared" si="520"/>
        <v>Aug</v>
      </c>
      <c r="E639" s="6" t="str">
        <f t="shared" si="521"/>
        <v>Qtr 3</v>
      </c>
      <c r="F639" s="5" t="s">
        <v>1708</v>
      </c>
      <c r="G639" s="1" t="s">
        <v>49</v>
      </c>
      <c r="H639" s="1" t="s">
        <v>1709</v>
      </c>
      <c r="I639" s="1" t="s">
        <v>1710</v>
      </c>
      <c r="J639" s="1" t="str">
        <f ca="1">IFERROR(__xludf.DUMMYFUNCTION("split(I639,"" "")"),"Max")</f>
        <v>Max</v>
      </c>
      <c r="K639" s="1" t="str">
        <f ca="1">IFERROR(__xludf.DUMMYFUNCTION("""COMPUTED_VALUE"""),"Engle")</f>
        <v>Engle</v>
      </c>
      <c r="L639" s="1"/>
      <c r="M639" s="1" t="s">
        <v>29</v>
      </c>
      <c r="N639" s="1" t="s">
        <v>30</v>
      </c>
      <c r="O639" s="1" t="s">
        <v>385</v>
      </c>
      <c r="P639" s="1" t="str">
        <f t="shared" si="522"/>
        <v>Aurora</v>
      </c>
      <c r="Q639" s="1" t="s">
        <v>386</v>
      </c>
      <c r="R639" s="1" t="str">
        <f t="shared" si="523"/>
        <v>Colorado</v>
      </c>
      <c r="S639" s="1">
        <v>80013</v>
      </c>
      <c r="T639" s="1" t="s">
        <v>44</v>
      </c>
      <c r="U639" s="1" t="s">
        <v>1712</v>
      </c>
      <c r="V639" s="1" t="s">
        <v>46</v>
      </c>
      <c r="W639" s="7">
        <v>122.328</v>
      </c>
      <c r="X639" s="1">
        <v>8</v>
      </c>
      <c r="Y639" s="7">
        <v>121.96</v>
      </c>
      <c r="Z639" s="7">
        <f t="shared" ref="Z639:AA639" si="652">W639*X639</f>
        <v>978.62400000000002</v>
      </c>
      <c r="AA639" s="7">
        <f t="shared" si="652"/>
        <v>975.68</v>
      </c>
      <c r="AB639" s="7">
        <f t="shared" si="525"/>
        <v>2.9440000000000737</v>
      </c>
    </row>
    <row r="640" spans="1:28">
      <c r="A640" s="1">
        <v>639</v>
      </c>
      <c r="B640" s="1" t="s">
        <v>1713</v>
      </c>
      <c r="C640" s="2">
        <v>42875</v>
      </c>
      <c r="D640" s="6" t="str">
        <f t="shared" si="520"/>
        <v>May</v>
      </c>
      <c r="E640" s="6" t="str">
        <f t="shared" si="521"/>
        <v>Qtr 2</v>
      </c>
      <c r="F640" s="5" t="s">
        <v>1714</v>
      </c>
      <c r="G640" s="1" t="s">
        <v>49</v>
      </c>
      <c r="H640" s="1" t="s">
        <v>372</v>
      </c>
      <c r="I640" s="1" t="s">
        <v>373</v>
      </c>
      <c r="J640" s="1" t="str">
        <f ca="1">IFERROR(__xludf.DUMMYFUNCTION("split(I640,"" "")"),"Rick")</f>
        <v>Rick</v>
      </c>
      <c r="K640" s="1" t="str">
        <f ca="1">IFERROR(__xludf.DUMMYFUNCTION("""COMPUTED_VALUE"""),"Bensley")</f>
        <v>Bensley</v>
      </c>
      <c r="L640" s="1"/>
      <c r="M640" s="1" t="s">
        <v>87</v>
      </c>
      <c r="N640" s="1" t="s">
        <v>30</v>
      </c>
      <c r="O640" s="1" t="s">
        <v>1715</v>
      </c>
      <c r="P640" s="1" t="str">
        <f t="shared" si="522"/>
        <v>Vallejo</v>
      </c>
      <c r="Q640" s="1" t="s">
        <v>68</v>
      </c>
      <c r="R640" s="1" t="str">
        <f t="shared" si="523"/>
        <v>California</v>
      </c>
      <c r="S640" s="1">
        <v>94591</v>
      </c>
      <c r="T640" s="1" t="s">
        <v>44</v>
      </c>
      <c r="U640" s="1" t="s">
        <v>757</v>
      </c>
      <c r="V640" s="1" t="s">
        <v>35</v>
      </c>
      <c r="W640" s="7">
        <v>1049.2</v>
      </c>
      <c r="X640" s="1">
        <v>9</v>
      </c>
      <c r="Y640" s="7">
        <v>1048.97</v>
      </c>
      <c r="Z640" s="7">
        <f t="shared" ref="Z640:AA640" si="653">W640*X640</f>
        <v>9442.8000000000011</v>
      </c>
      <c r="AA640" s="7">
        <f t="shared" si="653"/>
        <v>9440.73</v>
      </c>
      <c r="AB640" s="7">
        <f t="shared" si="525"/>
        <v>2.070000000001528</v>
      </c>
    </row>
    <row r="641" spans="1:28">
      <c r="A641" s="1">
        <v>640</v>
      </c>
      <c r="B641" s="1" t="s">
        <v>1713</v>
      </c>
      <c r="C641" s="2">
        <v>42875</v>
      </c>
      <c r="D641" s="6" t="str">
        <f t="shared" si="520"/>
        <v>May</v>
      </c>
      <c r="E641" s="6" t="str">
        <f t="shared" si="521"/>
        <v>Qtr 2</v>
      </c>
      <c r="F641" s="5" t="s">
        <v>1714</v>
      </c>
      <c r="G641" s="1" t="s">
        <v>49</v>
      </c>
      <c r="H641" s="1" t="s">
        <v>372</v>
      </c>
      <c r="I641" s="1" t="s">
        <v>373</v>
      </c>
      <c r="J641" s="1" t="str">
        <f ca="1">IFERROR(__xludf.DUMMYFUNCTION("split(I641,"" "")"),"Rick")</f>
        <v>Rick</v>
      </c>
      <c r="K641" s="1" t="str">
        <f ca="1">IFERROR(__xludf.DUMMYFUNCTION("""COMPUTED_VALUE"""),"Bensley")</f>
        <v>Bensley</v>
      </c>
      <c r="L641" s="1"/>
      <c r="M641" s="1" t="s">
        <v>87</v>
      </c>
      <c r="N641" s="1" t="s">
        <v>30</v>
      </c>
      <c r="O641" s="1" t="s">
        <v>1715</v>
      </c>
      <c r="P641" s="1" t="str">
        <f t="shared" si="522"/>
        <v>Vallejo</v>
      </c>
      <c r="Q641" s="1" t="s">
        <v>68</v>
      </c>
      <c r="R641" s="1" t="str">
        <f t="shared" si="523"/>
        <v>California</v>
      </c>
      <c r="S641" s="1">
        <v>94591</v>
      </c>
      <c r="T641" s="1" t="s">
        <v>44</v>
      </c>
      <c r="U641" s="1" t="s">
        <v>1716</v>
      </c>
      <c r="V641" s="1" t="s">
        <v>46</v>
      </c>
      <c r="W641" s="7">
        <v>15.423999999999999</v>
      </c>
      <c r="X641" s="1">
        <v>9</v>
      </c>
      <c r="Y641" s="7">
        <v>14.88</v>
      </c>
      <c r="Z641" s="7">
        <f t="shared" ref="Z641:AA641" si="654">W641*X641</f>
        <v>138.816</v>
      </c>
      <c r="AA641" s="7">
        <f t="shared" si="654"/>
        <v>133.92000000000002</v>
      </c>
      <c r="AB641" s="7">
        <f t="shared" si="525"/>
        <v>4.8959999999999866</v>
      </c>
    </row>
    <row r="642" spans="1:28">
      <c r="A642" s="1">
        <v>641</v>
      </c>
      <c r="B642" s="1" t="s">
        <v>1717</v>
      </c>
      <c r="C642" s="2">
        <v>43087</v>
      </c>
      <c r="D642" s="6" t="str">
        <f t="shared" si="520"/>
        <v>Dec</v>
      </c>
      <c r="E642" s="6" t="str">
        <f t="shared" si="521"/>
        <v>Qtr 4</v>
      </c>
      <c r="F642" s="5" t="s">
        <v>1718</v>
      </c>
      <c r="G642" s="1" t="s">
        <v>49</v>
      </c>
      <c r="H642" s="1" t="s">
        <v>1719</v>
      </c>
      <c r="I642" s="1" t="s">
        <v>1720</v>
      </c>
      <c r="J642" s="1" t="str">
        <f ca="1">IFERROR(__xludf.DUMMYFUNCTION("split(I642,"" "")"),"Justin")</f>
        <v>Justin</v>
      </c>
      <c r="K642" s="1" t="str">
        <f ca="1">IFERROR(__xludf.DUMMYFUNCTION("""COMPUTED_VALUE"""),"Deggeller")</f>
        <v>Deggeller</v>
      </c>
      <c r="L642" s="1"/>
      <c r="M642" s="1" t="s">
        <v>41</v>
      </c>
      <c r="N642" s="1" t="s">
        <v>30</v>
      </c>
      <c r="O642" s="1" t="s">
        <v>347</v>
      </c>
      <c r="P642" s="1" t="str">
        <f t="shared" si="522"/>
        <v>Minneapolis</v>
      </c>
      <c r="Q642" s="1" t="s">
        <v>201</v>
      </c>
      <c r="R642" s="1" t="str">
        <f t="shared" si="523"/>
        <v>Minnesota</v>
      </c>
      <c r="S642" s="1">
        <v>55407</v>
      </c>
      <c r="T642" s="1" t="s">
        <v>90</v>
      </c>
      <c r="U642" s="1" t="s">
        <v>1721</v>
      </c>
      <c r="V642" s="1" t="s">
        <v>35</v>
      </c>
      <c r="W642" s="7">
        <v>18.84</v>
      </c>
      <c r="X642" s="1">
        <v>5</v>
      </c>
      <c r="Y642" s="7">
        <v>18.04</v>
      </c>
      <c r="Z642" s="7">
        <f t="shared" ref="Z642:AA642" si="655">W642*X642</f>
        <v>94.2</v>
      </c>
      <c r="AA642" s="7">
        <f t="shared" si="655"/>
        <v>90.199999999999989</v>
      </c>
      <c r="AB642" s="7">
        <f t="shared" si="525"/>
        <v>4.0000000000000142</v>
      </c>
    </row>
    <row r="643" spans="1:28">
      <c r="A643" s="1">
        <v>642</v>
      </c>
      <c r="B643" s="1" t="s">
        <v>1722</v>
      </c>
      <c r="C643" s="2">
        <v>43311</v>
      </c>
      <c r="D643" s="6" t="str">
        <f t="shared" si="520"/>
        <v>Jul</v>
      </c>
      <c r="E643" s="6" t="str">
        <f t="shared" si="521"/>
        <v>Qtr 3</v>
      </c>
      <c r="F643" s="5">
        <v>43167</v>
      </c>
      <c r="G643" s="1" t="s">
        <v>26</v>
      </c>
      <c r="H643" s="1" t="s">
        <v>1723</v>
      </c>
      <c r="I643" s="1" t="s">
        <v>1724</v>
      </c>
      <c r="J643" s="1" t="str">
        <f ca="1">IFERROR(__xludf.DUMMYFUNCTION("split(I643,"" "")"),"John")</f>
        <v>John</v>
      </c>
      <c r="K643" s="1" t="str">
        <f ca="1">IFERROR(__xludf.DUMMYFUNCTION("""COMPUTED_VALUE"""),"Lee")</f>
        <v>Lee</v>
      </c>
      <c r="L643" s="1"/>
      <c r="M643" s="1" t="s">
        <v>29</v>
      </c>
      <c r="N643" s="1" t="s">
        <v>30</v>
      </c>
      <c r="O643" s="1" t="s">
        <v>1725</v>
      </c>
      <c r="P643" s="1" t="str">
        <f t="shared" si="522"/>
        <v>Mission Viejo</v>
      </c>
      <c r="Q643" s="1" t="s">
        <v>68</v>
      </c>
      <c r="R643" s="1" t="str">
        <f t="shared" si="523"/>
        <v>California</v>
      </c>
      <c r="S643" s="1">
        <v>92691</v>
      </c>
      <c r="T643" s="1" t="s">
        <v>44</v>
      </c>
      <c r="U643" s="1" t="s">
        <v>1726</v>
      </c>
      <c r="V643" s="1" t="s">
        <v>46</v>
      </c>
      <c r="W643" s="7">
        <v>330.4</v>
      </c>
      <c r="X643" s="1">
        <v>9</v>
      </c>
      <c r="Y643" s="7">
        <v>330.19</v>
      </c>
      <c r="Z643" s="7">
        <f t="shared" ref="Z643:AA643" si="656">W643*X643</f>
        <v>2973.6</v>
      </c>
      <c r="AA643" s="7">
        <f t="shared" si="656"/>
        <v>2971.71</v>
      </c>
      <c r="AB643" s="7">
        <f t="shared" si="525"/>
        <v>1.8899999999998727</v>
      </c>
    </row>
    <row r="644" spans="1:28">
      <c r="A644" s="1">
        <v>643</v>
      </c>
      <c r="B644" s="1" t="s">
        <v>1722</v>
      </c>
      <c r="C644" s="2">
        <v>43311</v>
      </c>
      <c r="D644" s="6" t="str">
        <f t="shared" si="520"/>
        <v>Jul</v>
      </c>
      <c r="E644" s="6" t="str">
        <f t="shared" si="521"/>
        <v>Qtr 3</v>
      </c>
      <c r="F644" s="5">
        <v>43167</v>
      </c>
      <c r="G644" s="1" t="s">
        <v>26</v>
      </c>
      <c r="H644" s="1" t="s">
        <v>1723</v>
      </c>
      <c r="I644" s="1" t="s">
        <v>1724</v>
      </c>
      <c r="J644" s="1" t="str">
        <f ca="1">IFERROR(__xludf.DUMMYFUNCTION("split(I644,"" "")"),"John")</f>
        <v>John</v>
      </c>
      <c r="K644" s="1" t="str">
        <f ca="1">IFERROR(__xludf.DUMMYFUNCTION("""COMPUTED_VALUE"""),"Lee")</f>
        <v>Lee</v>
      </c>
      <c r="L644" s="1"/>
      <c r="M644" s="1" t="s">
        <v>29</v>
      </c>
      <c r="N644" s="1" t="s">
        <v>30</v>
      </c>
      <c r="O644" s="1" t="s">
        <v>1725</v>
      </c>
      <c r="P644" s="1" t="str">
        <f t="shared" si="522"/>
        <v>Mission Viejo</v>
      </c>
      <c r="Q644" s="1" t="s">
        <v>68</v>
      </c>
      <c r="R644" s="1" t="str">
        <f t="shared" si="523"/>
        <v>California</v>
      </c>
      <c r="S644" s="1">
        <v>92691</v>
      </c>
      <c r="T644" s="1" t="s">
        <v>44</v>
      </c>
      <c r="U644" s="1" t="s">
        <v>1727</v>
      </c>
      <c r="V644" s="1" t="s">
        <v>46</v>
      </c>
      <c r="W644" s="7">
        <v>26.25</v>
      </c>
      <c r="X644" s="1">
        <v>9</v>
      </c>
      <c r="Y644" s="7">
        <v>25.55</v>
      </c>
      <c r="Z644" s="7">
        <f t="shared" ref="Z644:AA644" si="657">W644*X644</f>
        <v>236.25</v>
      </c>
      <c r="AA644" s="7">
        <f t="shared" si="657"/>
        <v>229.95000000000002</v>
      </c>
      <c r="AB644" s="7">
        <f t="shared" si="525"/>
        <v>6.2999999999999829</v>
      </c>
    </row>
    <row r="645" spans="1:28">
      <c r="A645" s="1">
        <v>644</v>
      </c>
      <c r="B645" s="1" t="s">
        <v>1728</v>
      </c>
      <c r="C645" s="2">
        <v>43379</v>
      </c>
      <c r="D645" s="6" t="str">
        <f t="shared" si="520"/>
        <v>Oct</v>
      </c>
      <c r="E645" s="6" t="str">
        <f t="shared" si="521"/>
        <v>Qtr 4</v>
      </c>
      <c r="F645" s="5" t="s">
        <v>1729</v>
      </c>
      <c r="G645" s="1" t="s">
        <v>49</v>
      </c>
      <c r="H645" s="1" t="s">
        <v>1730</v>
      </c>
      <c r="I645" s="1" t="s">
        <v>1731</v>
      </c>
      <c r="J645" s="1" t="str">
        <f ca="1">IFERROR(__xludf.DUMMYFUNCTION("split(I645,"" "")"),"Sean")</f>
        <v>Sean</v>
      </c>
      <c r="K645" s="1" t="str">
        <f ca="1">IFERROR(__xludf.DUMMYFUNCTION("""COMPUTED_VALUE"""),"Christensen")</f>
        <v>Christensen</v>
      </c>
      <c r="L645" s="1"/>
      <c r="M645" s="1" t="s">
        <v>29</v>
      </c>
      <c r="N645" s="1" t="s">
        <v>30</v>
      </c>
      <c r="O645" s="1" t="s">
        <v>1732</v>
      </c>
      <c r="P645" s="1" t="str">
        <f t="shared" si="522"/>
        <v>Rochester Hills</v>
      </c>
      <c r="Q645" s="1" t="s">
        <v>209</v>
      </c>
      <c r="R645" s="1" t="str">
        <f t="shared" si="523"/>
        <v>Michigan</v>
      </c>
      <c r="S645" s="1">
        <v>48307</v>
      </c>
      <c r="T645" s="1" t="s">
        <v>90</v>
      </c>
      <c r="U645" s="1" t="s">
        <v>747</v>
      </c>
      <c r="V645" s="1" t="s">
        <v>64</v>
      </c>
      <c r="W645" s="7">
        <v>132.52000000000001</v>
      </c>
      <c r="X645" s="1">
        <v>4</v>
      </c>
      <c r="Y645" s="7">
        <v>132.09</v>
      </c>
      <c r="Z645" s="7">
        <f t="shared" ref="Z645:AA645" si="658">W645*X645</f>
        <v>530.08000000000004</v>
      </c>
      <c r="AA645" s="7">
        <f t="shared" si="658"/>
        <v>528.36</v>
      </c>
      <c r="AB645" s="7">
        <f t="shared" si="525"/>
        <v>1.7200000000000273</v>
      </c>
    </row>
    <row r="646" spans="1:28">
      <c r="A646" s="1">
        <v>645</v>
      </c>
      <c r="B646" s="1" t="s">
        <v>1733</v>
      </c>
      <c r="C646" s="2">
        <v>43302</v>
      </c>
      <c r="D646" s="6" t="str">
        <f t="shared" si="520"/>
        <v>Jul</v>
      </c>
      <c r="E646" s="6" t="str">
        <f t="shared" si="521"/>
        <v>Qtr 3</v>
      </c>
      <c r="F646" s="5" t="s">
        <v>1734</v>
      </c>
      <c r="G646" s="1" t="s">
        <v>49</v>
      </c>
      <c r="H646" s="1" t="s">
        <v>516</v>
      </c>
      <c r="I646" s="1" t="s">
        <v>517</v>
      </c>
      <c r="J646" s="1" t="str">
        <f ca="1">IFERROR(__xludf.DUMMYFUNCTION("split(I646,"" "")"),"Tamara")</f>
        <v>Tamara</v>
      </c>
      <c r="K646" s="1" t="str">
        <f ca="1">IFERROR(__xludf.DUMMYFUNCTION("""COMPUTED_VALUE"""),"Willingham")</f>
        <v>Willingham</v>
      </c>
      <c r="L646" s="1"/>
      <c r="M646" s="1" t="s">
        <v>87</v>
      </c>
      <c r="N646" s="1" t="s">
        <v>30</v>
      </c>
      <c r="O646" s="1" t="s">
        <v>1735</v>
      </c>
      <c r="P646" s="1" t="str">
        <f t="shared" si="522"/>
        <v>Plainfield</v>
      </c>
      <c r="Q646" s="1" t="s">
        <v>653</v>
      </c>
      <c r="R646" s="1" t="str">
        <f t="shared" si="523"/>
        <v>New Jersey</v>
      </c>
      <c r="S646" s="1">
        <v>7060</v>
      </c>
      <c r="T646" s="1" t="s">
        <v>128</v>
      </c>
      <c r="U646" s="1" t="s">
        <v>1736</v>
      </c>
      <c r="V646" s="1" t="s">
        <v>46</v>
      </c>
      <c r="W646" s="7">
        <v>6.48</v>
      </c>
      <c r="X646" s="1">
        <v>7</v>
      </c>
      <c r="Y646" s="7">
        <v>5.96</v>
      </c>
      <c r="Z646" s="7">
        <f t="shared" ref="Z646:AA646" si="659">W646*X646</f>
        <v>45.36</v>
      </c>
      <c r="AA646" s="7">
        <f t="shared" si="659"/>
        <v>41.72</v>
      </c>
      <c r="AB646" s="7">
        <f t="shared" si="525"/>
        <v>3.6400000000000006</v>
      </c>
    </row>
    <row r="647" spans="1:28">
      <c r="A647" s="1">
        <v>646</v>
      </c>
      <c r="B647" s="1" t="s">
        <v>1737</v>
      </c>
      <c r="C647" s="2">
        <v>43464</v>
      </c>
      <c r="D647" s="6" t="str">
        <f t="shared" si="520"/>
        <v>Dec</v>
      </c>
      <c r="E647" s="6" t="str">
        <f t="shared" si="521"/>
        <v>Qtr 4</v>
      </c>
      <c r="F647" s="5">
        <v>43586</v>
      </c>
      <c r="G647" s="1" t="s">
        <v>49</v>
      </c>
      <c r="H647" s="1" t="s">
        <v>1738</v>
      </c>
      <c r="I647" s="1" t="s">
        <v>1739</v>
      </c>
      <c r="J647" s="1" t="str">
        <f ca="1">IFERROR(__xludf.DUMMYFUNCTION("split(I647,"" "")"),"Chuck")</f>
        <v>Chuck</v>
      </c>
      <c r="K647" s="1" t="str">
        <f ca="1">IFERROR(__xludf.DUMMYFUNCTION("""COMPUTED_VALUE"""),"Clark")</f>
        <v>Clark</v>
      </c>
      <c r="L647" s="1"/>
      <c r="M647" s="1" t="s">
        <v>87</v>
      </c>
      <c r="N647" s="1" t="s">
        <v>30</v>
      </c>
      <c r="O647" s="1" t="s">
        <v>420</v>
      </c>
      <c r="P647" s="1" t="str">
        <f t="shared" si="522"/>
        <v>Columbus</v>
      </c>
      <c r="Q647" s="1" t="s">
        <v>224</v>
      </c>
      <c r="R647" s="1" t="str">
        <f t="shared" si="523"/>
        <v>Indiana</v>
      </c>
      <c r="S647" s="1">
        <v>47201</v>
      </c>
      <c r="T647" s="1" t="s">
        <v>90</v>
      </c>
      <c r="U647" s="1" t="s">
        <v>1740</v>
      </c>
      <c r="V647" s="1" t="s">
        <v>46</v>
      </c>
      <c r="W647" s="7">
        <v>209.3</v>
      </c>
      <c r="X647" s="1">
        <v>4</v>
      </c>
      <c r="Y647" s="7">
        <v>209.04</v>
      </c>
      <c r="Z647" s="7">
        <f t="shared" ref="Z647:AA647" si="660">W647*X647</f>
        <v>837.2</v>
      </c>
      <c r="AA647" s="7">
        <f t="shared" si="660"/>
        <v>836.16</v>
      </c>
      <c r="AB647" s="7">
        <f t="shared" si="525"/>
        <v>1.0400000000000773</v>
      </c>
    </row>
    <row r="648" spans="1:28">
      <c r="A648" s="1">
        <v>647</v>
      </c>
      <c r="B648" s="1" t="s">
        <v>1741</v>
      </c>
      <c r="C648" s="2">
        <v>42739</v>
      </c>
      <c r="D648" s="6" t="str">
        <f t="shared" si="520"/>
        <v>Jan</v>
      </c>
      <c r="E648" s="6" t="str">
        <f t="shared" si="521"/>
        <v>Qtr 1</v>
      </c>
      <c r="F648" s="5">
        <v>42951</v>
      </c>
      <c r="G648" s="1" t="s">
        <v>49</v>
      </c>
      <c r="H648" s="1" t="s">
        <v>842</v>
      </c>
      <c r="I648" s="1" t="s">
        <v>843</v>
      </c>
      <c r="J648" s="1" t="str">
        <f ca="1">IFERROR(__xludf.DUMMYFUNCTION("split(I648,"" "")"),"Barry")</f>
        <v>Barry</v>
      </c>
      <c r="K648" s="1" t="str">
        <f ca="1">IFERROR(__xludf.DUMMYFUNCTION("""COMPUTED_VALUE"""),"Blumstein")</f>
        <v>Blumstein</v>
      </c>
      <c r="L648" s="1"/>
      <c r="M648" s="1" t="s">
        <v>41</v>
      </c>
      <c r="N648" s="1" t="s">
        <v>30</v>
      </c>
      <c r="O648" s="1" t="s">
        <v>1742</v>
      </c>
      <c r="P648" s="1" t="str">
        <f t="shared" si="522"/>
        <v>Sierra Vista</v>
      </c>
      <c r="Q648" s="1" t="s">
        <v>265</v>
      </c>
      <c r="R648" s="1" t="str">
        <f t="shared" si="523"/>
        <v>Arizona</v>
      </c>
      <c r="S648" s="1">
        <v>85635</v>
      </c>
      <c r="T648" s="1" t="s">
        <v>44</v>
      </c>
      <c r="U648" s="1" t="s">
        <v>1743</v>
      </c>
      <c r="V648" s="1" t="s">
        <v>46</v>
      </c>
      <c r="W648" s="7">
        <v>31.56</v>
      </c>
      <c r="X648" s="1">
        <v>8</v>
      </c>
      <c r="Y648" s="7">
        <v>31.05</v>
      </c>
      <c r="Z648" s="7">
        <f t="shared" ref="Z648:AA648" si="661">W648*X648</f>
        <v>252.48</v>
      </c>
      <c r="AA648" s="7">
        <f t="shared" si="661"/>
        <v>248.4</v>
      </c>
      <c r="AB648" s="7">
        <f t="shared" si="525"/>
        <v>4.0799999999999841</v>
      </c>
    </row>
    <row r="649" spans="1:28">
      <c r="A649" s="1">
        <v>648</v>
      </c>
      <c r="B649" s="1" t="s">
        <v>1741</v>
      </c>
      <c r="C649" s="2">
        <v>42739</v>
      </c>
      <c r="D649" s="6" t="str">
        <f t="shared" si="520"/>
        <v>Jan</v>
      </c>
      <c r="E649" s="6" t="str">
        <f t="shared" si="521"/>
        <v>Qtr 1</v>
      </c>
      <c r="F649" s="5">
        <v>42951</v>
      </c>
      <c r="G649" s="1" t="s">
        <v>49</v>
      </c>
      <c r="H649" s="1" t="s">
        <v>842</v>
      </c>
      <c r="I649" s="1" t="s">
        <v>843</v>
      </c>
      <c r="J649" s="1" t="str">
        <f ca="1">IFERROR(__xludf.DUMMYFUNCTION("split(I649,"" "")"),"Barry")</f>
        <v>Barry</v>
      </c>
      <c r="K649" s="1" t="str">
        <f ca="1">IFERROR(__xludf.DUMMYFUNCTION("""COMPUTED_VALUE"""),"Blumstein")</f>
        <v>Blumstein</v>
      </c>
      <c r="L649" s="1"/>
      <c r="M649" s="1" t="s">
        <v>41</v>
      </c>
      <c r="N649" s="1" t="s">
        <v>30</v>
      </c>
      <c r="O649" s="1" t="s">
        <v>1742</v>
      </c>
      <c r="P649" s="1" t="str">
        <f t="shared" si="522"/>
        <v>Sierra Vista</v>
      </c>
      <c r="Q649" s="1" t="s">
        <v>265</v>
      </c>
      <c r="R649" s="1" t="str">
        <f t="shared" si="523"/>
        <v>Arizona</v>
      </c>
      <c r="S649" s="1">
        <v>85635</v>
      </c>
      <c r="T649" s="1" t="s">
        <v>44</v>
      </c>
      <c r="U649" s="1" t="s">
        <v>1744</v>
      </c>
      <c r="V649" s="1" t="s">
        <v>46</v>
      </c>
      <c r="W649" s="7">
        <v>30.143999999999998</v>
      </c>
      <c r="X649" s="1">
        <v>8</v>
      </c>
      <c r="Y649" s="7">
        <v>30.06</v>
      </c>
      <c r="Z649" s="7">
        <f t="shared" ref="Z649:AA649" si="662">W649*X649</f>
        <v>241.15199999999999</v>
      </c>
      <c r="AA649" s="7">
        <f t="shared" si="662"/>
        <v>240.48</v>
      </c>
      <c r="AB649" s="7">
        <f t="shared" si="525"/>
        <v>0.67199999999999704</v>
      </c>
    </row>
    <row r="650" spans="1:28">
      <c r="A650" s="1">
        <v>649</v>
      </c>
      <c r="B650" s="1" t="s">
        <v>1745</v>
      </c>
      <c r="C650" s="2">
        <v>43051</v>
      </c>
      <c r="D650" s="6" t="str">
        <f t="shared" si="520"/>
        <v>Nov</v>
      </c>
      <c r="E650" s="6" t="str">
        <f t="shared" si="521"/>
        <v>Qtr 4</v>
      </c>
      <c r="F650" s="5" t="s">
        <v>1746</v>
      </c>
      <c r="G650" s="1" t="s">
        <v>26</v>
      </c>
      <c r="H650" s="1" t="s">
        <v>1747</v>
      </c>
      <c r="I650" s="1" t="s">
        <v>1748</v>
      </c>
      <c r="J650" s="1" t="str">
        <f ca="1">IFERROR(__xludf.DUMMYFUNCTION("split(I650,"" "")"),"Anthony")</f>
        <v>Anthony</v>
      </c>
      <c r="K650" s="1" t="str">
        <f ca="1">IFERROR(__xludf.DUMMYFUNCTION("""COMPUTED_VALUE"""),"Rawles")</f>
        <v>Rawles</v>
      </c>
      <c r="L650" s="1"/>
      <c r="M650" s="1" t="s">
        <v>41</v>
      </c>
      <c r="N650" s="1" t="s">
        <v>30</v>
      </c>
      <c r="O650" s="1" t="s">
        <v>1749</v>
      </c>
      <c r="P650" s="1" t="str">
        <f t="shared" si="522"/>
        <v>Vancouver</v>
      </c>
      <c r="Q650" s="1" t="s">
        <v>81</v>
      </c>
      <c r="R650" s="1" t="str">
        <f t="shared" si="523"/>
        <v>Washington</v>
      </c>
      <c r="S650" s="1">
        <v>98661</v>
      </c>
      <c r="T650" s="1" t="s">
        <v>44</v>
      </c>
      <c r="U650" s="1" t="s">
        <v>1107</v>
      </c>
      <c r="V650" s="1" t="s">
        <v>35</v>
      </c>
      <c r="W650" s="7">
        <v>14.8</v>
      </c>
      <c r="X650" s="1">
        <v>9</v>
      </c>
      <c r="Y650" s="7">
        <v>14.73</v>
      </c>
      <c r="Z650" s="7">
        <f t="shared" ref="Z650:AA650" si="663">W650*X650</f>
        <v>133.20000000000002</v>
      </c>
      <c r="AA650" s="7">
        <f t="shared" si="663"/>
        <v>132.57</v>
      </c>
      <c r="AB650" s="7">
        <f t="shared" si="525"/>
        <v>0.63000000000002387</v>
      </c>
    </row>
    <row r="651" spans="1:28">
      <c r="A651" s="1">
        <v>650</v>
      </c>
      <c r="B651" s="1" t="s">
        <v>1745</v>
      </c>
      <c r="C651" s="2">
        <v>43051</v>
      </c>
      <c r="D651" s="6" t="str">
        <f t="shared" si="520"/>
        <v>Nov</v>
      </c>
      <c r="E651" s="6" t="str">
        <f t="shared" si="521"/>
        <v>Qtr 4</v>
      </c>
      <c r="F651" s="5" t="s">
        <v>1746</v>
      </c>
      <c r="G651" s="1" t="s">
        <v>26</v>
      </c>
      <c r="H651" s="1" t="s">
        <v>1747</v>
      </c>
      <c r="I651" s="1" t="s">
        <v>1748</v>
      </c>
      <c r="J651" s="1" t="str">
        <f ca="1">IFERROR(__xludf.DUMMYFUNCTION("split(I651,"" "")"),"Anthony")</f>
        <v>Anthony</v>
      </c>
      <c r="K651" s="1" t="str">
        <f ca="1">IFERROR(__xludf.DUMMYFUNCTION("""COMPUTED_VALUE"""),"Rawles")</f>
        <v>Rawles</v>
      </c>
      <c r="L651" s="1"/>
      <c r="M651" s="1" t="s">
        <v>41</v>
      </c>
      <c r="N651" s="1" t="s">
        <v>30</v>
      </c>
      <c r="O651" s="1" t="s">
        <v>1749</v>
      </c>
      <c r="P651" s="1" t="str">
        <f t="shared" si="522"/>
        <v>Vancouver</v>
      </c>
      <c r="Q651" s="1" t="s">
        <v>81</v>
      </c>
      <c r="R651" s="1" t="str">
        <f t="shared" si="523"/>
        <v>Washington</v>
      </c>
      <c r="S651" s="1">
        <v>98661</v>
      </c>
      <c r="T651" s="1" t="s">
        <v>44</v>
      </c>
      <c r="U651" s="1" t="s">
        <v>610</v>
      </c>
      <c r="V651" s="1" t="s">
        <v>64</v>
      </c>
      <c r="W651" s="7">
        <v>302.37599999999998</v>
      </c>
      <c r="X651" s="1">
        <v>9</v>
      </c>
      <c r="Y651" s="7">
        <v>301.45</v>
      </c>
      <c r="Z651" s="7">
        <f t="shared" ref="Z651:AA651" si="664">W651*X651</f>
        <v>2721.384</v>
      </c>
      <c r="AA651" s="7">
        <f t="shared" si="664"/>
        <v>2713.0499999999997</v>
      </c>
      <c r="AB651" s="7">
        <f t="shared" si="525"/>
        <v>8.3340000000002874</v>
      </c>
    </row>
    <row r="652" spans="1:28">
      <c r="A652" s="1">
        <v>651</v>
      </c>
      <c r="B652" s="1" t="s">
        <v>1745</v>
      </c>
      <c r="C652" s="2">
        <v>43051</v>
      </c>
      <c r="D652" s="6" t="str">
        <f t="shared" si="520"/>
        <v>Nov</v>
      </c>
      <c r="E652" s="6" t="str">
        <f t="shared" si="521"/>
        <v>Qtr 4</v>
      </c>
      <c r="F652" s="5" t="s">
        <v>1746</v>
      </c>
      <c r="G652" s="1" t="s">
        <v>26</v>
      </c>
      <c r="H652" s="1" t="s">
        <v>1747</v>
      </c>
      <c r="I652" s="1" t="s">
        <v>1748</v>
      </c>
      <c r="J652" s="1" t="str">
        <f ca="1">IFERROR(__xludf.DUMMYFUNCTION("split(I652,"" "")"),"Anthony")</f>
        <v>Anthony</v>
      </c>
      <c r="K652" s="1" t="str">
        <f ca="1">IFERROR(__xludf.DUMMYFUNCTION("""COMPUTED_VALUE"""),"Rawles")</f>
        <v>Rawles</v>
      </c>
      <c r="L652" s="1"/>
      <c r="M652" s="1" t="s">
        <v>41</v>
      </c>
      <c r="N652" s="1" t="s">
        <v>30</v>
      </c>
      <c r="O652" s="1" t="s">
        <v>1749</v>
      </c>
      <c r="P652" s="1" t="str">
        <f t="shared" si="522"/>
        <v>Vancouver</v>
      </c>
      <c r="Q652" s="1" t="s">
        <v>81</v>
      </c>
      <c r="R652" s="1" t="str">
        <f t="shared" si="523"/>
        <v>Washington</v>
      </c>
      <c r="S652" s="1">
        <v>98661</v>
      </c>
      <c r="T652" s="1" t="s">
        <v>44</v>
      </c>
      <c r="U652" s="1" t="s">
        <v>1750</v>
      </c>
      <c r="V652" s="1" t="s">
        <v>64</v>
      </c>
      <c r="W652" s="7">
        <v>316</v>
      </c>
      <c r="X652" s="1">
        <v>9</v>
      </c>
      <c r="Y652" s="7">
        <v>315</v>
      </c>
      <c r="Z652" s="7">
        <f t="shared" ref="Z652:AA652" si="665">W652*X652</f>
        <v>2844</v>
      </c>
      <c r="AA652" s="7">
        <f t="shared" si="665"/>
        <v>2835</v>
      </c>
      <c r="AB652" s="7">
        <f t="shared" si="525"/>
        <v>9</v>
      </c>
    </row>
    <row r="653" spans="1:28">
      <c r="A653" s="1">
        <v>652</v>
      </c>
      <c r="B653" s="1" t="s">
        <v>1751</v>
      </c>
      <c r="C653" s="2">
        <v>43031</v>
      </c>
      <c r="D653" s="6" t="str">
        <f t="shared" si="520"/>
        <v>Oct</v>
      </c>
      <c r="E653" s="6" t="str">
        <f t="shared" si="521"/>
        <v>Qtr 4</v>
      </c>
      <c r="F653" s="5" t="s">
        <v>1087</v>
      </c>
      <c r="G653" s="1" t="s">
        <v>49</v>
      </c>
      <c r="H653" s="1" t="s">
        <v>1752</v>
      </c>
      <c r="I653" s="1" t="s">
        <v>1753</v>
      </c>
      <c r="J653" s="1" t="str">
        <f ca="1">IFERROR(__xludf.DUMMYFUNCTION("split(I653,"" "")"),"Steven")</f>
        <v>Steven</v>
      </c>
      <c r="K653" s="1" t="str">
        <f ca="1">IFERROR(__xludf.DUMMYFUNCTION("""COMPUTED_VALUE"""),"Roelle")</f>
        <v>Roelle</v>
      </c>
      <c r="L653" s="1"/>
      <c r="M653" s="1" t="s">
        <v>87</v>
      </c>
      <c r="N653" s="1" t="s">
        <v>30</v>
      </c>
      <c r="O653" s="1" t="s">
        <v>233</v>
      </c>
      <c r="P653" s="1" t="str">
        <f t="shared" si="522"/>
        <v>New York City</v>
      </c>
      <c r="Q653" s="1" t="s">
        <v>234</v>
      </c>
      <c r="R653" s="1" t="str">
        <f t="shared" si="523"/>
        <v>New York</v>
      </c>
      <c r="S653" s="1">
        <v>10024</v>
      </c>
      <c r="T653" s="1" t="s">
        <v>128</v>
      </c>
      <c r="U653" s="1" t="s">
        <v>273</v>
      </c>
      <c r="V653" s="1" t="s">
        <v>46</v>
      </c>
      <c r="W653" s="7">
        <v>379.4</v>
      </c>
      <c r="X653" s="1">
        <v>1</v>
      </c>
      <c r="Y653" s="7">
        <v>378.46</v>
      </c>
      <c r="Z653" s="7">
        <f t="shared" ref="Z653:AA653" si="666">W653*X653</f>
        <v>379.4</v>
      </c>
      <c r="AA653" s="7">
        <f t="shared" si="666"/>
        <v>378.46</v>
      </c>
      <c r="AB653" s="7">
        <f t="shared" si="525"/>
        <v>0.93999999999999773</v>
      </c>
    </row>
    <row r="654" spans="1:28">
      <c r="A654" s="1">
        <v>653</v>
      </c>
      <c r="B654" s="1" t="s">
        <v>1754</v>
      </c>
      <c r="C654" s="2">
        <v>43270</v>
      </c>
      <c r="D654" s="6" t="str">
        <f t="shared" si="520"/>
        <v>Jun</v>
      </c>
      <c r="E654" s="6" t="str">
        <f t="shared" si="521"/>
        <v>Qtr 2</v>
      </c>
      <c r="F654" s="5" t="s">
        <v>1755</v>
      </c>
      <c r="G654" s="1" t="s">
        <v>49</v>
      </c>
      <c r="H654" s="1" t="s">
        <v>1077</v>
      </c>
      <c r="I654" s="1" t="s">
        <v>1078</v>
      </c>
      <c r="J654" s="1" t="str">
        <f ca="1">IFERROR(__xludf.DUMMYFUNCTION("split(I654,"" "")"),"Allen")</f>
        <v>Allen</v>
      </c>
      <c r="K654" s="1" t="str">
        <f ca="1">IFERROR(__xludf.DUMMYFUNCTION("""COMPUTED_VALUE"""),"Rosenblatt")</f>
        <v>Rosenblatt</v>
      </c>
      <c r="L654" s="1"/>
      <c r="M654" s="1" t="s">
        <v>41</v>
      </c>
      <c r="N654" s="1" t="s">
        <v>30</v>
      </c>
      <c r="O654" s="1" t="s">
        <v>233</v>
      </c>
      <c r="P654" s="1" t="str">
        <f t="shared" si="522"/>
        <v>New York City</v>
      </c>
      <c r="Q654" s="1" t="s">
        <v>234</v>
      </c>
      <c r="R654" s="1" t="str">
        <f t="shared" si="523"/>
        <v>New York</v>
      </c>
      <c r="S654" s="1">
        <v>10035</v>
      </c>
      <c r="T654" s="1" t="s">
        <v>128</v>
      </c>
      <c r="U654" s="1" t="s">
        <v>254</v>
      </c>
      <c r="V654" s="1" t="s">
        <v>46</v>
      </c>
      <c r="W654" s="7">
        <v>97.82</v>
      </c>
      <c r="X654" s="1">
        <v>1</v>
      </c>
      <c r="Y654" s="7">
        <v>97.7</v>
      </c>
      <c r="Z654" s="7">
        <f t="shared" ref="Z654:AA654" si="667">W654*X654</f>
        <v>97.82</v>
      </c>
      <c r="AA654" s="7">
        <f t="shared" si="667"/>
        <v>97.7</v>
      </c>
      <c r="AB654" s="7">
        <f t="shared" si="525"/>
        <v>0.11999999999999034</v>
      </c>
    </row>
    <row r="655" spans="1:28">
      <c r="A655" s="1">
        <v>654</v>
      </c>
      <c r="B655" s="1" t="s">
        <v>1754</v>
      </c>
      <c r="C655" s="2">
        <v>43270</v>
      </c>
      <c r="D655" s="6" t="str">
        <f t="shared" si="520"/>
        <v>Jun</v>
      </c>
      <c r="E655" s="6" t="str">
        <f t="shared" si="521"/>
        <v>Qtr 2</v>
      </c>
      <c r="F655" s="5" t="s">
        <v>1755</v>
      </c>
      <c r="G655" s="1" t="s">
        <v>49</v>
      </c>
      <c r="H655" s="1" t="s">
        <v>1077</v>
      </c>
      <c r="I655" s="1" t="s">
        <v>1078</v>
      </c>
      <c r="J655" s="1" t="str">
        <f ca="1">IFERROR(__xludf.DUMMYFUNCTION("split(I655,"" "")"),"Allen")</f>
        <v>Allen</v>
      </c>
      <c r="K655" s="1" t="str">
        <f ca="1">IFERROR(__xludf.DUMMYFUNCTION("""COMPUTED_VALUE"""),"Rosenblatt")</f>
        <v>Rosenblatt</v>
      </c>
      <c r="L655" s="1"/>
      <c r="M655" s="1" t="s">
        <v>41</v>
      </c>
      <c r="N655" s="1" t="s">
        <v>30</v>
      </c>
      <c r="O655" s="1" t="s">
        <v>233</v>
      </c>
      <c r="P655" s="1" t="str">
        <f t="shared" si="522"/>
        <v>New York City</v>
      </c>
      <c r="Q655" s="1" t="s">
        <v>234</v>
      </c>
      <c r="R655" s="1" t="str">
        <f t="shared" si="523"/>
        <v>New York</v>
      </c>
      <c r="S655" s="1">
        <v>10035</v>
      </c>
      <c r="T655" s="1" t="s">
        <v>128</v>
      </c>
      <c r="U655" s="1" t="s">
        <v>1756</v>
      </c>
      <c r="V655" s="1" t="s">
        <v>64</v>
      </c>
      <c r="W655" s="7">
        <v>103.12</v>
      </c>
      <c r="X655" s="1">
        <v>1</v>
      </c>
      <c r="Y655" s="7">
        <v>102.24</v>
      </c>
      <c r="Z655" s="7">
        <f t="shared" ref="Z655:AA655" si="668">W655*X655</f>
        <v>103.12</v>
      </c>
      <c r="AA655" s="7">
        <f t="shared" si="668"/>
        <v>102.24</v>
      </c>
      <c r="AB655" s="7">
        <f t="shared" si="525"/>
        <v>0.88000000000000966</v>
      </c>
    </row>
    <row r="656" spans="1:28">
      <c r="A656" s="1">
        <v>655</v>
      </c>
      <c r="B656" s="1" t="s">
        <v>1757</v>
      </c>
      <c r="C656" s="2">
        <v>42969</v>
      </c>
      <c r="D656" s="6" t="str">
        <f t="shared" si="520"/>
        <v>Aug</v>
      </c>
      <c r="E656" s="6" t="str">
        <f t="shared" si="521"/>
        <v>Qtr 3</v>
      </c>
      <c r="F656" s="5" t="s">
        <v>1758</v>
      </c>
      <c r="G656" s="1" t="s">
        <v>49</v>
      </c>
      <c r="H656" s="1" t="s">
        <v>1759</v>
      </c>
      <c r="I656" s="1" t="s">
        <v>1760</v>
      </c>
      <c r="J656" s="1" t="str">
        <f ca="1">IFERROR(__xludf.DUMMYFUNCTION("split(I656,"" "")"),"Craig")</f>
        <v>Craig</v>
      </c>
      <c r="K656" s="1" t="str">
        <f ca="1">IFERROR(__xludf.DUMMYFUNCTION("""COMPUTED_VALUE"""),"Reiter")</f>
        <v>Reiter</v>
      </c>
      <c r="L656" s="1"/>
      <c r="M656" s="1" t="s">
        <v>29</v>
      </c>
      <c r="N656" s="1" t="s">
        <v>30</v>
      </c>
      <c r="O656" s="1" t="s">
        <v>420</v>
      </c>
      <c r="P656" s="1" t="str">
        <f t="shared" si="522"/>
        <v>Columbus</v>
      </c>
      <c r="Q656" s="1" t="s">
        <v>421</v>
      </c>
      <c r="R656" s="1" t="str">
        <f t="shared" si="523"/>
        <v>Ohio</v>
      </c>
      <c r="S656" s="1">
        <v>43229</v>
      </c>
      <c r="T656" s="1" t="s">
        <v>128</v>
      </c>
      <c r="U656" s="1" t="s">
        <v>1761</v>
      </c>
      <c r="V656" s="1" t="s">
        <v>46</v>
      </c>
      <c r="W656" s="7">
        <v>113.55200000000001</v>
      </c>
      <c r="X656" s="1">
        <v>4</v>
      </c>
      <c r="Y656" s="7">
        <v>112.7</v>
      </c>
      <c r="Z656" s="7">
        <f t="shared" ref="Z656:AA656" si="669">W656*X656</f>
        <v>454.20800000000003</v>
      </c>
      <c r="AA656" s="7">
        <f t="shared" si="669"/>
        <v>450.8</v>
      </c>
      <c r="AB656" s="7">
        <f t="shared" si="525"/>
        <v>3.4080000000000155</v>
      </c>
    </row>
    <row r="657" spans="1:28">
      <c r="A657" s="1">
        <v>656</v>
      </c>
      <c r="B657" s="1" t="s">
        <v>1757</v>
      </c>
      <c r="C657" s="2">
        <v>42969</v>
      </c>
      <c r="D657" s="6" t="str">
        <f t="shared" si="520"/>
        <v>Aug</v>
      </c>
      <c r="E657" s="6" t="str">
        <f t="shared" si="521"/>
        <v>Qtr 3</v>
      </c>
      <c r="F657" s="5" t="s">
        <v>1758</v>
      </c>
      <c r="G657" s="1" t="s">
        <v>49</v>
      </c>
      <c r="H657" s="1" t="s">
        <v>1759</v>
      </c>
      <c r="I657" s="1" t="s">
        <v>1760</v>
      </c>
      <c r="J657" s="1" t="str">
        <f ca="1">IFERROR(__xludf.DUMMYFUNCTION("split(I657,"" "")"),"Craig")</f>
        <v>Craig</v>
      </c>
      <c r="K657" s="1" t="str">
        <f ca="1">IFERROR(__xludf.DUMMYFUNCTION("""COMPUTED_VALUE"""),"Reiter")</f>
        <v>Reiter</v>
      </c>
      <c r="L657" s="1"/>
      <c r="M657" s="1" t="s">
        <v>29</v>
      </c>
      <c r="N657" s="1" t="s">
        <v>30</v>
      </c>
      <c r="O657" s="1" t="s">
        <v>420</v>
      </c>
      <c r="P657" s="1" t="str">
        <f t="shared" si="522"/>
        <v>Columbus</v>
      </c>
      <c r="Q657" s="1" t="s">
        <v>421</v>
      </c>
      <c r="R657" s="1" t="str">
        <f t="shared" si="523"/>
        <v>Ohio</v>
      </c>
      <c r="S657" s="1">
        <v>43229</v>
      </c>
      <c r="T657" s="1" t="s">
        <v>128</v>
      </c>
      <c r="U657" s="1" t="s">
        <v>1762</v>
      </c>
      <c r="V657" s="1" t="s">
        <v>46</v>
      </c>
      <c r="W657" s="7">
        <v>3.3180000000000001</v>
      </c>
      <c r="X657" s="1">
        <v>4</v>
      </c>
      <c r="Y657" s="7">
        <v>3.09</v>
      </c>
      <c r="Z657" s="7">
        <f t="shared" ref="Z657:AA657" si="670">W657*X657</f>
        <v>13.272</v>
      </c>
      <c r="AA657" s="7">
        <f t="shared" si="670"/>
        <v>12.36</v>
      </c>
      <c r="AB657" s="7">
        <f t="shared" si="525"/>
        <v>0.91200000000000081</v>
      </c>
    </row>
    <row r="658" spans="1:28">
      <c r="A658" s="1">
        <v>657</v>
      </c>
      <c r="B658" s="1" t="s">
        <v>1757</v>
      </c>
      <c r="C658" s="2">
        <v>42969</v>
      </c>
      <c r="D658" s="6" t="str">
        <f t="shared" si="520"/>
        <v>Aug</v>
      </c>
      <c r="E658" s="6" t="str">
        <f t="shared" si="521"/>
        <v>Qtr 3</v>
      </c>
      <c r="F658" s="5" t="s">
        <v>1758</v>
      </c>
      <c r="G658" s="1" t="s">
        <v>49</v>
      </c>
      <c r="H658" s="1" t="s">
        <v>1759</v>
      </c>
      <c r="I658" s="1" t="s">
        <v>1760</v>
      </c>
      <c r="J658" s="1" t="str">
        <f ca="1">IFERROR(__xludf.DUMMYFUNCTION("split(I658,"" "")"),"Craig")</f>
        <v>Craig</v>
      </c>
      <c r="K658" s="1" t="str">
        <f ca="1">IFERROR(__xludf.DUMMYFUNCTION("""COMPUTED_VALUE"""),"Reiter")</f>
        <v>Reiter</v>
      </c>
      <c r="L658" s="1"/>
      <c r="M658" s="1" t="s">
        <v>29</v>
      </c>
      <c r="N658" s="1" t="s">
        <v>30</v>
      </c>
      <c r="O658" s="1" t="s">
        <v>420</v>
      </c>
      <c r="P658" s="1" t="str">
        <f t="shared" si="522"/>
        <v>Columbus</v>
      </c>
      <c r="Q658" s="1" t="s">
        <v>421</v>
      </c>
      <c r="R658" s="1" t="str">
        <f t="shared" si="523"/>
        <v>Ohio</v>
      </c>
      <c r="S658" s="1">
        <v>43229</v>
      </c>
      <c r="T658" s="1" t="s">
        <v>128</v>
      </c>
      <c r="U658" s="1" t="s">
        <v>1763</v>
      </c>
      <c r="V658" s="1" t="s">
        <v>46</v>
      </c>
      <c r="W658" s="7">
        <v>134.28800000000001</v>
      </c>
      <c r="X658" s="1">
        <v>4</v>
      </c>
      <c r="Y658" s="7">
        <v>133.72</v>
      </c>
      <c r="Z658" s="7">
        <f t="shared" ref="Z658:AA658" si="671">W658*X658</f>
        <v>537.15200000000004</v>
      </c>
      <c r="AA658" s="7">
        <f t="shared" si="671"/>
        <v>534.88</v>
      </c>
      <c r="AB658" s="7">
        <f t="shared" si="525"/>
        <v>2.2720000000000482</v>
      </c>
    </row>
    <row r="659" spans="1:28">
      <c r="A659" s="1">
        <v>658</v>
      </c>
      <c r="B659" s="1" t="s">
        <v>1764</v>
      </c>
      <c r="C659" s="2">
        <v>42997</v>
      </c>
      <c r="D659" s="6" t="str">
        <f t="shared" si="520"/>
        <v>Sep</v>
      </c>
      <c r="E659" s="6" t="str">
        <f t="shared" si="521"/>
        <v>Qtr 3</v>
      </c>
      <c r="F659" s="5" t="s">
        <v>1765</v>
      </c>
      <c r="G659" s="1" t="s">
        <v>1050</v>
      </c>
      <c r="H659" s="1" t="s">
        <v>1766</v>
      </c>
      <c r="I659" s="1" t="s">
        <v>1767</v>
      </c>
      <c r="J659" s="1" t="str">
        <f ca="1">IFERROR(__xludf.DUMMYFUNCTION("split(I659,"" "")"),"Eugene")</f>
        <v>Eugene</v>
      </c>
      <c r="K659" s="1" t="str">
        <f ca="1">IFERROR(__xludf.DUMMYFUNCTION("""COMPUTED_VALUE"""),"Hildebrand")</f>
        <v>Hildebrand</v>
      </c>
      <c r="L659" s="1"/>
      <c r="M659" s="1" t="s">
        <v>87</v>
      </c>
      <c r="N659" s="1" t="s">
        <v>30</v>
      </c>
      <c r="O659" s="1" t="s">
        <v>385</v>
      </c>
      <c r="P659" s="1" t="str">
        <f t="shared" si="522"/>
        <v>Aurora</v>
      </c>
      <c r="Q659" s="1" t="s">
        <v>182</v>
      </c>
      <c r="R659" s="1" t="str">
        <f t="shared" si="523"/>
        <v>Illinois</v>
      </c>
      <c r="S659" s="1">
        <v>60505</v>
      </c>
      <c r="T659" s="1" t="s">
        <v>90</v>
      </c>
      <c r="U659" s="1" t="s">
        <v>1402</v>
      </c>
      <c r="V659" s="1" t="s">
        <v>35</v>
      </c>
      <c r="W659" s="7">
        <v>701.37199999999996</v>
      </c>
      <c r="X659" s="1">
        <v>6</v>
      </c>
      <c r="Y659" s="7">
        <v>700.42</v>
      </c>
      <c r="Z659" s="7">
        <f t="shared" ref="Z659:AA659" si="672">W659*X659</f>
        <v>4208.232</v>
      </c>
      <c r="AA659" s="7">
        <f t="shared" si="672"/>
        <v>4202.5199999999995</v>
      </c>
      <c r="AB659" s="7">
        <f t="shared" si="525"/>
        <v>5.7120000000004438</v>
      </c>
    </row>
    <row r="660" spans="1:28">
      <c r="A660" s="1">
        <v>659</v>
      </c>
      <c r="B660" s="1" t="s">
        <v>1764</v>
      </c>
      <c r="C660" s="2">
        <v>42997</v>
      </c>
      <c r="D660" s="6" t="str">
        <f t="shared" si="520"/>
        <v>Sep</v>
      </c>
      <c r="E660" s="6" t="str">
        <f t="shared" si="521"/>
        <v>Qtr 3</v>
      </c>
      <c r="F660" s="5" t="s">
        <v>1765</v>
      </c>
      <c r="G660" s="1" t="s">
        <v>1050</v>
      </c>
      <c r="H660" s="1" t="s">
        <v>1766</v>
      </c>
      <c r="I660" s="1" t="s">
        <v>1767</v>
      </c>
      <c r="J660" s="1" t="str">
        <f ca="1">IFERROR(__xludf.DUMMYFUNCTION("split(I660,"" "")"),"Eugene")</f>
        <v>Eugene</v>
      </c>
      <c r="K660" s="1" t="str">
        <f ca="1">IFERROR(__xludf.DUMMYFUNCTION("""COMPUTED_VALUE"""),"Hildebrand")</f>
        <v>Hildebrand</v>
      </c>
      <c r="L660" s="1"/>
      <c r="M660" s="1" t="s">
        <v>87</v>
      </c>
      <c r="N660" s="1" t="s">
        <v>30</v>
      </c>
      <c r="O660" s="1" t="s">
        <v>385</v>
      </c>
      <c r="P660" s="1" t="str">
        <f t="shared" si="522"/>
        <v>Aurora</v>
      </c>
      <c r="Q660" s="1" t="s">
        <v>182</v>
      </c>
      <c r="R660" s="1" t="str">
        <f t="shared" si="523"/>
        <v>Illinois</v>
      </c>
      <c r="S660" s="1">
        <v>60505</v>
      </c>
      <c r="T660" s="1" t="s">
        <v>90</v>
      </c>
      <c r="U660" s="1" t="s">
        <v>278</v>
      </c>
      <c r="V660" s="1" t="s">
        <v>46</v>
      </c>
      <c r="W660" s="7">
        <v>2.3079999999999998</v>
      </c>
      <c r="X660" s="1">
        <v>6</v>
      </c>
      <c r="Y660" s="7">
        <v>1.71</v>
      </c>
      <c r="Z660" s="7">
        <f t="shared" ref="Z660:AA660" si="673">W660*X660</f>
        <v>13.847999999999999</v>
      </c>
      <c r="AA660" s="7">
        <f t="shared" si="673"/>
        <v>10.26</v>
      </c>
      <c r="AB660" s="7">
        <f t="shared" si="525"/>
        <v>3.5879999999999992</v>
      </c>
    </row>
    <row r="661" spans="1:28">
      <c r="A661" s="1">
        <v>660</v>
      </c>
      <c r="B661" s="1" t="s">
        <v>1768</v>
      </c>
      <c r="C661" s="2">
        <v>42606</v>
      </c>
      <c r="D661" s="6" t="str">
        <f t="shared" si="520"/>
        <v>Aug</v>
      </c>
      <c r="E661" s="6" t="str">
        <f t="shared" si="521"/>
        <v>Qtr 3</v>
      </c>
      <c r="F661" s="5" t="s">
        <v>1769</v>
      </c>
      <c r="G661" s="1" t="s">
        <v>49</v>
      </c>
      <c r="H661" s="1" t="s">
        <v>643</v>
      </c>
      <c r="I661" s="1" t="s">
        <v>644</v>
      </c>
      <c r="J661" s="1" t="str">
        <f ca="1">IFERROR(__xludf.DUMMYFUNCTION("split(I661,"" "")"),"Cassandra")</f>
        <v>Cassandra</v>
      </c>
      <c r="K661" s="1" t="str">
        <f ca="1">IFERROR(__xludf.DUMMYFUNCTION("""COMPUTED_VALUE"""),"Brandow")</f>
        <v>Brandow</v>
      </c>
      <c r="L661" s="1"/>
      <c r="M661" s="1" t="s">
        <v>29</v>
      </c>
      <c r="N661" s="1" t="s">
        <v>30</v>
      </c>
      <c r="O661" s="1" t="s">
        <v>917</v>
      </c>
      <c r="P661" s="1" t="str">
        <f t="shared" si="522"/>
        <v>Arlington</v>
      </c>
      <c r="Q661" s="1" t="s">
        <v>89</v>
      </c>
      <c r="R661" s="1" t="str">
        <f t="shared" si="523"/>
        <v>Texas</v>
      </c>
      <c r="S661" s="1">
        <v>76017</v>
      </c>
      <c r="T661" s="1" t="s">
        <v>90</v>
      </c>
      <c r="U661" s="1" t="s">
        <v>1639</v>
      </c>
      <c r="V661" s="1" t="s">
        <v>46</v>
      </c>
      <c r="W661" s="7">
        <v>999.43200000000002</v>
      </c>
      <c r="X661" s="1">
        <v>7</v>
      </c>
      <c r="Y661" s="7">
        <v>998.53</v>
      </c>
      <c r="Z661" s="7">
        <f t="shared" ref="Z661:AA661" si="674">W661*X661</f>
        <v>6996.0240000000003</v>
      </c>
      <c r="AA661" s="7">
        <f t="shared" si="674"/>
        <v>6989.71</v>
      </c>
      <c r="AB661" s="7">
        <f t="shared" si="525"/>
        <v>6.3140000000003056</v>
      </c>
    </row>
    <row r="662" spans="1:28">
      <c r="A662" s="1">
        <v>661</v>
      </c>
      <c r="B662" s="1" t="s">
        <v>1768</v>
      </c>
      <c r="C662" s="2">
        <v>42606</v>
      </c>
      <c r="D662" s="6" t="str">
        <f t="shared" si="520"/>
        <v>Aug</v>
      </c>
      <c r="E662" s="6" t="str">
        <f t="shared" si="521"/>
        <v>Qtr 3</v>
      </c>
      <c r="F662" s="5" t="s">
        <v>1769</v>
      </c>
      <c r="G662" s="1" t="s">
        <v>49</v>
      </c>
      <c r="H662" s="1" t="s">
        <v>643</v>
      </c>
      <c r="I662" s="1" t="s">
        <v>644</v>
      </c>
      <c r="J662" s="1" t="str">
        <f ca="1">IFERROR(__xludf.DUMMYFUNCTION("split(I662,"" "")"),"Cassandra")</f>
        <v>Cassandra</v>
      </c>
      <c r="K662" s="1" t="str">
        <f ca="1">IFERROR(__xludf.DUMMYFUNCTION("""COMPUTED_VALUE"""),"Brandow")</f>
        <v>Brandow</v>
      </c>
      <c r="L662" s="1"/>
      <c r="M662" s="1" t="s">
        <v>29</v>
      </c>
      <c r="N662" s="1" t="s">
        <v>30</v>
      </c>
      <c r="O662" s="1" t="s">
        <v>917</v>
      </c>
      <c r="P662" s="1" t="str">
        <f t="shared" si="522"/>
        <v>Arlington</v>
      </c>
      <c r="Q662" s="1" t="s">
        <v>89</v>
      </c>
      <c r="R662" s="1" t="str">
        <f t="shared" si="523"/>
        <v>Texas</v>
      </c>
      <c r="S662" s="1">
        <v>76017</v>
      </c>
      <c r="T662" s="1" t="s">
        <v>90</v>
      </c>
      <c r="U662" s="1" t="s">
        <v>1770</v>
      </c>
      <c r="V662" s="1" t="s">
        <v>46</v>
      </c>
      <c r="W662" s="7">
        <v>724.08</v>
      </c>
      <c r="X662" s="1">
        <v>7</v>
      </c>
      <c r="Y662" s="7">
        <v>723.22</v>
      </c>
      <c r="Z662" s="7">
        <f t="shared" ref="Z662:AA662" si="675">W662*X662</f>
        <v>5068.5600000000004</v>
      </c>
      <c r="AA662" s="7">
        <f t="shared" si="675"/>
        <v>5062.54</v>
      </c>
      <c r="AB662" s="7">
        <f t="shared" si="525"/>
        <v>6.0200000000004366</v>
      </c>
    </row>
    <row r="663" spans="1:28">
      <c r="A663" s="1">
        <v>662</v>
      </c>
      <c r="B663" s="1" t="s">
        <v>1768</v>
      </c>
      <c r="C663" s="2">
        <v>42606</v>
      </c>
      <c r="D663" s="6" t="str">
        <f t="shared" si="520"/>
        <v>Aug</v>
      </c>
      <c r="E663" s="6" t="str">
        <f t="shared" si="521"/>
        <v>Qtr 3</v>
      </c>
      <c r="F663" s="5" t="s">
        <v>1769</v>
      </c>
      <c r="G663" s="1" t="s">
        <v>49</v>
      </c>
      <c r="H663" s="1" t="s">
        <v>643</v>
      </c>
      <c r="I663" s="1" t="s">
        <v>644</v>
      </c>
      <c r="J663" s="1" t="str">
        <f ca="1">IFERROR(__xludf.DUMMYFUNCTION("split(I663,"" "")"),"Cassandra")</f>
        <v>Cassandra</v>
      </c>
      <c r="K663" s="1" t="str">
        <f ca="1">IFERROR(__xludf.DUMMYFUNCTION("""COMPUTED_VALUE"""),"Brandow")</f>
        <v>Brandow</v>
      </c>
      <c r="L663" s="1"/>
      <c r="M663" s="1" t="s">
        <v>29</v>
      </c>
      <c r="N663" s="1" t="s">
        <v>30</v>
      </c>
      <c r="O663" s="1" t="s">
        <v>917</v>
      </c>
      <c r="P663" s="1" t="str">
        <f t="shared" si="522"/>
        <v>Arlington</v>
      </c>
      <c r="Q663" s="1" t="s">
        <v>89</v>
      </c>
      <c r="R663" s="1" t="str">
        <f t="shared" si="523"/>
        <v>Texas</v>
      </c>
      <c r="S663" s="1">
        <v>76017</v>
      </c>
      <c r="T663" s="1" t="s">
        <v>90</v>
      </c>
      <c r="U663" s="1" t="s">
        <v>429</v>
      </c>
      <c r="V663" s="1" t="s">
        <v>35</v>
      </c>
      <c r="W663" s="7">
        <v>918.78499999999997</v>
      </c>
      <c r="X663" s="1">
        <v>7</v>
      </c>
      <c r="Y663" s="7">
        <v>917.93</v>
      </c>
      <c r="Z663" s="7">
        <f t="shared" ref="Z663:AA663" si="676">W663*X663</f>
        <v>6431.4949999999999</v>
      </c>
      <c r="AA663" s="7">
        <f t="shared" si="676"/>
        <v>6425.5099999999993</v>
      </c>
      <c r="AB663" s="7">
        <f t="shared" si="525"/>
        <v>5.9850000000005821</v>
      </c>
    </row>
    <row r="664" spans="1:28">
      <c r="A664" s="1">
        <v>663</v>
      </c>
      <c r="B664" s="1" t="s">
        <v>1768</v>
      </c>
      <c r="C664" s="2">
        <v>42606</v>
      </c>
      <c r="D664" s="6" t="str">
        <f t="shared" si="520"/>
        <v>Aug</v>
      </c>
      <c r="E664" s="6" t="str">
        <f t="shared" si="521"/>
        <v>Qtr 3</v>
      </c>
      <c r="F664" s="5" t="s">
        <v>1769</v>
      </c>
      <c r="G664" s="1" t="s">
        <v>49</v>
      </c>
      <c r="H664" s="1" t="s">
        <v>643</v>
      </c>
      <c r="I664" s="1" t="s">
        <v>644</v>
      </c>
      <c r="J664" s="1" t="str">
        <f ca="1">IFERROR(__xludf.DUMMYFUNCTION("split(I664,"" "")"),"Cassandra")</f>
        <v>Cassandra</v>
      </c>
      <c r="K664" s="1" t="str">
        <f ca="1">IFERROR(__xludf.DUMMYFUNCTION("""COMPUTED_VALUE"""),"Brandow")</f>
        <v>Brandow</v>
      </c>
      <c r="L664" s="1"/>
      <c r="M664" s="1" t="s">
        <v>29</v>
      </c>
      <c r="N664" s="1" t="s">
        <v>30</v>
      </c>
      <c r="O664" s="1" t="s">
        <v>917</v>
      </c>
      <c r="P664" s="1" t="str">
        <f t="shared" si="522"/>
        <v>Arlington</v>
      </c>
      <c r="Q664" s="1" t="s">
        <v>89</v>
      </c>
      <c r="R664" s="1" t="str">
        <f t="shared" si="523"/>
        <v>Texas</v>
      </c>
      <c r="S664" s="1">
        <v>76017</v>
      </c>
      <c r="T664" s="1" t="s">
        <v>90</v>
      </c>
      <c r="U664" s="1" t="s">
        <v>415</v>
      </c>
      <c r="V664" s="1" t="s">
        <v>46</v>
      </c>
      <c r="W664" s="7">
        <v>2.7240000000000002</v>
      </c>
      <c r="X664" s="1">
        <v>7</v>
      </c>
      <c r="Y664" s="7">
        <v>2.25</v>
      </c>
      <c r="Z664" s="7">
        <f t="shared" ref="Z664:AA664" si="677">W664*X664</f>
        <v>19.068000000000001</v>
      </c>
      <c r="AA664" s="7">
        <f t="shared" si="677"/>
        <v>15.75</v>
      </c>
      <c r="AB664" s="7">
        <f t="shared" si="525"/>
        <v>3.3180000000000014</v>
      </c>
    </row>
    <row r="665" spans="1:28">
      <c r="A665" s="1">
        <v>664</v>
      </c>
      <c r="B665" s="1" t="s">
        <v>1771</v>
      </c>
      <c r="C665" s="2">
        <v>42820</v>
      </c>
      <c r="D665" s="6" t="str">
        <f t="shared" si="520"/>
        <v>Mar</v>
      </c>
      <c r="E665" s="6" t="str">
        <f t="shared" si="521"/>
        <v>Qtr 1</v>
      </c>
      <c r="F665" s="5" t="s">
        <v>1772</v>
      </c>
      <c r="G665" s="1" t="s">
        <v>49</v>
      </c>
      <c r="H665" s="1" t="s">
        <v>1773</v>
      </c>
      <c r="I665" s="1" t="s">
        <v>1774</v>
      </c>
      <c r="J665" s="1" t="str">
        <f ca="1">IFERROR(__xludf.DUMMYFUNCTION("split(I665,"" "")"),"Sibella")</f>
        <v>Sibella</v>
      </c>
      <c r="K665" s="1" t="str">
        <f ca="1">IFERROR(__xludf.DUMMYFUNCTION("""COMPUTED_VALUE"""),"Parks")</f>
        <v>Parks</v>
      </c>
      <c r="L665" s="1"/>
      <c r="M665" s="1" t="s">
        <v>41</v>
      </c>
      <c r="N665" s="1" t="s">
        <v>30</v>
      </c>
      <c r="O665" s="1" t="s">
        <v>233</v>
      </c>
      <c r="P665" s="1" t="str">
        <f t="shared" si="522"/>
        <v>New York City</v>
      </c>
      <c r="Q665" s="1" t="s">
        <v>234</v>
      </c>
      <c r="R665" s="1" t="str">
        <f t="shared" si="523"/>
        <v>New York</v>
      </c>
      <c r="S665" s="1">
        <v>10011</v>
      </c>
      <c r="T665" s="1" t="s">
        <v>128</v>
      </c>
      <c r="U665" s="1" t="s">
        <v>696</v>
      </c>
      <c r="V665" s="1" t="s">
        <v>46</v>
      </c>
      <c r="W665" s="7">
        <v>459.95</v>
      </c>
      <c r="X665" s="1">
        <v>1</v>
      </c>
      <c r="Y665" s="7">
        <v>459.05</v>
      </c>
      <c r="Z665" s="7">
        <f t="shared" ref="Z665:AA665" si="678">W665*X665</f>
        <v>459.95</v>
      </c>
      <c r="AA665" s="7">
        <f t="shared" si="678"/>
        <v>459.05</v>
      </c>
      <c r="AB665" s="7">
        <f t="shared" si="525"/>
        <v>0.89999999999997726</v>
      </c>
    </row>
    <row r="666" spans="1:28">
      <c r="A666" s="1">
        <v>665</v>
      </c>
      <c r="B666" s="1" t="s">
        <v>1775</v>
      </c>
      <c r="C666" s="2">
        <v>42836</v>
      </c>
      <c r="D666" s="6" t="str">
        <f t="shared" si="520"/>
        <v>Apr</v>
      </c>
      <c r="E666" s="6" t="str">
        <f t="shared" si="521"/>
        <v>Qtr 2</v>
      </c>
      <c r="F666" s="5">
        <v>42836</v>
      </c>
      <c r="G666" s="1" t="s">
        <v>1050</v>
      </c>
      <c r="H666" s="1" t="s">
        <v>807</v>
      </c>
      <c r="I666" s="1" t="s">
        <v>808</v>
      </c>
      <c r="J666" s="1" t="str">
        <f ca="1">IFERROR(__xludf.DUMMYFUNCTION("split(I666,"" "")"),"Roy")</f>
        <v>Roy</v>
      </c>
      <c r="K666" s="1" t="str">
        <f ca="1">IFERROR(__xludf.DUMMYFUNCTION("""COMPUTED_VALUE"""),"Collins")</f>
        <v>Collins</v>
      </c>
      <c r="L666" s="1"/>
      <c r="M666" s="1" t="s">
        <v>29</v>
      </c>
      <c r="N666" s="1" t="s">
        <v>30</v>
      </c>
      <c r="O666" s="1" t="s">
        <v>1199</v>
      </c>
      <c r="P666" s="1" t="str">
        <f t="shared" si="522"/>
        <v>Louisville</v>
      </c>
      <c r="Q666" s="1" t="s">
        <v>32</v>
      </c>
      <c r="R666" s="1" t="str">
        <f t="shared" si="523"/>
        <v>Kentucky</v>
      </c>
      <c r="S666" s="1">
        <v>40214</v>
      </c>
      <c r="T666" s="1" t="s">
        <v>33</v>
      </c>
      <c r="U666" s="1" t="s">
        <v>422</v>
      </c>
      <c r="V666" s="1" t="s">
        <v>46</v>
      </c>
      <c r="W666" s="7">
        <v>10.74</v>
      </c>
      <c r="X666" s="1">
        <v>4</v>
      </c>
      <c r="Y666" s="7">
        <v>10.199999999999999</v>
      </c>
      <c r="Z666" s="7">
        <f t="shared" ref="Z666:AA666" si="679">W666*X666</f>
        <v>42.96</v>
      </c>
      <c r="AA666" s="7">
        <f t="shared" si="679"/>
        <v>40.799999999999997</v>
      </c>
      <c r="AB666" s="7">
        <f t="shared" si="525"/>
        <v>2.1600000000000037</v>
      </c>
    </row>
    <row r="667" spans="1:28">
      <c r="A667" s="1">
        <v>666</v>
      </c>
      <c r="B667" s="1" t="s">
        <v>1776</v>
      </c>
      <c r="C667" s="2">
        <v>43318</v>
      </c>
      <c r="D667" s="6" t="str">
        <f t="shared" si="520"/>
        <v>Aug</v>
      </c>
      <c r="E667" s="6" t="str">
        <f t="shared" si="521"/>
        <v>Qtr 3</v>
      </c>
      <c r="F667" s="5">
        <v>43379</v>
      </c>
      <c r="G667" s="1" t="s">
        <v>26</v>
      </c>
      <c r="H667" s="1" t="s">
        <v>1777</v>
      </c>
      <c r="I667" s="1" t="s">
        <v>1778</v>
      </c>
      <c r="J667" s="1" t="str">
        <f ca="1">IFERROR(__xludf.DUMMYFUNCTION("split(I667,"" "")"),"Tiffany")</f>
        <v>Tiffany</v>
      </c>
      <c r="K667" s="1" t="str">
        <f ca="1">IFERROR(__xludf.DUMMYFUNCTION("""COMPUTED_VALUE"""),"House")</f>
        <v>House</v>
      </c>
      <c r="L667" s="1"/>
      <c r="M667" s="1" t="s">
        <v>41</v>
      </c>
      <c r="N667" s="1" t="s">
        <v>30</v>
      </c>
      <c r="O667" s="1" t="s">
        <v>677</v>
      </c>
      <c r="P667" s="1" t="str">
        <f t="shared" si="522"/>
        <v>Dallas</v>
      </c>
      <c r="Q667" s="1" t="s">
        <v>89</v>
      </c>
      <c r="R667" s="1" t="str">
        <f t="shared" si="523"/>
        <v>Texas</v>
      </c>
      <c r="S667" s="1">
        <v>75081</v>
      </c>
      <c r="T667" s="1" t="s">
        <v>90</v>
      </c>
      <c r="U667" s="1" t="s">
        <v>1779</v>
      </c>
      <c r="V667" s="1" t="s">
        <v>46</v>
      </c>
      <c r="W667" s="7">
        <v>23.76</v>
      </c>
      <c r="X667" s="1">
        <v>7</v>
      </c>
      <c r="Y667" s="7">
        <v>23.17</v>
      </c>
      <c r="Z667" s="7">
        <f t="shared" ref="Z667:AA667" si="680">W667*X667</f>
        <v>166.32000000000002</v>
      </c>
      <c r="AA667" s="7">
        <f t="shared" si="680"/>
        <v>162.19</v>
      </c>
      <c r="AB667" s="7">
        <f t="shared" si="525"/>
        <v>4.1300000000000239</v>
      </c>
    </row>
    <row r="668" spans="1:28">
      <c r="A668" s="1">
        <v>667</v>
      </c>
      <c r="B668" s="1" t="s">
        <v>1776</v>
      </c>
      <c r="C668" s="2">
        <v>43318</v>
      </c>
      <c r="D668" s="6" t="str">
        <f t="shared" si="520"/>
        <v>Aug</v>
      </c>
      <c r="E668" s="6" t="str">
        <f t="shared" si="521"/>
        <v>Qtr 3</v>
      </c>
      <c r="F668" s="5">
        <v>43379</v>
      </c>
      <c r="G668" s="1" t="s">
        <v>26</v>
      </c>
      <c r="H668" s="1" t="s">
        <v>1777</v>
      </c>
      <c r="I668" s="1" t="s">
        <v>1778</v>
      </c>
      <c r="J668" s="1" t="str">
        <f ca="1">IFERROR(__xludf.DUMMYFUNCTION("split(I668,"" "")"),"Tiffany")</f>
        <v>Tiffany</v>
      </c>
      <c r="K668" s="1" t="str">
        <f ca="1">IFERROR(__xludf.DUMMYFUNCTION("""COMPUTED_VALUE"""),"House")</f>
        <v>House</v>
      </c>
      <c r="L668" s="1"/>
      <c r="M668" s="1" t="s">
        <v>41</v>
      </c>
      <c r="N668" s="1" t="s">
        <v>30</v>
      </c>
      <c r="O668" s="1" t="s">
        <v>677</v>
      </c>
      <c r="P668" s="1" t="str">
        <f t="shared" si="522"/>
        <v>Dallas</v>
      </c>
      <c r="Q668" s="1" t="s">
        <v>89</v>
      </c>
      <c r="R668" s="1" t="str">
        <f t="shared" si="523"/>
        <v>Texas</v>
      </c>
      <c r="S668" s="1">
        <v>75081</v>
      </c>
      <c r="T668" s="1" t="s">
        <v>90</v>
      </c>
      <c r="U668" s="1" t="s">
        <v>864</v>
      </c>
      <c r="V668" s="1" t="s">
        <v>46</v>
      </c>
      <c r="W668" s="7">
        <v>85.055999999999997</v>
      </c>
      <c r="X668" s="1">
        <v>7</v>
      </c>
      <c r="Y668" s="7">
        <v>84.29</v>
      </c>
      <c r="Z668" s="7">
        <f t="shared" ref="Z668:AA668" si="681">W668*X668</f>
        <v>595.39199999999994</v>
      </c>
      <c r="AA668" s="7">
        <f t="shared" si="681"/>
        <v>590.03000000000009</v>
      </c>
      <c r="AB668" s="7">
        <f t="shared" si="525"/>
        <v>5.3619999999998527</v>
      </c>
    </row>
    <row r="669" spans="1:28">
      <c r="A669" s="1">
        <v>668</v>
      </c>
      <c r="B669" s="1" t="s">
        <v>1776</v>
      </c>
      <c r="C669" s="2">
        <v>43318</v>
      </c>
      <c r="D669" s="6" t="str">
        <f t="shared" si="520"/>
        <v>Aug</v>
      </c>
      <c r="E669" s="6" t="str">
        <f t="shared" si="521"/>
        <v>Qtr 3</v>
      </c>
      <c r="F669" s="5">
        <v>43379</v>
      </c>
      <c r="G669" s="1" t="s">
        <v>26</v>
      </c>
      <c r="H669" s="1" t="s">
        <v>1777</v>
      </c>
      <c r="I669" s="1" t="s">
        <v>1778</v>
      </c>
      <c r="J669" s="1" t="str">
        <f ca="1">IFERROR(__xludf.DUMMYFUNCTION("split(I669,"" "")"),"Tiffany")</f>
        <v>Tiffany</v>
      </c>
      <c r="K669" s="1" t="str">
        <f ca="1">IFERROR(__xludf.DUMMYFUNCTION("""COMPUTED_VALUE"""),"House")</f>
        <v>House</v>
      </c>
      <c r="L669" s="1"/>
      <c r="M669" s="1" t="s">
        <v>41</v>
      </c>
      <c r="N669" s="1" t="s">
        <v>30</v>
      </c>
      <c r="O669" s="1" t="s">
        <v>677</v>
      </c>
      <c r="P669" s="1" t="str">
        <f t="shared" si="522"/>
        <v>Dallas</v>
      </c>
      <c r="Q669" s="1" t="s">
        <v>89</v>
      </c>
      <c r="R669" s="1" t="str">
        <f t="shared" si="523"/>
        <v>Texas</v>
      </c>
      <c r="S669" s="1">
        <v>75081</v>
      </c>
      <c r="T669" s="1" t="s">
        <v>90</v>
      </c>
      <c r="U669" s="1" t="s">
        <v>1780</v>
      </c>
      <c r="V669" s="1" t="s">
        <v>64</v>
      </c>
      <c r="W669" s="7">
        <v>381.57600000000002</v>
      </c>
      <c r="X669" s="1">
        <v>7</v>
      </c>
      <c r="Y669" s="7">
        <v>380.78</v>
      </c>
      <c r="Z669" s="7">
        <f t="shared" ref="Z669:AA669" si="682">W669*X669</f>
        <v>2671.0320000000002</v>
      </c>
      <c r="AA669" s="7">
        <f t="shared" si="682"/>
        <v>2665.46</v>
      </c>
      <c r="AB669" s="7">
        <f t="shared" si="525"/>
        <v>5.5720000000001164</v>
      </c>
    </row>
    <row r="670" spans="1:28">
      <c r="A670" s="1">
        <v>669</v>
      </c>
      <c r="B670" s="1" t="s">
        <v>1781</v>
      </c>
      <c r="C670" s="2">
        <v>42362</v>
      </c>
      <c r="D670" s="6" t="str">
        <f t="shared" si="520"/>
        <v>Dec</v>
      </c>
      <c r="E670" s="6" t="str">
        <f t="shared" si="521"/>
        <v>Qtr 4</v>
      </c>
      <c r="F670" s="5" t="s">
        <v>1153</v>
      </c>
      <c r="G670" s="1" t="s">
        <v>162</v>
      </c>
      <c r="H670" s="1" t="s">
        <v>1782</v>
      </c>
      <c r="I670" s="1" t="s">
        <v>1783</v>
      </c>
      <c r="J670" s="1" t="str">
        <f ca="1">IFERROR(__xludf.DUMMYFUNCTION("split(I670,"" "")"),"Resi")</f>
        <v>Resi</v>
      </c>
      <c r="K670" s="1" t="str">
        <f ca="1">IFERROR(__xludf.DUMMYFUNCTION("""COMPUTED_VALUE"""),"Pölking")</f>
        <v>Pölking</v>
      </c>
      <c r="L670" s="1"/>
      <c r="M670" s="1" t="s">
        <v>29</v>
      </c>
      <c r="N670" s="1" t="s">
        <v>30</v>
      </c>
      <c r="O670" s="1" t="s">
        <v>1784</v>
      </c>
      <c r="P670" s="1" t="str">
        <f t="shared" si="522"/>
        <v>Cleveland</v>
      </c>
      <c r="Q670" s="1" t="s">
        <v>421</v>
      </c>
      <c r="R670" s="1" t="str">
        <f t="shared" si="523"/>
        <v>Ohio</v>
      </c>
      <c r="S670" s="1">
        <v>44105</v>
      </c>
      <c r="T670" s="1" t="s">
        <v>128</v>
      </c>
      <c r="U670" s="1" t="s">
        <v>1785</v>
      </c>
      <c r="V670" s="1" t="s">
        <v>35</v>
      </c>
      <c r="W670" s="7">
        <v>30.36</v>
      </c>
      <c r="X670" s="1">
        <v>4</v>
      </c>
      <c r="Y670" s="7">
        <v>29.57</v>
      </c>
      <c r="Z670" s="7">
        <f t="shared" ref="Z670:AA670" si="683">W670*X670</f>
        <v>121.44</v>
      </c>
      <c r="AA670" s="7">
        <f t="shared" si="683"/>
        <v>118.28</v>
      </c>
      <c r="AB670" s="7">
        <f t="shared" si="525"/>
        <v>3.1599999999999966</v>
      </c>
    </row>
    <row r="671" spans="1:28">
      <c r="A671" s="1">
        <v>670</v>
      </c>
      <c r="B671" s="1" t="s">
        <v>1786</v>
      </c>
      <c r="C671" s="2">
        <v>43349</v>
      </c>
      <c r="D671" s="6" t="str">
        <f t="shared" si="520"/>
        <v>Sep</v>
      </c>
      <c r="E671" s="6" t="str">
        <f t="shared" si="521"/>
        <v>Qtr 3</v>
      </c>
      <c r="F671" s="5" t="s">
        <v>1351</v>
      </c>
      <c r="G671" s="1" t="s">
        <v>49</v>
      </c>
      <c r="H671" s="1" t="s">
        <v>1683</v>
      </c>
      <c r="I671" s="1" t="s">
        <v>1684</v>
      </c>
      <c r="J671" s="1" t="str">
        <f ca="1">IFERROR(__xludf.DUMMYFUNCTION("split(I671,"" "")"),"Meg")</f>
        <v>Meg</v>
      </c>
      <c r="K671" s="1" t="str">
        <f ca="1">IFERROR(__xludf.DUMMYFUNCTION("""COMPUTED_VALUE"""),"O'Connel")</f>
        <v>O'Connel</v>
      </c>
      <c r="L671" s="1"/>
      <c r="M671" s="1" t="s">
        <v>87</v>
      </c>
      <c r="N671" s="1" t="s">
        <v>30</v>
      </c>
      <c r="O671" s="1" t="s">
        <v>259</v>
      </c>
      <c r="P671" s="1" t="str">
        <f t="shared" si="522"/>
        <v>Chicago</v>
      </c>
      <c r="Q671" s="1" t="s">
        <v>182</v>
      </c>
      <c r="R671" s="1" t="str">
        <f t="shared" si="523"/>
        <v>Illinois</v>
      </c>
      <c r="S671" s="1">
        <v>60653</v>
      </c>
      <c r="T671" s="1" t="s">
        <v>90</v>
      </c>
      <c r="U671" s="1" t="s">
        <v>1787</v>
      </c>
      <c r="V671" s="1" t="s">
        <v>35</v>
      </c>
      <c r="W671" s="7">
        <v>23.975999999999999</v>
      </c>
      <c r="X671" s="1">
        <v>6</v>
      </c>
      <c r="Y671" s="7">
        <v>23.68</v>
      </c>
      <c r="Z671" s="7">
        <f t="shared" ref="Z671:AA671" si="684">W671*X671</f>
        <v>143.85599999999999</v>
      </c>
      <c r="AA671" s="7">
        <f t="shared" si="684"/>
        <v>142.07999999999998</v>
      </c>
      <c r="AB671" s="7">
        <f t="shared" si="525"/>
        <v>1.7760000000000105</v>
      </c>
    </row>
    <row r="672" spans="1:28">
      <c r="A672" s="1">
        <v>671</v>
      </c>
      <c r="B672" s="1" t="s">
        <v>1786</v>
      </c>
      <c r="C672" s="2">
        <v>43349</v>
      </c>
      <c r="D672" s="6" t="str">
        <f t="shared" si="520"/>
        <v>Sep</v>
      </c>
      <c r="E672" s="6" t="str">
        <f t="shared" si="521"/>
        <v>Qtr 3</v>
      </c>
      <c r="F672" s="5" t="s">
        <v>1351</v>
      </c>
      <c r="G672" s="1" t="s">
        <v>49</v>
      </c>
      <c r="H672" s="1" t="s">
        <v>1683</v>
      </c>
      <c r="I672" s="1" t="s">
        <v>1684</v>
      </c>
      <c r="J672" s="1" t="str">
        <f ca="1">IFERROR(__xludf.DUMMYFUNCTION("split(I672,"" "")"),"Meg")</f>
        <v>Meg</v>
      </c>
      <c r="K672" s="1" t="str">
        <f ca="1">IFERROR(__xludf.DUMMYFUNCTION("""COMPUTED_VALUE"""),"O'Connel")</f>
        <v>O'Connel</v>
      </c>
      <c r="L672" s="1"/>
      <c r="M672" s="1" t="s">
        <v>87</v>
      </c>
      <c r="N672" s="1" t="s">
        <v>30</v>
      </c>
      <c r="O672" s="1" t="s">
        <v>259</v>
      </c>
      <c r="P672" s="1" t="str">
        <f t="shared" si="522"/>
        <v>Chicago</v>
      </c>
      <c r="Q672" s="1" t="s">
        <v>182</v>
      </c>
      <c r="R672" s="1" t="str">
        <f t="shared" si="523"/>
        <v>Illinois</v>
      </c>
      <c r="S672" s="1">
        <v>60653</v>
      </c>
      <c r="T672" s="1" t="s">
        <v>90</v>
      </c>
      <c r="U672" s="1" t="s">
        <v>1788</v>
      </c>
      <c r="V672" s="1" t="s">
        <v>35</v>
      </c>
      <c r="W672" s="7">
        <v>108.925</v>
      </c>
      <c r="X672" s="1">
        <v>6</v>
      </c>
      <c r="Y672" s="7">
        <v>108.54</v>
      </c>
      <c r="Z672" s="7">
        <f t="shared" ref="Z672:AA672" si="685">W672*X672</f>
        <v>653.54999999999995</v>
      </c>
      <c r="AA672" s="7">
        <f t="shared" si="685"/>
        <v>651.24</v>
      </c>
      <c r="AB672" s="7">
        <f t="shared" si="525"/>
        <v>2.3099999999999454</v>
      </c>
    </row>
    <row r="673" spans="1:28">
      <c r="A673" s="1">
        <v>672</v>
      </c>
      <c r="B673" s="1" t="s">
        <v>1786</v>
      </c>
      <c r="C673" s="2">
        <v>43349</v>
      </c>
      <c r="D673" s="6" t="str">
        <f t="shared" si="520"/>
        <v>Sep</v>
      </c>
      <c r="E673" s="6" t="str">
        <f t="shared" si="521"/>
        <v>Qtr 3</v>
      </c>
      <c r="F673" s="5" t="s">
        <v>1351</v>
      </c>
      <c r="G673" s="1" t="s">
        <v>49</v>
      </c>
      <c r="H673" s="1" t="s">
        <v>1683</v>
      </c>
      <c r="I673" s="1" t="s">
        <v>1684</v>
      </c>
      <c r="J673" s="1" t="str">
        <f ca="1">IFERROR(__xludf.DUMMYFUNCTION("split(I673,"" "")"),"Meg")</f>
        <v>Meg</v>
      </c>
      <c r="K673" s="1" t="str">
        <f ca="1">IFERROR(__xludf.DUMMYFUNCTION("""COMPUTED_VALUE"""),"O'Connel")</f>
        <v>O'Connel</v>
      </c>
      <c r="L673" s="1"/>
      <c r="M673" s="1" t="s">
        <v>87</v>
      </c>
      <c r="N673" s="1" t="s">
        <v>30</v>
      </c>
      <c r="O673" s="1" t="s">
        <v>259</v>
      </c>
      <c r="P673" s="1" t="str">
        <f t="shared" si="522"/>
        <v>Chicago</v>
      </c>
      <c r="Q673" s="1" t="s">
        <v>182</v>
      </c>
      <c r="R673" s="1" t="str">
        <f t="shared" si="523"/>
        <v>Illinois</v>
      </c>
      <c r="S673" s="1">
        <v>60653</v>
      </c>
      <c r="T673" s="1" t="s">
        <v>90</v>
      </c>
      <c r="U673" s="1" t="s">
        <v>468</v>
      </c>
      <c r="V673" s="1" t="s">
        <v>46</v>
      </c>
      <c r="W673" s="7">
        <v>36.351999999999997</v>
      </c>
      <c r="X673" s="1">
        <v>6</v>
      </c>
      <c r="Y673" s="7">
        <v>36.08</v>
      </c>
      <c r="Z673" s="7">
        <f t="shared" ref="Z673:AA673" si="686">W673*X673</f>
        <v>218.11199999999997</v>
      </c>
      <c r="AA673" s="7">
        <f t="shared" si="686"/>
        <v>216.48</v>
      </c>
      <c r="AB673" s="7">
        <f t="shared" si="525"/>
        <v>1.6319999999999766</v>
      </c>
    </row>
    <row r="674" spans="1:28">
      <c r="A674" s="1">
        <v>673</v>
      </c>
      <c r="B674" s="1" t="s">
        <v>1789</v>
      </c>
      <c r="C674" s="2">
        <v>43266</v>
      </c>
      <c r="D674" s="6" t="str">
        <f t="shared" si="520"/>
        <v>Jun</v>
      </c>
      <c r="E674" s="6" t="str">
        <f t="shared" si="521"/>
        <v>Qtr 2</v>
      </c>
      <c r="F674" s="5" t="s">
        <v>1790</v>
      </c>
      <c r="G674" s="1" t="s">
        <v>49</v>
      </c>
      <c r="H674" s="1" t="s">
        <v>1011</v>
      </c>
      <c r="I674" s="1" t="s">
        <v>1012</v>
      </c>
      <c r="J674" s="1" t="str">
        <f ca="1">IFERROR(__xludf.DUMMYFUNCTION("split(I674,"" "")"),"Tamara")</f>
        <v>Tamara</v>
      </c>
      <c r="K674" s="1" t="str">
        <f ca="1">IFERROR(__xludf.DUMMYFUNCTION("""COMPUTED_VALUE"""),"Dahlen")</f>
        <v>Dahlen</v>
      </c>
      <c r="L674" s="1"/>
      <c r="M674" s="1" t="s">
        <v>29</v>
      </c>
      <c r="N674" s="1" t="s">
        <v>30</v>
      </c>
      <c r="O674" s="1" t="s">
        <v>1074</v>
      </c>
      <c r="P674" s="1" t="str">
        <f t="shared" si="522"/>
        <v>Quincy</v>
      </c>
      <c r="Q674" s="1" t="s">
        <v>182</v>
      </c>
      <c r="R674" s="1" t="str">
        <f t="shared" si="523"/>
        <v>Illinois</v>
      </c>
      <c r="S674" s="1">
        <v>62301</v>
      </c>
      <c r="T674" s="1" t="s">
        <v>90</v>
      </c>
      <c r="U674" s="1" t="s">
        <v>1791</v>
      </c>
      <c r="V674" s="1" t="s">
        <v>46</v>
      </c>
      <c r="W674" s="7">
        <v>19.559999999999999</v>
      </c>
      <c r="X674" s="1">
        <v>6</v>
      </c>
      <c r="Y674" s="7">
        <v>18.66</v>
      </c>
      <c r="Z674" s="7">
        <f t="shared" ref="Z674:AA674" si="687">W674*X674</f>
        <v>117.35999999999999</v>
      </c>
      <c r="AA674" s="7">
        <f t="shared" si="687"/>
        <v>111.96000000000001</v>
      </c>
      <c r="AB674" s="7">
        <f t="shared" si="525"/>
        <v>5.3999999999999773</v>
      </c>
    </row>
    <row r="675" spans="1:28">
      <c r="A675" s="1">
        <v>674</v>
      </c>
      <c r="B675" s="1" t="s">
        <v>1792</v>
      </c>
      <c r="C675" s="2">
        <v>43232</v>
      </c>
      <c r="D675" s="6" t="str">
        <f t="shared" si="520"/>
        <v>May</v>
      </c>
      <c r="E675" s="6" t="str">
        <f t="shared" si="521"/>
        <v>Qtr 2</v>
      </c>
      <c r="F675" s="5">
        <v>43324</v>
      </c>
      <c r="G675" s="1" t="s">
        <v>162</v>
      </c>
      <c r="H675" s="1" t="s">
        <v>1793</v>
      </c>
      <c r="I675" s="1" t="s">
        <v>1794</v>
      </c>
      <c r="J675" s="1" t="str">
        <f ca="1">IFERROR(__xludf.DUMMYFUNCTION("split(I675,"" "")"),"Rob")</f>
        <v>Rob</v>
      </c>
      <c r="K675" s="1" t="str">
        <f ca="1">IFERROR(__xludf.DUMMYFUNCTION("""COMPUTED_VALUE"""),"Beeghly")</f>
        <v>Beeghly</v>
      </c>
      <c r="L675" s="1"/>
      <c r="M675" s="1" t="s">
        <v>29</v>
      </c>
      <c r="N675" s="1" t="s">
        <v>30</v>
      </c>
      <c r="O675" s="1" t="s">
        <v>420</v>
      </c>
      <c r="P675" s="1" t="str">
        <f t="shared" si="522"/>
        <v>Columbus</v>
      </c>
      <c r="Q675" s="1" t="s">
        <v>224</v>
      </c>
      <c r="R675" s="1" t="str">
        <f t="shared" si="523"/>
        <v>Indiana</v>
      </c>
      <c r="S675" s="1">
        <v>47201</v>
      </c>
      <c r="T675" s="1" t="s">
        <v>90</v>
      </c>
      <c r="U675" s="1" t="s">
        <v>1795</v>
      </c>
      <c r="V675" s="1" t="s">
        <v>46</v>
      </c>
      <c r="W675" s="7">
        <v>61.44</v>
      </c>
      <c r="X675" s="1">
        <v>4</v>
      </c>
      <c r="Y675" s="7">
        <v>60.91</v>
      </c>
      <c r="Z675" s="7">
        <f t="shared" ref="Z675:AA675" si="688">W675*X675</f>
        <v>245.76</v>
      </c>
      <c r="AA675" s="7">
        <f t="shared" si="688"/>
        <v>243.64</v>
      </c>
      <c r="AB675" s="7">
        <f t="shared" si="525"/>
        <v>2.1200000000000045</v>
      </c>
    </row>
    <row r="676" spans="1:28">
      <c r="A676" s="1">
        <v>675</v>
      </c>
      <c r="B676" s="1" t="s">
        <v>1792</v>
      </c>
      <c r="C676" s="2">
        <v>43232</v>
      </c>
      <c r="D676" s="6" t="str">
        <f t="shared" si="520"/>
        <v>May</v>
      </c>
      <c r="E676" s="6" t="str">
        <f t="shared" si="521"/>
        <v>Qtr 2</v>
      </c>
      <c r="F676" s="5">
        <v>43324</v>
      </c>
      <c r="G676" s="1" t="s">
        <v>162</v>
      </c>
      <c r="H676" s="1" t="s">
        <v>1793</v>
      </c>
      <c r="I676" s="1" t="s">
        <v>1794</v>
      </c>
      <c r="J676" s="1" t="str">
        <f ca="1">IFERROR(__xludf.DUMMYFUNCTION("split(I676,"" "")"),"Rob")</f>
        <v>Rob</v>
      </c>
      <c r="K676" s="1" t="str">
        <f ca="1">IFERROR(__xludf.DUMMYFUNCTION("""COMPUTED_VALUE"""),"Beeghly")</f>
        <v>Beeghly</v>
      </c>
      <c r="L676" s="1"/>
      <c r="M676" s="1" t="s">
        <v>29</v>
      </c>
      <c r="N676" s="1" t="s">
        <v>30</v>
      </c>
      <c r="O676" s="1" t="s">
        <v>420</v>
      </c>
      <c r="P676" s="1" t="str">
        <f t="shared" si="522"/>
        <v>Columbus</v>
      </c>
      <c r="Q676" s="1" t="s">
        <v>224</v>
      </c>
      <c r="R676" s="1" t="str">
        <f t="shared" si="523"/>
        <v>Indiana</v>
      </c>
      <c r="S676" s="1">
        <v>47201</v>
      </c>
      <c r="T676" s="1" t="s">
        <v>90</v>
      </c>
      <c r="U676" s="1" t="s">
        <v>1796</v>
      </c>
      <c r="V676" s="1" t="s">
        <v>46</v>
      </c>
      <c r="W676" s="7">
        <v>38.9</v>
      </c>
      <c r="X676" s="1">
        <v>4</v>
      </c>
      <c r="Y676" s="7">
        <v>38.1</v>
      </c>
      <c r="Z676" s="7">
        <f t="shared" ref="Z676:AA676" si="689">W676*X676</f>
        <v>155.6</v>
      </c>
      <c r="AA676" s="7">
        <f t="shared" si="689"/>
        <v>152.4</v>
      </c>
      <c r="AB676" s="7">
        <f t="shared" si="525"/>
        <v>3.1999999999999886</v>
      </c>
    </row>
    <row r="677" spans="1:28">
      <c r="A677" s="1">
        <v>676</v>
      </c>
      <c r="B677" s="1" t="s">
        <v>1792</v>
      </c>
      <c r="C677" s="2">
        <v>43232</v>
      </c>
      <c r="D677" s="6" t="str">
        <f t="shared" si="520"/>
        <v>May</v>
      </c>
      <c r="E677" s="6" t="str">
        <f t="shared" si="521"/>
        <v>Qtr 2</v>
      </c>
      <c r="F677" s="5">
        <v>43324</v>
      </c>
      <c r="G677" s="1" t="s">
        <v>162</v>
      </c>
      <c r="H677" s="1" t="s">
        <v>1793</v>
      </c>
      <c r="I677" s="1" t="s">
        <v>1794</v>
      </c>
      <c r="J677" s="1" t="str">
        <f ca="1">IFERROR(__xludf.DUMMYFUNCTION("split(I677,"" "")"),"Rob")</f>
        <v>Rob</v>
      </c>
      <c r="K677" s="1" t="str">
        <f ca="1">IFERROR(__xludf.DUMMYFUNCTION("""COMPUTED_VALUE"""),"Beeghly")</f>
        <v>Beeghly</v>
      </c>
      <c r="L677" s="1"/>
      <c r="M677" s="1" t="s">
        <v>29</v>
      </c>
      <c r="N677" s="1" t="s">
        <v>30</v>
      </c>
      <c r="O677" s="1" t="s">
        <v>420</v>
      </c>
      <c r="P677" s="1" t="str">
        <f t="shared" si="522"/>
        <v>Columbus</v>
      </c>
      <c r="Q677" s="1" t="s">
        <v>224</v>
      </c>
      <c r="R677" s="1" t="str">
        <f t="shared" si="523"/>
        <v>Indiana</v>
      </c>
      <c r="S677" s="1">
        <v>47201</v>
      </c>
      <c r="T677" s="1" t="s">
        <v>90</v>
      </c>
      <c r="U677" s="1" t="s">
        <v>747</v>
      </c>
      <c r="V677" s="1" t="s">
        <v>64</v>
      </c>
      <c r="W677" s="7">
        <v>99.39</v>
      </c>
      <c r="X677" s="1">
        <v>4</v>
      </c>
      <c r="Y677" s="7">
        <v>99.38</v>
      </c>
      <c r="Z677" s="7">
        <f t="shared" ref="Z677:AA677" si="690">W677*X677</f>
        <v>397.56</v>
      </c>
      <c r="AA677" s="7">
        <f t="shared" si="690"/>
        <v>397.52</v>
      </c>
      <c r="AB677" s="7">
        <f t="shared" si="525"/>
        <v>4.0000000000020464E-2</v>
      </c>
    </row>
    <row r="678" spans="1:28">
      <c r="A678" s="1">
        <v>677</v>
      </c>
      <c r="B678" s="1" t="s">
        <v>1797</v>
      </c>
      <c r="C678" s="2">
        <v>43177</v>
      </c>
      <c r="D678" s="6" t="str">
        <f t="shared" si="520"/>
        <v>Mar</v>
      </c>
      <c r="E678" s="6" t="str">
        <f t="shared" si="521"/>
        <v>Qtr 1</v>
      </c>
      <c r="F678" s="5" t="s">
        <v>1798</v>
      </c>
      <c r="G678" s="1" t="s">
        <v>49</v>
      </c>
      <c r="H678" s="1" t="s">
        <v>1799</v>
      </c>
      <c r="I678" s="1" t="s">
        <v>1800</v>
      </c>
      <c r="J678" s="1" t="str">
        <f ca="1">IFERROR(__xludf.DUMMYFUNCTION("split(I678,"" "")"),"Carol")</f>
        <v>Carol</v>
      </c>
      <c r="K678" s="1" t="str">
        <f ca="1">IFERROR(__xludf.DUMMYFUNCTION("""COMPUTED_VALUE"""),"Darley")</f>
        <v>Darley</v>
      </c>
      <c r="L678" s="1"/>
      <c r="M678" s="1" t="s">
        <v>29</v>
      </c>
      <c r="N678" s="1" t="s">
        <v>30</v>
      </c>
      <c r="O678" s="1" t="s">
        <v>1801</v>
      </c>
      <c r="P678" s="1" t="str">
        <f t="shared" si="522"/>
        <v>Tyler</v>
      </c>
      <c r="Q678" s="1" t="s">
        <v>89</v>
      </c>
      <c r="R678" s="1" t="str">
        <f t="shared" si="523"/>
        <v>Texas</v>
      </c>
      <c r="S678" s="1">
        <v>75701</v>
      </c>
      <c r="T678" s="1" t="s">
        <v>90</v>
      </c>
      <c r="U678" s="1" t="s">
        <v>1802</v>
      </c>
      <c r="V678" s="1" t="s">
        <v>46</v>
      </c>
      <c r="W678" s="7">
        <v>2.6880000000000002</v>
      </c>
      <c r="X678" s="1">
        <v>7</v>
      </c>
      <c r="Y678" s="7">
        <v>2.5499999999999998</v>
      </c>
      <c r="Z678" s="7">
        <f t="shared" ref="Z678:AA678" si="691">W678*X678</f>
        <v>18.816000000000003</v>
      </c>
      <c r="AA678" s="7">
        <f t="shared" si="691"/>
        <v>17.849999999999998</v>
      </c>
      <c r="AB678" s="7">
        <f t="shared" si="525"/>
        <v>0.96600000000000463</v>
      </c>
    </row>
    <row r="679" spans="1:28">
      <c r="A679" s="1">
        <v>678</v>
      </c>
      <c r="B679" s="1" t="s">
        <v>1797</v>
      </c>
      <c r="C679" s="2">
        <v>43177</v>
      </c>
      <c r="D679" s="6" t="str">
        <f t="shared" si="520"/>
        <v>Mar</v>
      </c>
      <c r="E679" s="6" t="str">
        <f t="shared" si="521"/>
        <v>Qtr 1</v>
      </c>
      <c r="F679" s="5" t="s">
        <v>1798</v>
      </c>
      <c r="G679" s="1" t="s">
        <v>49</v>
      </c>
      <c r="H679" s="1" t="s">
        <v>1799</v>
      </c>
      <c r="I679" s="1" t="s">
        <v>1800</v>
      </c>
      <c r="J679" s="1" t="str">
        <f ca="1">IFERROR(__xludf.DUMMYFUNCTION("split(I679,"" "")"),"Carol")</f>
        <v>Carol</v>
      </c>
      <c r="K679" s="1" t="str">
        <f ca="1">IFERROR(__xludf.DUMMYFUNCTION("""COMPUTED_VALUE"""),"Darley")</f>
        <v>Darley</v>
      </c>
      <c r="L679" s="1"/>
      <c r="M679" s="1" t="s">
        <v>29</v>
      </c>
      <c r="N679" s="1" t="s">
        <v>30</v>
      </c>
      <c r="O679" s="1" t="s">
        <v>1801</v>
      </c>
      <c r="P679" s="1" t="str">
        <f t="shared" si="522"/>
        <v>Tyler</v>
      </c>
      <c r="Q679" s="1" t="s">
        <v>89</v>
      </c>
      <c r="R679" s="1" t="str">
        <f t="shared" si="523"/>
        <v>Texas</v>
      </c>
      <c r="S679" s="1">
        <v>75701</v>
      </c>
      <c r="T679" s="1" t="s">
        <v>90</v>
      </c>
      <c r="U679" s="1" t="s">
        <v>1803</v>
      </c>
      <c r="V679" s="1" t="s">
        <v>64</v>
      </c>
      <c r="W679" s="7">
        <v>27.815999999999999</v>
      </c>
      <c r="X679" s="1">
        <v>7</v>
      </c>
      <c r="Y679" s="7">
        <v>26.86</v>
      </c>
      <c r="Z679" s="7">
        <f t="shared" ref="Z679:AA679" si="692">W679*X679</f>
        <v>194.71199999999999</v>
      </c>
      <c r="AA679" s="7">
        <f t="shared" si="692"/>
        <v>188.01999999999998</v>
      </c>
      <c r="AB679" s="7">
        <f t="shared" si="525"/>
        <v>6.6920000000000073</v>
      </c>
    </row>
    <row r="680" spans="1:28">
      <c r="A680" s="1">
        <v>679</v>
      </c>
      <c r="B680" s="1" t="s">
        <v>1797</v>
      </c>
      <c r="C680" s="2">
        <v>43177</v>
      </c>
      <c r="D680" s="6" t="str">
        <f t="shared" si="520"/>
        <v>Mar</v>
      </c>
      <c r="E680" s="6" t="str">
        <f t="shared" si="521"/>
        <v>Qtr 1</v>
      </c>
      <c r="F680" s="5" t="s">
        <v>1798</v>
      </c>
      <c r="G680" s="1" t="s">
        <v>49</v>
      </c>
      <c r="H680" s="1" t="s">
        <v>1799</v>
      </c>
      <c r="I680" s="1" t="s">
        <v>1800</v>
      </c>
      <c r="J680" s="1" t="str">
        <f ca="1">IFERROR(__xludf.DUMMYFUNCTION("split(I680,"" "")"),"Carol")</f>
        <v>Carol</v>
      </c>
      <c r="K680" s="1" t="str">
        <f ca="1">IFERROR(__xludf.DUMMYFUNCTION("""COMPUTED_VALUE"""),"Darley")</f>
        <v>Darley</v>
      </c>
      <c r="L680" s="1"/>
      <c r="M680" s="1" t="s">
        <v>29</v>
      </c>
      <c r="N680" s="1" t="s">
        <v>30</v>
      </c>
      <c r="O680" s="1" t="s">
        <v>1801</v>
      </c>
      <c r="P680" s="1" t="str">
        <f t="shared" si="522"/>
        <v>Tyler</v>
      </c>
      <c r="Q680" s="1" t="s">
        <v>89</v>
      </c>
      <c r="R680" s="1" t="str">
        <f t="shared" si="523"/>
        <v>Texas</v>
      </c>
      <c r="S680" s="1">
        <v>75701</v>
      </c>
      <c r="T680" s="1" t="s">
        <v>90</v>
      </c>
      <c r="U680" s="1" t="s">
        <v>1804</v>
      </c>
      <c r="V680" s="1" t="s">
        <v>35</v>
      </c>
      <c r="W680" s="7">
        <v>82.524000000000001</v>
      </c>
      <c r="X680" s="1">
        <v>7</v>
      </c>
      <c r="Y680" s="7">
        <v>82.06</v>
      </c>
      <c r="Z680" s="7">
        <f t="shared" ref="Z680:AA680" si="693">W680*X680</f>
        <v>577.66800000000001</v>
      </c>
      <c r="AA680" s="7">
        <f t="shared" si="693"/>
        <v>574.42000000000007</v>
      </c>
      <c r="AB680" s="7">
        <f t="shared" si="525"/>
        <v>3.2479999999999336</v>
      </c>
    </row>
    <row r="681" spans="1:28">
      <c r="A681" s="1">
        <v>680</v>
      </c>
      <c r="B681" s="1" t="s">
        <v>1797</v>
      </c>
      <c r="C681" s="2">
        <v>43177</v>
      </c>
      <c r="D681" s="6" t="str">
        <f t="shared" si="520"/>
        <v>Mar</v>
      </c>
      <c r="E681" s="6" t="str">
        <f t="shared" si="521"/>
        <v>Qtr 1</v>
      </c>
      <c r="F681" s="5" t="s">
        <v>1798</v>
      </c>
      <c r="G681" s="1" t="s">
        <v>49</v>
      </c>
      <c r="H681" s="1" t="s">
        <v>1799</v>
      </c>
      <c r="I681" s="1" t="s">
        <v>1800</v>
      </c>
      <c r="J681" s="1" t="str">
        <f ca="1">IFERROR(__xludf.DUMMYFUNCTION("split(I681,"" "")"),"Carol")</f>
        <v>Carol</v>
      </c>
      <c r="K681" s="1" t="str">
        <f ca="1">IFERROR(__xludf.DUMMYFUNCTION("""COMPUTED_VALUE"""),"Darley")</f>
        <v>Darley</v>
      </c>
      <c r="L681" s="1"/>
      <c r="M681" s="1" t="s">
        <v>29</v>
      </c>
      <c r="N681" s="1" t="s">
        <v>30</v>
      </c>
      <c r="O681" s="1" t="s">
        <v>1801</v>
      </c>
      <c r="P681" s="1" t="str">
        <f t="shared" si="522"/>
        <v>Tyler</v>
      </c>
      <c r="Q681" s="1" t="s">
        <v>89</v>
      </c>
      <c r="R681" s="1" t="str">
        <f t="shared" si="523"/>
        <v>Texas</v>
      </c>
      <c r="S681" s="1">
        <v>75701</v>
      </c>
      <c r="T681" s="1" t="s">
        <v>90</v>
      </c>
      <c r="U681" s="1" t="s">
        <v>1805</v>
      </c>
      <c r="V681" s="1" t="s">
        <v>46</v>
      </c>
      <c r="W681" s="7">
        <v>182.994</v>
      </c>
      <c r="X681" s="1">
        <v>7</v>
      </c>
      <c r="Y681" s="7">
        <v>182.04</v>
      </c>
      <c r="Z681" s="7">
        <f t="shared" ref="Z681:AA681" si="694">W681*X681</f>
        <v>1280.9580000000001</v>
      </c>
      <c r="AA681" s="7">
        <f t="shared" si="694"/>
        <v>1274.28</v>
      </c>
      <c r="AB681" s="7">
        <f t="shared" si="525"/>
        <v>6.678000000000111</v>
      </c>
    </row>
    <row r="682" spans="1:28">
      <c r="A682" s="1">
        <v>681</v>
      </c>
      <c r="B682" s="1" t="s">
        <v>1806</v>
      </c>
      <c r="C682" s="2">
        <v>43058</v>
      </c>
      <c r="D682" s="6" t="str">
        <f t="shared" si="520"/>
        <v>Nov</v>
      </c>
      <c r="E682" s="6" t="str">
        <f t="shared" si="521"/>
        <v>Qtr 4</v>
      </c>
      <c r="F682" s="5" t="s">
        <v>536</v>
      </c>
      <c r="G682" s="1" t="s">
        <v>49</v>
      </c>
      <c r="H682" s="1" t="s">
        <v>1807</v>
      </c>
      <c r="I682" s="1" t="s">
        <v>1808</v>
      </c>
      <c r="J682" s="1" t="str">
        <f ca="1">IFERROR(__xludf.DUMMYFUNCTION("split(I682,"" "")"),"Doug")</f>
        <v>Doug</v>
      </c>
      <c r="K682" s="1" t="str">
        <f ca="1">IFERROR(__xludf.DUMMYFUNCTION("""COMPUTED_VALUE"""),"Jacobs")</f>
        <v>Jacobs</v>
      </c>
      <c r="L682" s="1"/>
      <c r="M682" s="1" t="s">
        <v>29</v>
      </c>
      <c r="N682" s="1" t="s">
        <v>30</v>
      </c>
      <c r="O682" s="1" t="s">
        <v>233</v>
      </c>
      <c r="P682" s="1" t="str">
        <f t="shared" si="522"/>
        <v>New York City</v>
      </c>
      <c r="Q682" s="1" t="s">
        <v>234</v>
      </c>
      <c r="R682" s="1" t="str">
        <f t="shared" si="523"/>
        <v>New York</v>
      </c>
      <c r="S682" s="1">
        <v>10024</v>
      </c>
      <c r="T682" s="1" t="s">
        <v>128</v>
      </c>
      <c r="U682" s="1" t="s">
        <v>1809</v>
      </c>
      <c r="V682" s="1" t="s">
        <v>46</v>
      </c>
      <c r="W682" s="7">
        <v>14.352</v>
      </c>
      <c r="X682" s="1">
        <v>1</v>
      </c>
      <c r="Y682" s="7">
        <v>14.01</v>
      </c>
      <c r="Z682" s="7">
        <f t="shared" ref="Z682:AA682" si="695">W682*X682</f>
        <v>14.352</v>
      </c>
      <c r="AA682" s="7">
        <f t="shared" si="695"/>
        <v>14.01</v>
      </c>
      <c r="AB682" s="7">
        <f t="shared" si="525"/>
        <v>0.34200000000000053</v>
      </c>
    </row>
    <row r="683" spans="1:28">
      <c r="A683" s="1">
        <v>682</v>
      </c>
      <c r="B683" s="1" t="s">
        <v>1806</v>
      </c>
      <c r="C683" s="2">
        <v>43058</v>
      </c>
      <c r="D683" s="6" t="str">
        <f t="shared" si="520"/>
        <v>Nov</v>
      </c>
      <c r="E683" s="6" t="str">
        <f t="shared" si="521"/>
        <v>Qtr 4</v>
      </c>
      <c r="F683" s="5" t="s">
        <v>536</v>
      </c>
      <c r="G683" s="1" t="s">
        <v>49</v>
      </c>
      <c r="H683" s="1" t="s">
        <v>1807</v>
      </c>
      <c r="I683" s="1" t="s">
        <v>1808</v>
      </c>
      <c r="J683" s="1" t="str">
        <f ca="1">IFERROR(__xludf.DUMMYFUNCTION("split(I683,"" "")"),"Doug")</f>
        <v>Doug</v>
      </c>
      <c r="K683" s="1" t="str">
        <f ca="1">IFERROR(__xludf.DUMMYFUNCTION("""COMPUTED_VALUE"""),"Jacobs")</f>
        <v>Jacobs</v>
      </c>
      <c r="L683" s="1"/>
      <c r="M683" s="1" t="s">
        <v>29</v>
      </c>
      <c r="N683" s="1" t="s">
        <v>30</v>
      </c>
      <c r="O683" s="1" t="s">
        <v>233</v>
      </c>
      <c r="P683" s="1" t="str">
        <f t="shared" si="522"/>
        <v>New York City</v>
      </c>
      <c r="Q683" s="1" t="s">
        <v>234</v>
      </c>
      <c r="R683" s="1" t="str">
        <f t="shared" si="523"/>
        <v>New York</v>
      </c>
      <c r="S683" s="1">
        <v>10024</v>
      </c>
      <c r="T683" s="1" t="s">
        <v>128</v>
      </c>
      <c r="U683" s="1" t="s">
        <v>1810</v>
      </c>
      <c r="V683" s="1" t="s">
        <v>46</v>
      </c>
      <c r="W683" s="7">
        <v>64.959999999999994</v>
      </c>
      <c r="X683" s="1">
        <v>1</v>
      </c>
      <c r="Y683" s="7">
        <v>64.55</v>
      </c>
      <c r="Z683" s="7">
        <f t="shared" ref="Z683:AA683" si="696">W683*X683</f>
        <v>64.959999999999994</v>
      </c>
      <c r="AA683" s="7">
        <f t="shared" si="696"/>
        <v>64.55</v>
      </c>
      <c r="AB683" s="7">
        <f t="shared" si="525"/>
        <v>0.40999999999999659</v>
      </c>
    </row>
    <row r="684" spans="1:28">
      <c r="A684" s="1">
        <v>683</v>
      </c>
      <c r="B684" s="1" t="s">
        <v>1806</v>
      </c>
      <c r="C684" s="2">
        <v>43058</v>
      </c>
      <c r="D684" s="6" t="str">
        <f t="shared" si="520"/>
        <v>Nov</v>
      </c>
      <c r="E684" s="6" t="str">
        <f t="shared" si="521"/>
        <v>Qtr 4</v>
      </c>
      <c r="F684" s="5" t="s">
        <v>536</v>
      </c>
      <c r="G684" s="1" t="s">
        <v>49</v>
      </c>
      <c r="H684" s="1" t="s">
        <v>1807</v>
      </c>
      <c r="I684" s="1" t="s">
        <v>1808</v>
      </c>
      <c r="J684" s="1" t="str">
        <f ca="1">IFERROR(__xludf.DUMMYFUNCTION("split(I684,"" "")"),"Doug")</f>
        <v>Doug</v>
      </c>
      <c r="K684" s="1" t="str">
        <f ca="1">IFERROR(__xludf.DUMMYFUNCTION("""COMPUTED_VALUE"""),"Jacobs")</f>
        <v>Jacobs</v>
      </c>
      <c r="L684" s="1"/>
      <c r="M684" s="1" t="s">
        <v>29</v>
      </c>
      <c r="N684" s="1" t="s">
        <v>30</v>
      </c>
      <c r="O684" s="1" t="s">
        <v>233</v>
      </c>
      <c r="P684" s="1" t="str">
        <f t="shared" si="522"/>
        <v>New York City</v>
      </c>
      <c r="Q684" s="1" t="s">
        <v>234</v>
      </c>
      <c r="R684" s="1" t="str">
        <f t="shared" si="523"/>
        <v>New York</v>
      </c>
      <c r="S684" s="1">
        <v>10024</v>
      </c>
      <c r="T684" s="1" t="s">
        <v>128</v>
      </c>
      <c r="U684" s="1" t="s">
        <v>1435</v>
      </c>
      <c r="V684" s="1" t="s">
        <v>46</v>
      </c>
      <c r="W684" s="7">
        <v>68.599999999999994</v>
      </c>
      <c r="X684" s="1">
        <v>1</v>
      </c>
      <c r="Y684" s="7">
        <v>68.47</v>
      </c>
      <c r="Z684" s="7">
        <f t="shared" ref="Z684:AA684" si="697">W684*X684</f>
        <v>68.599999999999994</v>
      </c>
      <c r="AA684" s="7">
        <f t="shared" si="697"/>
        <v>68.47</v>
      </c>
      <c r="AB684" s="7">
        <f t="shared" si="525"/>
        <v>0.12999999999999545</v>
      </c>
    </row>
    <row r="685" spans="1:28">
      <c r="A685" s="1">
        <v>684</v>
      </c>
      <c r="B685" s="1" t="s">
        <v>1811</v>
      </c>
      <c r="C685" s="2">
        <v>43201</v>
      </c>
      <c r="D685" s="6" t="str">
        <f t="shared" si="520"/>
        <v>Apr</v>
      </c>
      <c r="E685" s="6" t="str">
        <f t="shared" si="521"/>
        <v>Qtr 2</v>
      </c>
      <c r="F685" s="5">
        <v>43201</v>
      </c>
      <c r="G685" s="1" t="s">
        <v>1050</v>
      </c>
      <c r="H685" s="1" t="s">
        <v>1812</v>
      </c>
      <c r="I685" s="1" t="s">
        <v>1813</v>
      </c>
      <c r="J685" s="1" t="str">
        <f ca="1">IFERROR(__xludf.DUMMYFUNCTION("split(I685,"" "")"),"Grant")</f>
        <v>Grant</v>
      </c>
      <c r="K685" s="1" t="str">
        <f ca="1">IFERROR(__xludf.DUMMYFUNCTION("""COMPUTED_VALUE"""),"Thornton")</f>
        <v>Thornton</v>
      </c>
      <c r="L685" s="1"/>
      <c r="M685" s="1" t="s">
        <v>41</v>
      </c>
      <c r="N685" s="1" t="s">
        <v>30</v>
      </c>
      <c r="O685" s="1" t="s">
        <v>1814</v>
      </c>
      <c r="P685" s="1" t="str">
        <f t="shared" si="522"/>
        <v>Burlington</v>
      </c>
      <c r="Q685" s="1" t="s">
        <v>75</v>
      </c>
      <c r="R685" s="1" t="str">
        <f t="shared" si="523"/>
        <v>North Carolina</v>
      </c>
      <c r="S685" s="1">
        <v>27217</v>
      </c>
      <c r="T685" s="1" t="s">
        <v>33</v>
      </c>
      <c r="U685" s="1" t="s">
        <v>1815</v>
      </c>
      <c r="V685" s="1" t="s">
        <v>64</v>
      </c>
      <c r="W685" s="7">
        <v>7999.98</v>
      </c>
      <c r="X685" s="1">
        <v>2</v>
      </c>
      <c r="Y685" s="7">
        <v>7999.04</v>
      </c>
      <c r="Z685" s="7">
        <f t="shared" ref="Z685:AA685" si="698">W685*X685</f>
        <v>15999.96</v>
      </c>
      <c r="AA685" s="7">
        <f t="shared" si="698"/>
        <v>15998.08</v>
      </c>
      <c r="AB685" s="7">
        <f t="shared" si="525"/>
        <v>1.8799999999991996</v>
      </c>
    </row>
    <row r="686" spans="1:28">
      <c r="A686" s="1">
        <v>685</v>
      </c>
      <c r="B686" s="1" t="s">
        <v>1811</v>
      </c>
      <c r="C686" s="2">
        <v>43201</v>
      </c>
      <c r="D686" s="6" t="str">
        <f t="shared" si="520"/>
        <v>Apr</v>
      </c>
      <c r="E686" s="6" t="str">
        <f t="shared" si="521"/>
        <v>Qtr 2</v>
      </c>
      <c r="F686" s="5">
        <v>43201</v>
      </c>
      <c r="G686" s="1" t="s">
        <v>1050</v>
      </c>
      <c r="H686" s="1" t="s">
        <v>1812</v>
      </c>
      <c r="I686" s="1" t="s">
        <v>1813</v>
      </c>
      <c r="J686" s="1" t="str">
        <f ca="1">IFERROR(__xludf.DUMMYFUNCTION("split(I686,"" "")"),"Grant")</f>
        <v>Grant</v>
      </c>
      <c r="K686" s="1" t="str">
        <f ca="1">IFERROR(__xludf.DUMMYFUNCTION("""COMPUTED_VALUE"""),"Thornton")</f>
        <v>Thornton</v>
      </c>
      <c r="L686" s="1"/>
      <c r="M686" s="1" t="s">
        <v>41</v>
      </c>
      <c r="N686" s="1" t="s">
        <v>30</v>
      </c>
      <c r="O686" s="1" t="s">
        <v>1814</v>
      </c>
      <c r="P686" s="1" t="str">
        <f t="shared" si="522"/>
        <v>Burlington</v>
      </c>
      <c r="Q686" s="1" t="s">
        <v>75</v>
      </c>
      <c r="R686" s="1" t="str">
        <f t="shared" si="523"/>
        <v>North Carolina</v>
      </c>
      <c r="S686" s="1">
        <v>27217</v>
      </c>
      <c r="T686" s="1" t="s">
        <v>33</v>
      </c>
      <c r="U686" s="1" t="s">
        <v>1740</v>
      </c>
      <c r="V686" s="1" t="s">
        <v>46</v>
      </c>
      <c r="W686" s="7">
        <v>167.44</v>
      </c>
      <c r="X686" s="1">
        <v>2</v>
      </c>
      <c r="Y686" s="7">
        <v>167.12</v>
      </c>
      <c r="Z686" s="7">
        <f t="shared" ref="Z686:AA686" si="699">W686*X686</f>
        <v>334.88</v>
      </c>
      <c r="AA686" s="7">
        <f t="shared" si="699"/>
        <v>334.24</v>
      </c>
      <c r="AB686" s="7">
        <f t="shared" si="525"/>
        <v>0.63999999999998636</v>
      </c>
    </row>
    <row r="687" spans="1:28">
      <c r="A687" s="1">
        <v>686</v>
      </c>
      <c r="B687" s="1" t="s">
        <v>1816</v>
      </c>
      <c r="C687" s="2">
        <v>42131</v>
      </c>
      <c r="D687" s="6" t="str">
        <f t="shared" si="520"/>
        <v>May</v>
      </c>
      <c r="E687" s="6" t="str">
        <f t="shared" si="521"/>
        <v>Qtr 2</v>
      </c>
      <c r="F687" s="5">
        <v>42223</v>
      </c>
      <c r="G687" s="1" t="s">
        <v>162</v>
      </c>
      <c r="H687" s="1" t="s">
        <v>1817</v>
      </c>
      <c r="I687" s="1" t="s">
        <v>1818</v>
      </c>
      <c r="J687" s="1" t="str">
        <f ca="1">IFERROR(__xludf.DUMMYFUNCTION("split(I687,"" "")"),"Michael")</f>
        <v>Michael</v>
      </c>
      <c r="K687" s="1" t="str">
        <f ca="1">IFERROR(__xludf.DUMMYFUNCTION("""COMPUTED_VALUE"""),"Chen")</f>
        <v>Chen</v>
      </c>
      <c r="L687" s="1"/>
      <c r="M687" s="1" t="s">
        <v>29</v>
      </c>
      <c r="N687" s="1" t="s">
        <v>30</v>
      </c>
      <c r="O687" s="1" t="s">
        <v>281</v>
      </c>
      <c r="P687" s="1" t="str">
        <f t="shared" si="522"/>
        <v>Jackson</v>
      </c>
      <c r="Q687" s="1" t="s">
        <v>1211</v>
      </c>
      <c r="R687" s="1" t="str">
        <f t="shared" si="523"/>
        <v>Mississippi</v>
      </c>
      <c r="S687" s="1">
        <v>39212</v>
      </c>
      <c r="T687" s="1" t="s">
        <v>33</v>
      </c>
      <c r="U687" s="1" t="s">
        <v>1068</v>
      </c>
      <c r="V687" s="1" t="s">
        <v>64</v>
      </c>
      <c r="W687" s="7">
        <v>479.97</v>
      </c>
      <c r="X687" s="1">
        <v>3</v>
      </c>
      <c r="Y687" s="7">
        <v>479.4</v>
      </c>
      <c r="Z687" s="7">
        <f t="shared" ref="Z687:AA687" si="700">W687*X687</f>
        <v>1439.91</v>
      </c>
      <c r="AA687" s="7">
        <f t="shared" si="700"/>
        <v>1438.1999999999998</v>
      </c>
      <c r="AB687" s="7">
        <f t="shared" si="525"/>
        <v>1.7100000000002638</v>
      </c>
    </row>
    <row r="688" spans="1:28">
      <c r="A688" s="1">
        <v>687</v>
      </c>
      <c r="B688" s="1" t="s">
        <v>1816</v>
      </c>
      <c r="C688" s="2">
        <v>42131</v>
      </c>
      <c r="D688" s="6" t="str">
        <f t="shared" si="520"/>
        <v>May</v>
      </c>
      <c r="E688" s="6" t="str">
        <f t="shared" si="521"/>
        <v>Qtr 2</v>
      </c>
      <c r="F688" s="5">
        <v>42223</v>
      </c>
      <c r="G688" s="1" t="s">
        <v>162</v>
      </c>
      <c r="H688" s="1" t="s">
        <v>1817</v>
      </c>
      <c r="I688" s="1" t="s">
        <v>1818</v>
      </c>
      <c r="J688" s="1" t="str">
        <f ca="1">IFERROR(__xludf.DUMMYFUNCTION("split(I688,"" "")"),"Michael")</f>
        <v>Michael</v>
      </c>
      <c r="K688" s="1" t="str">
        <f ca="1">IFERROR(__xludf.DUMMYFUNCTION("""COMPUTED_VALUE"""),"Chen")</f>
        <v>Chen</v>
      </c>
      <c r="L688" s="1"/>
      <c r="M688" s="1" t="s">
        <v>29</v>
      </c>
      <c r="N688" s="1" t="s">
        <v>30</v>
      </c>
      <c r="O688" s="1" t="s">
        <v>281</v>
      </c>
      <c r="P688" s="1" t="str">
        <f t="shared" si="522"/>
        <v>Jackson</v>
      </c>
      <c r="Q688" s="1" t="s">
        <v>1211</v>
      </c>
      <c r="R688" s="1" t="str">
        <f t="shared" si="523"/>
        <v>Mississippi</v>
      </c>
      <c r="S688" s="1">
        <v>39212</v>
      </c>
      <c r="T688" s="1" t="s">
        <v>33</v>
      </c>
      <c r="U688" s="1" t="s">
        <v>1819</v>
      </c>
      <c r="V688" s="1" t="s">
        <v>46</v>
      </c>
      <c r="W688" s="7">
        <v>14.62</v>
      </c>
      <c r="X688" s="1">
        <v>3</v>
      </c>
      <c r="Y688" s="7">
        <v>13.95</v>
      </c>
      <c r="Z688" s="7">
        <f t="shared" ref="Z688:AA688" si="701">W688*X688</f>
        <v>43.86</v>
      </c>
      <c r="AA688" s="7">
        <f t="shared" si="701"/>
        <v>41.849999999999994</v>
      </c>
      <c r="AB688" s="7">
        <f t="shared" si="525"/>
        <v>2.0100000000000051</v>
      </c>
    </row>
    <row r="689" spans="1:28">
      <c r="A689" s="1">
        <v>688</v>
      </c>
      <c r="B689" s="1" t="s">
        <v>1816</v>
      </c>
      <c r="C689" s="2">
        <v>42131</v>
      </c>
      <c r="D689" s="6" t="str">
        <f t="shared" si="520"/>
        <v>May</v>
      </c>
      <c r="E689" s="6" t="str">
        <f t="shared" si="521"/>
        <v>Qtr 2</v>
      </c>
      <c r="F689" s="5">
        <v>42223</v>
      </c>
      <c r="G689" s="1" t="s">
        <v>162</v>
      </c>
      <c r="H689" s="1" t="s">
        <v>1817</v>
      </c>
      <c r="I689" s="1" t="s">
        <v>1818</v>
      </c>
      <c r="J689" s="1" t="str">
        <f ca="1">IFERROR(__xludf.DUMMYFUNCTION("split(I689,"" "")"),"Michael")</f>
        <v>Michael</v>
      </c>
      <c r="K689" s="1" t="str">
        <f ca="1">IFERROR(__xludf.DUMMYFUNCTION("""COMPUTED_VALUE"""),"Chen")</f>
        <v>Chen</v>
      </c>
      <c r="L689" s="1"/>
      <c r="M689" s="1" t="s">
        <v>29</v>
      </c>
      <c r="N689" s="1" t="s">
        <v>30</v>
      </c>
      <c r="O689" s="1" t="s">
        <v>281</v>
      </c>
      <c r="P689" s="1" t="str">
        <f t="shared" si="522"/>
        <v>Jackson</v>
      </c>
      <c r="Q689" s="1" t="s">
        <v>1211</v>
      </c>
      <c r="R689" s="1" t="str">
        <f t="shared" si="523"/>
        <v>Mississippi</v>
      </c>
      <c r="S689" s="1">
        <v>39212</v>
      </c>
      <c r="T689" s="1" t="s">
        <v>33</v>
      </c>
      <c r="U689" s="1" t="s">
        <v>343</v>
      </c>
      <c r="V689" s="1" t="s">
        <v>46</v>
      </c>
      <c r="W689" s="7">
        <v>19.440000000000001</v>
      </c>
      <c r="X689" s="1">
        <v>3</v>
      </c>
      <c r="Y689" s="7">
        <v>19.38</v>
      </c>
      <c r="Z689" s="7">
        <f t="shared" ref="Z689:AA689" si="702">W689*X689</f>
        <v>58.320000000000007</v>
      </c>
      <c r="AA689" s="7">
        <f t="shared" si="702"/>
        <v>58.14</v>
      </c>
      <c r="AB689" s="7">
        <f t="shared" si="525"/>
        <v>0.18000000000000682</v>
      </c>
    </row>
    <row r="690" spans="1:28">
      <c r="A690" s="1">
        <v>689</v>
      </c>
      <c r="B690" s="1" t="s">
        <v>1820</v>
      </c>
      <c r="C690" s="2">
        <v>43459</v>
      </c>
      <c r="D690" s="6" t="str">
        <f t="shared" si="520"/>
        <v>Dec</v>
      </c>
      <c r="E690" s="6" t="str">
        <f t="shared" si="521"/>
        <v>Qtr 4</v>
      </c>
      <c r="F690" s="5" t="s">
        <v>1162</v>
      </c>
      <c r="G690" s="1" t="s">
        <v>49</v>
      </c>
      <c r="H690" s="1" t="s">
        <v>1821</v>
      </c>
      <c r="I690" s="1" t="s">
        <v>1822</v>
      </c>
      <c r="J690" s="1" t="str">
        <f ca="1">IFERROR(__xludf.DUMMYFUNCTION("split(I690,"" "")"),"Ralph")</f>
        <v>Ralph</v>
      </c>
      <c r="K690" s="1" t="str">
        <f ca="1">IFERROR(__xludf.DUMMYFUNCTION("""COMPUTED_VALUE"""),"Arnett")</f>
        <v>Arnett</v>
      </c>
      <c r="L690" s="1"/>
      <c r="M690" s="1" t="s">
        <v>29</v>
      </c>
      <c r="N690" s="1" t="s">
        <v>30</v>
      </c>
      <c r="O690" s="1" t="s">
        <v>233</v>
      </c>
      <c r="P690" s="1" t="str">
        <f t="shared" si="522"/>
        <v>New York City</v>
      </c>
      <c r="Q690" s="1" t="s">
        <v>234</v>
      </c>
      <c r="R690" s="1" t="str">
        <f t="shared" si="523"/>
        <v>New York</v>
      </c>
      <c r="S690" s="1">
        <v>10035</v>
      </c>
      <c r="T690" s="1" t="s">
        <v>128</v>
      </c>
      <c r="U690" s="1" t="s">
        <v>1823</v>
      </c>
      <c r="V690" s="1" t="s">
        <v>35</v>
      </c>
      <c r="W690" s="7">
        <v>191.98400000000001</v>
      </c>
      <c r="X690" s="1">
        <v>1</v>
      </c>
      <c r="Y690" s="7">
        <v>191.73</v>
      </c>
      <c r="Z690" s="7">
        <f t="shared" ref="Z690:AA690" si="703">W690*X690</f>
        <v>191.98400000000001</v>
      </c>
      <c r="AA690" s="7">
        <f t="shared" si="703"/>
        <v>191.73</v>
      </c>
      <c r="AB690" s="7">
        <f t="shared" si="525"/>
        <v>0.2540000000000191</v>
      </c>
    </row>
    <row r="691" spans="1:28">
      <c r="A691" s="1">
        <v>690</v>
      </c>
      <c r="B691" s="1" t="s">
        <v>1824</v>
      </c>
      <c r="C691" s="2">
        <v>42176</v>
      </c>
      <c r="D691" s="6" t="str">
        <f t="shared" si="520"/>
        <v>Jun</v>
      </c>
      <c r="E691" s="6" t="str">
        <f t="shared" si="521"/>
        <v>Qtr 2</v>
      </c>
      <c r="F691" s="5" t="s">
        <v>1825</v>
      </c>
      <c r="G691" s="1" t="s">
        <v>26</v>
      </c>
      <c r="H691" s="1" t="s">
        <v>1826</v>
      </c>
      <c r="I691" s="1" t="s">
        <v>1827</v>
      </c>
      <c r="J691" s="1" t="str">
        <f ca="1">IFERROR(__xludf.DUMMYFUNCTION("split(I691,"" "")"),"Naresj")</f>
        <v>Naresj</v>
      </c>
      <c r="K691" s="1" t="str">
        <f ca="1">IFERROR(__xludf.DUMMYFUNCTION("""COMPUTED_VALUE"""),"Patel")</f>
        <v>Patel</v>
      </c>
      <c r="L691" s="1"/>
      <c r="M691" s="1" t="s">
        <v>29</v>
      </c>
      <c r="N691" s="1" t="s">
        <v>30</v>
      </c>
      <c r="O691" s="1" t="s">
        <v>1828</v>
      </c>
      <c r="P691" s="1" t="str">
        <f t="shared" si="522"/>
        <v>Waynesboro</v>
      </c>
      <c r="Q691" s="1" t="s">
        <v>272</v>
      </c>
      <c r="R691" s="1" t="str">
        <f t="shared" si="523"/>
        <v>Virginia</v>
      </c>
      <c r="S691" s="1">
        <v>22980</v>
      </c>
      <c r="T691" s="1" t="s">
        <v>33</v>
      </c>
      <c r="U691" s="1" t="s">
        <v>1829</v>
      </c>
      <c r="V691" s="1" t="s">
        <v>35</v>
      </c>
      <c r="W691" s="7">
        <v>104.01</v>
      </c>
      <c r="X691" s="1">
        <v>2</v>
      </c>
      <c r="Y691" s="7">
        <v>103.23</v>
      </c>
      <c r="Z691" s="7">
        <f t="shared" ref="Z691:AA691" si="704">W691*X691</f>
        <v>208.02</v>
      </c>
      <c r="AA691" s="7">
        <f t="shared" si="704"/>
        <v>206.46</v>
      </c>
      <c r="AB691" s="7">
        <f t="shared" si="525"/>
        <v>1.5600000000000023</v>
      </c>
    </row>
    <row r="692" spans="1:28">
      <c r="A692" s="1">
        <v>691</v>
      </c>
      <c r="B692" s="1" t="s">
        <v>1824</v>
      </c>
      <c r="C692" s="2">
        <v>42176</v>
      </c>
      <c r="D692" s="6" t="str">
        <f t="shared" si="520"/>
        <v>Jun</v>
      </c>
      <c r="E692" s="6" t="str">
        <f t="shared" si="521"/>
        <v>Qtr 2</v>
      </c>
      <c r="F692" s="5" t="s">
        <v>1825</v>
      </c>
      <c r="G692" s="1" t="s">
        <v>26</v>
      </c>
      <c r="H692" s="1" t="s">
        <v>1826</v>
      </c>
      <c r="I692" s="1" t="s">
        <v>1827</v>
      </c>
      <c r="J692" s="1" t="str">
        <f ca="1">IFERROR(__xludf.DUMMYFUNCTION("split(I692,"" "")"),"Naresj")</f>
        <v>Naresj</v>
      </c>
      <c r="K692" s="1" t="str">
        <f ca="1">IFERROR(__xludf.DUMMYFUNCTION("""COMPUTED_VALUE"""),"Patel")</f>
        <v>Patel</v>
      </c>
      <c r="L692" s="1"/>
      <c r="M692" s="1" t="s">
        <v>29</v>
      </c>
      <c r="N692" s="1" t="s">
        <v>30</v>
      </c>
      <c r="O692" s="1" t="s">
        <v>1828</v>
      </c>
      <c r="P692" s="1" t="str">
        <f t="shared" si="522"/>
        <v>Waynesboro</v>
      </c>
      <c r="Q692" s="1" t="s">
        <v>272</v>
      </c>
      <c r="R692" s="1" t="str">
        <f t="shared" si="523"/>
        <v>Virginia</v>
      </c>
      <c r="S692" s="1">
        <v>22980</v>
      </c>
      <c r="T692" s="1" t="s">
        <v>33</v>
      </c>
      <c r="U692" s="1" t="s">
        <v>69</v>
      </c>
      <c r="V692" s="1" t="s">
        <v>64</v>
      </c>
      <c r="W692" s="7">
        <v>284.82</v>
      </c>
      <c r="X692" s="1">
        <v>2</v>
      </c>
      <c r="Y692" s="7">
        <v>284.3</v>
      </c>
      <c r="Z692" s="7">
        <f t="shared" ref="Z692:AA692" si="705">W692*X692</f>
        <v>569.64</v>
      </c>
      <c r="AA692" s="7">
        <f t="shared" si="705"/>
        <v>568.6</v>
      </c>
      <c r="AB692" s="7">
        <f t="shared" si="525"/>
        <v>1.0399999999999636</v>
      </c>
    </row>
    <row r="693" spans="1:28">
      <c r="A693" s="1">
        <v>692</v>
      </c>
      <c r="B693" s="1" t="s">
        <v>1824</v>
      </c>
      <c r="C693" s="2">
        <v>42176</v>
      </c>
      <c r="D693" s="6" t="str">
        <f t="shared" si="520"/>
        <v>Jun</v>
      </c>
      <c r="E693" s="6" t="str">
        <f t="shared" si="521"/>
        <v>Qtr 2</v>
      </c>
      <c r="F693" s="5" t="s">
        <v>1825</v>
      </c>
      <c r="G693" s="1" t="s">
        <v>26</v>
      </c>
      <c r="H693" s="1" t="s">
        <v>1826</v>
      </c>
      <c r="I693" s="1" t="s">
        <v>1827</v>
      </c>
      <c r="J693" s="1" t="str">
        <f ca="1">IFERROR(__xludf.DUMMYFUNCTION("split(I693,"" "")"),"Naresj")</f>
        <v>Naresj</v>
      </c>
      <c r="K693" s="1" t="str">
        <f ca="1">IFERROR(__xludf.DUMMYFUNCTION("""COMPUTED_VALUE"""),"Patel")</f>
        <v>Patel</v>
      </c>
      <c r="L693" s="1"/>
      <c r="M693" s="1" t="s">
        <v>29</v>
      </c>
      <c r="N693" s="1" t="s">
        <v>30</v>
      </c>
      <c r="O693" s="1" t="s">
        <v>1828</v>
      </c>
      <c r="P693" s="1" t="str">
        <f t="shared" si="522"/>
        <v>Waynesboro</v>
      </c>
      <c r="Q693" s="1" t="s">
        <v>272</v>
      </c>
      <c r="R693" s="1" t="str">
        <f t="shared" si="523"/>
        <v>Virginia</v>
      </c>
      <c r="S693" s="1">
        <v>22980</v>
      </c>
      <c r="T693" s="1" t="s">
        <v>33</v>
      </c>
      <c r="U693" s="1" t="s">
        <v>1830</v>
      </c>
      <c r="V693" s="1" t="s">
        <v>46</v>
      </c>
      <c r="W693" s="7">
        <v>36.840000000000003</v>
      </c>
      <c r="X693" s="1">
        <v>2</v>
      </c>
      <c r="Y693" s="7">
        <v>35.94</v>
      </c>
      <c r="Z693" s="7">
        <f t="shared" ref="Z693:AA693" si="706">W693*X693</f>
        <v>73.680000000000007</v>
      </c>
      <c r="AA693" s="7">
        <f t="shared" si="706"/>
        <v>71.88</v>
      </c>
      <c r="AB693" s="7">
        <f t="shared" si="525"/>
        <v>1.8000000000000114</v>
      </c>
    </row>
    <row r="694" spans="1:28">
      <c r="A694" s="1">
        <v>693</v>
      </c>
      <c r="B694" s="1" t="s">
        <v>1831</v>
      </c>
      <c r="C694" s="2">
        <v>42457</v>
      </c>
      <c r="D694" s="6" t="str">
        <f t="shared" si="520"/>
        <v>Mar</v>
      </c>
      <c r="E694" s="6" t="str">
        <f t="shared" si="521"/>
        <v>Qtr 1</v>
      </c>
      <c r="F694" s="5">
        <v>42404</v>
      </c>
      <c r="G694" s="1" t="s">
        <v>49</v>
      </c>
      <c r="H694" s="1" t="s">
        <v>1832</v>
      </c>
      <c r="I694" s="1" t="s">
        <v>1833</v>
      </c>
      <c r="J694" s="1" t="str">
        <f ca="1">IFERROR(__xludf.DUMMYFUNCTION("split(I694,"" "")"),"Alan")</f>
        <v>Alan</v>
      </c>
      <c r="K694" s="1" t="str">
        <f ca="1">IFERROR(__xludf.DUMMYFUNCTION("""COMPUTED_VALUE"""),"Barnes")</f>
        <v>Barnes</v>
      </c>
      <c r="L694" s="1"/>
      <c r="M694" s="1" t="s">
        <v>29</v>
      </c>
      <c r="N694" s="1" t="s">
        <v>30</v>
      </c>
      <c r="O694" s="1" t="s">
        <v>42</v>
      </c>
      <c r="P694" s="1" t="str">
        <f t="shared" si="522"/>
        <v>Los Angeles</v>
      </c>
      <c r="Q694" s="1" t="s">
        <v>68</v>
      </c>
      <c r="R694" s="1" t="str">
        <f t="shared" si="523"/>
        <v>California</v>
      </c>
      <c r="S694" s="1">
        <v>90036</v>
      </c>
      <c r="T694" s="1" t="s">
        <v>44</v>
      </c>
      <c r="U694" s="1" t="s">
        <v>1834</v>
      </c>
      <c r="V694" s="1" t="s">
        <v>64</v>
      </c>
      <c r="W694" s="7">
        <v>166.24</v>
      </c>
      <c r="X694" s="1">
        <v>9</v>
      </c>
      <c r="Y694" s="7">
        <v>166.08</v>
      </c>
      <c r="Z694" s="7">
        <f t="shared" ref="Z694:AA694" si="707">W694*X694</f>
        <v>1496.16</v>
      </c>
      <c r="AA694" s="7">
        <f t="shared" si="707"/>
        <v>1494.72</v>
      </c>
      <c r="AB694" s="7">
        <f t="shared" si="525"/>
        <v>1.4400000000000546</v>
      </c>
    </row>
    <row r="695" spans="1:28">
      <c r="A695" s="1">
        <v>694</v>
      </c>
      <c r="B695" s="1" t="s">
        <v>1831</v>
      </c>
      <c r="C695" s="2">
        <v>42457</v>
      </c>
      <c r="D695" s="6" t="str">
        <f t="shared" si="520"/>
        <v>Mar</v>
      </c>
      <c r="E695" s="6" t="str">
        <f t="shared" si="521"/>
        <v>Qtr 1</v>
      </c>
      <c r="F695" s="5">
        <v>42404</v>
      </c>
      <c r="G695" s="1" t="s">
        <v>49</v>
      </c>
      <c r="H695" s="1" t="s">
        <v>1832</v>
      </c>
      <c r="I695" s="1" t="s">
        <v>1833</v>
      </c>
      <c r="J695" s="1" t="str">
        <f ca="1">IFERROR(__xludf.DUMMYFUNCTION("split(I695,"" "")"),"Alan")</f>
        <v>Alan</v>
      </c>
      <c r="K695" s="1" t="str">
        <f ca="1">IFERROR(__xludf.DUMMYFUNCTION("""COMPUTED_VALUE"""),"Barnes")</f>
        <v>Barnes</v>
      </c>
      <c r="L695" s="1"/>
      <c r="M695" s="1" t="s">
        <v>29</v>
      </c>
      <c r="N695" s="1" t="s">
        <v>30</v>
      </c>
      <c r="O695" s="1" t="s">
        <v>42</v>
      </c>
      <c r="P695" s="1" t="str">
        <f t="shared" si="522"/>
        <v>Los Angeles</v>
      </c>
      <c r="Q695" s="1" t="s">
        <v>68</v>
      </c>
      <c r="R695" s="1" t="str">
        <f t="shared" si="523"/>
        <v>California</v>
      </c>
      <c r="S695" s="1">
        <v>90036</v>
      </c>
      <c r="T695" s="1" t="s">
        <v>44</v>
      </c>
      <c r="U695" s="1" t="s">
        <v>1835</v>
      </c>
      <c r="V695" s="1" t="s">
        <v>46</v>
      </c>
      <c r="W695" s="7">
        <v>33.4</v>
      </c>
      <c r="X695" s="1">
        <v>9</v>
      </c>
      <c r="Y695" s="7">
        <v>33.380000000000003</v>
      </c>
      <c r="Z695" s="7">
        <f t="shared" ref="Z695:AA695" si="708">W695*X695</f>
        <v>300.59999999999997</v>
      </c>
      <c r="AA695" s="7">
        <f t="shared" si="708"/>
        <v>300.42</v>
      </c>
      <c r="AB695" s="7">
        <f t="shared" si="525"/>
        <v>0.17999999999994998</v>
      </c>
    </row>
    <row r="696" spans="1:28">
      <c r="A696" s="1">
        <v>695</v>
      </c>
      <c r="B696" s="1" t="s">
        <v>1836</v>
      </c>
      <c r="C696" s="2">
        <v>42504</v>
      </c>
      <c r="D696" s="6" t="str">
        <f t="shared" si="520"/>
        <v>May</v>
      </c>
      <c r="E696" s="6" t="str">
        <f t="shared" si="521"/>
        <v>Qtr 2</v>
      </c>
      <c r="F696" s="5" t="s">
        <v>1837</v>
      </c>
      <c r="G696" s="1" t="s">
        <v>162</v>
      </c>
      <c r="H696" s="1" t="s">
        <v>1838</v>
      </c>
      <c r="I696" s="1" t="s">
        <v>1839</v>
      </c>
      <c r="J696" s="1" t="str">
        <f ca="1">IFERROR(__xludf.DUMMYFUNCTION("split(I696,"" "")"),"Jesus")</f>
        <v>Jesus</v>
      </c>
      <c r="K696" s="1" t="str">
        <f ca="1">IFERROR(__xludf.DUMMYFUNCTION("""COMPUTED_VALUE"""),"Ocampo")</f>
        <v>Ocampo</v>
      </c>
      <c r="L696" s="1"/>
      <c r="M696" s="1" t="s">
        <v>87</v>
      </c>
      <c r="N696" s="1" t="s">
        <v>30</v>
      </c>
      <c r="O696" s="1" t="s">
        <v>1840</v>
      </c>
      <c r="P696" s="1" t="str">
        <f t="shared" si="522"/>
        <v>Chester</v>
      </c>
      <c r="Q696" s="1" t="s">
        <v>127</v>
      </c>
      <c r="R696" s="1" t="str">
        <f t="shared" si="523"/>
        <v>Pennsylvania</v>
      </c>
      <c r="S696" s="1">
        <v>19013</v>
      </c>
      <c r="T696" s="1" t="s">
        <v>128</v>
      </c>
      <c r="U696" s="1" t="s">
        <v>944</v>
      </c>
      <c r="V696" s="1" t="s">
        <v>46</v>
      </c>
      <c r="W696" s="7">
        <v>198.27199999999999</v>
      </c>
      <c r="X696" s="1">
        <v>1</v>
      </c>
      <c r="Y696" s="7">
        <v>197.32</v>
      </c>
      <c r="Z696" s="7">
        <f t="shared" ref="Z696:AA696" si="709">W696*X696</f>
        <v>198.27199999999999</v>
      </c>
      <c r="AA696" s="7">
        <f t="shared" si="709"/>
        <v>197.32</v>
      </c>
      <c r="AB696" s="7">
        <f t="shared" si="525"/>
        <v>0.95199999999999818</v>
      </c>
    </row>
    <row r="697" spans="1:28">
      <c r="A697" s="1">
        <v>696</v>
      </c>
      <c r="B697" s="1" t="s">
        <v>1836</v>
      </c>
      <c r="C697" s="2">
        <v>42504</v>
      </c>
      <c r="D697" s="6" t="str">
        <f t="shared" si="520"/>
        <v>May</v>
      </c>
      <c r="E697" s="6" t="str">
        <f t="shared" si="521"/>
        <v>Qtr 2</v>
      </c>
      <c r="F697" s="5" t="s">
        <v>1837</v>
      </c>
      <c r="G697" s="1" t="s">
        <v>162</v>
      </c>
      <c r="H697" s="1" t="s">
        <v>1838</v>
      </c>
      <c r="I697" s="1" t="s">
        <v>1839</v>
      </c>
      <c r="J697" s="1" t="str">
        <f ca="1">IFERROR(__xludf.DUMMYFUNCTION("split(I697,"" "")"),"Jesus")</f>
        <v>Jesus</v>
      </c>
      <c r="K697" s="1" t="str">
        <f ca="1">IFERROR(__xludf.DUMMYFUNCTION("""COMPUTED_VALUE"""),"Ocampo")</f>
        <v>Ocampo</v>
      </c>
      <c r="L697" s="1"/>
      <c r="M697" s="1" t="s">
        <v>87</v>
      </c>
      <c r="N697" s="1" t="s">
        <v>30</v>
      </c>
      <c r="O697" s="1" t="s">
        <v>1840</v>
      </c>
      <c r="P697" s="1" t="str">
        <f t="shared" si="522"/>
        <v>Chester</v>
      </c>
      <c r="Q697" s="1" t="s">
        <v>127</v>
      </c>
      <c r="R697" s="1" t="str">
        <f t="shared" si="523"/>
        <v>Pennsylvania</v>
      </c>
      <c r="S697" s="1">
        <v>19013</v>
      </c>
      <c r="T697" s="1" t="s">
        <v>128</v>
      </c>
      <c r="U697" s="1" t="s">
        <v>1841</v>
      </c>
      <c r="V697" s="1" t="s">
        <v>46</v>
      </c>
      <c r="W697" s="7">
        <v>47.36</v>
      </c>
      <c r="X697" s="1">
        <v>1</v>
      </c>
      <c r="Y697" s="7">
        <v>47.31</v>
      </c>
      <c r="Z697" s="7">
        <f t="shared" ref="Z697:AA697" si="710">W697*X697</f>
        <v>47.36</v>
      </c>
      <c r="AA697" s="7">
        <f t="shared" si="710"/>
        <v>47.31</v>
      </c>
      <c r="AB697" s="7">
        <f t="shared" si="525"/>
        <v>4.9999999999997158E-2</v>
      </c>
    </row>
    <row r="698" spans="1:28">
      <c r="A698" s="1">
        <v>697</v>
      </c>
      <c r="B698" s="1" t="s">
        <v>1836</v>
      </c>
      <c r="C698" s="2">
        <v>42504</v>
      </c>
      <c r="D698" s="6" t="str">
        <f t="shared" si="520"/>
        <v>May</v>
      </c>
      <c r="E698" s="6" t="str">
        <f t="shared" si="521"/>
        <v>Qtr 2</v>
      </c>
      <c r="F698" s="5" t="s">
        <v>1837</v>
      </c>
      <c r="G698" s="1" t="s">
        <v>162</v>
      </c>
      <c r="H698" s="1" t="s">
        <v>1838</v>
      </c>
      <c r="I698" s="1" t="s">
        <v>1839</v>
      </c>
      <c r="J698" s="1" t="str">
        <f ca="1">IFERROR(__xludf.DUMMYFUNCTION("split(I698,"" "")"),"Jesus")</f>
        <v>Jesus</v>
      </c>
      <c r="K698" s="1" t="str">
        <f ca="1">IFERROR(__xludf.DUMMYFUNCTION("""COMPUTED_VALUE"""),"Ocampo")</f>
        <v>Ocampo</v>
      </c>
      <c r="L698" s="1"/>
      <c r="M698" s="1" t="s">
        <v>87</v>
      </c>
      <c r="N698" s="1" t="s">
        <v>30</v>
      </c>
      <c r="O698" s="1" t="s">
        <v>1840</v>
      </c>
      <c r="P698" s="1" t="str">
        <f t="shared" si="522"/>
        <v>Chester</v>
      </c>
      <c r="Q698" s="1" t="s">
        <v>127</v>
      </c>
      <c r="R698" s="1" t="str">
        <f t="shared" si="523"/>
        <v>Pennsylvania</v>
      </c>
      <c r="S698" s="1">
        <v>19013</v>
      </c>
      <c r="T698" s="1" t="s">
        <v>128</v>
      </c>
      <c r="U698" s="1" t="s">
        <v>317</v>
      </c>
      <c r="V698" s="1" t="s">
        <v>46</v>
      </c>
      <c r="W698" s="7">
        <v>200.98400000000001</v>
      </c>
      <c r="X698" s="1">
        <v>1</v>
      </c>
      <c r="Y698" s="7">
        <v>200.57</v>
      </c>
      <c r="Z698" s="7">
        <f t="shared" ref="Z698:AA698" si="711">W698*X698</f>
        <v>200.98400000000001</v>
      </c>
      <c r="AA698" s="7">
        <f t="shared" si="711"/>
        <v>200.57</v>
      </c>
      <c r="AB698" s="7">
        <f t="shared" si="525"/>
        <v>0.41400000000001569</v>
      </c>
    </row>
    <row r="699" spans="1:28">
      <c r="A699" s="1">
        <v>698</v>
      </c>
      <c r="B699" s="1" t="s">
        <v>1836</v>
      </c>
      <c r="C699" s="2">
        <v>42504</v>
      </c>
      <c r="D699" s="6" t="str">
        <f t="shared" si="520"/>
        <v>May</v>
      </c>
      <c r="E699" s="6" t="str">
        <f t="shared" si="521"/>
        <v>Qtr 2</v>
      </c>
      <c r="F699" s="5" t="s">
        <v>1837</v>
      </c>
      <c r="G699" s="1" t="s">
        <v>162</v>
      </c>
      <c r="H699" s="1" t="s">
        <v>1838</v>
      </c>
      <c r="I699" s="1" t="s">
        <v>1839</v>
      </c>
      <c r="J699" s="1" t="str">
        <f ca="1">IFERROR(__xludf.DUMMYFUNCTION("split(I699,"" "")"),"Jesus")</f>
        <v>Jesus</v>
      </c>
      <c r="K699" s="1" t="str">
        <f ca="1">IFERROR(__xludf.DUMMYFUNCTION("""COMPUTED_VALUE"""),"Ocampo")</f>
        <v>Ocampo</v>
      </c>
      <c r="L699" s="1"/>
      <c r="M699" s="1" t="s">
        <v>87</v>
      </c>
      <c r="N699" s="1" t="s">
        <v>30</v>
      </c>
      <c r="O699" s="1" t="s">
        <v>1840</v>
      </c>
      <c r="P699" s="1" t="str">
        <f t="shared" si="522"/>
        <v>Chester</v>
      </c>
      <c r="Q699" s="1" t="s">
        <v>127</v>
      </c>
      <c r="R699" s="1" t="str">
        <f t="shared" si="523"/>
        <v>Pennsylvania</v>
      </c>
      <c r="S699" s="1">
        <v>19013</v>
      </c>
      <c r="T699" s="1" t="s">
        <v>128</v>
      </c>
      <c r="U699" s="1" t="s">
        <v>1842</v>
      </c>
      <c r="V699" s="1" t="s">
        <v>46</v>
      </c>
      <c r="W699" s="7">
        <v>97.695999999999998</v>
      </c>
      <c r="X699" s="1">
        <v>1</v>
      </c>
      <c r="Y699" s="7">
        <v>97.58</v>
      </c>
      <c r="Z699" s="7">
        <f t="shared" ref="Z699:AA699" si="712">W699*X699</f>
        <v>97.695999999999998</v>
      </c>
      <c r="AA699" s="7">
        <f t="shared" si="712"/>
        <v>97.58</v>
      </c>
      <c r="AB699" s="7">
        <f t="shared" si="525"/>
        <v>0.11599999999999966</v>
      </c>
    </row>
    <row r="700" spans="1:28">
      <c r="A700" s="1">
        <v>699</v>
      </c>
      <c r="B700" s="1" t="s">
        <v>1836</v>
      </c>
      <c r="C700" s="2">
        <v>42504</v>
      </c>
      <c r="D700" s="6" t="str">
        <f t="shared" si="520"/>
        <v>May</v>
      </c>
      <c r="E700" s="6" t="str">
        <f t="shared" si="521"/>
        <v>Qtr 2</v>
      </c>
      <c r="F700" s="5" t="s">
        <v>1837</v>
      </c>
      <c r="G700" s="1" t="s">
        <v>162</v>
      </c>
      <c r="H700" s="1" t="s">
        <v>1838</v>
      </c>
      <c r="I700" s="1" t="s">
        <v>1839</v>
      </c>
      <c r="J700" s="1" t="str">
        <f ca="1">IFERROR(__xludf.DUMMYFUNCTION("split(I700,"" "")"),"Jesus")</f>
        <v>Jesus</v>
      </c>
      <c r="K700" s="1" t="str">
        <f ca="1">IFERROR(__xludf.DUMMYFUNCTION("""COMPUTED_VALUE"""),"Ocampo")</f>
        <v>Ocampo</v>
      </c>
      <c r="L700" s="1"/>
      <c r="M700" s="1" t="s">
        <v>87</v>
      </c>
      <c r="N700" s="1" t="s">
        <v>30</v>
      </c>
      <c r="O700" s="1" t="s">
        <v>1840</v>
      </c>
      <c r="P700" s="1" t="str">
        <f t="shared" si="522"/>
        <v>Chester</v>
      </c>
      <c r="Q700" s="1" t="s">
        <v>127</v>
      </c>
      <c r="R700" s="1" t="str">
        <f t="shared" si="523"/>
        <v>Pennsylvania</v>
      </c>
      <c r="S700" s="1">
        <v>19013</v>
      </c>
      <c r="T700" s="1" t="s">
        <v>128</v>
      </c>
      <c r="U700" s="1" t="s">
        <v>1843</v>
      </c>
      <c r="V700" s="1" t="s">
        <v>46</v>
      </c>
      <c r="W700" s="7">
        <v>2.6960000000000002</v>
      </c>
      <c r="X700" s="1">
        <v>1</v>
      </c>
      <c r="Y700" s="7">
        <v>2.67</v>
      </c>
      <c r="Z700" s="7">
        <f t="shared" ref="Z700:AA700" si="713">W700*X700</f>
        <v>2.6960000000000002</v>
      </c>
      <c r="AA700" s="7">
        <f t="shared" si="713"/>
        <v>2.67</v>
      </c>
      <c r="AB700" s="7">
        <f t="shared" si="525"/>
        <v>2.6000000000000245E-2</v>
      </c>
    </row>
    <row r="701" spans="1:28">
      <c r="A701" s="1">
        <v>700</v>
      </c>
      <c r="B701" s="1" t="s">
        <v>1836</v>
      </c>
      <c r="C701" s="2">
        <v>42504</v>
      </c>
      <c r="D701" s="6" t="str">
        <f t="shared" si="520"/>
        <v>May</v>
      </c>
      <c r="E701" s="6" t="str">
        <f t="shared" si="521"/>
        <v>Qtr 2</v>
      </c>
      <c r="F701" s="5" t="s">
        <v>1837</v>
      </c>
      <c r="G701" s="1" t="s">
        <v>162</v>
      </c>
      <c r="H701" s="1" t="s">
        <v>1838</v>
      </c>
      <c r="I701" s="1" t="s">
        <v>1839</v>
      </c>
      <c r="J701" s="1" t="str">
        <f ca="1">IFERROR(__xludf.DUMMYFUNCTION("split(I701,"" "")"),"Jesus")</f>
        <v>Jesus</v>
      </c>
      <c r="K701" s="1" t="str">
        <f ca="1">IFERROR(__xludf.DUMMYFUNCTION("""COMPUTED_VALUE"""),"Ocampo")</f>
        <v>Ocampo</v>
      </c>
      <c r="L701" s="1"/>
      <c r="M701" s="1" t="s">
        <v>87</v>
      </c>
      <c r="N701" s="1" t="s">
        <v>30</v>
      </c>
      <c r="O701" s="1" t="s">
        <v>1840</v>
      </c>
      <c r="P701" s="1" t="str">
        <f t="shared" si="522"/>
        <v>Chester</v>
      </c>
      <c r="Q701" s="1" t="s">
        <v>127</v>
      </c>
      <c r="R701" s="1" t="str">
        <f t="shared" si="523"/>
        <v>Pennsylvania</v>
      </c>
      <c r="S701" s="1">
        <v>19013</v>
      </c>
      <c r="T701" s="1" t="s">
        <v>128</v>
      </c>
      <c r="U701" s="1" t="s">
        <v>1844</v>
      </c>
      <c r="V701" s="1" t="s">
        <v>46</v>
      </c>
      <c r="W701" s="7">
        <v>18.588000000000001</v>
      </c>
      <c r="X701" s="1">
        <v>1</v>
      </c>
      <c r="Y701" s="7">
        <v>18</v>
      </c>
      <c r="Z701" s="7">
        <f t="shared" ref="Z701:AA701" si="714">W701*X701</f>
        <v>18.588000000000001</v>
      </c>
      <c r="AA701" s="7">
        <f t="shared" si="714"/>
        <v>18</v>
      </c>
      <c r="AB701" s="7">
        <f t="shared" si="525"/>
        <v>0.58800000000000097</v>
      </c>
    </row>
    <row r="702" spans="1:28">
      <c r="A702" s="1">
        <v>701</v>
      </c>
      <c r="B702" s="1" t="s">
        <v>1836</v>
      </c>
      <c r="C702" s="2">
        <v>42504</v>
      </c>
      <c r="D702" s="6" t="str">
        <f t="shared" si="520"/>
        <v>May</v>
      </c>
      <c r="E702" s="6" t="str">
        <f t="shared" si="521"/>
        <v>Qtr 2</v>
      </c>
      <c r="F702" s="5" t="s">
        <v>1837</v>
      </c>
      <c r="G702" s="1" t="s">
        <v>162</v>
      </c>
      <c r="H702" s="1" t="s">
        <v>1838</v>
      </c>
      <c r="I702" s="1" t="s">
        <v>1839</v>
      </c>
      <c r="J702" s="1" t="str">
        <f ca="1">IFERROR(__xludf.DUMMYFUNCTION("split(I702,"" "")"),"Jesus")</f>
        <v>Jesus</v>
      </c>
      <c r="K702" s="1" t="str">
        <f ca="1">IFERROR(__xludf.DUMMYFUNCTION("""COMPUTED_VALUE"""),"Ocampo")</f>
        <v>Ocampo</v>
      </c>
      <c r="L702" s="1"/>
      <c r="M702" s="1" t="s">
        <v>87</v>
      </c>
      <c r="N702" s="1" t="s">
        <v>30</v>
      </c>
      <c r="O702" s="1" t="s">
        <v>1840</v>
      </c>
      <c r="P702" s="1" t="str">
        <f t="shared" si="522"/>
        <v>Chester</v>
      </c>
      <c r="Q702" s="1" t="s">
        <v>127</v>
      </c>
      <c r="R702" s="1" t="str">
        <f t="shared" si="523"/>
        <v>Pennsylvania</v>
      </c>
      <c r="S702" s="1">
        <v>19013</v>
      </c>
      <c r="T702" s="1" t="s">
        <v>128</v>
      </c>
      <c r="U702" s="1" t="s">
        <v>982</v>
      </c>
      <c r="V702" s="1" t="s">
        <v>46</v>
      </c>
      <c r="W702" s="7">
        <v>4.8959999999999999</v>
      </c>
      <c r="X702" s="1">
        <v>1</v>
      </c>
      <c r="Y702" s="7">
        <v>4.29</v>
      </c>
      <c r="Z702" s="7">
        <f t="shared" ref="Z702:AA702" si="715">W702*X702</f>
        <v>4.8959999999999999</v>
      </c>
      <c r="AA702" s="7">
        <f t="shared" si="715"/>
        <v>4.29</v>
      </c>
      <c r="AB702" s="7">
        <f t="shared" si="525"/>
        <v>0.60599999999999987</v>
      </c>
    </row>
    <row r="703" spans="1:28">
      <c r="A703" s="1">
        <v>702</v>
      </c>
      <c r="B703" s="1" t="s">
        <v>1845</v>
      </c>
      <c r="C703" s="2">
        <v>43140</v>
      </c>
      <c r="D703" s="6" t="str">
        <f t="shared" si="520"/>
        <v>Feb</v>
      </c>
      <c r="E703" s="6" t="str">
        <f t="shared" si="521"/>
        <v>Qtr 1</v>
      </c>
      <c r="F703" s="5">
        <v>43321</v>
      </c>
      <c r="G703" s="1" t="s">
        <v>49</v>
      </c>
      <c r="H703" s="1" t="s">
        <v>797</v>
      </c>
      <c r="I703" s="1" t="s">
        <v>798</v>
      </c>
      <c r="J703" s="1" t="str">
        <f ca="1">IFERROR(__xludf.DUMMYFUNCTION("split(I703,"" "")"),"Dorris")</f>
        <v>Dorris</v>
      </c>
      <c r="K703" s="1" t="str">
        <f ca="1">IFERROR(__xludf.DUMMYFUNCTION("""COMPUTED_VALUE"""),"liebe")</f>
        <v>liebe</v>
      </c>
      <c r="L703" s="1"/>
      <c r="M703" s="1" t="s">
        <v>41</v>
      </c>
      <c r="N703" s="1" t="s">
        <v>30</v>
      </c>
      <c r="O703" s="1" t="s">
        <v>1784</v>
      </c>
      <c r="P703" s="1" t="str">
        <f t="shared" si="522"/>
        <v>Cleveland</v>
      </c>
      <c r="Q703" s="1" t="s">
        <v>421</v>
      </c>
      <c r="R703" s="1" t="str">
        <f t="shared" si="523"/>
        <v>Ohio</v>
      </c>
      <c r="S703" s="1">
        <v>44105</v>
      </c>
      <c r="T703" s="1" t="s">
        <v>128</v>
      </c>
      <c r="U703" s="1" t="s">
        <v>682</v>
      </c>
      <c r="V703" s="1" t="s">
        <v>35</v>
      </c>
      <c r="W703" s="7">
        <v>15.071999999999999</v>
      </c>
      <c r="X703" s="1">
        <v>4</v>
      </c>
      <c r="Y703" s="7">
        <v>15.04</v>
      </c>
      <c r="Z703" s="7">
        <f t="shared" ref="Z703:AA703" si="716">W703*X703</f>
        <v>60.287999999999997</v>
      </c>
      <c r="AA703" s="7">
        <f t="shared" si="716"/>
        <v>60.16</v>
      </c>
      <c r="AB703" s="7">
        <f t="shared" si="525"/>
        <v>0.12800000000000011</v>
      </c>
    </row>
    <row r="704" spans="1:28">
      <c r="A704" s="1">
        <v>703</v>
      </c>
      <c r="B704" s="1" t="s">
        <v>1846</v>
      </c>
      <c r="C704" s="2">
        <v>42836</v>
      </c>
      <c r="D704" s="6" t="str">
        <f t="shared" si="520"/>
        <v>Apr</v>
      </c>
      <c r="E704" s="6" t="str">
        <f t="shared" si="521"/>
        <v>Qtr 2</v>
      </c>
      <c r="F704" s="5">
        <v>42958</v>
      </c>
      <c r="G704" s="1" t="s">
        <v>26</v>
      </c>
      <c r="H704" s="1" t="s">
        <v>1088</v>
      </c>
      <c r="I704" s="1" t="s">
        <v>1089</v>
      </c>
      <c r="J704" s="1" t="str">
        <f ca="1">IFERROR(__xludf.DUMMYFUNCTION("split(I704,"" "")"),"Alejandro")</f>
        <v>Alejandro</v>
      </c>
      <c r="K704" s="1" t="str">
        <f ca="1">IFERROR(__xludf.DUMMYFUNCTION("""COMPUTED_VALUE"""),"Savely")</f>
        <v>Savely</v>
      </c>
      <c r="L704" s="1"/>
      <c r="M704" s="1" t="s">
        <v>41</v>
      </c>
      <c r="N704" s="1" t="s">
        <v>30</v>
      </c>
      <c r="O704" s="1" t="s">
        <v>80</v>
      </c>
      <c r="P704" s="1" t="str">
        <f t="shared" si="522"/>
        <v>Seattle</v>
      </c>
      <c r="Q704" s="1" t="s">
        <v>81</v>
      </c>
      <c r="R704" s="1" t="str">
        <f t="shared" si="523"/>
        <v>Washington</v>
      </c>
      <c r="S704" s="1">
        <v>98103</v>
      </c>
      <c r="T704" s="1" t="s">
        <v>44</v>
      </c>
      <c r="U704" s="1" t="s">
        <v>1847</v>
      </c>
      <c r="V704" s="1" t="s">
        <v>35</v>
      </c>
      <c r="W704" s="7">
        <v>209.88</v>
      </c>
      <c r="X704" s="1">
        <v>9</v>
      </c>
      <c r="Y704" s="7">
        <v>209.67</v>
      </c>
      <c r="Z704" s="7">
        <f t="shared" ref="Z704:AA704" si="717">W704*X704</f>
        <v>1888.92</v>
      </c>
      <c r="AA704" s="7">
        <f t="shared" si="717"/>
        <v>1887.03</v>
      </c>
      <c r="AB704" s="7">
        <f t="shared" si="525"/>
        <v>1.8900000000001</v>
      </c>
    </row>
    <row r="705" spans="1:28">
      <c r="A705" s="1">
        <v>704</v>
      </c>
      <c r="B705" s="1" t="s">
        <v>1848</v>
      </c>
      <c r="C705" s="2">
        <v>42617</v>
      </c>
      <c r="D705" s="6" t="str">
        <f t="shared" si="520"/>
        <v>Sep</v>
      </c>
      <c r="E705" s="6" t="str">
        <f t="shared" si="521"/>
        <v>Qtr 3</v>
      </c>
      <c r="F705" s="5" t="s">
        <v>1849</v>
      </c>
      <c r="G705" s="1" t="s">
        <v>49</v>
      </c>
      <c r="H705" s="1" t="s">
        <v>1850</v>
      </c>
      <c r="I705" s="1" t="s">
        <v>1851</v>
      </c>
      <c r="J705" s="1" t="str">
        <f ca="1">IFERROR(__xludf.DUMMYFUNCTION("split(I705,"" "")"),"Jay")</f>
        <v>Jay</v>
      </c>
      <c r="K705" s="1" t="str">
        <f ca="1">IFERROR(__xludf.DUMMYFUNCTION("""COMPUTED_VALUE"""),"Kimmel")</f>
        <v>Kimmel</v>
      </c>
      <c r="L705" s="1"/>
      <c r="M705" s="1" t="s">
        <v>29</v>
      </c>
      <c r="N705" s="1" t="s">
        <v>30</v>
      </c>
      <c r="O705" s="1" t="s">
        <v>955</v>
      </c>
      <c r="P705" s="1" t="str">
        <f t="shared" si="522"/>
        <v>Long Beach</v>
      </c>
      <c r="Q705" s="1" t="s">
        <v>68</v>
      </c>
      <c r="R705" s="1" t="str">
        <f t="shared" si="523"/>
        <v>California</v>
      </c>
      <c r="S705" s="1">
        <v>90805</v>
      </c>
      <c r="T705" s="1" t="s">
        <v>44</v>
      </c>
      <c r="U705" s="1" t="s">
        <v>1852</v>
      </c>
      <c r="V705" s="1" t="s">
        <v>35</v>
      </c>
      <c r="W705" s="7">
        <v>369.91199999999998</v>
      </c>
      <c r="X705" s="1">
        <v>9</v>
      </c>
      <c r="Y705" s="7">
        <v>369.25</v>
      </c>
      <c r="Z705" s="7">
        <f t="shared" ref="Z705:AA705" si="718">W705*X705</f>
        <v>3329.2079999999996</v>
      </c>
      <c r="AA705" s="7">
        <f t="shared" si="718"/>
        <v>3323.25</v>
      </c>
      <c r="AB705" s="7">
        <f t="shared" si="525"/>
        <v>5.9579999999996289</v>
      </c>
    </row>
    <row r="706" spans="1:28">
      <c r="A706" s="1">
        <v>705</v>
      </c>
      <c r="B706" s="1" t="s">
        <v>1853</v>
      </c>
      <c r="C706" s="2">
        <v>42347</v>
      </c>
      <c r="D706" s="6" t="str">
        <f t="shared" si="520"/>
        <v>Dec</v>
      </c>
      <c r="E706" s="6" t="str">
        <f t="shared" si="521"/>
        <v>Qtr 4</v>
      </c>
      <c r="F706" s="5" t="s">
        <v>738</v>
      </c>
      <c r="G706" s="1" t="s">
        <v>49</v>
      </c>
      <c r="H706" s="1" t="s">
        <v>1854</v>
      </c>
      <c r="I706" s="1" t="s">
        <v>1855</v>
      </c>
      <c r="J706" s="1" t="str">
        <f ca="1">IFERROR(__xludf.DUMMYFUNCTION("split(I706,"" "")"),"Brad")</f>
        <v>Brad</v>
      </c>
      <c r="K706" s="1" t="str">
        <f ca="1">IFERROR(__xludf.DUMMYFUNCTION("""COMPUTED_VALUE"""),"Norvell")</f>
        <v>Norvell</v>
      </c>
      <c r="L706" s="1"/>
      <c r="M706" s="1" t="s">
        <v>41</v>
      </c>
      <c r="N706" s="1" t="s">
        <v>30</v>
      </c>
      <c r="O706" s="1" t="s">
        <v>1856</v>
      </c>
      <c r="P706" s="1" t="str">
        <f t="shared" si="522"/>
        <v>Cary</v>
      </c>
      <c r="Q706" s="1" t="s">
        <v>75</v>
      </c>
      <c r="R706" s="1" t="str">
        <f t="shared" si="523"/>
        <v>North Carolina</v>
      </c>
      <c r="S706" s="1">
        <v>27511</v>
      </c>
      <c r="T706" s="1" t="s">
        <v>33</v>
      </c>
      <c r="U706" s="1" t="s">
        <v>1857</v>
      </c>
      <c r="V706" s="1" t="s">
        <v>46</v>
      </c>
      <c r="W706" s="7">
        <v>10.368</v>
      </c>
      <c r="X706" s="1">
        <v>2</v>
      </c>
      <c r="Y706" s="7">
        <v>10.130000000000001</v>
      </c>
      <c r="Z706" s="7">
        <f t="shared" ref="Z706:AA706" si="719">W706*X706</f>
        <v>20.736000000000001</v>
      </c>
      <c r="AA706" s="7">
        <f t="shared" si="719"/>
        <v>20.260000000000002</v>
      </c>
      <c r="AB706" s="7">
        <f t="shared" si="525"/>
        <v>0.47599999999999909</v>
      </c>
    </row>
    <row r="707" spans="1:28">
      <c r="A707" s="1">
        <v>706</v>
      </c>
      <c r="B707" s="1" t="s">
        <v>1853</v>
      </c>
      <c r="C707" s="2">
        <v>42347</v>
      </c>
      <c r="D707" s="6" t="str">
        <f t="shared" si="520"/>
        <v>Dec</v>
      </c>
      <c r="E707" s="6" t="str">
        <f t="shared" si="521"/>
        <v>Qtr 4</v>
      </c>
      <c r="F707" s="5" t="s">
        <v>738</v>
      </c>
      <c r="G707" s="1" t="s">
        <v>49</v>
      </c>
      <c r="H707" s="1" t="s">
        <v>1854</v>
      </c>
      <c r="I707" s="1" t="s">
        <v>1855</v>
      </c>
      <c r="J707" s="1" t="str">
        <f ca="1">IFERROR(__xludf.DUMMYFUNCTION("split(I707,"" "")"),"Brad")</f>
        <v>Brad</v>
      </c>
      <c r="K707" s="1" t="str">
        <f ca="1">IFERROR(__xludf.DUMMYFUNCTION("""COMPUTED_VALUE"""),"Norvell")</f>
        <v>Norvell</v>
      </c>
      <c r="L707" s="1"/>
      <c r="M707" s="1" t="s">
        <v>41</v>
      </c>
      <c r="N707" s="1" t="s">
        <v>30</v>
      </c>
      <c r="O707" s="1" t="s">
        <v>1856</v>
      </c>
      <c r="P707" s="1" t="str">
        <f t="shared" si="522"/>
        <v>Cary</v>
      </c>
      <c r="Q707" s="1" t="s">
        <v>75</v>
      </c>
      <c r="R707" s="1" t="str">
        <f t="shared" si="523"/>
        <v>North Carolina</v>
      </c>
      <c r="S707" s="1">
        <v>27511</v>
      </c>
      <c r="T707" s="1" t="s">
        <v>33</v>
      </c>
      <c r="U707" s="1" t="s">
        <v>1858</v>
      </c>
      <c r="V707" s="1" t="s">
        <v>46</v>
      </c>
      <c r="W707" s="7">
        <v>166.84</v>
      </c>
      <c r="X707" s="1">
        <v>2</v>
      </c>
      <c r="Y707" s="7">
        <v>166.37</v>
      </c>
      <c r="Z707" s="7">
        <f t="shared" ref="Z707:AA707" si="720">W707*X707</f>
        <v>333.68</v>
      </c>
      <c r="AA707" s="7">
        <f t="shared" si="720"/>
        <v>332.74</v>
      </c>
      <c r="AB707" s="7">
        <f t="shared" si="525"/>
        <v>0.93999999999999773</v>
      </c>
    </row>
    <row r="708" spans="1:28">
      <c r="A708" s="1">
        <v>707</v>
      </c>
      <c r="B708" s="1" t="s">
        <v>1853</v>
      </c>
      <c r="C708" s="2">
        <v>42347</v>
      </c>
      <c r="D708" s="6" t="str">
        <f t="shared" si="520"/>
        <v>Dec</v>
      </c>
      <c r="E708" s="6" t="str">
        <f t="shared" si="521"/>
        <v>Qtr 4</v>
      </c>
      <c r="F708" s="5" t="s">
        <v>738</v>
      </c>
      <c r="G708" s="1" t="s">
        <v>49</v>
      </c>
      <c r="H708" s="1" t="s">
        <v>1854</v>
      </c>
      <c r="I708" s="1" t="s">
        <v>1855</v>
      </c>
      <c r="J708" s="1" t="str">
        <f ca="1">IFERROR(__xludf.DUMMYFUNCTION("split(I708,"" "")"),"Brad")</f>
        <v>Brad</v>
      </c>
      <c r="K708" s="1" t="str">
        <f ca="1">IFERROR(__xludf.DUMMYFUNCTION("""COMPUTED_VALUE"""),"Norvell")</f>
        <v>Norvell</v>
      </c>
      <c r="L708" s="1"/>
      <c r="M708" s="1" t="s">
        <v>41</v>
      </c>
      <c r="N708" s="1" t="s">
        <v>30</v>
      </c>
      <c r="O708" s="1" t="s">
        <v>1856</v>
      </c>
      <c r="P708" s="1" t="str">
        <f t="shared" si="522"/>
        <v>Cary</v>
      </c>
      <c r="Q708" s="1" t="s">
        <v>75</v>
      </c>
      <c r="R708" s="1" t="str">
        <f t="shared" si="523"/>
        <v>North Carolina</v>
      </c>
      <c r="S708" s="1">
        <v>27511</v>
      </c>
      <c r="T708" s="1" t="s">
        <v>33</v>
      </c>
      <c r="U708" s="1" t="s">
        <v>1421</v>
      </c>
      <c r="V708" s="1" t="s">
        <v>64</v>
      </c>
      <c r="W708" s="7">
        <v>15.215999999999999</v>
      </c>
      <c r="X708" s="1">
        <v>2</v>
      </c>
      <c r="Y708" s="7">
        <v>14.91</v>
      </c>
      <c r="Z708" s="7">
        <f t="shared" ref="Z708:AA708" si="721">W708*X708</f>
        <v>30.431999999999999</v>
      </c>
      <c r="AA708" s="7">
        <f t="shared" si="721"/>
        <v>29.82</v>
      </c>
      <c r="AB708" s="7">
        <f t="shared" si="525"/>
        <v>0.61199999999999832</v>
      </c>
    </row>
    <row r="709" spans="1:28">
      <c r="A709" s="1">
        <v>708</v>
      </c>
      <c r="B709" s="1" t="s">
        <v>1859</v>
      </c>
      <c r="C709" s="2">
        <v>42047</v>
      </c>
      <c r="D709" s="6" t="str">
        <f t="shared" si="520"/>
        <v>Feb</v>
      </c>
      <c r="E709" s="6" t="str">
        <f t="shared" si="521"/>
        <v>Qtr 1</v>
      </c>
      <c r="F709" s="5">
        <v>42106</v>
      </c>
      <c r="G709" s="1" t="s">
        <v>162</v>
      </c>
      <c r="H709" s="1" t="s">
        <v>1860</v>
      </c>
      <c r="I709" s="1" t="s">
        <v>1861</v>
      </c>
      <c r="J709" s="1" t="str">
        <f ca="1">IFERROR(__xludf.DUMMYFUNCTION("split(I709,"" "")"),"David")</f>
        <v>David</v>
      </c>
      <c r="K709" s="1" t="str">
        <f ca="1">IFERROR(__xludf.DUMMYFUNCTION("""COMPUTED_VALUE"""),"Philippe")</f>
        <v>Philippe</v>
      </c>
      <c r="L709" s="1"/>
      <c r="M709" s="1" t="s">
        <v>29</v>
      </c>
      <c r="N709" s="1" t="s">
        <v>30</v>
      </c>
      <c r="O709" s="1" t="s">
        <v>233</v>
      </c>
      <c r="P709" s="1" t="str">
        <f t="shared" si="522"/>
        <v>New York City</v>
      </c>
      <c r="Q709" s="1" t="s">
        <v>234</v>
      </c>
      <c r="R709" s="1" t="str">
        <f t="shared" si="523"/>
        <v>New York</v>
      </c>
      <c r="S709" s="1">
        <v>10035</v>
      </c>
      <c r="T709" s="1" t="s">
        <v>128</v>
      </c>
      <c r="U709" s="1" t="s">
        <v>838</v>
      </c>
      <c r="V709" s="1" t="s">
        <v>64</v>
      </c>
      <c r="W709" s="7">
        <v>119.96</v>
      </c>
      <c r="X709" s="1">
        <v>1</v>
      </c>
      <c r="Y709" s="7">
        <v>119.88</v>
      </c>
      <c r="Z709" s="7">
        <f t="shared" ref="Z709:AA709" si="722">W709*X709</f>
        <v>119.96</v>
      </c>
      <c r="AA709" s="7">
        <f t="shared" si="722"/>
        <v>119.88</v>
      </c>
      <c r="AB709" s="7">
        <f t="shared" si="525"/>
        <v>7.9999999999998295E-2</v>
      </c>
    </row>
    <row r="710" spans="1:28">
      <c r="A710" s="1">
        <v>709</v>
      </c>
      <c r="B710" s="1" t="s">
        <v>1859</v>
      </c>
      <c r="C710" s="2">
        <v>42047</v>
      </c>
      <c r="D710" s="6" t="str">
        <f t="shared" si="520"/>
        <v>Feb</v>
      </c>
      <c r="E710" s="6" t="str">
        <f t="shared" si="521"/>
        <v>Qtr 1</v>
      </c>
      <c r="F710" s="5">
        <v>42106</v>
      </c>
      <c r="G710" s="1" t="s">
        <v>162</v>
      </c>
      <c r="H710" s="1" t="s">
        <v>1860</v>
      </c>
      <c r="I710" s="1" t="s">
        <v>1861</v>
      </c>
      <c r="J710" s="1" t="str">
        <f ca="1">IFERROR(__xludf.DUMMYFUNCTION("split(I710,"" "")"),"David")</f>
        <v>David</v>
      </c>
      <c r="K710" s="1" t="str">
        <f ca="1">IFERROR(__xludf.DUMMYFUNCTION("""COMPUTED_VALUE"""),"Philippe")</f>
        <v>Philippe</v>
      </c>
      <c r="L710" s="1"/>
      <c r="M710" s="1" t="s">
        <v>29</v>
      </c>
      <c r="N710" s="1" t="s">
        <v>30</v>
      </c>
      <c r="O710" s="1" t="s">
        <v>233</v>
      </c>
      <c r="P710" s="1" t="str">
        <f t="shared" si="522"/>
        <v>New York City</v>
      </c>
      <c r="Q710" s="1" t="s">
        <v>234</v>
      </c>
      <c r="R710" s="1" t="str">
        <f t="shared" si="523"/>
        <v>New York</v>
      </c>
      <c r="S710" s="1">
        <v>10035</v>
      </c>
      <c r="T710" s="1" t="s">
        <v>128</v>
      </c>
      <c r="U710" s="1" t="s">
        <v>1862</v>
      </c>
      <c r="V710" s="1" t="s">
        <v>35</v>
      </c>
      <c r="W710" s="7">
        <v>883.92</v>
      </c>
      <c r="X710" s="1">
        <v>1</v>
      </c>
      <c r="Y710" s="7">
        <v>883.73</v>
      </c>
      <c r="Z710" s="7">
        <f t="shared" ref="Z710:AA710" si="723">W710*X710</f>
        <v>883.92</v>
      </c>
      <c r="AA710" s="7">
        <f t="shared" si="723"/>
        <v>883.73</v>
      </c>
      <c r="AB710" s="7">
        <f t="shared" si="525"/>
        <v>0.18999999999994088</v>
      </c>
    </row>
    <row r="711" spans="1:28">
      <c r="A711" s="1">
        <v>710</v>
      </c>
      <c r="B711" s="1" t="s">
        <v>1859</v>
      </c>
      <c r="C711" s="2">
        <v>42047</v>
      </c>
      <c r="D711" s="6" t="str">
        <f t="shared" si="520"/>
        <v>Feb</v>
      </c>
      <c r="E711" s="6" t="str">
        <f t="shared" si="521"/>
        <v>Qtr 1</v>
      </c>
      <c r="F711" s="5">
        <v>42106</v>
      </c>
      <c r="G711" s="1" t="s">
        <v>162</v>
      </c>
      <c r="H711" s="1" t="s">
        <v>1860</v>
      </c>
      <c r="I711" s="1" t="s">
        <v>1861</v>
      </c>
      <c r="J711" s="1" t="str">
        <f ca="1">IFERROR(__xludf.DUMMYFUNCTION("split(I711,"" "")"),"David")</f>
        <v>David</v>
      </c>
      <c r="K711" s="1" t="str">
        <f ca="1">IFERROR(__xludf.DUMMYFUNCTION("""COMPUTED_VALUE"""),"Philippe")</f>
        <v>Philippe</v>
      </c>
      <c r="L711" s="1"/>
      <c r="M711" s="1" t="s">
        <v>29</v>
      </c>
      <c r="N711" s="1" t="s">
        <v>30</v>
      </c>
      <c r="O711" s="1" t="s">
        <v>233</v>
      </c>
      <c r="P711" s="1" t="str">
        <f t="shared" si="522"/>
        <v>New York City</v>
      </c>
      <c r="Q711" s="1" t="s">
        <v>234</v>
      </c>
      <c r="R711" s="1" t="str">
        <f t="shared" si="523"/>
        <v>New York</v>
      </c>
      <c r="S711" s="1">
        <v>10035</v>
      </c>
      <c r="T711" s="1" t="s">
        <v>128</v>
      </c>
      <c r="U711" s="1" t="s">
        <v>1117</v>
      </c>
      <c r="V711" s="1" t="s">
        <v>46</v>
      </c>
      <c r="W711" s="7">
        <v>46.72</v>
      </c>
      <c r="X711" s="1">
        <v>1</v>
      </c>
      <c r="Y711" s="7">
        <v>46.15</v>
      </c>
      <c r="Z711" s="7">
        <f t="shared" ref="Z711:AA711" si="724">W711*X711</f>
        <v>46.72</v>
      </c>
      <c r="AA711" s="7">
        <f t="shared" si="724"/>
        <v>46.15</v>
      </c>
      <c r="AB711" s="7">
        <f t="shared" si="525"/>
        <v>0.57000000000000028</v>
      </c>
    </row>
    <row r="712" spans="1:28">
      <c r="A712" s="1">
        <v>711</v>
      </c>
      <c r="B712" s="1" t="s">
        <v>1863</v>
      </c>
      <c r="C712" s="2">
        <v>42128</v>
      </c>
      <c r="D712" s="6" t="str">
        <f t="shared" si="520"/>
        <v>May</v>
      </c>
      <c r="E712" s="6" t="str">
        <f t="shared" si="521"/>
        <v>Qtr 2</v>
      </c>
      <c r="F712" s="5">
        <v>42189</v>
      </c>
      <c r="G712" s="1" t="s">
        <v>162</v>
      </c>
      <c r="H712" s="1" t="s">
        <v>1864</v>
      </c>
      <c r="I712" s="1" t="s">
        <v>1865</v>
      </c>
      <c r="J712" s="1" t="str">
        <f ca="1">IFERROR(__xludf.DUMMYFUNCTION("split(I712,"" "")"),"Tracy")</f>
        <v>Tracy</v>
      </c>
      <c r="K712" s="1" t="str">
        <f ca="1">IFERROR(__xludf.DUMMYFUNCTION("""COMPUTED_VALUE"""),"Hopkins")</f>
        <v>Hopkins</v>
      </c>
      <c r="L712" s="1"/>
      <c r="M712" s="1" t="s">
        <v>87</v>
      </c>
      <c r="N712" s="1" t="s">
        <v>30</v>
      </c>
      <c r="O712" s="1" t="s">
        <v>233</v>
      </c>
      <c r="P712" s="1" t="str">
        <f t="shared" si="522"/>
        <v>New York City</v>
      </c>
      <c r="Q712" s="1" t="s">
        <v>234</v>
      </c>
      <c r="R712" s="1" t="str">
        <f t="shared" si="523"/>
        <v>New York</v>
      </c>
      <c r="S712" s="1">
        <v>10035</v>
      </c>
      <c r="T712" s="1" t="s">
        <v>128</v>
      </c>
      <c r="U712" s="1" t="s">
        <v>1321</v>
      </c>
      <c r="V712" s="1" t="s">
        <v>46</v>
      </c>
      <c r="W712" s="7">
        <v>55.48</v>
      </c>
      <c r="X712" s="1">
        <v>1</v>
      </c>
      <c r="Y712" s="7">
        <v>55.03</v>
      </c>
      <c r="Z712" s="7">
        <f t="shared" ref="Z712:AA712" si="725">W712*X712</f>
        <v>55.48</v>
      </c>
      <c r="AA712" s="7">
        <f t="shared" si="725"/>
        <v>55.03</v>
      </c>
      <c r="AB712" s="7">
        <f t="shared" si="525"/>
        <v>0.44999999999999574</v>
      </c>
    </row>
    <row r="713" spans="1:28">
      <c r="A713" s="1">
        <v>712</v>
      </c>
      <c r="B713" s="1" t="s">
        <v>1866</v>
      </c>
      <c r="C713" s="2">
        <v>43168</v>
      </c>
      <c r="D713" s="6" t="str">
        <f t="shared" si="520"/>
        <v>Mar</v>
      </c>
      <c r="E713" s="6" t="str">
        <f t="shared" si="521"/>
        <v>Qtr 1</v>
      </c>
      <c r="F713" s="5">
        <v>43290</v>
      </c>
      <c r="G713" s="1" t="s">
        <v>49</v>
      </c>
      <c r="H713" s="1" t="s">
        <v>1867</v>
      </c>
      <c r="I713" s="1" t="s">
        <v>1868</v>
      </c>
      <c r="J713" s="1" t="str">
        <f ca="1">IFERROR(__xludf.DUMMYFUNCTION("split(I713,"" "")"),"Arthur")</f>
        <v>Arthur</v>
      </c>
      <c r="K713" s="1" t="str">
        <f ca="1">IFERROR(__xludf.DUMMYFUNCTION("""COMPUTED_VALUE"""),"Prichep")</f>
        <v>Prichep</v>
      </c>
      <c r="L713" s="1"/>
      <c r="M713" s="1" t="s">
        <v>29</v>
      </c>
      <c r="N713" s="1" t="s">
        <v>30</v>
      </c>
      <c r="O713" s="1" t="s">
        <v>1869</v>
      </c>
      <c r="P713" s="1" t="str">
        <f t="shared" si="522"/>
        <v>Palm Coast</v>
      </c>
      <c r="Q713" s="1" t="s">
        <v>194</v>
      </c>
      <c r="R713" s="1" t="str">
        <f t="shared" si="523"/>
        <v>Florida</v>
      </c>
      <c r="S713" s="1">
        <v>32137</v>
      </c>
      <c r="T713" s="1" t="s">
        <v>33</v>
      </c>
      <c r="U713" s="1" t="s">
        <v>1870</v>
      </c>
      <c r="V713" s="1" t="s">
        <v>46</v>
      </c>
      <c r="W713" s="7">
        <v>24.448</v>
      </c>
      <c r="X713" s="1">
        <v>3</v>
      </c>
      <c r="Y713" s="7">
        <v>24.28</v>
      </c>
      <c r="Z713" s="7">
        <f t="shared" ref="Z713:AA713" si="726">W713*X713</f>
        <v>73.343999999999994</v>
      </c>
      <c r="AA713" s="7">
        <f t="shared" si="726"/>
        <v>72.84</v>
      </c>
      <c r="AB713" s="7">
        <f t="shared" si="525"/>
        <v>0.50399999999999068</v>
      </c>
    </row>
    <row r="714" spans="1:28">
      <c r="A714" s="1">
        <v>713</v>
      </c>
      <c r="B714" s="1" t="s">
        <v>1871</v>
      </c>
      <c r="C714" s="2">
        <v>43239</v>
      </c>
      <c r="D714" s="6" t="str">
        <f t="shared" si="520"/>
        <v>May</v>
      </c>
      <c r="E714" s="6" t="str">
        <f t="shared" si="521"/>
        <v>Qtr 2</v>
      </c>
      <c r="F714" s="5" t="s">
        <v>1872</v>
      </c>
      <c r="G714" s="1" t="s">
        <v>49</v>
      </c>
      <c r="H714" s="1" t="s">
        <v>1873</v>
      </c>
      <c r="I714" s="1" t="s">
        <v>1874</v>
      </c>
      <c r="J714" s="1" t="str">
        <f ca="1">IFERROR(__xludf.DUMMYFUNCTION("split(I714,"" "")"),"Roland")</f>
        <v>Roland</v>
      </c>
      <c r="K714" s="1" t="str">
        <f ca="1">IFERROR(__xludf.DUMMYFUNCTION("""COMPUTED_VALUE"""),"Schwarz")</f>
        <v>Schwarz</v>
      </c>
      <c r="L714" s="1"/>
      <c r="M714" s="1" t="s">
        <v>41</v>
      </c>
      <c r="N714" s="1" t="s">
        <v>30</v>
      </c>
      <c r="O714" s="1" t="s">
        <v>1875</v>
      </c>
      <c r="P714" s="1" t="str">
        <f t="shared" si="522"/>
        <v>Mount Vernon</v>
      </c>
      <c r="Q714" s="1" t="s">
        <v>234</v>
      </c>
      <c r="R714" s="1" t="str">
        <f t="shared" si="523"/>
        <v>New York</v>
      </c>
      <c r="S714" s="1">
        <v>10550</v>
      </c>
      <c r="T714" s="1" t="s">
        <v>128</v>
      </c>
      <c r="U714" s="1" t="s">
        <v>1876</v>
      </c>
      <c r="V714" s="1" t="s">
        <v>46</v>
      </c>
      <c r="W714" s="7">
        <v>281.33999999999997</v>
      </c>
      <c r="X714" s="1">
        <v>1</v>
      </c>
      <c r="Y714" s="7">
        <v>280.52</v>
      </c>
      <c r="Z714" s="7">
        <f t="shared" ref="Z714:AA714" si="727">W714*X714</f>
        <v>281.33999999999997</v>
      </c>
      <c r="AA714" s="7">
        <f t="shared" si="727"/>
        <v>280.52</v>
      </c>
      <c r="AB714" s="7">
        <f t="shared" si="525"/>
        <v>0.81999999999999318</v>
      </c>
    </row>
    <row r="715" spans="1:28">
      <c r="A715" s="1">
        <v>714</v>
      </c>
      <c r="B715" s="1" t="s">
        <v>1871</v>
      </c>
      <c r="C715" s="2">
        <v>43239</v>
      </c>
      <c r="D715" s="6" t="str">
        <f t="shared" si="520"/>
        <v>May</v>
      </c>
      <c r="E715" s="6" t="str">
        <f t="shared" si="521"/>
        <v>Qtr 2</v>
      </c>
      <c r="F715" s="5" t="s">
        <v>1872</v>
      </c>
      <c r="G715" s="1" t="s">
        <v>49</v>
      </c>
      <c r="H715" s="1" t="s">
        <v>1873</v>
      </c>
      <c r="I715" s="1" t="s">
        <v>1874</v>
      </c>
      <c r="J715" s="1" t="str">
        <f ca="1">IFERROR(__xludf.DUMMYFUNCTION("split(I715,"" "")"),"Roland")</f>
        <v>Roland</v>
      </c>
      <c r="K715" s="1" t="str">
        <f ca="1">IFERROR(__xludf.DUMMYFUNCTION("""COMPUTED_VALUE"""),"Schwarz")</f>
        <v>Schwarz</v>
      </c>
      <c r="L715" s="1"/>
      <c r="M715" s="1" t="s">
        <v>41</v>
      </c>
      <c r="N715" s="1" t="s">
        <v>30</v>
      </c>
      <c r="O715" s="1" t="s">
        <v>1875</v>
      </c>
      <c r="P715" s="1" t="str">
        <f t="shared" si="522"/>
        <v>Mount Vernon</v>
      </c>
      <c r="Q715" s="1" t="s">
        <v>234</v>
      </c>
      <c r="R715" s="1" t="str">
        <f t="shared" si="523"/>
        <v>New York</v>
      </c>
      <c r="S715" s="1">
        <v>10550</v>
      </c>
      <c r="T715" s="1" t="s">
        <v>128</v>
      </c>
      <c r="U715" s="1" t="s">
        <v>1123</v>
      </c>
      <c r="V715" s="1" t="s">
        <v>64</v>
      </c>
      <c r="W715" s="7">
        <v>307.98</v>
      </c>
      <c r="X715" s="1">
        <v>1</v>
      </c>
      <c r="Y715" s="7">
        <v>307.2</v>
      </c>
      <c r="Z715" s="7">
        <f t="shared" ref="Z715:AA715" si="728">W715*X715</f>
        <v>307.98</v>
      </c>
      <c r="AA715" s="7">
        <f t="shared" si="728"/>
        <v>307.2</v>
      </c>
      <c r="AB715" s="7">
        <f t="shared" si="525"/>
        <v>0.78000000000002956</v>
      </c>
    </row>
    <row r="716" spans="1:28">
      <c r="A716" s="1">
        <v>715</v>
      </c>
      <c r="B716" s="1" t="s">
        <v>1871</v>
      </c>
      <c r="C716" s="2">
        <v>43239</v>
      </c>
      <c r="D716" s="6" t="str">
        <f t="shared" si="520"/>
        <v>May</v>
      </c>
      <c r="E716" s="6" t="str">
        <f t="shared" si="521"/>
        <v>Qtr 2</v>
      </c>
      <c r="F716" s="5" t="s">
        <v>1872</v>
      </c>
      <c r="G716" s="1" t="s">
        <v>49</v>
      </c>
      <c r="H716" s="1" t="s">
        <v>1873</v>
      </c>
      <c r="I716" s="1" t="s">
        <v>1874</v>
      </c>
      <c r="J716" s="1" t="str">
        <f ca="1">IFERROR(__xludf.DUMMYFUNCTION("split(I716,"" "")"),"Roland")</f>
        <v>Roland</v>
      </c>
      <c r="K716" s="1" t="str">
        <f ca="1">IFERROR(__xludf.DUMMYFUNCTION("""COMPUTED_VALUE"""),"Schwarz")</f>
        <v>Schwarz</v>
      </c>
      <c r="L716" s="1"/>
      <c r="M716" s="1" t="s">
        <v>41</v>
      </c>
      <c r="N716" s="1" t="s">
        <v>30</v>
      </c>
      <c r="O716" s="1" t="s">
        <v>1875</v>
      </c>
      <c r="P716" s="1" t="str">
        <f t="shared" si="522"/>
        <v>Mount Vernon</v>
      </c>
      <c r="Q716" s="1" t="s">
        <v>234</v>
      </c>
      <c r="R716" s="1" t="str">
        <f t="shared" si="523"/>
        <v>New York</v>
      </c>
      <c r="S716" s="1">
        <v>10550</v>
      </c>
      <c r="T716" s="1" t="s">
        <v>128</v>
      </c>
      <c r="U716" s="1" t="s">
        <v>1877</v>
      </c>
      <c r="V716" s="1" t="s">
        <v>64</v>
      </c>
      <c r="W716" s="7">
        <v>299.97000000000003</v>
      </c>
      <c r="X716" s="1">
        <v>1</v>
      </c>
      <c r="Y716" s="7">
        <v>299.73</v>
      </c>
      <c r="Z716" s="7">
        <f t="shared" ref="Z716:AA716" si="729">W716*X716</f>
        <v>299.97000000000003</v>
      </c>
      <c r="AA716" s="7">
        <f t="shared" si="729"/>
        <v>299.73</v>
      </c>
      <c r="AB716" s="7">
        <f t="shared" si="525"/>
        <v>0.24000000000000909</v>
      </c>
    </row>
    <row r="717" spans="1:28">
      <c r="A717" s="1">
        <v>716</v>
      </c>
      <c r="B717" s="1" t="s">
        <v>1878</v>
      </c>
      <c r="C717" s="2">
        <v>42011</v>
      </c>
      <c r="D717" s="6" t="str">
        <f t="shared" si="520"/>
        <v>Jan</v>
      </c>
      <c r="E717" s="6" t="str">
        <f t="shared" si="521"/>
        <v>Qtr 1</v>
      </c>
      <c r="F717" s="5">
        <v>42162</v>
      </c>
      <c r="G717" s="1" t="s">
        <v>26</v>
      </c>
      <c r="H717" s="1" t="s">
        <v>797</v>
      </c>
      <c r="I717" s="1" t="s">
        <v>798</v>
      </c>
      <c r="J717" s="1" t="str">
        <f ca="1">IFERROR(__xludf.DUMMYFUNCTION("split(I717,"" "")"),"Dorris")</f>
        <v>Dorris</v>
      </c>
      <c r="K717" s="1" t="str">
        <f ca="1">IFERROR(__xludf.DUMMYFUNCTION("""COMPUTED_VALUE"""),"liebe")</f>
        <v>liebe</v>
      </c>
      <c r="L717" s="1"/>
      <c r="M717" s="1" t="s">
        <v>41</v>
      </c>
      <c r="N717" s="1" t="s">
        <v>30</v>
      </c>
      <c r="O717" s="1" t="s">
        <v>80</v>
      </c>
      <c r="P717" s="1" t="str">
        <f t="shared" si="522"/>
        <v>Seattle</v>
      </c>
      <c r="Q717" s="1" t="s">
        <v>81</v>
      </c>
      <c r="R717" s="1" t="str">
        <f t="shared" si="523"/>
        <v>Washington</v>
      </c>
      <c r="S717" s="1">
        <v>98105</v>
      </c>
      <c r="T717" s="1" t="s">
        <v>44</v>
      </c>
      <c r="U717" s="1" t="s">
        <v>1879</v>
      </c>
      <c r="V717" s="1" t="s">
        <v>46</v>
      </c>
      <c r="W717" s="7">
        <v>19.920000000000002</v>
      </c>
      <c r="X717" s="1">
        <v>9</v>
      </c>
      <c r="Y717" s="7">
        <v>19.36</v>
      </c>
      <c r="Z717" s="7">
        <f t="shared" ref="Z717:AA717" si="730">W717*X717</f>
        <v>179.28000000000003</v>
      </c>
      <c r="AA717" s="7">
        <f t="shared" si="730"/>
        <v>174.24</v>
      </c>
      <c r="AB717" s="7">
        <f t="shared" si="525"/>
        <v>5.0400000000000205</v>
      </c>
    </row>
    <row r="718" spans="1:28">
      <c r="A718" s="1">
        <v>717</v>
      </c>
      <c r="B718" s="1" t="s">
        <v>1880</v>
      </c>
      <c r="C718" s="2">
        <v>42309</v>
      </c>
      <c r="D718" s="6" t="str">
        <f t="shared" si="520"/>
        <v>Nov</v>
      </c>
      <c r="E718" s="6" t="str">
        <f t="shared" si="521"/>
        <v>Qtr 4</v>
      </c>
      <c r="F718" s="5" t="s">
        <v>1881</v>
      </c>
      <c r="G718" s="1" t="s">
        <v>162</v>
      </c>
      <c r="H718" s="1" t="s">
        <v>1882</v>
      </c>
      <c r="I718" s="1" t="s">
        <v>1883</v>
      </c>
      <c r="J718" s="1" t="str">
        <f ca="1">IFERROR(__xludf.DUMMYFUNCTION("split(I718,"" "")"),"Seth")</f>
        <v>Seth</v>
      </c>
      <c r="K718" s="1" t="str">
        <f ca="1">IFERROR(__xludf.DUMMYFUNCTION("""COMPUTED_VALUE"""),"Vernon")</f>
        <v>Vernon</v>
      </c>
      <c r="L718" s="1"/>
      <c r="M718" s="1" t="s">
        <v>29</v>
      </c>
      <c r="N718" s="1" t="s">
        <v>30</v>
      </c>
      <c r="O718" s="1" t="s">
        <v>215</v>
      </c>
      <c r="P718" s="1" t="str">
        <f t="shared" si="522"/>
        <v>Dover</v>
      </c>
      <c r="Q718" s="1" t="s">
        <v>216</v>
      </c>
      <c r="R718" s="1" t="str">
        <f t="shared" si="523"/>
        <v>Delaware</v>
      </c>
      <c r="S718" s="1">
        <v>19901</v>
      </c>
      <c r="T718" s="1" t="s">
        <v>128</v>
      </c>
      <c r="U718" s="1" t="s">
        <v>1667</v>
      </c>
      <c r="V718" s="1" t="s">
        <v>35</v>
      </c>
      <c r="W718" s="7">
        <v>9.94</v>
      </c>
      <c r="X718" s="1">
        <v>1</v>
      </c>
      <c r="Y718" s="7">
        <v>8.98</v>
      </c>
      <c r="Z718" s="7">
        <f t="shared" ref="Z718:AA718" si="731">W718*X718</f>
        <v>9.94</v>
      </c>
      <c r="AA718" s="7">
        <f t="shared" si="731"/>
        <v>8.98</v>
      </c>
      <c r="AB718" s="7">
        <f t="shared" si="525"/>
        <v>0.95999999999999908</v>
      </c>
    </row>
    <row r="719" spans="1:28">
      <c r="A719" s="1">
        <v>718</v>
      </c>
      <c r="B719" s="1" t="s">
        <v>1884</v>
      </c>
      <c r="C719" s="2">
        <v>43367</v>
      </c>
      <c r="D719" s="6" t="str">
        <f t="shared" si="520"/>
        <v>Sep</v>
      </c>
      <c r="E719" s="6" t="str">
        <f t="shared" si="521"/>
        <v>Qtr 3</v>
      </c>
      <c r="F719" s="5" t="s">
        <v>1885</v>
      </c>
      <c r="G719" s="1" t="s">
        <v>49</v>
      </c>
      <c r="H719" s="1" t="s">
        <v>776</v>
      </c>
      <c r="I719" s="1" t="s">
        <v>777</v>
      </c>
      <c r="J719" s="1" t="str">
        <f ca="1">IFERROR(__xludf.DUMMYFUNCTION("split(I719,"" "")"),"Kelly")</f>
        <v>Kelly</v>
      </c>
      <c r="K719" s="1" t="str">
        <f ca="1">IFERROR(__xludf.DUMMYFUNCTION("""COMPUTED_VALUE"""),"Collister")</f>
        <v>Collister</v>
      </c>
      <c r="L719" s="1"/>
      <c r="M719" s="1" t="s">
        <v>29</v>
      </c>
      <c r="N719" s="1" t="s">
        <v>30</v>
      </c>
      <c r="O719" s="1" t="s">
        <v>505</v>
      </c>
      <c r="P719" s="1" t="str">
        <f t="shared" si="522"/>
        <v>Newark</v>
      </c>
      <c r="Q719" s="1" t="s">
        <v>421</v>
      </c>
      <c r="R719" s="1" t="str">
        <f t="shared" si="523"/>
        <v>Ohio</v>
      </c>
      <c r="S719" s="1">
        <v>43055</v>
      </c>
      <c r="T719" s="1" t="s">
        <v>128</v>
      </c>
      <c r="U719" s="1" t="s">
        <v>1886</v>
      </c>
      <c r="V719" s="1" t="s">
        <v>35</v>
      </c>
      <c r="W719" s="7">
        <v>103.056</v>
      </c>
      <c r="X719" s="1">
        <v>4</v>
      </c>
      <c r="Y719" s="7">
        <v>102.11</v>
      </c>
      <c r="Z719" s="7">
        <f t="shared" ref="Z719:AA719" si="732">W719*X719</f>
        <v>412.22399999999999</v>
      </c>
      <c r="AA719" s="7">
        <f t="shared" si="732"/>
        <v>408.44</v>
      </c>
      <c r="AB719" s="7">
        <f t="shared" si="525"/>
        <v>3.7839999999999918</v>
      </c>
    </row>
    <row r="720" spans="1:28">
      <c r="A720" s="1">
        <v>719</v>
      </c>
      <c r="B720" s="1" t="s">
        <v>1887</v>
      </c>
      <c r="C720" s="2">
        <v>42041</v>
      </c>
      <c r="D720" s="6" t="str">
        <f t="shared" si="520"/>
        <v>Feb</v>
      </c>
      <c r="E720" s="6" t="str">
        <f t="shared" si="521"/>
        <v>Qtr 1</v>
      </c>
      <c r="F720" s="5">
        <v>42191</v>
      </c>
      <c r="G720" s="1" t="s">
        <v>49</v>
      </c>
      <c r="H720" s="1" t="s">
        <v>1888</v>
      </c>
      <c r="I720" s="1" t="s">
        <v>1889</v>
      </c>
      <c r="J720" s="1" t="str">
        <f ca="1">IFERROR(__xludf.DUMMYFUNCTION("split(I720,"" "")"),"Christine")</f>
        <v>Christine</v>
      </c>
      <c r="K720" s="1" t="str">
        <f ca="1">IFERROR(__xludf.DUMMYFUNCTION("""COMPUTED_VALUE"""),"Kargatis")</f>
        <v>Kargatis</v>
      </c>
      <c r="L720" s="1"/>
      <c r="M720" s="1" t="s">
        <v>87</v>
      </c>
      <c r="N720" s="1" t="s">
        <v>30</v>
      </c>
      <c r="O720" s="1" t="s">
        <v>134</v>
      </c>
      <c r="P720" s="1" t="str">
        <f t="shared" si="522"/>
        <v>Orem</v>
      </c>
      <c r="Q720" s="1" t="s">
        <v>105</v>
      </c>
      <c r="R720" s="1" t="str">
        <f t="shared" si="523"/>
        <v>Utah</v>
      </c>
      <c r="S720" s="1">
        <v>84057</v>
      </c>
      <c r="T720" s="1" t="s">
        <v>44</v>
      </c>
      <c r="U720" s="1" t="s">
        <v>1401</v>
      </c>
      <c r="V720" s="1" t="s">
        <v>46</v>
      </c>
      <c r="W720" s="7">
        <v>59.808</v>
      </c>
      <c r="X720" s="1">
        <v>8</v>
      </c>
      <c r="Y720" s="7">
        <v>59.78</v>
      </c>
      <c r="Z720" s="7">
        <f t="shared" ref="Z720:AA720" si="733">W720*X720</f>
        <v>478.464</v>
      </c>
      <c r="AA720" s="7">
        <f t="shared" si="733"/>
        <v>478.24</v>
      </c>
      <c r="AB720" s="7">
        <f t="shared" si="525"/>
        <v>0.22399999999998954</v>
      </c>
    </row>
    <row r="721" spans="1:28">
      <c r="A721" s="1">
        <v>720</v>
      </c>
      <c r="B721" s="1" t="s">
        <v>1887</v>
      </c>
      <c r="C721" s="2">
        <v>42041</v>
      </c>
      <c r="D721" s="6" t="str">
        <f t="shared" si="520"/>
        <v>Feb</v>
      </c>
      <c r="E721" s="6" t="str">
        <f t="shared" si="521"/>
        <v>Qtr 1</v>
      </c>
      <c r="F721" s="5">
        <v>42191</v>
      </c>
      <c r="G721" s="1" t="s">
        <v>49</v>
      </c>
      <c r="H721" s="1" t="s">
        <v>1888</v>
      </c>
      <c r="I721" s="1" t="s">
        <v>1889</v>
      </c>
      <c r="J721" s="1" t="str">
        <f ca="1">IFERROR(__xludf.DUMMYFUNCTION("split(I721,"" "")"),"Christine")</f>
        <v>Christine</v>
      </c>
      <c r="K721" s="1" t="str">
        <f ca="1">IFERROR(__xludf.DUMMYFUNCTION("""COMPUTED_VALUE"""),"Kargatis")</f>
        <v>Kargatis</v>
      </c>
      <c r="L721" s="1"/>
      <c r="M721" s="1" t="s">
        <v>87</v>
      </c>
      <c r="N721" s="1" t="s">
        <v>30</v>
      </c>
      <c r="O721" s="1" t="s">
        <v>134</v>
      </c>
      <c r="P721" s="1" t="str">
        <f t="shared" si="522"/>
        <v>Orem</v>
      </c>
      <c r="Q721" s="1" t="s">
        <v>105</v>
      </c>
      <c r="R721" s="1" t="str">
        <f t="shared" si="523"/>
        <v>Utah</v>
      </c>
      <c r="S721" s="1">
        <v>84057</v>
      </c>
      <c r="T721" s="1" t="s">
        <v>44</v>
      </c>
      <c r="U721" s="1" t="s">
        <v>1258</v>
      </c>
      <c r="V721" s="1" t="s">
        <v>35</v>
      </c>
      <c r="W721" s="7">
        <v>73.319999999999993</v>
      </c>
      <c r="X721" s="1">
        <v>8</v>
      </c>
      <c r="Y721" s="7">
        <v>72.319999999999993</v>
      </c>
      <c r="Z721" s="7">
        <f t="shared" ref="Z721:AA721" si="734">W721*X721</f>
        <v>586.55999999999995</v>
      </c>
      <c r="AA721" s="7">
        <f t="shared" si="734"/>
        <v>578.55999999999995</v>
      </c>
      <c r="AB721" s="7">
        <f t="shared" si="525"/>
        <v>8</v>
      </c>
    </row>
    <row r="722" spans="1:28">
      <c r="A722" s="1">
        <v>721</v>
      </c>
      <c r="B722" s="1" t="s">
        <v>1890</v>
      </c>
      <c r="C722" s="2">
        <v>42779</v>
      </c>
      <c r="D722" s="6" t="str">
        <f t="shared" si="520"/>
        <v>Feb</v>
      </c>
      <c r="E722" s="6" t="str">
        <f t="shared" si="521"/>
        <v>Qtr 1</v>
      </c>
      <c r="F722" s="5" t="s">
        <v>1891</v>
      </c>
      <c r="G722" s="1" t="s">
        <v>49</v>
      </c>
      <c r="H722" s="1" t="s">
        <v>1892</v>
      </c>
      <c r="I722" s="1" t="s">
        <v>1893</v>
      </c>
      <c r="J722" s="1" t="str">
        <f ca="1">IFERROR(__xludf.DUMMYFUNCTION("split(I722,"" "")"),"Ross")</f>
        <v>Ross</v>
      </c>
      <c r="K722" s="1" t="str">
        <f ca="1">IFERROR(__xludf.DUMMYFUNCTION("""COMPUTED_VALUE"""),"DeVincentis")</f>
        <v>DeVincentis</v>
      </c>
      <c r="L722" s="1"/>
      <c r="M722" s="1" t="s">
        <v>87</v>
      </c>
      <c r="N722" s="1" t="s">
        <v>30</v>
      </c>
      <c r="O722" s="1" t="s">
        <v>42</v>
      </c>
      <c r="P722" s="1" t="str">
        <f t="shared" si="522"/>
        <v>Los Angeles</v>
      </c>
      <c r="Q722" s="1" t="s">
        <v>68</v>
      </c>
      <c r="R722" s="1" t="str">
        <f t="shared" si="523"/>
        <v>California</v>
      </c>
      <c r="S722" s="1">
        <v>90045</v>
      </c>
      <c r="T722" s="1" t="s">
        <v>44</v>
      </c>
      <c r="U722" s="1" t="s">
        <v>1894</v>
      </c>
      <c r="V722" s="1" t="s">
        <v>46</v>
      </c>
      <c r="W722" s="7">
        <v>146.82</v>
      </c>
      <c r="X722" s="1">
        <v>9</v>
      </c>
      <c r="Y722" s="7">
        <v>146.01</v>
      </c>
      <c r="Z722" s="7">
        <f t="shared" ref="Z722:AA722" si="735">W722*X722</f>
        <v>1321.3799999999999</v>
      </c>
      <c r="AA722" s="7">
        <f t="shared" si="735"/>
        <v>1314.09</v>
      </c>
      <c r="AB722" s="7">
        <f t="shared" si="525"/>
        <v>7.2899999999999636</v>
      </c>
    </row>
    <row r="723" spans="1:28">
      <c r="A723" s="1">
        <v>722</v>
      </c>
      <c r="B723" s="1" t="s">
        <v>1895</v>
      </c>
      <c r="C723" s="2">
        <v>43084</v>
      </c>
      <c r="D723" s="6" t="str">
        <f t="shared" si="520"/>
        <v>Dec</v>
      </c>
      <c r="E723" s="6" t="str">
        <f t="shared" si="521"/>
        <v>Qtr 4</v>
      </c>
      <c r="F723" s="5" t="s">
        <v>1896</v>
      </c>
      <c r="G723" s="1" t="s">
        <v>49</v>
      </c>
      <c r="H723" s="1" t="s">
        <v>1202</v>
      </c>
      <c r="I723" s="1" t="s">
        <v>1203</v>
      </c>
      <c r="J723" s="1" t="str">
        <f ca="1">IFERROR(__xludf.DUMMYFUNCTION("split(I723,"" "")"),"Michael")</f>
        <v>Michael</v>
      </c>
      <c r="K723" s="1" t="str">
        <f ca="1">IFERROR(__xludf.DUMMYFUNCTION("""COMPUTED_VALUE"""),"Paige")</f>
        <v>Paige</v>
      </c>
      <c r="L723" s="1"/>
      <c r="M723" s="1" t="s">
        <v>41</v>
      </c>
      <c r="N723" s="1" t="s">
        <v>30</v>
      </c>
      <c r="O723" s="1" t="s">
        <v>728</v>
      </c>
      <c r="P723" s="1" t="str">
        <f t="shared" si="522"/>
        <v>Detroit</v>
      </c>
      <c r="Q723" s="1" t="s">
        <v>209</v>
      </c>
      <c r="R723" s="1" t="str">
        <f t="shared" si="523"/>
        <v>Michigan</v>
      </c>
      <c r="S723" s="1">
        <v>48205</v>
      </c>
      <c r="T723" s="1" t="s">
        <v>90</v>
      </c>
      <c r="U723" s="1" t="s">
        <v>1897</v>
      </c>
      <c r="V723" s="1" t="s">
        <v>35</v>
      </c>
      <c r="W723" s="7">
        <v>1652.94</v>
      </c>
      <c r="X723" s="1">
        <v>4</v>
      </c>
      <c r="Y723" s="7">
        <v>1652.21</v>
      </c>
      <c r="Z723" s="7">
        <f t="shared" ref="Z723:AA723" si="736">W723*X723</f>
        <v>6611.76</v>
      </c>
      <c r="AA723" s="7">
        <f t="shared" si="736"/>
        <v>6608.84</v>
      </c>
      <c r="AB723" s="7">
        <f t="shared" si="525"/>
        <v>2.9200000000000728</v>
      </c>
    </row>
    <row r="724" spans="1:28">
      <c r="A724" s="1">
        <v>723</v>
      </c>
      <c r="B724" s="1" t="s">
        <v>1895</v>
      </c>
      <c r="C724" s="2">
        <v>43084</v>
      </c>
      <c r="D724" s="6" t="str">
        <f t="shared" si="520"/>
        <v>Dec</v>
      </c>
      <c r="E724" s="6" t="str">
        <f t="shared" si="521"/>
        <v>Qtr 4</v>
      </c>
      <c r="F724" s="5" t="s">
        <v>1896</v>
      </c>
      <c r="G724" s="1" t="s">
        <v>49</v>
      </c>
      <c r="H724" s="1" t="s">
        <v>1202</v>
      </c>
      <c r="I724" s="1" t="s">
        <v>1203</v>
      </c>
      <c r="J724" s="1" t="str">
        <f ca="1">IFERROR(__xludf.DUMMYFUNCTION("split(I724,"" "")"),"Michael")</f>
        <v>Michael</v>
      </c>
      <c r="K724" s="1" t="str">
        <f ca="1">IFERROR(__xludf.DUMMYFUNCTION("""COMPUTED_VALUE"""),"Paige")</f>
        <v>Paige</v>
      </c>
      <c r="L724" s="1"/>
      <c r="M724" s="1" t="s">
        <v>41</v>
      </c>
      <c r="N724" s="1" t="s">
        <v>30</v>
      </c>
      <c r="O724" s="1" t="s">
        <v>728</v>
      </c>
      <c r="P724" s="1" t="str">
        <f t="shared" si="522"/>
        <v>Detroit</v>
      </c>
      <c r="Q724" s="1" t="s">
        <v>209</v>
      </c>
      <c r="R724" s="1" t="str">
        <f t="shared" si="523"/>
        <v>Michigan</v>
      </c>
      <c r="S724" s="1">
        <v>48205</v>
      </c>
      <c r="T724" s="1" t="s">
        <v>90</v>
      </c>
      <c r="U724" s="1" t="s">
        <v>1898</v>
      </c>
      <c r="V724" s="1" t="s">
        <v>46</v>
      </c>
      <c r="W724" s="7">
        <v>296.37</v>
      </c>
      <c r="X724" s="1">
        <v>4</v>
      </c>
      <c r="Y724" s="7">
        <v>296.27</v>
      </c>
      <c r="Z724" s="7">
        <f t="shared" ref="Z724:AA724" si="737">W724*X724</f>
        <v>1185.48</v>
      </c>
      <c r="AA724" s="7">
        <f t="shared" si="737"/>
        <v>1185.08</v>
      </c>
      <c r="AB724" s="7">
        <f t="shared" si="525"/>
        <v>0.40000000000009095</v>
      </c>
    </row>
    <row r="725" spans="1:28">
      <c r="A725" s="1">
        <v>724</v>
      </c>
      <c r="B725" s="1" t="s">
        <v>1899</v>
      </c>
      <c r="C725" s="2">
        <v>42195</v>
      </c>
      <c r="D725" s="6" t="str">
        <f t="shared" si="520"/>
        <v>Jul</v>
      </c>
      <c r="E725" s="6" t="str">
        <f t="shared" si="521"/>
        <v>Qtr 3</v>
      </c>
      <c r="F725" s="5" t="s">
        <v>1900</v>
      </c>
      <c r="G725" s="1" t="s">
        <v>49</v>
      </c>
      <c r="H725" s="1" t="s">
        <v>1901</v>
      </c>
      <c r="I725" s="1" t="s">
        <v>1902</v>
      </c>
      <c r="J725" s="1" t="str">
        <f ca="1">IFERROR(__xludf.DUMMYFUNCTION("split(I725,"" "")"),"Mathew")</f>
        <v>Mathew</v>
      </c>
      <c r="K725" s="1" t="str">
        <f ca="1">IFERROR(__xludf.DUMMYFUNCTION("""COMPUTED_VALUE"""),"Reese")</f>
        <v>Reese</v>
      </c>
      <c r="L725" s="1"/>
      <c r="M725" s="1" t="s">
        <v>87</v>
      </c>
      <c r="N725" s="1" t="s">
        <v>30</v>
      </c>
      <c r="O725" s="1" t="s">
        <v>126</v>
      </c>
      <c r="P725" s="1" t="str">
        <f t="shared" si="522"/>
        <v>Philadelphia</v>
      </c>
      <c r="Q725" s="1" t="s">
        <v>127</v>
      </c>
      <c r="R725" s="1" t="str">
        <f t="shared" si="523"/>
        <v>Pennsylvania</v>
      </c>
      <c r="S725" s="1">
        <v>19140</v>
      </c>
      <c r="T725" s="1" t="s">
        <v>128</v>
      </c>
      <c r="U725" s="1" t="s">
        <v>1903</v>
      </c>
      <c r="V725" s="1" t="s">
        <v>35</v>
      </c>
      <c r="W725" s="7">
        <v>129.91999999999999</v>
      </c>
      <c r="X725" s="1">
        <v>1</v>
      </c>
      <c r="Y725" s="7">
        <v>129.88999999999999</v>
      </c>
      <c r="Z725" s="7">
        <f t="shared" ref="Z725:AA725" si="738">W725*X725</f>
        <v>129.91999999999999</v>
      </c>
      <c r="AA725" s="7">
        <f t="shared" si="738"/>
        <v>129.88999999999999</v>
      </c>
      <c r="AB725" s="7">
        <f t="shared" si="525"/>
        <v>3.0000000000001137E-2</v>
      </c>
    </row>
    <row r="726" spans="1:28">
      <c r="A726" s="1">
        <v>725</v>
      </c>
      <c r="B726" s="1" t="s">
        <v>1904</v>
      </c>
      <c r="C726" s="2">
        <v>42923</v>
      </c>
      <c r="D726" s="6" t="str">
        <f t="shared" si="520"/>
        <v>Jul</v>
      </c>
      <c r="E726" s="6" t="str">
        <f t="shared" si="521"/>
        <v>Qtr 3</v>
      </c>
      <c r="F726" s="5">
        <v>43076</v>
      </c>
      <c r="G726" s="1" t="s">
        <v>49</v>
      </c>
      <c r="H726" s="1" t="s">
        <v>1905</v>
      </c>
      <c r="I726" s="1" t="s">
        <v>1906</v>
      </c>
      <c r="J726" s="1" t="str">
        <f ca="1">IFERROR(__xludf.DUMMYFUNCTION("split(I726,"" "")"),"Steve")</f>
        <v>Steve</v>
      </c>
      <c r="K726" s="1" t="str">
        <f ca="1">IFERROR(__xludf.DUMMYFUNCTION("""COMPUTED_VALUE"""),"Chapman")</f>
        <v>Chapman</v>
      </c>
      <c r="L726" s="1"/>
      <c r="M726" s="1" t="s">
        <v>41</v>
      </c>
      <c r="N726" s="1" t="s">
        <v>30</v>
      </c>
      <c r="O726" s="1" t="s">
        <v>1907</v>
      </c>
      <c r="P726" s="1" t="str">
        <f t="shared" si="522"/>
        <v>Hialeah</v>
      </c>
      <c r="Q726" s="1" t="s">
        <v>194</v>
      </c>
      <c r="R726" s="1" t="str">
        <f t="shared" si="523"/>
        <v>Florida</v>
      </c>
      <c r="S726" s="1">
        <v>33012</v>
      </c>
      <c r="T726" s="1" t="s">
        <v>33</v>
      </c>
      <c r="U726" s="1" t="s">
        <v>1908</v>
      </c>
      <c r="V726" s="1" t="s">
        <v>46</v>
      </c>
      <c r="W726" s="7">
        <v>45.584000000000003</v>
      </c>
      <c r="X726" s="1">
        <v>3</v>
      </c>
      <c r="Y726" s="7">
        <v>45.23</v>
      </c>
      <c r="Z726" s="7">
        <f t="shared" ref="Z726:AA726" si="739">W726*X726</f>
        <v>136.75200000000001</v>
      </c>
      <c r="AA726" s="7">
        <f t="shared" si="739"/>
        <v>135.69</v>
      </c>
      <c r="AB726" s="7">
        <f t="shared" si="525"/>
        <v>1.0620000000000118</v>
      </c>
    </row>
    <row r="727" spans="1:28">
      <c r="A727" s="1">
        <v>726</v>
      </c>
      <c r="B727" s="1" t="s">
        <v>1909</v>
      </c>
      <c r="C727" s="2">
        <v>43359</v>
      </c>
      <c r="D727" s="6" t="str">
        <f t="shared" si="520"/>
        <v>Sep</v>
      </c>
      <c r="E727" s="6" t="str">
        <f t="shared" si="521"/>
        <v>Qtr 3</v>
      </c>
      <c r="F727" s="5" t="s">
        <v>1910</v>
      </c>
      <c r="G727" s="1" t="s">
        <v>49</v>
      </c>
      <c r="H727" s="1" t="s">
        <v>1911</v>
      </c>
      <c r="I727" s="1" t="s">
        <v>1912</v>
      </c>
      <c r="J727" s="1" t="str">
        <f ca="1">IFERROR(__xludf.DUMMYFUNCTION("split(I727,"" "")"),"Jay")</f>
        <v>Jay</v>
      </c>
      <c r="K727" s="1" t="str">
        <f ca="1">IFERROR(__xludf.DUMMYFUNCTION("""COMPUTED_VALUE"""),"Fein")</f>
        <v>Fein</v>
      </c>
      <c r="L727" s="1"/>
      <c r="M727" s="1" t="s">
        <v>29</v>
      </c>
      <c r="N727" s="1" t="s">
        <v>30</v>
      </c>
      <c r="O727" s="1" t="s">
        <v>1005</v>
      </c>
      <c r="P727" s="1" t="str">
        <f t="shared" si="522"/>
        <v>Austin</v>
      </c>
      <c r="Q727" s="1" t="s">
        <v>89</v>
      </c>
      <c r="R727" s="1" t="str">
        <f t="shared" si="523"/>
        <v>Texas</v>
      </c>
      <c r="S727" s="1">
        <v>78745</v>
      </c>
      <c r="T727" s="1" t="s">
        <v>90</v>
      </c>
      <c r="U727" s="1" t="s">
        <v>1913</v>
      </c>
      <c r="V727" s="1" t="s">
        <v>46</v>
      </c>
      <c r="W727" s="7">
        <v>17.568000000000001</v>
      </c>
      <c r="X727" s="1">
        <v>7</v>
      </c>
      <c r="Y727" s="7">
        <v>17.21</v>
      </c>
      <c r="Z727" s="7">
        <f t="shared" ref="Z727:AA727" si="740">W727*X727</f>
        <v>122.97600000000001</v>
      </c>
      <c r="AA727" s="7">
        <f t="shared" si="740"/>
        <v>120.47</v>
      </c>
      <c r="AB727" s="7">
        <f t="shared" si="525"/>
        <v>2.5060000000000144</v>
      </c>
    </row>
    <row r="728" spans="1:28">
      <c r="A728" s="1">
        <v>727</v>
      </c>
      <c r="B728" s="1" t="s">
        <v>1909</v>
      </c>
      <c r="C728" s="2">
        <v>43359</v>
      </c>
      <c r="D728" s="6" t="str">
        <f t="shared" si="520"/>
        <v>Sep</v>
      </c>
      <c r="E728" s="6" t="str">
        <f t="shared" si="521"/>
        <v>Qtr 3</v>
      </c>
      <c r="F728" s="5" t="s">
        <v>1910</v>
      </c>
      <c r="G728" s="1" t="s">
        <v>49</v>
      </c>
      <c r="H728" s="1" t="s">
        <v>1911</v>
      </c>
      <c r="I728" s="1" t="s">
        <v>1912</v>
      </c>
      <c r="J728" s="1" t="str">
        <f ca="1">IFERROR(__xludf.DUMMYFUNCTION("split(I728,"" "")"),"Jay")</f>
        <v>Jay</v>
      </c>
      <c r="K728" s="1" t="str">
        <f ca="1">IFERROR(__xludf.DUMMYFUNCTION("""COMPUTED_VALUE"""),"Fein")</f>
        <v>Fein</v>
      </c>
      <c r="L728" s="1"/>
      <c r="M728" s="1" t="s">
        <v>29</v>
      </c>
      <c r="N728" s="1" t="s">
        <v>30</v>
      </c>
      <c r="O728" s="1" t="s">
        <v>1005</v>
      </c>
      <c r="P728" s="1" t="str">
        <f t="shared" si="522"/>
        <v>Austin</v>
      </c>
      <c r="Q728" s="1" t="s">
        <v>89</v>
      </c>
      <c r="R728" s="1" t="str">
        <f t="shared" si="523"/>
        <v>Texas</v>
      </c>
      <c r="S728" s="1">
        <v>78745</v>
      </c>
      <c r="T728" s="1" t="s">
        <v>90</v>
      </c>
      <c r="U728" s="1" t="s">
        <v>1914</v>
      </c>
      <c r="V728" s="1" t="s">
        <v>64</v>
      </c>
      <c r="W728" s="7">
        <v>55.991999999999997</v>
      </c>
      <c r="X728" s="1">
        <v>7</v>
      </c>
      <c r="Y728" s="7">
        <v>55.22</v>
      </c>
      <c r="Z728" s="7">
        <f t="shared" ref="Z728:AA728" si="741">W728*X728</f>
        <v>391.94399999999996</v>
      </c>
      <c r="AA728" s="7">
        <f t="shared" si="741"/>
        <v>386.53999999999996</v>
      </c>
      <c r="AB728" s="7">
        <f t="shared" si="525"/>
        <v>5.4039999999999964</v>
      </c>
    </row>
    <row r="729" spans="1:28">
      <c r="A729" s="1">
        <v>728</v>
      </c>
      <c r="B729" s="1" t="s">
        <v>1915</v>
      </c>
      <c r="C729" s="2">
        <v>42806</v>
      </c>
      <c r="D729" s="6" t="str">
        <f t="shared" si="520"/>
        <v>Mar</v>
      </c>
      <c r="E729" s="6" t="str">
        <f t="shared" si="521"/>
        <v>Qtr 1</v>
      </c>
      <c r="F729" s="5">
        <v>42898</v>
      </c>
      <c r="G729" s="1" t="s">
        <v>162</v>
      </c>
      <c r="H729" s="1" t="s">
        <v>1916</v>
      </c>
      <c r="I729" s="1" t="s">
        <v>1917</v>
      </c>
      <c r="J729" s="1" t="str">
        <f ca="1">IFERROR(__xludf.DUMMYFUNCTION("split(I729,"" "")"),"Emily")</f>
        <v>Emily</v>
      </c>
      <c r="K729" s="1" t="str">
        <f ca="1">IFERROR(__xludf.DUMMYFUNCTION("""COMPUTED_VALUE"""),"Grady")</f>
        <v>Grady</v>
      </c>
      <c r="L729" s="1"/>
      <c r="M729" s="1" t="s">
        <v>29</v>
      </c>
      <c r="N729" s="1" t="s">
        <v>30</v>
      </c>
      <c r="O729" s="1" t="s">
        <v>1918</v>
      </c>
      <c r="P729" s="1" t="str">
        <f t="shared" si="522"/>
        <v>Oceanside</v>
      </c>
      <c r="Q729" s="1" t="s">
        <v>234</v>
      </c>
      <c r="R729" s="1" t="str">
        <f t="shared" si="523"/>
        <v>New York</v>
      </c>
      <c r="S729" s="1">
        <v>11572</v>
      </c>
      <c r="T729" s="1" t="s">
        <v>128</v>
      </c>
      <c r="U729" s="1" t="s">
        <v>1919</v>
      </c>
      <c r="V729" s="1" t="s">
        <v>46</v>
      </c>
      <c r="W729" s="7">
        <v>182.72</v>
      </c>
      <c r="X729" s="1">
        <v>1</v>
      </c>
      <c r="Y729" s="7">
        <v>182.7</v>
      </c>
      <c r="Z729" s="7">
        <f t="shared" ref="Z729:AA729" si="742">W729*X729</f>
        <v>182.72</v>
      </c>
      <c r="AA729" s="7">
        <f t="shared" si="742"/>
        <v>182.7</v>
      </c>
      <c r="AB729" s="7">
        <f t="shared" si="525"/>
        <v>2.0000000000010232E-2</v>
      </c>
    </row>
    <row r="730" spans="1:28">
      <c r="A730" s="1">
        <v>729</v>
      </c>
      <c r="B730" s="1" t="s">
        <v>1915</v>
      </c>
      <c r="C730" s="2">
        <v>42806</v>
      </c>
      <c r="D730" s="6" t="str">
        <f t="shared" si="520"/>
        <v>Mar</v>
      </c>
      <c r="E730" s="6" t="str">
        <f t="shared" si="521"/>
        <v>Qtr 1</v>
      </c>
      <c r="F730" s="5">
        <v>42898</v>
      </c>
      <c r="G730" s="1" t="s">
        <v>162</v>
      </c>
      <c r="H730" s="1" t="s">
        <v>1916</v>
      </c>
      <c r="I730" s="1" t="s">
        <v>1917</v>
      </c>
      <c r="J730" s="1" t="str">
        <f ca="1">IFERROR(__xludf.DUMMYFUNCTION("split(I730,"" "")"),"Emily")</f>
        <v>Emily</v>
      </c>
      <c r="K730" s="1" t="str">
        <f ca="1">IFERROR(__xludf.DUMMYFUNCTION("""COMPUTED_VALUE"""),"Grady")</f>
        <v>Grady</v>
      </c>
      <c r="L730" s="1"/>
      <c r="M730" s="1" t="s">
        <v>29</v>
      </c>
      <c r="N730" s="1" t="s">
        <v>30</v>
      </c>
      <c r="O730" s="1" t="s">
        <v>1918</v>
      </c>
      <c r="P730" s="1" t="str">
        <f t="shared" si="522"/>
        <v>Oceanside</v>
      </c>
      <c r="Q730" s="1" t="s">
        <v>234</v>
      </c>
      <c r="R730" s="1" t="str">
        <f t="shared" si="523"/>
        <v>New York</v>
      </c>
      <c r="S730" s="1">
        <v>11572</v>
      </c>
      <c r="T730" s="1" t="s">
        <v>128</v>
      </c>
      <c r="U730" s="1" t="s">
        <v>1920</v>
      </c>
      <c r="V730" s="1" t="s">
        <v>35</v>
      </c>
      <c r="W730" s="7">
        <v>400.03199999999998</v>
      </c>
      <c r="X730" s="1">
        <v>1</v>
      </c>
      <c r="Y730" s="7">
        <v>399.48</v>
      </c>
      <c r="Z730" s="7">
        <f t="shared" ref="Z730:AA730" si="743">W730*X730</f>
        <v>400.03199999999998</v>
      </c>
      <c r="AA730" s="7">
        <f t="shared" si="743"/>
        <v>399.48</v>
      </c>
      <c r="AB730" s="7">
        <f t="shared" si="525"/>
        <v>0.55199999999996407</v>
      </c>
    </row>
    <row r="731" spans="1:28">
      <c r="A731" s="1">
        <v>730</v>
      </c>
      <c r="B731" s="1" t="s">
        <v>1915</v>
      </c>
      <c r="C731" s="2">
        <v>42806</v>
      </c>
      <c r="D731" s="6" t="str">
        <f t="shared" si="520"/>
        <v>Mar</v>
      </c>
      <c r="E731" s="6" t="str">
        <f t="shared" si="521"/>
        <v>Qtr 1</v>
      </c>
      <c r="F731" s="5">
        <v>42898</v>
      </c>
      <c r="G731" s="1" t="s">
        <v>162</v>
      </c>
      <c r="H731" s="1" t="s">
        <v>1916</v>
      </c>
      <c r="I731" s="1" t="s">
        <v>1917</v>
      </c>
      <c r="J731" s="1" t="str">
        <f ca="1">IFERROR(__xludf.DUMMYFUNCTION("split(I731,"" "")"),"Emily")</f>
        <v>Emily</v>
      </c>
      <c r="K731" s="1" t="str">
        <f ca="1">IFERROR(__xludf.DUMMYFUNCTION("""COMPUTED_VALUE"""),"Grady")</f>
        <v>Grady</v>
      </c>
      <c r="L731" s="1"/>
      <c r="M731" s="1" t="s">
        <v>29</v>
      </c>
      <c r="N731" s="1" t="s">
        <v>30</v>
      </c>
      <c r="O731" s="1" t="s">
        <v>1918</v>
      </c>
      <c r="P731" s="1" t="str">
        <f t="shared" si="522"/>
        <v>Oceanside</v>
      </c>
      <c r="Q731" s="1" t="s">
        <v>234</v>
      </c>
      <c r="R731" s="1" t="str">
        <f t="shared" si="523"/>
        <v>New York</v>
      </c>
      <c r="S731" s="1">
        <v>11572</v>
      </c>
      <c r="T731" s="1" t="s">
        <v>128</v>
      </c>
      <c r="U731" s="1" t="s">
        <v>1921</v>
      </c>
      <c r="V731" s="1" t="s">
        <v>46</v>
      </c>
      <c r="W731" s="7">
        <v>33.630000000000003</v>
      </c>
      <c r="X731" s="1">
        <v>1</v>
      </c>
      <c r="Y731" s="7">
        <v>33.159999999999997</v>
      </c>
      <c r="Z731" s="7">
        <f t="shared" ref="Z731:AA731" si="744">W731*X731</f>
        <v>33.630000000000003</v>
      </c>
      <c r="AA731" s="7">
        <f t="shared" si="744"/>
        <v>33.159999999999997</v>
      </c>
      <c r="AB731" s="7">
        <f t="shared" si="525"/>
        <v>0.47000000000000597</v>
      </c>
    </row>
    <row r="732" spans="1:28">
      <c r="A732" s="1">
        <v>731</v>
      </c>
      <c r="B732" s="1" t="s">
        <v>1915</v>
      </c>
      <c r="C732" s="2">
        <v>42806</v>
      </c>
      <c r="D732" s="6" t="str">
        <f t="shared" si="520"/>
        <v>Mar</v>
      </c>
      <c r="E732" s="6" t="str">
        <f t="shared" si="521"/>
        <v>Qtr 1</v>
      </c>
      <c r="F732" s="5">
        <v>42898</v>
      </c>
      <c r="G732" s="1" t="s">
        <v>162</v>
      </c>
      <c r="H732" s="1" t="s">
        <v>1916</v>
      </c>
      <c r="I732" s="1" t="s">
        <v>1917</v>
      </c>
      <c r="J732" s="1" t="str">
        <f ca="1">IFERROR(__xludf.DUMMYFUNCTION("split(I732,"" "")"),"Emily")</f>
        <v>Emily</v>
      </c>
      <c r="K732" s="1" t="str">
        <f ca="1">IFERROR(__xludf.DUMMYFUNCTION("""COMPUTED_VALUE"""),"Grady")</f>
        <v>Grady</v>
      </c>
      <c r="L732" s="1"/>
      <c r="M732" s="1" t="s">
        <v>29</v>
      </c>
      <c r="N732" s="1" t="s">
        <v>30</v>
      </c>
      <c r="O732" s="1" t="s">
        <v>1918</v>
      </c>
      <c r="P732" s="1" t="str">
        <f t="shared" si="522"/>
        <v>Oceanside</v>
      </c>
      <c r="Q732" s="1" t="s">
        <v>234</v>
      </c>
      <c r="R732" s="1" t="str">
        <f t="shared" si="523"/>
        <v>New York</v>
      </c>
      <c r="S732" s="1">
        <v>11572</v>
      </c>
      <c r="T732" s="1" t="s">
        <v>128</v>
      </c>
      <c r="U732" s="1" t="s">
        <v>773</v>
      </c>
      <c r="V732" s="1" t="s">
        <v>35</v>
      </c>
      <c r="W732" s="7">
        <v>542.64599999999996</v>
      </c>
      <c r="X732" s="1">
        <v>1</v>
      </c>
      <c r="Y732" s="7">
        <v>542.23</v>
      </c>
      <c r="Z732" s="7">
        <f t="shared" ref="Z732:AA732" si="745">W732*X732</f>
        <v>542.64599999999996</v>
      </c>
      <c r="AA732" s="7">
        <f t="shared" si="745"/>
        <v>542.23</v>
      </c>
      <c r="AB732" s="7">
        <f t="shared" si="525"/>
        <v>0.41599999999993997</v>
      </c>
    </row>
    <row r="733" spans="1:28">
      <c r="A733" s="1">
        <v>732</v>
      </c>
      <c r="B733" s="1" t="s">
        <v>1915</v>
      </c>
      <c r="C733" s="2">
        <v>42806</v>
      </c>
      <c r="D733" s="6" t="str">
        <f t="shared" si="520"/>
        <v>Mar</v>
      </c>
      <c r="E733" s="6" t="str">
        <f t="shared" si="521"/>
        <v>Qtr 1</v>
      </c>
      <c r="F733" s="5">
        <v>42898</v>
      </c>
      <c r="G733" s="1" t="s">
        <v>162</v>
      </c>
      <c r="H733" s="1" t="s">
        <v>1916</v>
      </c>
      <c r="I733" s="1" t="s">
        <v>1917</v>
      </c>
      <c r="J733" s="1" t="str">
        <f ca="1">IFERROR(__xludf.DUMMYFUNCTION("split(I733,"" "")"),"Emily")</f>
        <v>Emily</v>
      </c>
      <c r="K733" s="1" t="str">
        <f ca="1">IFERROR(__xludf.DUMMYFUNCTION("""COMPUTED_VALUE"""),"Grady")</f>
        <v>Grady</v>
      </c>
      <c r="L733" s="1"/>
      <c r="M733" s="1" t="s">
        <v>29</v>
      </c>
      <c r="N733" s="1" t="s">
        <v>30</v>
      </c>
      <c r="O733" s="1" t="s">
        <v>1918</v>
      </c>
      <c r="P733" s="1" t="str">
        <f t="shared" si="522"/>
        <v>Oceanside</v>
      </c>
      <c r="Q733" s="1" t="s">
        <v>234</v>
      </c>
      <c r="R733" s="1" t="str">
        <f t="shared" si="523"/>
        <v>New York</v>
      </c>
      <c r="S733" s="1">
        <v>11572</v>
      </c>
      <c r="T733" s="1" t="s">
        <v>128</v>
      </c>
      <c r="U733" s="1" t="s">
        <v>1263</v>
      </c>
      <c r="V733" s="1" t="s">
        <v>46</v>
      </c>
      <c r="W733" s="7">
        <v>6.3</v>
      </c>
      <c r="X733" s="1">
        <v>1</v>
      </c>
      <c r="Y733" s="7">
        <v>5.34</v>
      </c>
      <c r="Z733" s="7">
        <f t="shared" ref="Z733:AA733" si="746">W733*X733</f>
        <v>6.3</v>
      </c>
      <c r="AA733" s="7">
        <f t="shared" si="746"/>
        <v>5.34</v>
      </c>
      <c r="AB733" s="7">
        <f t="shared" si="525"/>
        <v>0.96</v>
      </c>
    </row>
    <row r="734" spans="1:28">
      <c r="A734" s="1">
        <v>733</v>
      </c>
      <c r="B734" s="1" t="s">
        <v>1922</v>
      </c>
      <c r="C734" s="2">
        <v>43121</v>
      </c>
      <c r="D734" s="6" t="str">
        <f t="shared" si="520"/>
        <v>Jan</v>
      </c>
      <c r="E734" s="6" t="str">
        <f t="shared" si="521"/>
        <v>Qtr 1</v>
      </c>
      <c r="F734" s="5" t="s">
        <v>1445</v>
      </c>
      <c r="G734" s="1" t="s">
        <v>49</v>
      </c>
      <c r="H734" s="1" t="s">
        <v>1923</v>
      </c>
      <c r="I734" s="1" t="s">
        <v>1924</v>
      </c>
      <c r="J734" s="1" t="str">
        <f ca="1">IFERROR(__xludf.DUMMYFUNCTION("split(I734,"" "")"),"Darrin")</f>
        <v>Darrin</v>
      </c>
      <c r="K734" s="1" t="str">
        <f ca="1">IFERROR(__xludf.DUMMYFUNCTION("""COMPUTED_VALUE"""),"Sayre")</f>
        <v>Sayre</v>
      </c>
      <c r="L734" s="1"/>
      <c r="M734" s="1" t="s">
        <v>87</v>
      </c>
      <c r="N734" s="1" t="s">
        <v>30</v>
      </c>
      <c r="O734" s="1" t="s">
        <v>80</v>
      </c>
      <c r="P734" s="1" t="str">
        <f t="shared" si="522"/>
        <v>Seattle</v>
      </c>
      <c r="Q734" s="1" t="s">
        <v>81</v>
      </c>
      <c r="R734" s="1" t="str">
        <f t="shared" si="523"/>
        <v>Washington</v>
      </c>
      <c r="S734" s="1">
        <v>98115</v>
      </c>
      <c r="T734" s="1" t="s">
        <v>44</v>
      </c>
      <c r="U734" s="1" t="s">
        <v>1442</v>
      </c>
      <c r="V734" s="1" t="s">
        <v>46</v>
      </c>
      <c r="W734" s="7">
        <v>242.94</v>
      </c>
      <c r="X734" s="1">
        <v>9</v>
      </c>
      <c r="Y734" s="7">
        <v>242.41</v>
      </c>
      <c r="Z734" s="7">
        <f t="shared" ref="Z734:AA734" si="747">W734*X734</f>
        <v>2186.46</v>
      </c>
      <c r="AA734" s="7">
        <f t="shared" si="747"/>
        <v>2181.69</v>
      </c>
      <c r="AB734" s="7">
        <f t="shared" si="525"/>
        <v>4.7699999999999818</v>
      </c>
    </row>
    <row r="735" spans="1:28">
      <c r="A735" s="1">
        <v>734</v>
      </c>
      <c r="B735" s="1" t="s">
        <v>1922</v>
      </c>
      <c r="C735" s="2">
        <v>43121</v>
      </c>
      <c r="D735" s="6" t="str">
        <f t="shared" si="520"/>
        <v>Jan</v>
      </c>
      <c r="E735" s="6" t="str">
        <f t="shared" si="521"/>
        <v>Qtr 1</v>
      </c>
      <c r="F735" s="5" t="s">
        <v>1445</v>
      </c>
      <c r="G735" s="1" t="s">
        <v>49</v>
      </c>
      <c r="H735" s="1" t="s">
        <v>1923</v>
      </c>
      <c r="I735" s="1" t="s">
        <v>1924</v>
      </c>
      <c r="J735" s="1" t="str">
        <f ca="1">IFERROR(__xludf.DUMMYFUNCTION("split(I735,"" "")"),"Darrin")</f>
        <v>Darrin</v>
      </c>
      <c r="K735" s="1" t="str">
        <f ca="1">IFERROR(__xludf.DUMMYFUNCTION("""COMPUTED_VALUE"""),"Sayre")</f>
        <v>Sayre</v>
      </c>
      <c r="L735" s="1"/>
      <c r="M735" s="1" t="s">
        <v>87</v>
      </c>
      <c r="N735" s="1" t="s">
        <v>30</v>
      </c>
      <c r="O735" s="1" t="s">
        <v>80</v>
      </c>
      <c r="P735" s="1" t="str">
        <f t="shared" si="522"/>
        <v>Seattle</v>
      </c>
      <c r="Q735" s="1" t="s">
        <v>81</v>
      </c>
      <c r="R735" s="1" t="str">
        <f t="shared" si="523"/>
        <v>Washington</v>
      </c>
      <c r="S735" s="1">
        <v>98115</v>
      </c>
      <c r="T735" s="1" t="s">
        <v>44</v>
      </c>
      <c r="U735" s="1" t="s">
        <v>1925</v>
      </c>
      <c r="V735" s="1" t="s">
        <v>64</v>
      </c>
      <c r="W735" s="7">
        <v>179.97</v>
      </c>
      <c r="X735" s="1">
        <v>9</v>
      </c>
      <c r="Y735" s="7">
        <v>179.08</v>
      </c>
      <c r="Z735" s="7">
        <f t="shared" ref="Z735:AA735" si="748">W735*X735</f>
        <v>1619.73</v>
      </c>
      <c r="AA735" s="7">
        <f t="shared" si="748"/>
        <v>1611.72</v>
      </c>
      <c r="AB735" s="7">
        <f t="shared" si="525"/>
        <v>8.0099999999999909</v>
      </c>
    </row>
    <row r="736" spans="1:28">
      <c r="A736" s="1">
        <v>735</v>
      </c>
      <c r="B736" s="1" t="s">
        <v>1922</v>
      </c>
      <c r="C736" s="2">
        <v>43121</v>
      </c>
      <c r="D736" s="6" t="str">
        <f t="shared" si="520"/>
        <v>Jan</v>
      </c>
      <c r="E736" s="6" t="str">
        <f t="shared" si="521"/>
        <v>Qtr 1</v>
      </c>
      <c r="F736" s="5" t="s">
        <v>1445</v>
      </c>
      <c r="G736" s="1" t="s">
        <v>49</v>
      </c>
      <c r="H736" s="1" t="s">
        <v>1923</v>
      </c>
      <c r="I736" s="1" t="s">
        <v>1924</v>
      </c>
      <c r="J736" s="1" t="str">
        <f ca="1">IFERROR(__xludf.DUMMYFUNCTION("split(I736,"" "")"),"Darrin")</f>
        <v>Darrin</v>
      </c>
      <c r="K736" s="1" t="str">
        <f ca="1">IFERROR(__xludf.DUMMYFUNCTION("""COMPUTED_VALUE"""),"Sayre")</f>
        <v>Sayre</v>
      </c>
      <c r="L736" s="1"/>
      <c r="M736" s="1" t="s">
        <v>87</v>
      </c>
      <c r="N736" s="1" t="s">
        <v>30</v>
      </c>
      <c r="O736" s="1" t="s">
        <v>80</v>
      </c>
      <c r="P736" s="1" t="str">
        <f t="shared" si="522"/>
        <v>Seattle</v>
      </c>
      <c r="Q736" s="1" t="s">
        <v>81</v>
      </c>
      <c r="R736" s="1" t="str">
        <f t="shared" si="523"/>
        <v>Washington</v>
      </c>
      <c r="S736" s="1">
        <v>98115</v>
      </c>
      <c r="T736" s="1" t="s">
        <v>44</v>
      </c>
      <c r="U736" s="1" t="s">
        <v>1129</v>
      </c>
      <c r="V736" s="1" t="s">
        <v>46</v>
      </c>
      <c r="W736" s="7">
        <v>99.695999999999998</v>
      </c>
      <c r="X736" s="1">
        <v>9</v>
      </c>
      <c r="Y736" s="7">
        <v>99.66</v>
      </c>
      <c r="Z736" s="7">
        <f t="shared" ref="Z736:AA736" si="749">W736*X736</f>
        <v>897.26400000000001</v>
      </c>
      <c r="AA736" s="7">
        <f t="shared" si="749"/>
        <v>896.93999999999994</v>
      </c>
      <c r="AB736" s="7">
        <f t="shared" si="525"/>
        <v>0.32400000000006912</v>
      </c>
    </row>
    <row r="737" spans="1:28">
      <c r="A737" s="1">
        <v>736</v>
      </c>
      <c r="B737" s="1" t="s">
        <v>1922</v>
      </c>
      <c r="C737" s="2">
        <v>43121</v>
      </c>
      <c r="D737" s="6" t="str">
        <f t="shared" si="520"/>
        <v>Jan</v>
      </c>
      <c r="E737" s="6" t="str">
        <f t="shared" si="521"/>
        <v>Qtr 1</v>
      </c>
      <c r="F737" s="5" t="s">
        <v>1445</v>
      </c>
      <c r="G737" s="1" t="s">
        <v>49</v>
      </c>
      <c r="H737" s="1" t="s">
        <v>1923</v>
      </c>
      <c r="I737" s="1" t="s">
        <v>1924</v>
      </c>
      <c r="J737" s="1" t="str">
        <f ca="1">IFERROR(__xludf.DUMMYFUNCTION("split(I737,"" "")"),"Darrin")</f>
        <v>Darrin</v>
      </c>
      <c r="K737" s="1" t="str">
        <f ca="1">IFERROR(__xludf.DUMMYFUNCTION("""COMPUTED_VALUE"""),"Sayre")</f>
        <v>Sayre</v>
      </c>
      <c r="L737" s="1"/>
      <c r="M737" s="1" t="s">
        <v>87</v>
      </c>
      <c r="N737" s="1" t="s">
        <v>30</v>
      </c>
      <c r="O737" s="1" t="s">
        <v>80</v>
      </c>
      <c r="P737" s="1" t="str">
        <f t="shared" si="522"/>
        <v>Seattle</v>
      </c>
      <c r="Q737" s="1" t="s">
        <v>81</v>
      </c>
      <c r="R737" s="1" t="str">
        <f t="shared" si="523"/>
        <v>Washington</v>
      </c>
      <c r="S737" s="1">
        <v>98115</v>
      </c>
      <c r="T737" s="1" t="s">
        <v>44</v>
      </c>
      <c r="U737" s="1" t="s">
        <v>203</v>
      </c>
      <c r="V737" s="1" t="s">
        <v>46</v>
      </c>
      <c r="W737" s="7">
        <v>27.936</v>
      </c>
      <c r="X737" s="1">
        <v>9</v>
      </c>
      <c r="Y737" s="7">
        <v>27.72</v>
      </c>
      <c r="Z737" s="7">
        <f t="shared" ref="Z737:AA737" si="750">W737*X737</f>
        <v>251.42400000000001</v>
      </c>
      <c r="AA737" s="7">
        <f t="shared" si="750"/>
        <v>249.48</v>
      </c>
      <c r="AB737" s="7">
        <f t="shared" si="525"/>
        <v>1.9440000000000168</v>
      </c>
    </row>
    <row r="738" spans="1:28">
      <c r="A738" s="1">
        <v>737</v>
      </c>
      <c r="B738" s="1" t="s">
        <v>1922</v>
      </c>
      <c r="C738" s="2">
        <v>43121</v>
      </c>
      <c r="D738" s="6" t="str">
        <f t="shared" si="520"/>
        <v>Jan</v>
      </c>
      <c r="E738" s="6" t="str">
        <f t="shared" si="521"/>
        <v>Qtr 1</v>
      </c>
      <c r="F738" s="5" t="s">
        <v>1445</v>
      </c>
      <c r="G738" s="1" t="s">
        <v>49</v>
      </c>
      <c r="H738" s="1" t="s">
        <v>1923</v>
      </c>
      <c r="I738" s="1" t="s">
        <v>1924</v>
      </c>
      <c r="J738" s="1" t="str">
        <f ca="1">IFERROR(__xludf.DUMMYFUNCTION("split(I738,"" "")"),"Darrin")</f>
        <v>Darrin</v>
      </c>
      <c r="K738" s="1" t="str">
        <f ca="1">IFERROR(__xludf.DUMMYFUNCTION("""COMPUTED_VALUE"""),"Sayre")</f>
        <v>Sayre</v>
      </c>
      <c r="L738" s="1"/>
      <c r="M738" s="1" t="s">
        <v>87</v>
      </c>
      <c r="N738" s="1" t="s">
        <v>30</v>
      </c>
      <c r="O738" s="1" t="s">
        <v>80</v>
      </c>
      <c r="P738" s="1" t="str">
        <f t="shared" si="522"/>
        <v>Seattle</v>
      </c>
      <c r="Q738" s="1" t="s">
        <v>81</v>
      </c>
      <c r="R738" s="1" t="str">
        <f t="shared" si="523"/>
        <v>Washington</v>
      </c>
      <c r="S738" s="1">
        <v>98115</v>
      </c>
      <c r="T738" s="1" t="s">
        <v>44</v>
      </c>
      <c r="U738" s="1" t="s">
        <v>1926</v>
      </c>
      <c r="V738" s="1" t="s">
        <v>35</v>
      </c>
      <c r="W738" s="7">
        <v>84.98</v>
      </c>
      <c r="X738" s="1">
        <v>9</v>
      </c>
      <c r="Y738" s="7">
        <v>84.26</v>
      </c>
      <c r="Z738" s="7">
        <f t="shared" ref="Z738:AA738" si="751">W738*X738</f>
        <v>764.82</v>
      </c>
      <c r="AA738" s="7">
        <f t="shared" si="751"/>
        <v>758.34</v>
      </c>
      <c r="AB738" s="7">
        <f t="shared" si="525"/>
        <v>6.4800000000000182</v>
      </c>
    </row>
    <row r="739" spans="1:28">
      <c r="A739" s="1">
        <v>738</v>
      </c>
      <c r="B739" s="1" t="s">
        <v>1922</v>
      </c>
      <c r="C739" s="2">
        <v>43121</v>
      </c>
      <c r="D739" s="6" t="str">
        <f t="shared" si="520"/>
        <v>Jan</v>
      </c>
      <c r="E739" s="6" t="str">
        <f t="shared" si="521"/>
        <v>Qtr 1</v>
      </c>
      <c r="F739" s="5" t="s">
        <v>1445</v>
      </c>
      <c r="G739" s="1" t="s">
        <v>49</v>
      </c>
      <c r="H739" s="1" t="s">
        <v>1923</v>
      </c>
      <c r="I739" s="1" t="s">
        <v>1924</v>
      </c>
      <c r="J739" s="1" t="str">
        <f ca="1">IFERROR(__xludf.DUMMYFUNCTION("split(I739,"" "")"),"Darrin")</f>
        <v>Darrin</v>
      </c>
      <c r="K739" s="1" t="str">
        <f ca="1">IFERROR(__xludf.DUMMYFUNCTION("""COMPUTED_VALUE"""),"Sayre")</f>
        <v>Sayre</v>
      </c>
      <c r="L739" s="1"/>
      <c r="M739" s="1" t="s">
        <v>87</v>
      </c>
      <c r="N739" s="1" t="s">
        <v>30</v>
      </c>
      <c r="O739" s="1" t="s">
        <v>80</v>
      </c>
      <c r="P739" s="1" t="str">
        <f t="shared" si="522"/>
        <v>Seattle</v>
      </c>
      <c r="Q739" s="1" t="s">
        <v>81</v>
      </c>
      <c r="R739" s="1" t="str">
        <f t="shared" si="523"/>
        <v>Washington</v>
      </c>
      <c r="S739" s="1">
        <v>98115</v>
      </c>
      <c r="T739" s="1" t="s">
        <v>44</v>
      </c>
      <c r="U739" s="1" t="s">
        <v>1927</v>
      </c>
      <c r="V739" s="1" t="s">
        <v>46</v>
      </c>
      <c r="W739" s="7">
        <v>18.72</v>
      </c>
      <c r="X739" s="1">
        <v>9</v>
      </c>
      <c r="Y739" s="7">
        <v>17.91</v>
      </c>
      <c r="Z739" s="7">
        <f t="shared" ref="Z739:AA739" si="752">W739*X739</f>
        <v>168.48</v>
      </c>
      <c r="AA739" s="7">
        <f t="shared" si="752"/>
        <v>161.19</v>
      </c>
      <c r="AB739" s="7">
        <f t="shared" si="525"/>
        <v>7.289999999999992</v>
      </c>
    </row>
    <row r="740" spans="1:28">
      <c r="A740" s="1">
        <v>739</v>
      </c>
      <c r="B740" s="1" t="s">
        <v>1928</v>
      </c>
      <c r="C740" s="2">
        <v>42225</v>
      </c>
      <c r="D740" s="6" t="str">
        <f t="shared" si="520"/>
        <v>Aug</v>
      </c>
      <c r="E740" s="6" t="str">
        <f t="shared" si="521"/>
        <v>Qtr 3</v>
      </c>
      <c r="F740" s="5">
        <v>42347</v>
      </c>
      <c r="G740" s="1" t="s">
        <v>49</v>
      </c>
      <c r="H740" s="1" t="s">
        <v>378</v>
      </c>
      <c r="I740" s="1" t="s">
        <v>379</v>
      </c>
      <c r="J740" s="1" t="str">
        <f ca="1">IFERROR(__xludf.DUMMYFUNCTION("split(I740,"" "")"),"Gary")</f>
        <v>Gary</v>
      </c>
      <c r="K740" s="1" t="str">
        <f ca="1">IFERROR(__xludf.DUMMYFUNCTION("""COMPUTED_VALUE"""),"Zandusky")</f>
        <v>Zandusky</v>
      </c>
      <c r="L740" s="1"/>
      <c r="M740" s="1" t="s">
        <v>29</v>
      </c>
      <c r="N740" s="1" t="s">
        <v>30</v>
      </c>
      <c r="O740" s="1" t="s">
        <v>110</v>
      </c>
      <c r="P740" s="1" t="str">
        <f t="shared" si="522"/>
        <v>San Francisco</v>
      </c>
      <c r="Q740" s="1" t="s">
        <v>68</v>
      </c>
      <c r="R740" s="1" t="str">
        <f t="shared" si="523"/>
        <v>California</v>
      </c>
      <c r="S740" s="1">
        <v>94110</v>
      </c>
      <c r="T740" s="1" t="s">
        <v>44</v>
      </c>
      <c r="U740" s="1" t="s">
        <v>1929</v>
      </c>
      <c r="V740" s="1" t="s">
        <v>64</v>
      </c>
      <c r="W740" s="7">
        <v>49.98</v>
      </c>
      <c r="X740" s="1">
        <v>9</v>
      </c>
      <c r="Y740" s="7">
        <v>49.18</v>
      </c>
      <c r="Z740" s="7">
        <f t="shared" ref="Z740:AA740" si="753">W740*X740</f>
        <v>449.82</v>
      </c>
      <c r="AA740" s="7">
        <f t="shared" si="753"/>
        <v>442.62</v>
      </c>
      <c r="AB740" s="7">
        <f t="shared" si="525"/>
        <v>7.1999999999999886</v>
      </c>
    </row>
    <row r="741" spans="1:28">
      <c r="A741" s="1">
        <v>740</v>
      </c>
      <c r="B741" s="1" t="s">
        <v>1930</v>
      </c>
      <c r="C741" s="2">
        <v>42095</v>
      </c>
      <c r="D741" s="6" t="str">
        <f t="shared" si="520"/>
        <v>Apr</v>
      </c>
      <c r="E741" s="6" t="str">
        <f t="shared" si="521"/>
        <v>Qtr 2</v>
      </c>
      <c r="F741" s="5">
        <v>42217</v>
      </c>
      <c r="G741" s="1" t="s">
        <v>49</v>
      </c>
      <c r="H741" s="1" t="s">
        <v>1931</v>
      </c>
      <c r="I741" s="1" t="s">
        <v>1932</v>
      </c>
      <c r="J741" s="1" t="str">
        <f ca="1">IFERROR(__xludf.DUMMYFUNCTION("split(I741,"" "")"),"Phillina")</f>
        <v>Phillina</v>
      </c>
      <c r="K741" s="1" t="str">
        <f ca="1">IFERROR(__xludf.DUMMYFUNCTION("""COMPUTED_VALUE"""),"Ober")</f>
        <v>Ober</v>
      </c>
      <c r="L741" s="1"/>
      <c r="M741" s="1" t="s">
        <v>87</v>
      </c>
      <c r="N741" s="1" t="s">
        <v>30</v>
      </c>
      <c r="O741" s="1" t="s">
        <v>181</v>
      </c>
      <c r="P741" s="1" t="str">
        <f t="shared" si="522"/>
        <v>Naperville</v>
      </c>
      <c r="Q741" s="1" t="s">
        <v>182</v>
      </c>
      <c r="R741" s="1" t="str">
        <f t="shared" si="523"/>
        <v>Illinois</v>
      </c>
      <c r="S741" s="1">
        <v>60540</v>
      </c>
      <c r="T741" s="1" t="s">
        <v>90</v>
      </c>
      <c r="U741" s="1" t="s">
        <v>1933</v>
      </c>
      <c r="V741" s="1" t="s">
        <v>46</v>
      </c>
      <c r="W741" s="7">
        <v>11.784000000000001</v>
      </c>
      <c r="X741" s="1">
        <v>6</v>
      </c>
      <c r="Y741" s="7">
        <v>10.79</v>
      </c>
      <c r="Z741" s="7">
        <f t="shared" ref="Z741:AA741" si="754">W741*X741</f>
        <v>70.704000000000008</v>
      </c>
      <c r="AA741" s="7">
        <f t="shared" si="754"/>
        <v>64.739999999999995</v>
      </c>
      <c r="AB741" s="7">
        <f t="shared" si="525"/>
        <v>5.9640000000000128</v>
      </c>
    </row>
    <row r="742" spans="1:28">
      <c r="A742" s="1">
        <v>741</v>
      </c>
      <c r="B742" s="1" t="s">
        <v>1930</v>
      </c>
      <c r="C742" s="2">
        <v>42095</v>
      </c>
      <c r="D742" s="6" t="str">
        <f t="shared" si="520"/>
        <v>Apr</v>
      </c>
      <c r="E742" s="6" t="str">
        <f t="shared" si="521"/>
        <v>Qtr 2</v>
      </c>
      <c r="F742" s="5">
        <v>42217</v>
      </c>
      <c r="G742" s="1" t="s">
        <v>49</v>
      </c>
      <c r="H742" s="1" t="s">
        <v>1931</v>
      </c>
      <c r="I742" s="1" t="s">
        <v>1932</v>
      </c>
      <c r="J742" s="1" t="str">
        <f ca="1">IFERROR(__xludf.DUMMYFUNCTION("split(I742,"" "")"),"Phillina")</f>
        <v>Phillina</v>
      </c>
      <c r="K742" s="1" t="str">
        <f ca="1">IFERROR(__xludf.DUMMYFUNCTION("""COMPUTED_VALUE"""),"Ober")</f>
        <v>Ober</v>
      </c>
      <c r="L742" s="1"/>
      <c r="M742" s="1" t="s">
        <v>87</v>
      </c>
      <c r="N742" s="1" t="s">
        <v>30</v>
      </c>
      <c r="O742" s="1" t="s">
        <v>181</v>
      </c>
      <c r="P742" s="1" t="str">
        <f t="shared" si="522"/>
        <v>Naperville</v>
      </c>
      <c r="Q742" s="1" t="s">
        <v>182</v>
      </c>
      <c r="R742" s="1" t="str">
        <f t="shared" si="523"/>
        <v>Illinois</v>
      </c>
      <c r="S742" s="1">
        <v>60540</v>
      </c>
      <c r="T742" s="1" t="s">
        <v>90</v>
      </c>
      <c r="U742" s="1" t="s">
        <v>1325</v>
      </c>
      <c r="V742" s="1" t="s">
        <v>46</v>
      </c>
      <c r="W742" s="7">
        <v>272.73599999999999</v>
      </c>
      <c r="X742" s="1">
        <v>6</v>
      </c>
      <c r="Y742" s="7">
        <v>271.79000000000002</v>
      </c>
      <c r="Z742" s="7">
        <f t="shared" ref="Z742:AA742" si="755">W742*X742</f>
        <v>1636.4159999999999</v>
      </c>
      <c r="AA742" s="7">
        <f t="shared" si="755"/>
        <v>1630.7400000000002</v>
      </c>
      <c r="AB742" s="7">
        <f t="shared" si="525"/>
        <v>5.6759999999997035</v>
      </c>
    </row>
    <row r="743" spans="1:28">
      <c r="A743" s="1">
        <v>742</v>
      </c>
      <c r="B743" s="1" t="s">
        <v>1930</v>
      </c>
      <c r="C743" s="2">
        <v>42095</v>
      </c>
      <c r="D743" s="6" t="str">
        <f t="shared" si="520"/>
        <v>Apr</v>
      </c>
      <c r="E743" s="6" t="str">
        <f t="shared" si="521"/>
        <v>Qtr 2</v>
      </c>
      <c r="F743" s="5">
        <v>42217</v>
      </c>
      <c r="G743" s="1" t="s">
        <v>49</v>
      </c>
      <c r="H743" s="1" t="s">
        <v>1931</v>
      </c>
      <c r="I743" s="1" t="s">
        <v>1932</v>
      </c>
      <c r="J743" s="1" t="str">
        <f ca="1">IFERROR(__xludf.DUMMYFUNCTION("split(I743,"" "")"),"Phillina")</f>
        <v>Phillina</v>
      </c>
      <c r="K743" s="1" t="str">
        <f ca="1">IFERROR(__xludf.DUMMYFUNCTION("""COMPUTED_VALUE"""),"Ober")</f>
        <v>Ober</v>
      </c>
      <c r="L743" s="1"/>
      <c r="M743" s="1" t="s">
        <v>87</v>
      </c>
      <c r="N743" s="1" t="s">
        <v>30</v>
      </c>
      <c r="O743" s="1" t="s">
        <v>181</v>
      </c>
      <c r="P743" s="1" t="str">
        <f t="shared" si="522"/>
        <v>Naperville</v>
      </c>
      <c r="Q743" s="1" t="s">
        <v>182</v>
      </c>
      <c r="R743" s="1" t="str">
        <f t="shared" si="523"/>
        <v>Illinois</v>
      </c>
      <c r="S743" s="1">
        <v>60540</v>
      </c>
      <c r="T743" s="1" t="s">
        <v>90</v>
      </c>
      <c r="U743" s="1" t="s">
        <v>1934</v>
      </c>
      <c r="V743" s="1" t="s">
        <v>46</v>
      </c>
      <c r="W743" s="7">
        <v>3.54</v>
      </c>
      <c r="X743" s="1">
        <v>6</v>
      </c>
      <c r="Y743" s="7">
        <v>3.11</v>
      </c>
      <c r="Z743" s="7">
        <f t="shared" ref="Z743:AA743" si="756">W743*X743</f>
        <v>21.240000000000002</v>
      </c>
      <c r="AA743" s="7">
        <f t="shared" si="756"/>
        <v>18.66</v>
      </c>
      <c r="AB743" s="7">
        <f t="shared" si="525"/>
        <v>2.5800000000000018</v>
      </c>
    </row>
    <row r="744" spans="1:28">
      <c r="A744" s="1">
        <v>743</v>
      </c>
      <c r="B744" s="1" t="s">
        <v>1935</v>
      </c>
      <c r="C744" s="2">
        <v>42974</v>
      </c>
      <c r="D744" s="6" t="str">
        <f t="shared" si="520"/>
        <v>Aug</v>
      </c>
      <c r="E744" s="6" t="str">
        <f t="shared" si="521"/>
        <v>Qtr 3</v>
      </c>
      <c r="F744" s="5">
        <v>42744</v>
      </c>
      <c r="G744" s="1" t="s">
        <v>49</v>
      </c>
      <c r="H744" s="1" t="s">
        <v>1936</v>
      </c>
      <c r="I744" s="1" t="s">
        <v>1937</v>
      </c>
      <c r="J744" s="1" t="str">
        <f ca="1">IFERROR(__xludf.DUMMYFUNCTION("split(I744,"" "")"),"Sung")</f>
        <v>Sung</v>
      </c>
      <c r="K744" s="1" t="str">
        <f ca="1">IFERROR(__xludf.DUMMYFUNCTION("""COMPUTED_VALUE"""),"Shariari")</f>
        <v>Shariari</v>
      </c>
      <c r="L744" s="1"/>
      <c r="M744" s="1" t="s">
        <v>29</v>
      </c>
      <c r="N744" s="1" t="s">
        <v>30</v>
      </c>
      <c r="O744" s="1" t="s">
        <v>677</v>
      </c>
      <c r="P744" s="1" t="str">
        <f t="shared" si="522"/>
        <v>Dallas</v>
      </c>
      <c r="Q744" s="1" t="s">
        <v>89</v>
      </c>
      <c r="R744" s="1" t="str">
        <f t="shared" si="523"/>
        <v>Texas</v>
      </c>
      <c r="S744" s="1">
        <v>75220</v>
      </c>
      <c r="T744" s="1" t="s">
        <v>90</v>
      </c>
      <c r="U744" s="1" t="s">
        <v>1595</v>
      </c>
      <c r="V744" s="1" t="s">
        <v>46</v>
      </c>
      <c r="W744" s="7">
        <v>51.52</v>
      </c>
      <c r="X744" s="1">
        <v>7</v>
      </c>
      <c r="Y744" s="7">
        <v>51.13</v>
      </c>
      <c r="Z744" s="7">
        <f t="shared" ref="Z744:AA744" si="757">W744*X744</f>
        <v>360.64000000000004</v>
      </c>
      <c r="AA744" s="7">
        <f t="shared" si="757"/>
        <v>357.91</v>
      </c>
      <c r="AB744" s="7">
        <f t="shared" si="525"/>
        <v>2.7300000000000182</v>
      </c>
    </row>
    <row r="745" spans="1:28">
      <c r="A745" s="1">
        <v>744</v>
      </c>
      <c r="B745" s="1" t="s">
        <v>1935</v>
      </c>
      <c r="C745" s="2">
        <v>42974</v>
      </c>
      <c r="D745" s="6" t="str">
        <f t="shared" si="520"/>
        <v>Aug</v>
      </c>
      <c r="E745" s="6" t="str">
        <f t="shared" si="521"/>
        <v>Qtr 3</v>
      </c>
      <c r="F745" s="5">
        <v>42744</v>
      </c>
      <c r="G745" s="1" t="s">
        <v>49</v>
      </c>
      <c r="H745" s="1" t="s">
        <v>1936</v>
      </c>
      <c r="I745" s="1" t="s">
        <v>1937</v>
      </c>
      <c r="J745" s="1" t="str">
        <f ca="1">IFERROR(__xludf.DUMMYFUNCTION("split(I745,"" "")"),"Sung")</f>
        <v>Sung</v>
      </c>
      <c r="K745" s="1" t="str">
        <f ca="1">IFERROR(__xludf.DUMMYFUNCTION("""COMPUTED_VALUE"""),"Shariari")</f>
        <v>Shariari</v>
      </c>
      <c r="L745" s="1"/>
      <c r="M745" s="1" t="s">
        <v>29</v>
      </c>
      <c r="N745" s="1" t="s">
        <v>30</v>
      </c>
      <c r="O745" s="1" t="s">
        <v>677</v>
      </c>
      <c r="P745" s="1" t="str">
        <f t="shared" si="522"/>
        <v>Dallas</v>
      </c>
      <c r="Q745" s="1" t="s">
        <v>89</v>
      </c>
      <c r="R745" s="1" t="str">
        <f t="shared" si="523"/>
        <v>Texas</v>
      </c>
      <c r="S745" s="1">
        <v>75220</v>
      </c>
      <c r="T745" s="1" t="s">
        <v>90</v>
      </c>
      <c r="U745" s="1" t="s">
        <v>845</v>
      </c>
      <c r="V745" s="1" t="s">
        <v>46</v>
      </c>
      <c r="W745" s="7">
        <v>3.528</v>
      </c>
      <c r="X745" s="1">
        <v>7</v>
      </c>
      <c r="Y745" s="7">
        <v>3.36</v>
      </c>
      <c r="Z745" s="7">
        <f t="shared" ref="Z745:AA745" si="758">W745*X745</f>
        <v>24.696000000000002</v>
      </c>
      <c r="AA745" s="7">
        <f t="shared" si="758"/>
        <v>23.52</v>
      </c>
      <c r="AB745" s="7">
        <f t="shared" si="525"/>
        <v>1.1760000000000019</v>
      </c>
    </row>
    <row r="746" spans="1:28">
      <c r="A746" s="1">
        <v>745</v>
      </c>
      <c r="B746" s="1" t="s">
        <v>1935</v>
      </c>
      <c r="C746" s="2">
        <v>42974</v>
      </c>
      <c r="D746" s="6" t="str">
        <f t="shared" si="520"/>
        <v>Aug</v>
      </c>
      <c r="E746" s="6" t="str">
        <f t="shared" si="521"/>
        <v>Qtr 3</v>
      </c>
      <c r="F746" s="5">
        <v>42744</v>
      </c>
      <c r="G746" s="1" t="s">
        <v>49</v>
      </c>
      <c r="H746" s="1" t="s">
        <v>1936</v>
      </c>
      <c r="I746" s="1" t="s">
        <v>1937</v>
      </c>
      <c r="J746" s="1" t="str">
        <f ca="1">IFERROR(__xludf.DUMMYFUNCTION("split(I746,"" "")"),"Sung")</f>
        <v>Sung</v>
      </c>
      <c r="K746" s="1" t="str">
        <f ca="1">IFERROR(__xludf.DUMMYFUNCTION("""COMPUTED_VALUE"""),"Shariari")</f>
        <v>Shariari</v>
      </c>
      <c r="L746" s="1"/>
      <c r="M746" s="1" t="s">
        <v>29</v>
      </c>
      <c r="N746" s="1" t="s">
        <v>30</v>
      </c>
      <c r="O746" s="1" t="s">
        <v>677</v>
      </c>
      <c r="P746" s="1" t="str">
        <f t="shared" si="522"/>
        <v>Dallas</v>
      </c>
      <c r="Q746" s="1" t="s">
        <v>89</v>
      </c>
      <c r="R746" s="1" t="str">
        <f t="shared" si="523"/>
        <v>Texas</v>
      </c>
      <c r="S746" s="1">
        <v>75220</v>
      </c>
      <c r="T746" s="1" t="s">
        <v>90</v>
      </c>
      <c r="U746" s="1" t="s">
        <v>1938</v>
      </c>
      <c r="V746" s="1" t="s">
        <v>46</v>
      </c>
      <c r="W746" s="7">
        <v>4.6239999999999997</v>
      </c>
      <c r="X746" s="1">
        <v>7</v>
      </c>
      <c r="Y746" s="7">
        <v>4</v>
      </c>
      <c r="Z746" s="7">
        <f t="shared" ref="Z746:AA746" si="759">W746*X746</f>
        <v>32.367999999999995</v>
      </c>
      <c r="AA746" s="7">
        <f t="shared" si="759"/>
        <v>28</v>
      </c>
      <c r="AB746" s="7">
        <f t="shared" si="525"/>
        <v>4.367999999999995</v>
      </c>
    </row>
    <row r="747" spans="1:28">
      <c r="A747" s="1">
        <v>746</v>
      </c>
      <c r="B747" s="1" t="s">
        <v>1935</v>
      </c>
      <c r="C747" s="2">
        <v>42974</v>
      </c>
      <c r="D747" s="6" t="str">
        <f t="shared" si="520"/>
        <v>Aug</v>
      </c>
      <c r="E747" s="6" t="str">
        <f t="shared" si="521"/>
        <v>Qtr 3</v>
      </c>
      <c r="F747" s="5">
        <v>42744</v>
      </c>
      <c r="G747" s="1" t="s">
        <v>49</v>
      </c>
      <c r="H747" s="1" t="s">
        <v>1936</v>
      </c>
      <c r="I747" s="1" t="s">
        <v>1937</v>
      </c>
      <c r="J747" s="1" t="str">
        <f ca="1">IFERROR(__xludf.DUMMYFUNCTION("split(I747,"" "")"),"Sung")</f>
        <v>Sung</v>
      </c>
      <c r="K747" s="1" t="str">
        <f ca="1">IFERROR(__xludf.DUMMYFUNCTION("""COMPUTED_VALUE"""),"Shariari")</f>
        <v>Shariari</v>
      </c>
      <c r="L747" s="1"/>
      <c r="M747" s="1" t="s">
        <v>29</v>
      </c>
      <c r="N747" s="1" t="s">
        <v>30</v>
      </c>
      <c r="O747" s="1" t="s">
        <v>677</v>
      </c>
      <c r="P747" s="1" t="str">
        <f t="shared" si="522"/>
        <v>Dallas</v>
      </c>
      <c r="Q747" s="1" t="s">
        <v>89</v>
      </c>
      <c r="R747" s="1" t="str">
        <f t="shared" si="523"/>
        <v>Texas</v>
      </c>
      <c r="S747" s="1">
        <v>75220</v>
      </c>
      <c r="T747" s="1" t="s">
        <v>90</v>
      </c>
      <c r="U747" s="1" t="s">
        <v>1939</v>
      </c>
      <c r="V747" s="1" t="s">
        <v>46</v>
      </c>
      <c r="W747" s="7">
        <v>55.167999999999999</v>
      </c>
      <c r="X747" s="1">
        <v>7</v>
      </c>
      <c r="Y747" s="7">
        <v>54.91</v>
      </c>
      <c r="Z747" s="7">
        <f t="shared" ref="Z747:AA747" si="760">W747*X747</f>
        <v>386.17599999999999</v>
      </c>
      <c r="AA747" s="7">
        <f t="shared" si="760"/>
        <v>384.37</v>
      </c>
      <c r="AB747" s="7">
        <f t="shared" si="525"/>
        <v>1.8059999999999832</v>
      </c>
    </row>
    <row r="748" spans="1:28">
      <c r="A748" s="1">
        <v>747</v>
      </c>
      <c r="B748" s="1" t="s">
        <v>1940</v>
      </c>
      <c r="C748" s="2">
        <v>42151</v>
      </c>
      <c r="D748" s="6" t="str">
        <f t="shared" si="520"/>
        <v>May</v>
      </c>
      <c r="E748" s="6" t="str">
        <f t="shared" si="521"/>
        <v>Qtr 2</v>
      </c>
      <c r="F748" s="5" t="s">
        <v>1642</v>
      </c>
      <c r="G748" s="1" t="s">
        <v>1050</v>
      </c>
      <c r="H748" s="1" t="s">
        <v>1318</v>
      </c>
      <c r="I748" s="1" t="s">
        <v>1319</v>
      </c>
      <c r="J748" s="1" t="str">
        <f ca="1">IFERROR(__xludf.DUMMYFUNCTION("split(I748,"" "")"),"Maya")</f>
        <v>Maya</v>
      </c>
      <c r="K748" s="1" t="str">
        <f ca="1">IFERROR(__xludf.DUMMYFUNCTION("""COMPUTED_VALUE"""),"Herman")</f>
        <v>Herman</v>
      </c>
      <c r="L748" s="1"/>
      <c r="M748" s="1" t="s">
        <v>41</v>
      </c>
      <c r="N748" s="1" t="s">
        <v>30</v>
      </c>
      <c r="O748" s="1" t="s">
        <v>778</v>
      </c>
      <c r="P748" s="1" t="str">
        <f t="shared" si="522"/>
        <v>San Diego</v>
      </c>
      <c r="Q748" s="1" t="s">
        <v>68</v>
      </c>
      <c r="R748" s="1" t="str">
        <f t="shared" si="523"/>
        <v>California</v>
      </c>
      <c r="S748" s="1">
        <v>92105</v>
      </c>
      <c r="T748" s="1" t="s">
        <v>44</v>
      </c>
      <c r="U748" s="1" t="s">
        <v>760</v>
      </c>
      <c r="V748" s="1" t="s">
        <v>35</v>
      </c>
      <c r="W748" s="7">
        <v>567.12</v>
      </c>
      <c r="X748" s="1">
        <v>9</v>
      </c>
      <c r="Y748" s="7">
        <v>566.92999999999995</v>
      </c>
      <c r="Z748" s="7">
        <f t="shared" ref="Z748:AA748" si="761">W748*X748</f>
        <v>5104.08</v>
      </c>
      <c r="AA748" s="7">
        <f t="shared" si="761"/>
        <v>5102.37</v>
      </c>
      <c r="AB748" s="7">
        <f t="shared" si="525"/>
        <v>1.7100000000000364</v>
      </c>
    </row>
    <row r="749" spans="1:28">
      <c r="A749" s="1">
        <v>748</v>
      </c>
      <c r="B749" s="1" t="s">
        <v>1940</v>
      </c>
      <c r="C749" s="2">
        <v>42151</v>
      </c>
      <c r="D749" s="6" t="str">
        <f t="shared" si="520"/>
        <v>May</v>
      </c>
      <c r="E749" s="6" t="str">
        <f t="shared" si="521"/>
        <v>Qtr 2</v>
      </c>
      <c r="F749" s="5" t="s">
        <v>1642</v>
      </c>
      <c r="G749" s="1" t="s">
        <v>1050</v>
      </c>
      <c r="H749" s="1" t="s">
        <v>1318</v>
      </c>
      <c r="I749" s="1" t="s">
        <v>1319</v>
      </c>
      <c r="J749" s="1" t="str">
        <f ca="1">IFERROR(__xludf.DUMMYFUNCTION("split(I749,"" "")"),"Maya")</f>
        <v>Maya</v>
      </c>
      <c r="K749" s="1" t="str">
        <f ca="1">IFERROR(__xludf.DUMMYFUNCTION("""COMPUTED_VALUE"""),"Herman")</f>
        <v>Herman</v>
      </c>
      <c r="L749" s="1"/>
      <c r="M749" s="1" t="s">
        <v>41</v>
      </c>
      <c r="N749" s="1" t="s">
        <v>30</v>
      </c>
      <c r="O749" s="1" t="s">
        <v>778</v>
      </c>
      <c r="P749" s="1" t="str">
        <f t="shared" si="522"/>
        <v>San Diego</v>
      </c>
      <c r="Q749" s="1" t="s">
        <v>68</v>
      </c>
      <c r="R749" s="1" t="str">
        <f t="shared" si="523"/>
        <v>California</v>
      </c>
      <c r="S749" s="1">
        <v>92105</v>
      </c>
      <c r="T749" s="1" t="s">
        <v>44</v>
      </c>
      <c r="U749" s="1" t="s">
        <v>1372</v>
      </c>
      <c r="V749" s="1" t="s">
        <v>46</v>
      </c>
      <c r="W749" s="7">
        <v>359.32</v>
      </c>
      <c r="X749" s="1">
        <v>9</v>
      </c>
      <c r="Y749" s="7">
        <v>358.74</v>
      </c>
      <c r="Z749" s="7">
        <f t="shared" ref="Z749:AA749" si="762">W749*X749</f>
        <v>3233.88</v>
      </c>
      <c r="AA749" s="7">
        <f t="shared" si="762"/>
        <v>3228.66</v>
      </c>
      <c r="AB749" s="7">
        <f t="shared" si="525"/>
        <v>5.2200000000002547</v>
      </c>
    </row>
    <row r="750" spans="1:28">
      <c r="A750" s="1">
        <v>749</v>
      </c>
      <c r="B750" s="1" t="s">
        <v>1941</v>
      </c>
      <c r="C750" s="2">
        <v>42814</v>
      </c>
      <c r="D750" s="6" t="str">
        <f t="shared" si="520"/>
        <v>Mar</v>
      </c>
      <c r="E750" s="6" t="str">
        <f t="shared" si="521"/>
        <v>Qtr 1</v>
      </c>
      <c r="F750" s="5" t="s">
        <v>1942</v>
      </c>
      <c r="G750" s="1" t="s">
        <v>26</v>
      </c>
      <c r="H750" s="1" t="s">
        <v>1943</v>
      </c>
      <c r="I750" s="1" t="s">
        <v>1944</v>
      </c>
      <c r="J750" s="1" t="str">
        <f ca="1">IFERROR(__xludf.DUMMYFUNCTION("split(I750,"" "")"),"Peter")</f>
        <v>Peter</v>
      </c>
      <c r="K750" s="1" t="str">
        <f ca="1">IFERROR(__xludf.DUMMYFUNCTION("""COMPUTED_VALUE"""),"Bühler")</f>
        <v>Bühler</v>
      </c>
      <c r="L750" s="1"/>
      <c r="M750" s="1" t="s">
        <v>29</v>
      </c>
      <c r="N750" s="1" t="s">
        <v>30</v>
      </c>
      <c r="O750" s="1" t="s">
        <v>1945</v>
      </c>
      <c r="P750" s="1" t="str">
        <f t="shared" si="522"/>
        <v>Evanston</v>
      </c>
      <c r="Q750" s="1" t="s">
        <v>182</v>
      </c>
      <c r="R750" s="1" t="str">
        <f t="shared" si="523"/>
        <v>Illinois</v>
      </c>
      <c r="S750" s="1">
        <v>60201</v>
      </c>
      <c r="T750" s="1" t="s">
        <v>90</v>
      </c>
      <c r="U750" s="1" t="s">
        <v>1946</v>
      </c>
      <c r="V750" s="1" t="s">
        <v>64</v>
      </c>
      <c r="W750" s="7">
        <v>11.992000000000001</v>
      </c>
      <c r="X750" s="1">
        <v>6</v>
      </c>
      <c r="Y750" s="7">
        <v>11.93</v>
      </c>
      <c r="Z750" s="7">
        <f t="shared" ref="Z750:AA750" si="763">W750*X750</f>
        <v>71.951999999999998</v>
      </c>
      <c r="AA750" s="7">
        <f t="shared" si="763"/>
        <v>71.58</v>
      </c>
      <c r="AB750" s="7">
        <f t="shared" si="525"/>
        <v>0.37199999999999989</v>
      </c>
    </row>
    <row r="751" spans="1:28">
      <c r="A751" s="1">
        <v>750</v>
      </c>
      <c r="B751" s="1" t="s">
        <v>1947</v>
      </c>
      <c r="C751" s="2">
        <v>43141</v>
      </c>
      <c r="D751" s="6" t="str">
        <f t="shared" si="520"/>
        <v>Feb</v>
      </c>
      <c r="E751" s="6" t="str">
        <f t="shared" si="521"/>
        <v>Qtr 1</v>
      </c>
      <c r="F751" s="5">
        <v>43261</v>
      </c>
      <c r="G751" s="1" t="s">
        <v>49</v>
      </c>
      <c r="H751" s="1" t="s">
        <v>1948</v>
      </c>
      <c r="I751" s="1" t="s">
        <v>1949</v>
      </c>
      <c r="J751" s="1" t="str">
        <f ca="1">IFERROR(__xludf.DUMMYFUNCTION("split(I751,"" "")"),"Roland")</f>
        <v>Roland</v>
      </c>
      <c r="K751" s="1" t="str">
        <f ca="1">IFERROR(__xludf.DUMMYFUNCTION("""COMPUTED_VALUE"""),"Fjeld")</f>
        <v>Fjeld</v>
      </c>
      <c r="L751" s="1"/>
      <c r="M751" s="1" t="s">
        <v>29</v>
      </c>
      <c r="N751" s="1" t="s">
        <v>30</v>
      </c>
      <c r="O751" s="1" t="s">
        <v>1950</v>
      </c>
      <c r="P751" s="1" t="str">
        <f t="shared" si="522"/>
        <v>Trenton</v>
      </c>
      <c r="Q751" s="1" t="s">
        <v>209</v>
      </c>
      <c r="R751" s="1" t="str">
        <f t="shared" si="523"/>
        <v>Michigan</v>
      </c>
      <c r="S751" s="1">
        <v>48183</v>
      </c>
      <c r="T751" s="1" t="s">
        <v>90</v>
      </c>
      <c r="U751" s="1" t="s">
        <v>1951</v>
      </c>
      <c r="V751" s="1" t="s">
        <v>46</v>
      </c>
      <c r="W751" s="7">
        <v>58.05</v>
      </c>
      <c r="X751" s="1">
        <v>4</v>
      </c>
      <c r="Y751" s="7">
        <v>57.83</v>
      </c>
      <c r="Z751" s="7">
        <f t="shared" ref="Z751:AA751" si="764">W751*X751</f>
        <v>232.2</v>
      </c>
      <c r="AA751" s="7">
        <f t="shared" si="764"/>
        <v>231.32</v>
      </c>
      <c r="AB751" s="7">
        <f t="shared" si="525"/>
        <v>0.87999999999999545</v>
      </c>
    </row>
    <row r="752" spans="1:28">
      <c r="A752" s="1">
        <v>751</v>
      </c>
      <c r="B752" s="1" t="s">
        <v>1947</v>
      </c>
      <c r="C752" s="2">
        <v>43141</v>
      </c>
      <c r="D752" s="6" t="str">
        <f t="shared" si="520"/>
        <v>Feb</v>
      </c>
      <c r="E752" s="6" t="str">
        <f t="shared" si="521"/>
        <v>Qtr 1</v>
      </c>
      <c r="F752" s="5">
        <v>43261</v>
      </c>
      <c r="G752" s="1" t="s">
        <v>49</v>
      </c>
      <c r="H752" s="1" t="s">
        <v>1948</v>
      </c>
      <c r="I752" s="1" t="s">
        <v>1949</v>
      </c>
      <c r="J752" s="1" t="str">
        <f ca="1">IFERROR(__xludf.DUMMYFUNCTION("split(I752,"" "")"),"Roland")</f>
        <v>Roland</v>
      </c>
      <c r="K752" s="1" t="str">
        <f ca="1">IFERROR(__xludf.DUMMYFUNCTION("""COMPUTED_VALUE"""),"Fjeld")</f>
        <v>Fjeld</v>
      </c>
      <c r="L752" s="1"/>
      <c r="M752" s="1" t="s">
        <v>29</v>
      </c>
      <c r="N752" s="1" t="s">
        <v>30</v>
      </c>
      <c r="O752" s="1" t="s">
        <v>1950</v>
      </c>
      <c r="P752" s="1" t="str">
        <f t="shared" si="522"/>
        <v>Trenton</v>
      </c>
      <c r="Q752" s="1" t="s">
        <v>209</v>
      </c>
      <c r="R752" s="1" t="str">
        <f t="shared" si="523"/>
        <v>Michigan</v>
      </c>
      <c r="S752" s="1">
        <v>48183</v>
      </c>
      <c r="T752" s="1" t="s">
        <v>90</v>
      </c>
      <c r="U752" s="1" t="s">
        <v>1952</v>
      </c>
      <c r="V752" s="1" t="s">
        <v>35</v>
      </c>
      <c r="W752" s="7">
        <v>157.74</v>
      </c>
      <c r="X752" s="1">
        <v>4</v>
      </c>
      <c r="Y752" s="7">
        <v>157.37</v>
      </c>
      <c r="Z752" s="7">
        <f t="shared" ref="Z752:AA752" si="765">W752*X752</f>
        <v>630.96</v>
      </c>
      <c r="AA752" s="7">
        <f t="shared" si="765"/>
        <v>629.48</v>
      </c>
      <c r="AB752" s="7">
        <f t="shared" si="525"/>
        <v>1.4800000000000182</v>
      </c>
    </row>
    <row r="753" spans="1:28">
      <c r="A753" s="1">
        <v>752</v>
      </c>
      <c r="B753" s="1" t="s">
        <v>1947</v>
      </c>
      <c r="C753" s="2">
        <v>43141</v>
      </c>
      <c r="D753" s="6" t="str">
        <f t="shared" si="520"/>
        <v>Feb</v>
      </c>
      <c r="E753" s="6" t="str">
        <f t="shared" si="521"/>
        <v>Qtr 1</v>
      </c>
      <c r="F753" s="5">
        <v>43261</v>
      </c>
      <c r="G753" s="1" t="s">
        <v>49</v>
      </c>
      <c r="H753" s="1" t="s">
        <v>1948</v>
      </c>
      <c r="I753" s="1" t="s">
        <v>1949</v>
      </c>
      <c r="J753" s="1" t="str">
        <f ca="1">IFERROR(__xludf.DUMMYFUNCTION("split(I753,"" "")"),"Roland")</f>
        <v>Roland</v>
      </c>
      <c r="K753" s="1" t="str">
        <f ca="1">IFERROR(__xludf.DUMMYFUNCTION("""COMPUTED_VALUE"""),"Fjeld")</f>
        <v>Fjeld</v>
      </c>
      <c r="L753" s="1"/>
      <c r="M753" s="1" t="s">
        <v>29</v>
      </c>
      <c r="N753" s="1" t="s">
        <v>30</v>
      </c>
      <c r="O753" s="1" t="s">
        <v>1950</v>
      </c>
      <c r="P753" s="1" t="str">
        <f t="shared" si="522"/>
        <v>Trenton</v>
      </c>
      <c r="Q753" s="1" t="s">
        <v>209</v>
      </c>
      <c r="R753" s="1" t="str">
        <f t="shared" si="523"/>
        <v>Michigan</v>
      </c>
      <c r="S753" s="1">
        <v>48183</v>
      </c>
      <c r="T753" s="1" t="s">
        <v>90</v>
      </c>
      <c r="U753" s="1" t="s">
        <v>1160</v>
      </c>
      <c r="V753" s="1" t="s">
        <v>46</v>
      </c>
      <c r="W753" s="7">
        <v>56.98</v>
      </c>
      <c r="X753" s="1">
        <v>4</v>
      </c>
      <c r="Y753" s="7">
        <v>56.82</v>
      </c>
      <c r="Z753" s="7">
        <f t="shared" ref="Z753:AA753" si="766">W753*X753</f>
        <v>227.92</v>
      </c>
      <c r="AA753" s="7">
        <f t="shared" si="766"/>
        <v>227.28</v>
      </c>
      <c r="AB753" s="7">
        <f t="shared" si="525"/>
        <v>0.63999999999998636</v>
      </c>
    </row>
    <row r="754" spans="1:28">
      <c r="A754" s="1">
        <v>753</v>
      </c>
      <c r="B754" s="1" t="s">
        <v>1947</v>
      </c>
      <c r="C754" s="2">
        <v>43141</v>
      </c>
      <c r="D754" s="6" t="str">
        <f t="shared" si="520"/>
        <v>Feb</v>
      </c>
      <c r="E754" s="6" t="str">
        <f t="shared" si="521"/>
        <v>Qtr 1</v>
      </c>
      <c r="F754" s="5">
        <v>43261</v>
      </c>
      <c r="G754" s="1" t="s">
        <v>49</v>
      </c>
      <c r="H754" s="1" t="s">
        <v>1948</v>
      </c>
      <c r="I754" s="1" t="s">
        <v>1949</v>
      </c>
      <c r="J754" s="1" t="str">
        <f ca="1">IFERROR(__xludf.DUMMYFUNCTION("split(I754,"" "")"),"Roland")</f>
        <v>Roland</v>
      </c>
      <c r="K754" s="1" t="str">
        <f ca="1">IFERROR(__xludf.DUMMYFUNCTION("""COMPUTED_VALUE"""),"Fjeld")</f>
        <v>Fjeld</v>
      </c>
      <c r="L754" s="1"/>
      <c r="M754" s="1" t="s">
        <v>29</v>
      </c>
      <c r="N754" s="1" t="s">
        <v>30</v>
      </c>
      <c r="O754" s="1" t="s">
        <v>1950</v>
      </c>
      <c r="P754" s="1" t="str">
        <f t="shared" si="522"/>
        <v>Trenton</v>
      </c>
      <c r="Q754" s="1" t="s">
        <v>209</v>
      </c>
      <c r="R754" s="1" t="str">
        <f t="shared" si="523"/>
        <v>Michigan</v>
      </c>
      <c r="S754" s="1">
        <v>48183</v>
      </c>
      <c r="T754" s="1" t="s">
        <v>90</v>
      </c>
      <c r="U754" s="1" t="s">
        <v>1953</v>
      </c>
      <c r="V754" s="1" t="s">
        <v>46</v>
      </c>
      <c r="W754" s="7">
        <v>2.88</v>
      </c>
      <c r="X754" s="1">
        <v>4</v>
      </c>
      <c r="Y754" s="7">
        <v>2.5</v>
      </c>
      <c r="Z754" s="7">
        <f t="shared" ref="Z754:AA754" si="767">W754*X754</f>
        <v>11.52</v>
      </c>
      <c r="AA754" s="7">
        <f t="shared" si="767"/>
        <v>10</v>
      </c>
      <c r="AB754" s="7">
        <f t="shared" si="525"/>
        <v>1.5199999999999996</v>
      </c>
    </row>
    <row r="755" spans="1:28">
      <c r="A755" s="1">
        <v>754</v>
      </c>
      <c r="B755" s="1" t="s">
        <v>1954</v>
      </c>
      <c r="C755" s="2">
        <v>42920</v>
      </c>
      <c r="D755" s="6" t="str">
        <f t="shared" si="520"/>
        <v>Jul</v>
      </c>
      <c r="E755" s="6" t="str">
        <f t="shared" si="521"/>
        <v>Qtr 3</v>
      </c>
      <c r="F755" s="5">
        <v>42982</v>
      </c>
      <c r="G755" s="1" t="s">
        <v>162</v>
      </c>
      <c r="H755" s="1" t="s">
        <v>1955</v>
      </c>
      <c r="I755" s="1" t="s">
        <v>1956</v>
      </c>
      <c r="J755" s="1" t="str">
        <f ca="1">IFERROR(__xludf.DUMMYFUNCTION("split(I755,"" "")"),"Yoseph")</f>
        <v>Yoseph</v>
      </c>
      <c r="K755" s="1" t="str">
        <f ca="1">IFERROR(__xludf.DUMMYFUNCTION("""COMPUTED_VALUE"""),"Carroll")</f>
        <v>Carroll</v>
      </c>
      <c r="L755" s="1"/>
      <c r="M755" s="1" t="s">
        <v>41</v>
      </c>
      <c r="N755" s="1" t="s">
        <v>30</v>
      </c>
      <c r="O755" s="1" t="s">
        <v>110</v>
      </c>
      <c r="P755" s="1" t="str">
        <f t="shared" si="522"/>
        <v>San Francisco</v>
      </c>
      <c r="Q755" s="1" t="s">
        <v>68</v>
      </c>
      <c r="R755" s="1" t="str">
        <f t="shared" si="523"/>
        <v>California</v>
      </c>
      <c r="S755" s="1">
        <v>94110</v>
      </c>
      <c r="T755" s="1" t="s">
        <v>44</v>
      </c>
      <c r="U755" s="1" t="s">
        <v>1957</v>
      </c>
      <c r="V755" s="1" t="s">
        <v>64</v>
      </c>
      <c r="W755" s="7">
        <v>1199.9760000000001</v>
      </c>
      <c r="X755" s="1">
        <v>9</v>
      </c>
      <c r="Y755" s="7">
        <v>1199.7</v>
      </c>
      <c r="Z755" s="7">
        <f t="shared" ref="Z755:AA755" si="768">W755*X755</f>
        <v>10799.784000000001</v>
      </c>
      <c r="AA755" s="7">
        <f t="shared" si="768"/>
        <v>10797.300000000001</v>
      </c>
      <c r="AB755" s="7">
        <f t="shared" si="525"/>
        <v>2.4840000000003783</v>
      </c>
    </row>
    <row r="756" spans="1:28">
      <c r="A756" s="1">
        <v>755</v>
      </c>
      <c r="B756" s="1" t="s">
        <v>1958</v>
      </c>
      <c r="C756" s="2">
        <v>42563</v>
      </c>
      <c r="D756" s="6" t="str">
        <f t="shared" si="520"/>
        <v>Jul</v>
      </c>
      <c r="E756" s="6" t="str">
        <f t="shared" si="521"/>
        <v>Qtr 3</v>
      </c>
      <c r="F756" s="5">
        <v>42716</v>
      </c>
      <c r="G756" s="1" t="s">
        <v>49</v>
      </c>
      <c r="H756" s="1" t="s">
        <v>1615</v>
      </c>
      <c r="I756" s="1" t="s">
        <v>1616</v>
      </c>
      <c r="J756" s="1" t="str">
        <f ca="1">IFERROR(__xludf.DUMMYFUNCTION("split(I756,"" "")"),"Melanie")</f>
        <v>Melanie</v>
      </c>
      <c r="K756" s="1" t="str">
        <f ca="1">IFERROR(__xludf.DUMMYFUNCTION("""COMPUTED_VALUE"""),"Seite")</f>
        <v>Seite</v>
      </c>
      <c r="L756" s="1"/>
      <c r="M756" s="1" t="s">
        <v>29</v>
      </c>
      <c r="N756" s="1" t="s">
        <v>30</v>
      </c>
      <c r="O756" s="1" t="s">
        <v>42</v>
      </c>
      <c r="P756" s="1" t="str">
        <f t="shared" si="522"/>
        <v>Los Angeles</v>
      </c>
      <c r="Q756" s="1" t="s">
        <v>68</v>
      </c>
      <c r="R756" s="1" t="str">
        <f t="shared" si="523"/>
        <v>California</v>
      </c>
      <c r="S756" s="1">
        <v>90036</v>
      </c>
      <c r="T756" s="1" t="s">
        <v>44</v>
      </c>
      <c r="U756" s="1" t="s">
        <v>1787</v>
      </c>
      <c r="V756" s="1" t="s">
        <v>35</v>
      </c>
      <c r="W756" s="7">
        <v>79.92</v>
      </c>
      <c r="X756" s="1">
        <v>9</v>
      </c>
      <c r="Y756" s="7">
        <v>79.91</v>
      </c>
      <c r="Z756" s="7">
        <f t="shared" ref="Z756:AA756" si="769">W756*X756</f>
        <v>719.28</v>
      </c>
      <c r="AA756" s="7">
        <f t="shared" si="769"/>
        <v>719.18999999999994</v>
      </c>
      <c r="AB756" s="7">
        <f t="shared" si="525"/>
        <v>9.0000000000031832E-2</v>
      </c>
    </row>
    <row r="757" spans="1:28">
      <c r="A757" s="1">
        <v>756</v>
      </c>
      <c r="B757" s="1" t="s">
        <v>1959</v>
      </c>
      <c r="C757" s="2">
        <v>42996</v>
      </c>
      <c r="D757" s="6" t="str">
        <f t="shared" si="520"/>
        <v>Sep</v>
      </c>
      <c r="E757" s="6" t="str">
        <f t="shared" si="521"/>
        <v>Qtr 3</v>
      </c>
      <c r="F757" s="5" t="s">
        <v>339</v>
      </c>
      <c r="G757" s="1" t="s">
        <v>49</v>
      </c>
      <c r="H757" s="1" t="s">
        <v>1648</v>
      </c>
      <c r="I757" s="1" t="s">
        <v>1649</v>
      </c>
      <c r="J757" s="1" t="str">
        <f ca="1">IFERROR(__xludf.DUMMYFUNCTION("split(I757,"" "")"),"Nona")</f>
        <v>Nona</v>
      </c>
      <c r="K757" s="1" t="str">
        <f ca="1">IFERROR(__xludf.DUMMYFUNCTION("""COMPUTED_VALUE"""),"Balk")</f>
        <v>Balk</v>
      </c>
      <c r="L757" s="1"/>
      <c r="M757" s="1" t="s">
        <v>41</v>
      </c>
      <c r="N757" s="1" t="s">
        <v>30</v>
      </c>
      <c r="O757" s="1" t="s">
        <v>1241</v>
      </c>
      <c r="P757" s="1" t="str">
        <f t="shared" si="522"/>
        <v>Jacksonville</v>
      </c>
      <c r="Q757" s="1" t="s">
        <v>194</v>
      </c>
      <c r="R757" s="1" t="str">
        <f t="shared" si="523"/>
        <v>Florida</v>
      </c>
      <c r="S757" s="1">
        <v>32216</v>
      </c>
      <c r="T757" s="1" t="s">
        <v>33</v>
      </c>
      <c r="U757" s="1" t="s">
        <v>1960</v>
      </c>
      <c r="V757" s="1" t="s">
        <v>35</v>
      </c>
      <c r="W757" s="7">
        <v>383.43799999999999</v>
      </c>
      <c r="X757" s="1">
        <v>3</v>
      </c>
      <c r="Y757" s="7">
        <v>382.77</v>
      </c>
      <c r="Z757" s="7">
        <f t="shared" ref="Z757:AA757" si="770">W757*X757</f>
        <v>1150.3139999999999</v>
      </c>
      <c r="AA757" s="7">
        <f t="shared" si="770"/>
        <v>1148.31</v>
      </c>
      <c r="AB757" s="7">
        <f t="shared" si="525"/>
        <v>2.0039999999999054</v>
      </c>
    </row>
    <row r="758" spans="1:28">
      <c r="A758" s="1">
        <v>757</v>
      </c>
      <c r="B758" s="1" t="s">
        <v>1961</v>
      </c>
      <c r="C758" s="2">
        <v>42367</v>
      </c>
      <c r="D758" s="6" t="str">
        <f t="shared" si="520"/>
        <v>Dec</v>
      </c>
      <c r="E758" s="6" t="str">
        <f t="shared" si="521"/>
        <v>Qtr 4</v>
      </c>
      <c r="F758" s="5">
        <v>42401</v>
      </c>
      <c r="G758" s="1" t="s">
        <v>49</v>
      </c>
      <c r="H758" s="1" t="s">
        <v>1962</v>
      </c>
      <c r="I758" s="1" t="s">
        <v>1963</v>
      </c>
      <c r="J758" s="1" t="str">
        <f ca="1">IFERROR(__xludf.DUMMYFUNCTION("split(I758,"" "")"),"Debra")</f>
        <v>Debra</v>
      </c>
      <c r="K758" s="1" t="str">
        <f ca="1">IFERROR(__xludf.DUMMYFUNCTION("""COMPUTED_VALUE"""),"Catini")</f>
        <v>Catini</v>
      </c>
      <c r="L758" s="1"/>
      <c r="M758" s="1" t="s">
        <v>29</v>
      </c>
      <c r="N758" s="1" t="s">
        <v>30</v>
      </c>
      <c r="O758" s="1" t="s">
        <v>1964</v>
      </c>
      <c r="P758" s="1" t="str">
        <f t="shared" si="522"/>
        <v>Cottage Grove</v>
      </c>
      <c r="Q758" s="1" t="s">
        <v>201</v>
      </c>
      <c r="R758" s="1" t="str">
        <f t="shared" si="523"/>
        <v>Minnesota</v>
      </c>
      <c r="S758" s="1">
        <v>55016</v>
      </c>
      <c r="T758" s="1" t="s">
        <v>90</v>
      </c>
      <c r="U758" s="1" t="s">
        <v>1830</v>
      </c>
      <c r="V758" s="1" t="s">
        <v>46</v>
      </c>
      <c r="W758" s="7">
        <v>24.56</v>
      </c>
      <c r="X758" s="1">
        <v>5</v>
      </c>
      <c r="Y758" s="7">
        <v>24.04</v>
      </c>
      <c r="Z758" s="7">
        <f t="shared" ref="Z758:AA758" si="771">W758*X758</f>
        <v>122.8</v>
      </c>
      <c r="AA758" s="7">
        <f t="shared" si="771"/>
        <v>120.19999999999999</v>
      </c>
      <c r="AB758" s="7">
        <f t="shared" si="525"/>
        <v>2.6000000000000085</v>
      </c>
    </row>
    <row r="759" spans="1:28">
      <c r="A759" s="1">
        <v>758</v>
      </c>
      <c r="B759" s="1" t="s">
        <v>1961</v>
      </c>
      <c r="C759" s="2">
        <v>42367</v>
      </c>
      <c r="D759" s="6" t="str">
        <f t="shared" si="520"/>
        <v>Dec</v>
      </c>
      <c r="E759" s="6" t="str">
        <f t="shared" si="521"/>
        <v>Qtr 4</v>
      </c>
      <c r="F759" s="5">
        <v>42401</v>
      </c>
      <c r="G759" s="1" t="s">
        <v>49</v>
      </c>
      <c r="H759" s="1" t="s">
        <v>1962</v>
      </c>
      <c r="I759" s="1" t="s">
        <v>1963</v>
      </c>
      <c r="J759" s="1" t="str">
        <f ca="1">IFERROR(__xludf.DUMMYFUNCTION("split(I759,"" "")"),"Debra")</f>
        <v>Debra</v>
      </c>
      <c r="K759" s="1" t="str">
        <f ca="1">IFERROR(__xludf.DUMMYFUNCTION("""COMPUTED_VALUE"""),"Catini")</f>
        <v>Catini</v>
      </c>
      <c r="L759" s="1"/>
      <c r="M759" s="1" t="s">
        <v>29</v>
      </c>
      <c r="N759" s="1" t="s">
        <v>30</v>
      </c>
      <c r="O759" s="1" t="s">
        <v>1964</v>
      </c>
      <c r="P759" s="1" t="str">
        <f t="shared" si="522"/>
        <v>Cottage Grove</v>
      </c>
      <c r="Q759" s="1" t="s">
        <v>201</v>
      </c>
      <c r="R759" s="1" t="str">
        <f t="shared" si="523"/>
        <v>Minnesota</v>
      </c>
      <c r="S759" s="1">
        <v>55016</v>
      </c>
      <c r="T759" s="1" t="s">
        <v>90</v>
      </c>
      <c r="U759" s="1" t="s">
        <v>1697</v>
      </c>
      <c r="V759" s="1" t="s">
        <v>64</v>
      </c>
      <c r="W759" s="7">
        <v>119.8</v>
      </c>
      <c r="X759" s="1">
        <v>5</v>
      </c>
      <c r="Y759" s="7">
        <v>119.4</v>
      </c>
      <c r="Z759" s="7">
        <f t="shared" ref="Z759:AA759" si="772">W759*X759</f>
        <v>599</v>
      </c>
      <c r="AA759" s="7">
        <f t="shared" si="772"/>
        <v>597</v>
      </c>
      <c r="AB759" s="7">
        <f t="shared" si="525"/>
        <v>2</v>
      </c>
    </row>
    <row r="760" spans="1:28">
      <c r="A760" s="1">
        <v>759</v>
      </c>
      <c r="B760" s="1" t="s">
        <v>1965</v>
      </c>
      <c r="C760" s="2">
        <v>43304</v>
      </c>
      <c r="D760" s="6" t="str">
        <f t="shared" si="520"/>
        <v>Jul</v>
      </c>
      <c r="E760" s="6" t="str">
        <f t="shared" si="521"/>
        <v>Qtr 3</v>
      </c>
      <c r="F760" s="5" t="s">
        <v>1966</v>
      </c>
      <c r="G760" s="1" t="s">
        <v>49</v>
      </c>
      <c r="H760" s="1" t="s">
        <v>1967</v>
      </c>
      <c r="I760" s="1" t="s">
        <v>1968</v>
      </c>
      <c r="J760" s="1" t="str">
        <f ca="1">IFERROR(__xludf.DUMMYFUNCTION("split(I760,"" "")"),"Christine")</f>
        <v>Christine</v>
      </c>
      <c r="K760" s="1" t="str">
        <f ca="1">IFERROR(__xludf.DUMMYFUNCTION("""COMPUTED_VALUE"""),"Phan")</f>
        <v>Phan</v>
      </c>
      <c r="L760" s="1"/>
      <c r="M760" s="1" t="s">
        <v>41</v>
      </c>
      <c r="N760" s="1" t="s">
        <v>30</v>
      </c>
      <c r="O760" s="1" t="s">
        <v>233</v>
      </c>
      <c r="P760" s="1" t="str">
        <f t="shared" si="522"/>
        <v>New York City</v>
      </c>
      <c r="Q760" s="1" t="s">
        <v>234</v>
      </c>
      <c r="R760" s="1" t="str">
        <f t="shared" si="523"/>
        <v>New York</v>
      </c>
      <c r="S760" s="1">
        <v>10009</v>
      </c>
      <c r="T760" s="1" t="s">
        <v>128</v>
      </c>
      <c r="U760" s="1" t="s">
        <v>1645</v>
      </c>
      <c r="V760" s="1" t="s">
        <v>46</v>
      </c>
      <c r="W760" s="7">
        <v>13.128</v>
      </c>
      <c r="X760" s="1">
        <v>1</v>
      </c>
      <c r="Y760" s="7">
        <v>13.04</v>
      </c>
      <c r="Z760" s="7">
        <f t="shared" ref="Z760:AA760" si="773">W760*X760</f>
        <v>13.128</v>
      </c>
      <c r="AA760" s="7">
        <f t="shared" si="773"/>
        <v>13.04</v>
      </c>
      <c r="AB760" s="7">
        <f t="shared" si="525"/>
        <v>8.8000000000000966E-2</v>
      </c>
    </row>
    <row r="761" spans="1:28">
      <c r="A761" s="1">
        <v>760</v>
      </c>
      <c r="B761" s="1" t="s">
        <v>1969</v>
      </c>
      <c r="C761" s="2">
        <v>43361</v>
      </c>
      <c r="D761" s="6" t="str">
        <f t="shared" si="520"/>
        <v>Sep</v>
      </c>
      <c r="E761" s="6" t="str">
        <f t="shared" si="521"/>
        <v>Qtr 3</v>
      </c>
      <c r="F761" s="5" t="s">
        <v>1970</v>
      </c>
      <c r="G761" s="1" t="s">
        <v>49</v>
      </c>
      <c r="H761" s="1" t="s">
        <v>1971</v>
      </c>
      <c r="I761" s="1" t="s">
        <v>1972</v>
      </c>
      <c r="J761" s="1" t="str">
        <f ca="1">IFERROR(__xludf.DUMMYFUNCTION("split(I761,"" "")"),"Barry")</f>
        <v>Barry</v>
      </c>
      <c r="K761" s="1" t="str">
        <f ca="1">IFERROR(__xludf.DUMMYFUNCTION("""COMPUTED_VALUE"""),"Französisch")</f>
        <v>Französisch</v>
      </c>
      <c r="L761" s="1"/>
      <c r="M761" s="1" t="s">
        <v>41</v>
      </c>
      <c r="N761" s="1" t="s">
        <v>30</v>
      </c>
      <c r="O761" s="1" t="s">
        <v>1500</v>
      </c>
      <c r="P761" s="1" t="str">
        <f t="shared" si="522"/>
        <v>Green Bay</v>
      </c>
      <c r="Q761" s="1" t="s">
        <v>98</v>
      </c>
      <c r="R761" s="1" t="str">
        <f t="shared" si="523"/>
        <v>Wisconsin</v>
      </c>
      <c r="S761" s="1">
        <v>54302</v>
      </c>
      <c r="T761" s="1" t="s">
        <v>90</v>
      </c>
      <c r="U761" s="1" t="s">
        <v>468</v>
      </c>
      <c r="V761" s="1" t="s">
        <v>46</v>
      </c>
      <c r="W761" s="7">
        <v>22.72</v>
      </c>
      <c r="X761" s="1">
        <v>5</v>
      </c>
      <c r="Y761" s="7">
        <v>22.7</v>
      </c>
      <c r="Z761" s="7">
        <f t="shared" ref="Z761:AA761" si="774">W761*X761</f>
        <v>113.6</v>
      </c>
      <c r="AA761" s="7">
        <f t="shared" si="774"/>
        <v>113.5</v>
      </c>
      <c r="AB761" s="7">
        <f t="shared" si="525"/>
        <v>9.9999999999994316E-2</v>
      </c>
    </row>
    <row r="762" spans="1:28">
      <c r="A762" s="1">
        <v>761</v>
      </c>
      <c r="B762" s="1" t="s">
        <v>1973</v>
      </c>
      <c r="C762" s="2">
        <v>42613</v>
      </c>
      <c r="D762" s="6" t="str">
        <f t="shared" si="520"/>
        <v>Aug</v>
      </c>
      <c r="E762" s="6" t="str">
        <f t="shared" si="521"/>
        <v>Qtr 3</v>
      </c>
      <c r="F762" s="5">
        <v>42499</v>
      </c>
      <c r="G762" s="1" t="s">
        <v>49</v>
      </c>
      <c r="H762" s="1" t="s">
        <v>1643</v>
      </c>
      <c r="I762" s="1" t="s">
        <v>1644</v>
      </c>
      <c r="J762" s="1" t="str">
        <f ca="1">IFERROR(__xludf.DUMMYFUNCTION("split(I762,"" "")"),"Andrew")</f>
        <v>Andrew</v>
      </c>
      <c r="K762" s="1" t="str">
        <f ca="1">IFERROR(__xludf.DUMMYFUNCTION("""COMPUTED_VALUE"""),"Roberts")</f>
        <v>Roberts</v>
      </c>
      <c r="L762" s="1"/>
      <c r="M762" s="1" t="s">
        <v>29</v>
      </c>
      <c r="N762" s="1" t="s">
        <v>30</v>
      </c>
      <c r="O762" s="1" t="s">
        <v>42</v>
      </c>
      <c r="P762" s="1" t="str">
        <f t="shared" si="522"/>
        <v>Los Angeles</v>
      </c>
      <c r="Q762" s="1" t="s">
        <v>68</v>
      </c>
      <c r="R762" s="1" t="str">
        <f t="shared" si="523"/>
        <v>California</v>
      </c>
      <c r="S762" s="1">
        <v>90004</v>
      </c>
      <c r="T762" s="1" t="s">
        <v>44</v>
      </c>
      <c r="U762" s="1" t="s">
        <v>1545</v>
      </c>
      <c r="V762" s="1" t="s">
        <v>46</v>
      </c>
      <c r="W762" s="7">
        <v>58.32</v>
      </c>
      <c r="X762" s="1">
        <v>9</v>
      </c>
      <c r="Y762" s="7">
        <v>58.08</v>
      </c>
      <c r="Z762" s="7">
        <f t="shared" ref="Z762:AA762" si="775">W762*X762</f>
        <v>524.88</v>
      </c>
      <c r="AA762" s="7">
        <f t="shared" si="775"/>
        <v>522.72</v>
      </c>
      <c r="AB762" s="7">
        <f t="shared" si="525"/>
        <v>2.1599999999999682</v>
      </c>
    </row>
    <row r="763" spans="1:28">
      <c r="A763" s="1">
        <v>762</v>
      </c>
      <c r="B763" s="1" t="s">
        <v>1974</v>
      </c>
      <c r="C763" s="2">
        <v>43170</v>
      </c>
      <c r="D763" s="6" t="str">
        <f t="shared" si="520"/>
        <v>Mar</v>
      </c>
      <c r="E763" s="6" t="str">
        <f t="shared" si="521"/>
        <v>Qtr 1</v>
      </c>
      <c r="F763" s="5">
        <v>43292</v>
      </c>
      <c r="G763" s="1" t="s">
        <v>49</v>
      </c>
      <c r="H763" s="1" t="s">
        <v>314</v>
      </c>
      <c r="I763" s="1" t="s">
        <v>315</v>
      </c>
      <c r="J763" s="1" t="str">
        <f ca="1">IFERROR(__xludf.DUMMYFUNCTION("split(I763,"" "")"),"Julie")</f>
        <v>Julie</v>
      </c>
      <c r="K763" s="1" t="str">
        <f ca="1">IFERROR(__xludf.DUMMYFUNCTION("""COMPUTED_VALUE"""),"Creighton")</f>
        <v>Creighton</v>
      </c>
      <c r="L763" s="1"/>
      <c r="M763" s="1" t="s">
        <v>41</v>
      </c>
      <c r="N763" s="1" t="s">
        <v>30</v>
      </c>
      <c r="O763" s="1" t="s">
        <v>1411</v>
      </c>
      <c r="P763" s="1" t="str">
        <f t="shared" si="522"/>
        <v>Atlanta</v>
      </c>
      <c r="Q763" s="1" t="s">
        <v>1035</v>
      </c>
      <c r="R763" s="1" t="str">
        <f t="shared" si="523"/>
        <v>Georgia</v>
      </c>
      <c r="S763" s="1">
        <v>30318</v>
      </c>
      <c r="T763" s="1" t="s">
        <v>33</v>
      </c>
      <c r="U763" s="1" t="s">
        <v>1975</v>
      </c>
      <c r="V763" s="1" t="s">
        <v>46</v>
      </c>
      <c r="W763" s="7">
        <v>12.39</v>
      </c>
      <c r="X763" s="1">
        <v>3</v>
      </c>
      <c r="Y763" s="7">
        <v>11.81</v>
      </c>
      <c r="Z763" s="7">
        <f t="shared" ref="Z763:AA763" si="776">W763*X763</f>
        <v>37.17</v>
      </c>
      <c r="AA763" s="7">
        <f t="shared" si="776"/>
        <v>35.43</v>
      </c>
      <c r="AB763" s="7">
        <f t="shared" si="525"/>
        <v>1.740000000000002</v>
      </c>
    </row>
    <row r="764" spans="1:28">
      <c r="A764" s="1">
        <v>763</v>
      </c>
      <c r="B764" s="1" t="s">
        <v>1976</v>
      </c>
      <c r="C764" s="2">
        <v>42584</v>
      </c>
      <c r="D764" s="6" t="str">
        <f t="shared" si="520"/>
        <v>Aug</v>
      </c>
      <c r="E764" s="6" t="str">
        <f t="shared" si="521"/>
        <v>Qtr 3</v>
      </c>
      <c r="F764" s="5" t="s">
        <v>698</v>
      </c>
      <c r="G764" s="1" t="s">
        <v>49</v>
      </c>
      <c r="H764" s="1" t="s">
        <v>1977</v>
      </c>
      <c r="I764" s="1" t="s">
        <v>1978</v>
      </c>
      <c r="J764" s="1" t="str">
        <f ca="1">IFERROR(__xludf.DUMMYFUNCTION("split(I764,"" "")"),"Lisa")</f>
        <v>Lisa</v>
      </c>
      <c r="K764" s="1" t="str">
        <f ca="1">IFERROR(__xludf.DUMMYFUNCTION("""COMPUTED_VALUE"""),"Hazard")</f>
        <v>Hazard</v>
      </c>
      <c r="L764" s="1"/>
      <c r="M764" s="1" t="s">
        <v>29</v>
      </c>
      <c r="N764" s="1" t="s">
        <v>30</v>
      </c>
      <c r="O764" s="1" t="s">
        <v>420</v>
      </c>
      <c r="P764" s="1" t="str">
        <f t="shared" si="522"/>
        <v>Columbus</v>
      </c>
      <c r="Q764" s="1" t="s">
        <v>421</v>
      </c>
      <c r="R764" s="1" t="str">
        <f t="shared" si="523"/>
        <v>Ohio</v>
      </c>
      <c r="S764" s="1">
        <v>43229</v>
      </c>
      <c r="T764" s="1" t="s">
        <v>128</v>
      </c>
      <c r="U764" s="1" t="s">
        <v>572</v>
      </c>
      <c r="V764" s="1" t="s">
        <v>64</v>
      </c>
      <c r="W764" s="7">
        <v>107.982</v>
      </c>
      <c r="X764" s="1">
        <v>4</v>
      </c>
      <c r="Y764" s="7">
        <v>107.03</v>
      </c>
      <c r="Z764" s="7">
        <f t="shared" ref="Z764:AA764" si="777">W764*X764</f>
        <v>431.928</v>
      </c>
      <c r="AA764" s="7">
        <f t="shared" si="777"/>
        <v>428.12</v>
      </c>
      <c r="AB764" s="7">
        <f t="shared" si="525"/>
        <v>3.8079999999999927</v>
      </c>
    </row>
    <row r="765" spans="1:28">
      <c r="A765" s="1">
        <v>764</v>
      </c>
      <c r="B765" s="1" t="s">
        <v>1979</v>
      </c>
      <c r="C765" s="2">
        <v>42017</v>
      </c>
      <c r="D765" s="6" t="str">
        <f t="shared" si="520"/>
        <v>Jan</v>
      </c>
      <c r="E765" s="6" t="str">
        <f t="shared" si="521"/>
        <v>Qtr 1</v>
      </c>
      <c r="F765" s="5" t="s">
        <v>1980</v>
      </c>
      <c r="G765" s="1" t="s">
        <v>26</v>
      </c>
      <c r="H765" s="1" t="s">
        <v>1981</v>
      </c>
      <c r="I765" s="1" t="s">
        <v>1982</v>
      </c>
      <c r="J765" s="1" t="str">
        <f ca="1">IFERROR(__xludf.DUMMYFUNCTION("split(I765,"" "")"),"Chris")</f>
        <v>Chris</v>
      </c>
      <c r="K765" s="1" t="str">
        <f ca="1">IFERROR(__xludf.DUMMYFUNCTION("""COMPUTED_VALUE"""),"Selesnick")</f>
        <v>Selesnick</v>
      </c>
      <c r="L765" s="1"/>
      <c r="M765" s="1" t="s">
        <v>41</v>
      </c>
      <c r="N765" s="1" t="s">
        <v>30</v>
      </c>
      <c r="O765" s="1" t="s">
        <v>1983</v>
      </c>
      <c r="P765" s="1" t="str">
        <f t="shared" si="522"/>
        <v>Bossier City</v>
      </c>
      <c r="Q765" s="1" t="s">
        <v>609</v>
      </c>
      <c r="R765" s="1" t="str">
        <f t="shared" si="523"/>
        <v>Louisiana</v>
      </c>
      <c r="S765" s="1">
        <v>71111</v>
      </c>
      <c r="T765" s="1" t="s">
        <v>33</v>
      </c>
      <c r="U765" s="1" t="s">
        <v>557</v>
      </c>
      <c r="V765" s="1" t="s">
        <v>46</v>
      </c>
      <c r="W765" s="7">
        <v>11.36</v>
      </c>
      <c r="X765" s="1">
        <v>7</v>
      </c>
      <c r="Y765" s="7">
        <v>10.46</v>
      </c>
      <c r="Z765" s="7">
        <f t="shared" ref="Z765:AA765" si="778">W765*X765</f>
        <v>79.52</v>
      </c>
      <c r="AA765" s="7">
        <f t="shared" si="778"/>
        <v>73.22</v>
      </c>
      <c r="AB765" s="7">
        <f t="shared" si="525"/>
        <v>6.2999999999999972</v>
      </c>
    </row>
    <row r="766" spans="1:28">
      <c r="A766" s="1">
        <v>765</v>
      </c>
      <c r="B766" s="1" t="s">
        <v>1979</v>
      </c>
      <c r="C766" s="2">
        <v>42017</v>
      </c>
      <c r="D766" s="6" t="str">
        <f t="shared" si="520"/>
        <v>Jan</v>
      </c>
      <c r="E766" s="6" t="str">
        <f t="shared" si="521"/>
        <v>Qtr 1</v>
      </c>
      <c r="F766" s="5" t="s">
        <v>1980</v>
      </c>
      <c r="G766" s="1" t="s">
        <v>26</v>
      </c>
      <c r="H766" s="1" t="s">
        <v>1981</v>
      </c>
      <c r="I766" s="1" t="s">
        <v>1982</v>
      </c>
      <c r="J766" s="1" t="str">
        <f ca="1">IFERROR(__xludf.DUMMYFUNCTION("split(I766,"" "")"),"Chris")</f>
        <v>Chris</v>
      </c>
      <c r="K766" s="1" t="str">
        <f ca="1">IFERROR(__xludf.DUMMYFUNCTION("""COMPUTED_VALUE"""),"Selesnick")</f>
        <v>Selesnick</v>
      </c>
      <c r="L766" s="1"/>
      <c r="M766" s="1" t="s">
        <v>41</v>
      </c>
      <c r="N766" s="1" t="s">
        <v>30</v>
      </c>
      <c r="O766" s="1" t="s">
        <v>1983</v>
      </c>
      <c r="P766" s="1" t="str">
        <f t="shared" si="522"/>
        <v>Bossier City</v>
      </c>
      <c r="Q766" s="1" t="s">
        <v>609</v>
      </c>
      <c r="R766" s="1" t="str">
        <f t="shared" si="523"/>
        <v>Louisiana</v>
      </c>
      <c r="S766" s="1">
        <v>71111</v>
      </c>
      <c r="T766" s="1" t="s">
        <v>33</v>
      </c>
      <c r="U766" s="1" t="s">
        <v>1984</v>
      </c>
      <c r="V766" s="1" t="s">
        <v>46</v>
      </c>
      <c r="W766" s="7">
        <v>50.94</v>
      </c>
      <c r="X766" s="1">
        <v>7</v>
      </c>
      <c r="Y766" s="7">
        <v>50.37</v>
      </c>
      <c r="Z766" s="7">
        <f t="shared" ref="Z766:AA766" si="779">W766*X766</f>
        <v>356.58</v>
      </c>
      <c r="AA766" s="7">
        <f t="shared" si="779"/>
        <v>352.59</v>
      </c>
      <c r="AB766" s="7">
        <f t="shared" si="525"/>
        <v>3.9900000000000091</v>
      </c>
    </row>
    <row r="767" spans="1:28">
      <c r="A767" s="1">
        <v>766</v>
      </c>
      <c r="B767" s="1" t="s">
        <v>1979</v>
      </c>
      <c r="C767" s="2">
        <v>42017</v>
      </c>
      <c r="D767" s="6" t="str">
        <f t="shared" ref="D767:D1021" si="780">TEXT(C767,"MMM")</f>
        <v>Jan</v>
      </c>
      <c r="E767" s="6" t="str">
        <f t="shared" ref="E767:E1021" si="781">"Qtr "&amp;INT((MONTH(C767)+2)/3)</f>
        <v>Qtr 1</v>
      </c>
      <c r="F767" s="5" t="s">
        <v>1980</v>
      </c>
      <c r="G767" s="1" t="s">
        <v>26</v>
      </c>
      <c r="H767" s="1" t="s">
        <v>1981</v>
      </c>
      <c r="I767" s="1" t="s">
        <v>1982</v>
      </c>
      <c r="J767" s="1" t="str">
        <f ca="1">IFERROR(__xludf.DUMMYFUNCTION("split(I767,"" "")"),"Chris")</f>
        <v>Chris</v>
      </c>
      <c r="K767" s="1" t="str">
        <f ca="1">IFERROR(__xludf.DUMMYFUNCTION("""COMPUTED_VALUE"""),"Selesnick")</f>
        <v>Selesnick</v>
      </c>
      <c r="L767" s="1"/>
      <c r="M767" s="1" t="s">
        <v>41</v>
      </c>
      <c r="N767" s="1" t="s">
        <v>30</v>
      </c>
      <c r="O767" s="1" t="s">
        <v>1983</v>
      </c>
      <c r="P767" s="1" t="str">
        <f t="shared" ref="P767:P1021" si="782">PROPER(O767)</f>
        <v>Bossier City</v>
      </c>
      <c r="Q767" s="1" t="s">
        <v>609</v>
      </c>
      <c r="R767" s="1" t="str">
        <f t="shared" ref="R767:R1021" si="783">PROPER(Q767)</f>
        <v>Louisiana</v>
      </c>
      <c r="S767" s="1">
        <v>71111</v>
      </c>
      <c r="T767" s="1" t="s">
        <v>33</v>
      </c>
      <c r="U767" s="1" t="s">
        <v>1985</v>
      </c>
      <c r="V767" s="1" t="s">
        <v>64</v>
      </c>
      <c r="W767" s="7">
        <v>646.74</v>
      </c>
      <c r="X767" s="1">
        <v>7</v>
      </c>
      <c r="Y767" s="7">
        <v>646.38</v>
      </c>
      <c r="Z767" s="7">
        <f t="shared" ref="Z767:AA767" si="784">W767*X767</f>
        <v>4527.18</v>
      </c>
      <c r="AA767" s="7">
        <f t="shared" si="784"/>
        <v>4524.66</v>
      </c>
      <c r="AB767" s="7">
        <f t="shared" ref="AB767:AB1021" si="785">Z767-AA767</f>
        <v>2.5200000000004366</v>
      </c>
    </row>
    <row r="768" spans="1:28">
      <c r="A768" s="1">
        <v>767</v>
      </c>
      <c r="B768" s="1" t="s">
        <v>1979</v>
      </c>
      <c r="C768" s="2">
        <v>42017</v>
      </c>
      <c r="D768" s="6" t="str">
        <f t="shared" si="780"/>
        <v>Jan</v>
      </c>
      <c r="E768" s="6" t="str">
        <f t="shared" si="781"/>
        <v>Qtr 1</v>
      </c>
      <c r="F768" s="5" t="s">
        <v>1980</v>
      </c>
      <c r="G768" s="1" t="s">
        <v>26</v>
      </c>
      <c r="H768" s="1" t="s">
        <v>1981</v>
      </c>
      <c r="I768" s="1" t="s">
        <v>1982</v>
      </c>
      <c r="J768" s="1" t="str">
        <f ca="1">IFERROR(__xludf.DUMMYFUNCTION("split(I768,"" "")"),"Chris")</f>
        <v>Chris</v>
      </c>
      <c r="K768" s="1" t="str">
        <f ca="1">IFERROR(__xludf.DUMMYFUNCTION("""COMPUTED_VALUE"""),"Selesnick")</f>
        <v>Selesnick</v>
      </c>
      <c r="L768" s="1"/>
      <c r="M768" s="1" t="s">
        <v>41</v>
      </c>
      <c r="N768" s="1" t="s">
        <v>30</v>
      </c>
      <c r="O768" s="1" t="s">
        <v>1983</v>
      </c>
      <c r="P768" s="1" t="str">
        <f t="shared" si="782"/>
        <v>Bossier City</v>
      </c>
      <c r="Q768" s="1" t="s">
        <v>609</v>
      </c>
      <c r="R768" s="1" t="str">
        <f t="shared" si="783"/>
        <v>Louisiana</v>
      </c>
      <c r="S768" s="1">
        <v>71111</v>
      </c>
      <c r="T768" s="1" t="s">
        <v>33</v>
      </c>
      <c r="U768" s="1" t="s">
        <v>1986</v>
      </c>
      <c r="V768" s="1" t="s">
        <v>46</v>
      </c>
      <c r="W768" s="7">
        <v>5.64</v>
      </c>
      <c r="X768" s="1">
        <v>7</v>
      </c>
      <c r="Y768" s="7">
        <v>4.9800000000000004</v>
      </c>
      <c r="Z768" s="7">
        <f t="shared" ref="Z768:AA768" si="786">W768*X768</f>
        <v>39.479999999999997</v>
      </c>
      <c r="AA768" s="7">
        <f t="shared" si="786"/>
        <v>34.86</v>
      </c>
      <c r="AB768" s="7">
        <f t="shared" si="785"/>
        <v>4.6199999999999974</v>
      </c>
    </row>
    <row r="769" spans="1:28">
      <c r="A769" s="1">
        <v>768</v>
      </c>
      <c r="B769" s="1" t="s">
        <v>1979</v>
      </c>
      <c r="C769" s="2">
        <v>42017</v>
      </c>
      <c r="D769" s="6" t="str">
        <f t="shared" si="780"/>
        <v>Jan</v>
      </c>
      <c r="E769" s="6" t="str">
        <f t="shared" si="781"/>
        <v>Qtr 1</v>
      </c>
      <c r="F769" s="5" t="s">
        <v>1980</v>
      </c>
      <c r="G769" s="1" t="s">
        <v>26</v>
      </c>
      <c r="H769" s="1" t="s">
        <v>1981</v>
      </c>
      <c r="I769" s="1" t="s">
        <v>1982</v>
      </c>
      <c r="J769" s="1" t="str">
        <f ca="1">IFERROR(__xludf.DUMMYFUNCTION("split(I769,"" "")"),"Chris")</f>
        <v>Chris</v>
      </c>
      <c r="K769" s="1" t="str">
        <f ca="1">IFERROR(__xludf.DUMMYFUNCTION("""COMPUTED_VALUE"""),"Selesnick")</f>
        <v>Selesnick</v>
      </c>
      <c r="L769" s="1"/>
      <c r="M769" s="1" t="s">
        <v>41</v>
      </c>
      <c r="N769" s="1" t="s">
        <v>30</v>
      </c>
      <c r="O769" s="1" t="s">
        <v>1983</v>
      </c>
      <c r="P769" s="1" t="str">
        <f t="shared" si="782"/>
        <v>Bossier City</v>
      </c>
      <c r="Q769" s="1" t="s">
        <v>609</v>
      </c>
      <c r="R769" s="1" t="str">
        <f t="shared" si="783"/>
        <v>Louisiana</v>
      </c>
      <c r="S769" s="1">
        <v>71111</v>
      </c>
      <c r="T769" s="1" t="s">
        <v>33</v>
      </c>
      <c r="U769" s="1" t="s">
        <v>1987</v>
      </c>
      <c r="V769" s="1" t="s">
        <v>46</v>
      </c>
      <c r="W769" s="7">
        <v>572.58000000000004</v>
      </c>
      <c r="X769" s="1">
        <v>7</v>
      </c>
      <c r="Y769" s="7">
        <v>572.37</v>
      </c>
      <c r="Z769" s="7">
        <f t="shared" ref="Z769:AA769" si="787">W769*X769</f>
        <v>4008.0600000000004</v>
      </c>
      <c r="AA769" s="7">
        <f t="shared" si="787"/>
        <v>4006.59</v>
      </c>
      <c r="AB769" s="7">
        <f t="shared" si="785"/>
        <v>1.4700000000002547</v>
      </c>
    </row>
    <row r="770" spans="1:28">
      <c r="A770" s="1">
        <v>769</v>
      </c>
      <c r="B770" s="1" t="s">
        <v>1988</v>
      </c>
      <c r="C770" s="2">
        <v>42138</v>
      </c>
      <c r="D770" s="6" t="str">
        <f t="shared" si="780"/>
        <v>May</v>
      </c>
      <c r="E770" s="6" t="str">
        <f t="shared" si="781"/>
        <v>Qtr 2</v>
      </c>
      <c r="F770" s="5" t="s">
        <v>1989</v>
      </c>
      <c r="G770" s="1" t="s">
        <v>49</v>
      </c>
      <c r="H770" s="1" t="s">
        <v>1990</v>
      </c>
      <c r="I770" s="1" t="s">
        <v>1991</v>
      </c>
      <c r="J770" s="1" t="str">
        <f ca="1">IFERROR(__xludf.DUMMYFUNCTION("split(I770,"" "")"),"Anthony")</f>
        <v>Anthony</v>
      </c>
      <c r="K770" s="1" t="str">
        <f ca="1">IFERROR(__xludf.DUMMYFUNCTION("""COMPUTED_VALUE"""),"Johnson")</f>
        <v>Johnson</v>
      </c>
      <c r="L770" s="1"/>
      <c r="M770" s="1" t="s">
        <v>41</v>
      </c>
      <c r="N770" s="1" t="s">
        <v>30</v>
      </c>
      <c r="O770" s="1" t="s">
        <v>937</v>
      </c>
      <c r="P770" s="1" t="str">
        <f t="shared" si="782"/>
        <v>Saint Petersburg</v>
      </c>
      <c r="Q770" s="1" t="s">
        <v>194</v>
      </c>
      <c r="R770" s="1" t="str">
        <f t="shared" si="783"/>
        <v>Florida</v>
      </c>
      <c r="S770" s="1">
        <v>33710</v>
      </c>
      <c r="T770" s="1" t="s">
        <v>33</v>
      </c>
      <c r="U770" s="1" t="s">
        <v>1992</v>
      </c>
      <c r="V770" s="1" t="s">
        <v>35</v>
      </c>
      <c r="W770" s="7">
        <v>310.88</v>
      </c>
      <c r="X770" s="1">
        <v>3</v>
      </c>
      <c r="Y770" s="7">
        <v>310.63</v>
      </c>
      <c r="Z770" s="7">
        <f t="shared" ref="Z770:AA770" si="788">W770*X770</f>
        <v>932.64</v>
      </c>
      <c r="AA770" s="7">
        <f t="shared" si="788"/>
        <v>931.89</v>
      </c>
      <c r="AB770" s="7">
        <f t="shared" si="785"/>
        <v>0.75</v>
      </c>
    </row>
    <row r="771" spans="1:28">
      <c r="A771" s="1">
        <v>770</v>
      </c>
      <c r="B771" s="1" t="s">
        <v>1993</v>
      </c>
      <c r="C771" s="2">
        <v>42874</v>
      </c>
      <c r="D771" s="6" t="str">
        <f t="shared" si="780"/>
        <v>May</v>
      </c>
      <c r="E771" s="6" t="str">
        <f t="shared" si="781"/>
        <v>Qtr 2</v>
      </c>
      <c r="F771" s="5" t="s">
        <v>1994</v>
      </c>
      <c r="G771" s="1" t="s">
        <v>49</v>
      </c>
      <c r="H771" s="1" t="s">
        <v>685</v>
      </c>
      <c r="I771" s="1" t="s">
        <v>686</v>
      </c>
      <c r="J771" s="1" t="str">
        <f ca="1">IFERROR(__xludf.DUMMYFUNCTION("split(I771,"" "")"),"Laurel")</f>
        <v>Laurel</v>
      </c>
      <c r="K771" s="1" t="str">
        <f ca="1">IFERROR(__xludf.DUMMYFUNCTION("""COMPUTED_VALUE"""),"Elliston")</f>
        <v>Elliston</v>
      </c>
      <c r="L771" s="1"/>
      <c r="M771" s="1" t="s">
        <v>29</v>
      </c>
      <c r="N771" s="1" t="s">
        <v>30</v>
      </c>
      <c r="O771" s="1" t="s">
        <v>917</v>
      </c>
      <c r="P771" s="1" t="str">
        <f t="shared" si="782"/>
        <v>Arlington</v>
      </c>
      <c r="Q771" s="1" t="s">
        <v>272</v>
      </c>
      <c r="R771" s="1" t="str">
        <f t="shared" si="783"/>
        <v>Virginia</v>
      </c>
      <c r="S771" s="1">
        <v>22204</v>
      </c>
      <c r="T771" s="1" t="s">
        <v>33</v>
      </c>
      <c r="U771" s="1" t="s">
        <v>1995</v>
      </c>
      <c r="V771" s="1" t="s">
        <v>35</v>
      </c>
      <c r="W771" s="7">
        <v>641.96</v>
      </c>
      <c r="X771" s="1">
        <v>2</v>
      </c>
      <c r="Y771" s="7">
        <v>641.65</v>
      </c>
      <c r="Z771" s="7">
        <f t="shared" ref="Z771:AA771" si="789">W771*X771</f>
        <v>1283.92</v>
      </c>
      <c r="AA771" s="7">
        <f t="shared" si="789"/>
        <v>1283.3</v>
      </c>
      <c r="AB771" s="7">
        <f t="shared" si="785"/>
        <v>0.62000000000011823</v>
      </c>
    </row>
    <row r="772" spans="1:28">
      <c r="A772" s="1">
        <v>771</v>
      </c>
      <c r="B772" s="1" t="s">
        <v>1996</v>
      </c>
      <c r="C772" s="2">
        <v>43130</v>
      </c>
      <c r="D772" s="6" t="str">
        <f t="shared" si="780"/>
        <v>Jan</v>
      </c>
      <c r="E772" s="6" t="str">
        <f t="shared" si="781"/>
        <v>Qtr 1</v>
      </c>
      <c r="F772" s="5">
        <v>43222</v>
      </c>
      <c r="G772" s="1" t="s">
        <v>49</v>
      </c>
      <c r="H772" s="1" t="s">
        <v>1997</v>
      </c>
      <c r="I772" s="1" t="s">
        <v>1998</v>
      </c>
      <c r="J772" s="1" t="str">
        <f ca="1">IFERROR(__xludf.DUMMYFUNCTION("split(I772,"" "")"),"Benjamin")</f>
        <v>Benjamin</v>
      </c>
      <c r="K772" s="1" t="str">
        <f ca="1">IFERROR(__xludf.DUMMYFUNCTION("""COMPUTED_VALUE"""),"Venier")</f>
        <v>Venier</v>
      </c>
      <c r="L772" s="1"/>
      <c r="M772" s="1" t="s">
        <v>41</v>
      </c>
      <c r="N772" s="1" t="s">
        <v>30</v>
      </c>
      <c r="O772" s="1" t="s">
        <v>1122</v>
      </c>
      <c r="P772" s="1" t="str">
        <f t="shared" si="782"/>
        <v>Des Moines</v>
      </c>
      <c r="Q772" s="1" t="s">
        <v>413</v>
      </c>
      <c r="R772" s="1" t="str">
        <f t="shared" si="783"/>
        <v>Iowa</v>
      </c>
      <c r="S772" s="1">
        <v>50315</v>
      </c>
      <c r="T772" s="1" t="s">
        <v>90</v>
      </c>
      <c r="U772" s="1" t="s">
        <v>1999</v>
      </c>
      <c r="V772" s="1" t="s">
        <v>46</v>
      </c>
      <c r="W772" s="7">
        <v>18.28</v>
      </c>
      <c r="X772" s="1">
        <v>5</v>
      </c>
      <c r="Y772" s="7">
        <v>17.68</v>
      </c>
      <c r="Z772" s="7">
        <f t="shared" ref="Z772:AA772" si="790">W772*X772</f>
        <v>91.4</v>
      </c>
      <c r="AA772" s="7">
        <f t="shared" si="790"/>
        <v>88.4</v>
      </c>
      <c r="AB772" s="7">
        <f t="shared" si="785"/>
        <v>3</v>
      </c>
    </row>
    <row r="773" spans="1:28">
      <c r="A773" s="1">
        <v>772</v>
      </c>
      <c r="B773" s="1" t="s">
        <v>1996</v>
      </c>
      <c r="C773" s="2">
        <v>43130</v>
      </c>
      <c r="D773" s="6" t="str">
        <f t="shared" si="780"/>
        <v>Jan</v>
      </c>
      <c r="E773" s="6" t="str">
        <f t="shared" si="781"/>
        <v>Qtr 1</v>
      </c>
      <c r="F773" s="5">
        <v>43222</v>
      </c>
      <c r="G773" s="1" t="s">
        <v>49</v>
      </c>
      <c r="H773" s="1" t="s">
        <v>1997</v>
      </c>
      <c r="I773" s="1" t="s">
        <v>1998</v>
      </c>
      <c r="J773" s="1" t="str">
        <f ca="1">IFERROR(__xludf.DUMMYFUNCTION("split(I773,"" "")"),"Benjamin")</f>
        <v>Benjamin</v>
      </c>
      <c r="K773" s="1" t="str">
        <f ca="1">IFERROR(__xludf.DUMMYFUNCTION("""COMPUTED_VALUE"""),"Venier")</f>
        <v>Venier</v>
      </c>
      <c r="L773" s="1"/>
      <c r="M773" s="1" t="s">
        <v>41</v>
      </c>
      <c r="N773" s="1" t="s">
        <v>30</v>
      </c>
      <c r="O773" s="1" t="s">
        <v>1122</v>
      </c>
      <c r="P773" s="1" t="str">
        <f t="shared" si="782"/>
        <v>Des Moines</v>
      </c>
      <c r="Q773" s="1" t="s">
        <v>413</v>
      </c>
      <c r="R773" s="1" t="str">
        <f t="shared" si="783"/>
        <v>Iowa</v>
      </c>
      <c r="S773" s="1">
        <v>50315</v>
      </c>
      <c r="T773" s="1" t="s">
        <v>90</v>
      </c>
      <c r="U773" s="1" t="s">
        <v>980</v>
      </c>
      <c r="V773" s="1" t="s">
        <v>64</v>
      </c>
      <c r="W773" s="7">
        <v>207</v>
      </c>
      <c r="X773" s="1">
        <v>5</v>
      </c>
      <c r="Y773" s="7">
        <v>206.73</v>
      </c>
      <c r="Z773" s="7">
        <f t="shared" ref="Z773:AA773" si="791">W773*X773</f>
        <v>1035</v>
      </c>
      <c r="AA773" s="7">
        <f t="shared" si="791"/>
        <v>1033.6499999999999</v>
      </c>
      <c r="AB773" s="7">
        <f t="shared" si="785"/>
        <v>1.3500000000001364</v>
      </c>
    </row>
    <row r="774" spans="1:28">
      <c r="A774" s="1">
        <v>773</v>
      </c>
      <c r="B774" s="1" t="s">
        <v>1996</v>
      </c>
      <c r="C774" s="2">
        <v>43130</v>
      </c>
      <c r="D774" s="6" t="str">
        <f t="shared" si="780"/>
        <v>Jan</v>
      </c>
      <c r="E774" s="6" t="str">
        <f t="shared" si="781"/>
        <v>Qtr 1</v>
      </c>
      <c r="F774" s="5">
        <v>43222</v>
      </c>
      <c r="G774" s="1" t="s">
        <v>49</v>
      </c>
      <c r="H774" s="1" t="s">
        <v>1997</v>
      </c>
      <c r="I774" s="1" t="s">
        <v>1998</v>
      </c>
      <c r="J774" s="1" t="str">
        <f ca="1">IFERROR(__xludf.DUMMYFUNCTION("split(I774,"" "")"),"Benjamin")</f>
        <v>Benjamin</v>
      </c>
      <c r="K774" s="1" t="str">
        <f ca="1">IFERROR(__xludf.DUMMYFUNCTION("""COMPUTED_VALUE"""),"Venier")</f>
        <v>Venier</v>
      </c>
      <c r="L774" s="1"/>
      <c r="M774" s="1" t="s">
        <v>41</v>
      </c>
      <c r="N774" s="1" t="s">
        <v>30</v>
      </c>
      <c r="O774" s="1" t="s">
        <v>1122</v>
      </c>
      <c r="P774" s="1" t="str">
        <f t="shared" si="782"/>
        <v>Des Moines</v>
      </c>
      <c r="Q774" s="1" t="s">
        <v>413</v>
      </c>
      <c r="R774" s="1" t="str">
        <f t="shared" si="783"/>
        <v>Iowa</v>
      </c>
      <c r="S774" s="1">
        <v>50315</v>
      </c>
      <c r="T774" s="1" t="s">
        <v>90</v>
      </c>
      <c r="U774" s="1" t="s">
        <v>2000</v>
      </c>
      <c r="V774" s="1" t="s">
        <v>46</v>
      </c>
      <c r="W774" s="7">
        <v>32.35</v>
      </c>
      <c r="X774" s="1">
        <v>5</v>
      </c>
      <c r="Y774" s="7">
        <v>31.87</v>
      </c>
      <c r="Z774" s="7">
        <f t="shared" ref="Z774:AA774" si="792">W774*X774</f>
        <v>161.75</v>
      </c>
      <c r="AA774" s="7">
        <f t="shared" si="792"/>
        <v>159.35</v>
      </c>
      <c r="AB774" s="7">
        <f t="shared" si="785"/>
        <v>2.4000000000000057</v>
      </c>
    </row>
    <row r="775" spans="1:28">
      <c r="A775" s="1">
        <v>774</v>
      </c>
      <c r="B775" s="1" t="s">
        <v>1996</v>
      </c>
      <c r="C775" s="2">
        <v>43130</v>
      </c>
      <c r="D775" s="6" t="str">
        <f t="shared" si="780"/>
        <v>Jan</v>
      </c>
      <c r="E775" s="6" t="str">
        <f t="shared" si="781"/>
        <v>Qtr 1</v>
      </c>
      <c r="F775" s="5">
        <v>43222</v>
      </c>
      <c r="G775" s="1" t="s">
        <v>49</v>
      </c>
      <c r="H775" s="1" t="s">
        <v>1997</v>
      </c>
      <c r="I775" s="1" t="s">
        <v>1998</v>
      </c>
      <c r="J775" s="1" t="str">
        <f ca="1">IFERROR(__xludf.DUMMYFUNCTION("split(I775,"" "")"),"Benjamin")</f>
        <v>Benjamin</v>
      </c>
      <c r="K775" s="1" t="str">
        <f ca="1">IFERROR(__xludf.DUMMYFUNCTION("""COMPUTED_VALUE"""),"Venier")</f>
        <v>Venier</v>
      </c>
      <c r="L775" s="1"/>
      <c r="M775" s="1" t="s">
        <v>41</v>
      </c>
      <c r="N775" s="1" t="s">
        <v>30</v>
      </c>
      <c r="O775" s="1" t="s">
        <v>1122</v>
      </c>
      <c r="P775" s="1" t="str">
        <f t="shared" si="782"/>
        <v>Des Moines</v>
      </c>
      <c r="Q775" s="1" t="s">
        <v>413</v>
      </c>
      <c r="R775" s="1" t="str">
        <f t="shared" si="783"/>
        <v>Iowa</v>
      </c>
      <c r="S775" s="1">
        <v>50315</v>
      </c>
      <c r="T775" s="1" t="s">
        <v>90</v>
      </c>
      <c r="U775" s="1" t="s">
        <v>65</v>
      </c>
      <c r="V775" s="1" t="s">
        <v>46</v>
      </c>
      <c r="W775" s="7">
        <v>7.71</v>
      </c>
      <c r="X775" s="1">
        <v>5</v>
      </c>
      <c r="Y775" s="7">
        <v>6.77</v>
      </c>
      <c r="Z775" s="7">
        <f t="shared" ref="Z775:AA775" si="793">W775*X775</f>
        <v>38.549999999999997</v>
      </c>
      <c r="AA775" s="7">
        <f t="shared" si="793"/>
        <v>33.849999999999994</v>
      </c>
      <c r="AB775" s="7">
        <f t="shared" si="785"/>
        <v>4.7000000000000028</v>
      </c>
    </row>
    <row r="776" spans="1:28">
      <c r="A776" s="1">
        <v>775</v>
      </c>
      <c r="B776" s="1" t="s">
        <v>1996</v>
      </c>
      <c r="C776" s="2">
        <v>43130</v>
      </c>
      <c r="D776" s="6" t="str">
        <f t="shared" si="780"/>
        <v>Jan</v>
      </c>
      <c r="E776" s="6" t="str">
        <f t="shared" si="781"/>
        <v>Qtr 1</v>
      </c>
      <c r="F776" s="5">
        <v>43222</v>
      </c>
      <c r="G776" s="1" t="s">
        <v>49</v>
      </c>
      <c r="H776" s="1" t="s">
        <v>1997</v>
      </c>
      <c r="I776" s="1" t="s">
        <v>1998</v>
      </c>
      <c r="J776" s="1" t="str">
        <f ca="1">IFERROR(__xludf.DUMMYFUNCTION("split(I776,"" "")"),"Benjamin")</f>
        <v>Benjamin</v>
      </c>
      <c r="K776" s="1" t="str">
        <f ca="1">IFERROR(__xludf.DUMMYFUNCTION("""COMPUTED_VALUE"""),"Venier")</f>
        <v>Venier</v>
      </c>
      <c r="L776" s="1"/>
      <c r="M776" s="1" t="s">
        <v>41</v>
      </c>
      <c r="N776" s="1" t="s">
        <v>30</v>
      </c>
      <c r="O776" s="1" t="s">
        <v>1122</v>
      </c>
      <c r="P776" s="1" t="str">
        <f t="shared" si="782"/>
        <v>Des Moines</v>
      </c>
      <c r="Q776" s="1" t="s">
        <v>413</v>
      </c>
      <c r="R776" s="1" t="str">
        <f t="shared" si="783"/>
        <v>Iowa</v>
      </c>
      <c r="S776" s="1">
        <v>50315</v>
      </c>
      <c r="T776" s="1" t="s">
        <v>90</v>
      </c>
      <c r="U776" s="1" t="s">
        <v>2001</v>
      </c>
      <c r="V776" s="1" t="s">
        <v>46</v>
      </c>
      <c r="W776" s="7">
        <v>40.299999999999997</v>
      </c>
      <c r="X776" s="1">
        <v>5</v>
      </c>
      <c r="Y776" s="7">
        <v>39.340000000000003</v>
      </c>
      <c r="Z776" s="7">
        <f t="shared" ref="Z776:AA776" si="794">W776*X776</f>
        <v>201.5</v>
      </c>
      <c r="AA776" s="7">
        <f t="shared" si="794"/>
        <v>196.70000000000002</v>
      </c>
      <c r="AB776" s="7">
        <f t="shared" si="785"/>
        <v>4.7999999999999829</v>
      </c>
    </row>
    <row r="777" spans="1:28">
      <c r="A777" s="1">
        <v>776</v>
      </c>
      <c r="B777" s="1" t="s">
        <v>1996</v>
      </c>
      <c r="C777" s="2">
        <v>43130</v>
      </c>
      <c r="D777" s="6" t="str">
        <f t="shared" si="780"/>
        <v>Jan</v>
      </c>
      <c r="E777" s="6" t="str">
        <f t="shared" si="781"/>
        <v>Qtr 1</v>
      </c>
      <c r="F777" s="5">
        <v>43222</v>
      </c>
      <c r="G777" s="1" t="s">
        <v>49</v>
      </c>
      <c r="H777" s="1" t="s">
        <v>1997</v>
      </c>
      <c r="I777" s="1" t="s">
        <v>1998</v>
      </c>
      <c r="J777" s="1" t="str">
        <f ca="1">IFERROR(__xludf.DUMMYFUNCTION("split(I777,"" "")"),"Benjamin")</f>
        <v>Benjamin</v>
      </c>
      <c r="K777" s="1" t="str">
        <f ca="1">IFERROR(__xludf.DUMMYFUNCTION("""COMPUTED_VALUE"""),"Venier")</f>
        <v>Venier</v>
      </c>
      <c r="L777" s="1"/>
      <c r="M777" s="1" t="s">
        <v>41</v>
      </c>
      <c r="N777" s="1" t="s">
        <v>30</v>
      </c>
      <c r="O777" s="1" t="s">
        <v>1122</v>
      </c>
      <c r="P777" s="1" t="str">
        <f t="shared" si="782"/>
        <v>Des Moines</v>
      </c>
      <c r="Q777" s="1" t="s">
        <v>413</v>
      </c>
      <c r="R777" s="1" t="str">
        <f t="shared" si="783"/>
        <v>Iowa</v>
      </c>
      <c r="S777" s="1">
        <v>50315</v>
      </c>
      <c r="T777" s="1" t="s">
        <v>90</v>
      </c>
      <c r="U777" s="1" t="s">
        <v>2002</v>
      </c>
      <c r="V777" s="1" t="s">
        <v>35</v>
      </c>
      <c r="W777" s="7">
        <v>34.58</v>
      </c>
      <c r="X777" s="1">
        <v>5</v>
      </c>
      <c r="Y777" s="7">
        <v>33.950000000000003</v>
      </c>
      <c r="Z777" s="7">
        <f t="shared" ref="Z777:AA777" si="795">W777*X777</f>
        <v>172.89999999999998</v>
      </c>
      <c r="AA777" s="7">
        <f t="shared" si="795"/>
        <v>169.75</v>
      </c>
      <c r="AB777" s="7">
        <f t="shared" si="785"/>
        <v>3.1499999999999773</v>
      </c>
    </row>
    <row r="778" spans="1:28">
      <c r="A778" s="1">
        <v>777</v>
      </c>
      <c r="B778" s="1" t="s">
        <v>2003</v>
      </c>
      <c r="C778" s="2">
        <v>42184</v>
      </c>
      <c r="D778" s="6" t="str">
        <f t="shared" si="780"/>
        <v>Jun</v>
      </c>
      <c r="E778" s="6" t="str">
        <f t="shared" si="781"/>
        <v>Qtr 2</v>
      </c>
      <c r="F778" s="5">
        <v>42162</v>
      </c>
      <c r="G778" s="1" t="s">
        <v>49</v>
      </c>
      <c r="H778" s="1" t="s">
        <v>2004</v>
      </c>
      <c r="I778" s="1" t="s">
        <v>2005</v>
      </c>
      <c r="J778" s="1" t="str">
        <f ca="1">IFERROR(__xludf.DUMMYFUNCTION("split(I778,"" "")"),"Dan")</f>
        <v>Dan</v>
      </c>
      <c r="K778" s="1" t="str">
        <f ca="1">IFERROR(__xludf.DUMMYFUNCTION("""COMPUTED_VALUE"""),"Lawera")</f>
        <v>Lawera</v>
      </c>
      <c r="L778" s="1"/>
      <c r="M778" s="1" t="s">
        <v>29</v>
      </c>
      <c r="N778" s="1" t="s">
        <v>30</v>
      </c>
      <c r="O778" s="1" t="s">
        <v>829</v>
      </c>
      <c r="P778" s="1" t="str">
        <f t="shared" si="782"/>
        <v>Cincinnati</v>
      </c>
      <c r="Q778" s="1" t="s">
        <v>421</v>
      </c>
      <c r="R778" s="1" t="str">
        <f t="shared" si="783"/>
        <v>Ohio</v>
      </c>
      <c r="S778" s="1">
        <v>45231</v>
      </c>
      <c r="T778" s="1" t="s">
        <v>128</v>
      </c>
      <c r="U778" s="1" t="s">
        <v>2006</v>
      </c>
      <c r="V778" s="1" t="s">
        <v>46</v>
      </c>
      <c r="W778" s="7">
        <v>32.76</v>
      </c>
      <c r="X778" s="1">
        <v>4</v>
      </c>
      <c r="Y778" s="7">
        <v>32.5</v>
      </c>
      <c r="Z778" s="7">
        <f t="shared" ref="Z778:AA778" si="796">W778*X778</f>
        <v>131.04</v>
      </c>
      <c r="AA778" s="7">
        <f t="shared" si="796"/>
        <v>130</v>
      </c>
      <c r="AB778" s="7">
        <f t="shared" si="785"/>
        <v>1.039999999999992</v>
      </c>
    </row>
    <row r="779" spans="1:28">
      <c r="A779" s="1">
        <v>778</v>
      </c>
      <c r="B779" s="1" t="s">
        <v>2007</v>
      </c>
      <c r="C779" s="2">
        <v>42603</v>
      </c>
      <c r="D779" s="6" t="str">
        <f t="shared" si="780"/>
        <v>Aug</v>
      </c>
      <c r="E779" s="6" t="str">
        <f t="shared" si="781"/>
        <v>Qtr 3</v>
      </c>
      <c r="F779" s="5" t="s">
        <v>2008</v>
      </c>
      <c r="G779" s="1" t="s">
        <v>162</v>
      </c>
      <c r="H779" s="1" t="s">
        <v>875</v>
      </c>
      <c r="I779" s="1" t="s">
        <v>876</v>
      </c>
      <c r="J779" s="1" t="str">
        <f ca="1">IFERROR(__xludf.DUMMYFUNCTION("split(I779,"" "")"),"Nick")</f>
        <v>Nick</v>
      </c>
      <c r="K779" s="1" t="str">
        <f ca="1">IFERROR(__xludf.DUMMYFUNCTION("""COMPUTED_VALUE"""),"Zandusky")</f>
        <v>Zandusky</v>
      </c>
      <c r="L779" s="1"/>
      <c r="M779" s="1" t="s">
        <v>87</v>
      </c>
      <c r="N779" s="1" t="s">
        <v>30</v>
      </c>
      <c r="O779" s="1" t="s">
        <v>110</v>
      </c>
      <c r="P779" s="1" t="str">
        <f t="shared" si="782"/>
        <v>San Francisco</v>
      </c>
      <c r="Q779" s="1" t="s">
        <v>68</v>
      </c>
      <c r="R779" s="1" t="str">
        <f t="shared" si="783"/>
        <v>California</v>
      </c>
      <c r="S779" s="1">
        <v>94110</v>
      </c>
      <c r="T779" s="1" t="s">
        <v>44</v>
      </c>
      <c r="U779" s="1" t="s">
        <v>2009</v>
      </c>
      <c r="V779" s="1" t="s">
        <v>35</v>
      </c>
      <c r="W779" s="7">
        <v>544.00800000000004</v>
      </c>
      <c r="X779" s="1">
        <v>9</v>
      </c>
      <c r="Y779" s="7">
        <v>543.32000000000005</v>
      </c>
      <c r="Z779" s="7">
        <f t="shared" ref="Z779:AA779" si="797">W779*X779</f>
        <v>4896.0720000000001</v>
      </c>
      <c r="AA779" s="7">
        <f t="shared" si="797"/>
        <v>4889.88</v>
      </c>
      <c r="AB779" s="7">
        <f t="shared" si="785"/>
        <v>6.1920000000000073</v>
      </c>
    </row>
    <row r="780" spans="1:28">
      <c r="A780" s="1">
        <v>779</v>
      </c>
      <c r="B780" s="1" t="s">
        <v>2007</v>
      </c>
      <c r="C780" s="2">
        <v>42603</v>
      </c>
      <c r="D780" s="6" t="str">
        <f t="shared" si="780"/>
        <v>Aug</v>
      </c>
      <c r="E780" s="6" t="str">
        <f t="shared" si="781"/>
        <v>Qtr 3</v>
      </c>
      <c r="F780" s="5" t="s">
        <v>2008</v>
      </c>
      <c r="G780" s="1" t="s">
        <v>162</v>
      </c>
      <c r="H780" s="1" t="s">
        <v>875</v>
      </c>
      <c r="I780" s="1" t="s">
        <v>876</v>
      </c>
      <c r="J780" s="1" t="str">
        <f ca="1">IFERROR(__xludf.DUMMYFUNCTION("split(I780,"" "")"),"Nick")</f>
        <v>Nick</v>
      </c>
      <c r="K780" s="1" t="str">
        <f ca="1">IFERROR(__xludf.DUMMYFUNCTION("""COMPUTED_VALUE"""),"Zandusky")</f>
        <v>Zandusky</v>
      </c>
      <c r="L780" s="1"/>
      <c r="M780" s="1" t="s">
        <v>87</v>
      </c>
      <c r="N780" s="1" t="s">
        <v>30</v>
      </c>
      <c r="O780" s="1" t="s">
        <v>110</v>
      </c>
      <c r="P780" s="1" t="str">
        <f t="shared" si="782"/>
        <v>San Francisco</v>
      </c>
      <c r="Q780" s="1" t="s">
        <v>68</v>
      </c>
      <c r="R780" s="1" t="str">
        <f t="shared" si="783"/>
        <v>California</v>
      </c>
      <c r="S780" s="1">
        <v>94110</v>
      </c>
      <c r="T780" s="1" t="s">
        <v>44</v>
      </c>
      <c r="U780" s="1" t="s">
        <v>1179</v>
      </c>
      <c r="V780" s="1" t="s">
        <v>46</v>
      </c>
      <c r="W780" s="7">
        <v>59.94</v>
      </c>
      <c r="X780" s="1">
        <v>9</v>
      </c>
      <c r="Y780" s="7">
        <v>59.49</v>
      </c>
      <c r="Z780" s="7">
        <f t="shared" ref="Z780:AA780" si="798">W780*X780</f>
        <v>539.46</v>
      </c>
      <c r="AA780" s="7">
        <f t="shared" si="798"/>
        <v>535.41</v>
      </c>
      <c r="AB780" s="7">
        <f t="shared" si="785"/>
        <v>4.0500000000000682</v>
      </c>
    </row>
    <row r="781" spans="1:28">
      <c r="A781" s="1">
        <v>780</v>
      </c>
      <c r="B781" s="1" t="s">
        <v>2007</v>
      </c>
      <c r="C781" s="2">
        <v>42603</v>
      </c>
      <c r="D781" s="6" t="str">
        <f t="shared" si="780"/>
        <v>Aug</v>
      </c>
      <c r="E781" s="6" t="str">
        <f t="shared" si="781"/>
        <v>Qtr 3</v>
      </c>
      <c r="F781" s="5" t="s">
        <v>2008</v>
      </c>
      <c r="G781" s="1" t="s">
        <v>162</v>
      </c>
      <c r="H781" s="1" t="s">
        <v>875</v>
      </c>
      <c r="I781" s="1" t="s">
        <v>876</v>
      </c>
      <c r="J781" s="1" t="str">
        <f ca="1">IFERROR(__xludf.DUMMYFUNCTION("split(I781,"" "")"),"Nick")</f>
        <v>Nick</v>
      </c>
      <c r="K781" s="1" t="str">
        <f ca="1">IFERROR(__xludf.DUMMYFUNCTION("""COMPUTED_VALUE"""),"Zandusky")</f>
        <v>Zandusky</v>
      </c>
      <c r="L781" s="1"/>
      <c r="M781" s="1" t="s">
        <v>87</v>
      </c>
      <c r="N781" s="1" t="s">
        <v>30</v>
      </c>
      <c r="O781" s="1" t="s">
        <v>110</v>
      </c>
      <c r="P781" s="1" t="str">
        <f t="shared" si="782"/>
        <v>San Francisco</v>
      </c>
      <c r="Q781" s="1" t="s">
        <v>68</v>
      </c>
      <c r="R781" s="1" t="str">
        <f t="shared" si="783"/>
        <v>California</v>
      </c>
      <c r="S781" s="1">
        <v>94110</v>
      </c>
      <c r="T781" s="1" t="s">
        <v>44</v>
      </c>
      <c r="U781" s="1" t="s">
        <v>1157</v>
      </c>
      <c r="V781" s="1" t="s">
        <v>46</v>
      </c>
      <c r="W781" s="7">
        <v>23.92</v>
      </c>
      <c r="X781" s="1">
        <v>9</v>
      </c>
      <c r="Y781" s="7">
        <v>23.61</v>
      </c>
      <c r="Z781" s="7">
        <f t="shared" ref="Z781:AA781" si="799">W781*X781</f>
        <v>215.28000000000003</v>
      </c>
      <c r="AA781" s="7">
        <f t="shared" si="799"/>
        <v>212.49</v>
      </c>
      <c r="AB781" s="7">
        <f t="shared" si="785"/>
        <v>2.7900000000000205</v>
      </c>
    </row>
    <row r="782" spans="1:28">
      <c r="A782" s="1">
        <v>781</v>
      </c>
      <c r="B782" s="1" t="s">
        <v>2007</v>
      </c>
      <c r="C782" s="2">
        <v>42603</v>
      </c>
      <c r="D782" s="6" t="str">
        <f t="shared" si="780"/>
        <v>Aug</v>
      </c>
      <c r="E782" s="6" t="str">
        <f t="shared" si="781"/>
        <v>Qtr 3</v>
      </c>
      <c r="F782" s="5" t="s">
        <v>2008</v>
      </c>
      <c r="G782" s="1" t="s">
        <v>162</v>
      </c>
      <c r="H782" s="1" t="s">
        <v>875</v>
      </c>
      <c r="I782" s="1" t="s">
        <v>876</v>
      </c>
      <c r="J782" s="1" t="str">
        <f ca="1">IFERROR(__xludf.DUMMYFUNCTION("split(I782,"" "")"),"Nick")</f>
        <v>Nick</v>
      </c>
      <c r="K782" s="1" t="str">
        <f ca="1">IFERROR(__xludf.DUMMYFUNCTION("""COMPUTED_VALUE"""),"Zandusky")</f>
        <v>Zandusky</v>
      </c>
      <c r="L782" s="1"/>
      <c r="M782" s="1" t="s">
        <v>87</v>
      </c>
      <c r="N782" s="1" t="s">
        <v>30</v>
      </c>
      <c r="O782" s="1" t="s">
        <v>110</v>
      </c>
      <c r="P782" s="1" t="str">
        <f t="shared" si="782"/>
        <v>San Francisco</v>
      </c>
      <c r="Q782" s="1" t="s">
        <v>68</v>
      </c>
      <c r="R782" s="1" t="str">
        <f t="shared" si="783"/>
        <v>California</v>
      </c>
      <c r="S782" s="1">
        <v>94110</v>
      </c>
      <c r="T782" s="1" t="s">
        <v>44</v>
      </c>
      <c r="U782" s="1" t="s">
        <v>2010</v>
      </c>
      <c r="V782" s="1" t="s">
        <v>46</v>
      </c>
      <c r="W782" s="7">
        <v>4.28</v>
      </c>
      <c r="X782" s="1">
        <v>9</v>
      </c>
      <c r="Y782" s="7">
        <v>4.07</v>
      </c>
      <c r="Z782" s="7">
        <f t="shared" ref="Z782:AA782" si="800">W782*X782</f>
        <v>38.520000000000003</v>
      </c>
      <c r="AA782" s="7">
        <f t="shared" si="800"/>
        <v>36.630000000000003</v>
      </c>
      <c r="AB782" s="7">
        <f t="shared" si="785"/>
        <v>1.8900000000000006</v>
      </c>
    </row>
    <row r="783" spans="1:28">
      <c r="A783" s="1">
        <v>782</v>
      </c>
      <c r="B783" s="1" t="s">
        <v>2011</v>
      </c>
      <c r="C783" s="2">
        <v>42439</v>
      </c>
      <c r="D783" s="6" t="str">
        <f t="shared" si="780"/>
        <v>Mar</v>
      </c>
      <c r="E783" s="6" t="str">
        <f t="shared" si="781"/>
        <v>Qtr 1</v>
      </c>
      <c r="F783" s="5">
        <v>42531</v>
      </c>
      <c r="G783" s="1" t="s">
        <v>26</v>
      </c>
      <c r="H783" s="1" t="s">
        <v>2012</v>
      </c>
      <c r="I783" s="1" t="s">
        <v>2013</v>
      </c>
      <c r="J783" s="1" t="str">
        <f ca="1">IFERROR(__xludf.DUMMYFUNCTION("split(I783,"" "")"),"Bryan")</f>
        <v>Bryan</v>
      </c>
      <c r="K783" s="1" t="str">
        <f ca="1">IFERROR(__xludf.DUMMYFUNCTION("""COMPUTED_VALUE"""),"Mills")</f>
        <v>Mills</v>
      </c>
      <c r="L783" s="1"/>
      <c r="M783" s="1" t="s">
        <v>29</v>
      </c>
      <c r="N783" s="1" t="s">
        <v>30</v>
      </c>
      <c r="O783" s="1" t="s">
        <v>420</v>
      </c>
      <c r="P783" s="1" t="str">
        <f t="shared" si="782"/>
        <v>Columbus</v>
      </c>
      <c r="Q783" s="1" t="s">
        <v>421</v>
      </c>
      <c r="R783" s="1" t="str">
        <f t="shared" si="783"/>
        <v>Ohio</v>
      </c>
      <c r="S783" s="1">
        <v>43229</v>
      </c>
      <c r="T783" s="1" t="s">
        <v>128</v>
      </c>
      <c r="U783" s="1" t="s">
        <v>1299</v>
      </c>
      <c r="V783" s="1" t="s">
        <v>46</v>
      </c>
      <c r="W783" s="7">
        <v>32.07</v>
      </c>
      <c r="X783" s="1">
        <v>4</v>
      </c>
      <c r="Y783" s="7">
        <v>31.46</v>
      </c>
      <c r="Z783" s="7">
        <f t="shared" ref="Z783:AA783" si="801">W783*X783</f>
        <v>128.28</v>
      </c>
      <c r="AA783" s="7">
        <f t="shared" si="801"/>
        <v>125.84</v>
      </c>
      <c r="AB783" s="7">
        <f t="shared" si="785"/>
        <v>2.4399999999999977</v>
      </c>
    </row>
    <row r="784" spans="1:28">
      <c r="A784" s="1">
        <v>783</v>
      </c>
      <c r="B784" s="1" t="s">
        <v>2011</v>
      </c>
      <c r="C784" s="2">
        <v>42439</v>
      </c>
      <c r="D784" s="6" t="str">
        <f t="shared" si="780"/>
        <v>Mar</v>
      </c>
      <c r="E784" s="6" t="str">
        <f t="shared" si="781"/>
        <v>Qtr 1</v>
      </c>
      <c r="F784" s="5">
        <v>42531</v>
      </c>
      <c r="G784" s="1" t="s">
        <v>26</v>
      </c>
      <c r="H784" s="1" t="s">
        <v>2012</v>
      </c>
      <c r="I784" s="1" t="s">
        <v>2013</v>
      </c>
      <c r="J784" s="1" t="str">
        <f ca="1">IFERROR(__xludf.DUMMYFUNCTION("split(I784,"" "")"),"Bryan")</f>
        <v>Bryan</v>
      </c>
      <c r="K784" s="1" t="str">
        <f ca="1">IFERROR(__xludf.DUMMYFUNCTION("""COMPUTED_VALUE"""),"Mills")</f>
        <v>Mills</v>
      </c>
      <c r="L784" s="1"/>
      <c r="M784" s="1" t="s">
        <v>29</v>
      </c>
      <c r="N784" s="1" t="s">
        <v>30</v>
      </c>
      <c r="O784" s="1" t="s">
        <v>420</v>
      </c>
      <c r="P784" s="1" t="str">
        <f t="shared" si="782"/>
        <v>Columbus</v>
      </c>
      <c r="Q784" s="1" t="s">
        <v>421</v>
      </c>
      <c r="R784" s="1" t="str">
        <f t="shared" si="783"/>
        <v>Ohio</v>
      </c>
      <c r="S784" s="1">
        <v>43229</v>
      </c>
      <c r="T784" s="1" t="s">
        <v>128</v>
      </c>
      <c r="U784" s="1" t="s">
        <v>217</v>
      </c>
      <c r="V784" s="1" t="s">
        <v>64</v>
      </c>
      <c r="W784" s="7">
        <v>24</v>
      </c>
      <c r="X784" s="1">
        <v>4</v>
      </c>
      <c r="Y784" s="7">
        <v>23.28</v>
      </c>
      <c r="Z784" s="7">
        <f t="shared" ref="Z784:AA784" si="802">W784*X784</f>
        <v>96</v>
      </c>
      <c r="AA784" s="7">
        <f t="shared" si="802"/>
        <v>93.12</v>
      </c>
      <c r="AB784" s="7">
        <f t="shared" si="785"/>
        <v>2.8799999999999955</v>
      </c>
    </row>
    <row r="785" spans="1:28">
      <c r="A785" s="1">
        <v>784</v>
      </c>
      <c r="B785" s="1" t="s">
        <v>2011</v>
      </c>
      <c r="C785" s="2">
        <v>42439</v>
      </c>
      <c r="D785" s="6" t="str">
        <f t="shared" si="780"/>
        <v>Mar</v>
      </c>
      <c r="E785" s="6" t="str">
        <f t="shared" si="781"/>
        <v>Qtr 1</v>
      </c>
      <c r="F785" s="5">
        <v>42531</v>
      </c>
      <c r="G785" s="1" t="s">
        <v>26</v>
      </c>
      <c r="H785" s="1" t="s">
        <v>2012</v>
      </c>
      <c r="I785" s="1" t="s">
        <v>2013</v>
      </c>
      <c r="J785" s="1" t="str">
        <f ca="1">IFERROR(__xludf.DUMMYFUNCTION("split(I785,"" "")"),"Bryan")</f>
        <v>Bryan</v>
      </c>
      <c r="K785" s="1" t="str">
        <f ca="1">IFERROR(__xludf.DUMMYFUNCTION("""COMPUTED_VALUE"""),"Mills")</f>
        <v>Mills</v>
      </c>
      <c r="L785" s="1"/>
      <c r="M785" s="1" t="s">
        <v>29</v>
      </c>
      <c r="N785" s="1" t="s">
        <v>30</v>
      </c>
      <c r="O785" s="1" t="s">
        <v>420</v>
      </c>
      <c r="P785" s="1" t="str">
        <f t="shared" si="782"/>
        <v>Columbus</v>
      </c>
      <c r="Q785" s="1" t="s">
        <v>421</v>
      </c>
      <c r="R785" s="1" t="str">
        <f t="shared" si="783"/>
        <v>Ohio</v>
      </c>
      <c r="S785" s="1">
        <v>43229</v>
      </c>
      <c r="T785" s="1" t="s">
        <v>128</v>
      </c>
      <c r="U785" s="1" t="s">
        <v>2014</v>
      </c>
      <c r="V785" s="1" t="s">
        <v>35</v>
      </c>
      <c r="W785" s="7">
        <v>35.49</v>
      </c>
      <c r="X785" s="1">
        <v>4</v>
      </c>
      <c r="Y785" s="7">
        <v>34.93</v>
      </c>
      <c r="Z785" s="7">
        <f t="shared" ref="Z785:AA785" si="803">W785*X785</f>
        <v>141.96</v>
      </c>
      <c r="AA785" s="7">
        <f t="shared" si="803"/>
        <v>139.72</v>
      </c>
      <c r="AB785" s="7">
        <f t="shared" si="785"/>
        <v>2.2400000000000091</v>
      </c>
    </row>
    <row r="786" spans="1:28">
      <c r="A786" s="1">
        <v>785</v>
      </c>
      <c r="B786" s="1" t="s">
        <v>2011</v>
      </c>
      <c r="C786" s="2">
        <v>42439</v>
      </c>
      <c r="D786" s="6" t="str">
        <f t="shared" si="780"/>
        <v>Mar</v>
      </c>
      <c r="E786" s="6" t="str">
        <f t="shared" si="781"/>
        <v>Qtr 1</v>
      </c>
      <c r="F786" s="5">
        <v>42531</v>
      </c>
      <c r="G786" s="1" t="s">
        <v>26</v>
      </c>
      <c r="H786" s="1" t="s">
        <v>2012</v>
      </c>
      <c r="I786" s="1" t="s">
        <v>2013</v>
      </c>
      <c r="J786" s="1" t="str">
        <f ca="1">IFERROR(__xludf.DUMMYFUNCTION("split(I786,"" "")"),"Bryan")</f>
        <v>Bryan</v>
      </c>
      <c r="K786" s="1" t="str">
        <f ca="1">IFERROR(__xludf.DUMMYFUNCTION("""COMPUTED_VALUE"""),"Mills")</f>
        <v>Mills</v>
      </c>
      <c r="L786" s="1"/>
      <c r="M786" s="1" t="s">
        <v>29</v>
      </c>
      <c r="N786" s="1" t="s">
        <v>30</v>
      </c>
      <c r="O786" s="1" t="s">
        <v>420</v>
      </c>
      <c r="P786" s="1" t="str">
        <f t="shared" si="782"/>
        <v>Columbus</v>
      </c>
      <c r="Q786" s="1" t="s">
        <v>421</v>
      </c>
      <c r="R786" s="1" t="str">
        <f t="shared" si="783"/>
        <v>Ohio</v>
      </c>
      <c r="S786" s="1">
        <v>43229</v>
      </c>
      <c r="T786" s="1" t="s">
        <v>128</v>
      </c>
      <c r="U786" s="1" t="s">
        <v>2015</v>
      </c>
      <c r="V786" s="1" t="s">
        <v>64</v>
      </c>
      <c r="W786" s="7">
        <v>47.984000000000002</v>
      </c>
      <c r="X786" s="1">
        <v>4</v>
      </c>
      <c r="Y786" s="7">
        <v>46.99</v>
      </c>
      <c r="Z786" s="7">
        <f t="shared" ref="Z786:AA786" si="804">W786*X786</f>
        <v>191.93600000000001</v>
      </c>
      <c r="AA786" s="7">
        <f t="shared" si="804"/>
        <v>187.96</v>
      </c>
      <c r="AB786" s="7">
        <f t="shared" si="785"/>
        <v>3.9759999999999991</v>
      </c>
    </row>
    <row r="787" spans="1:28">
      <c r="A787" s="1">
        <v>786</v>
      </c>
      <c r="B787" s="1" t="s">
        <v>2016</v>
      </c>
      <c r="C787" s="2">
        <v>42513</v>
      </c>
      <c r="D787" s="6" t="str">
        <f t="shared" si="780"/>
        <v>May</v>
      </c>
      <c r="E787" s="6" t="str">
        <f t="shared" si="781"/>
        <v>Qtr 2</v>
      </c>
      <c r="F787" s="5" t="s">
        <v>2017</v>
      </c>
      <c r="G787" s="1" t="s">
        <v>49</v>
      </c>
      <c r="H787" s="1" t="s">
        <v>739</v>
      </c>
      <c r="I787" s="1" t="s">
        <v>740</v>
      </c>
      <c r="J787" s="1" t="str">
        <f ca="1">IFERROR(__xludf.DUMMYFUNCTION("split(I787,"" "")"),"Erin")</f>
        <v>Erin</v>
      </c>
      <c r="K787" s="1" t="str">
        <f ca="1">IFERROR(__xludf.DUMMYFUNCTION("""COMPUTED_VALUE"""),"Ashbrook")</f>
        <v>Ashbrook</v>
      </c>
      <c r="L787" s="1"/>
      <c r="M787" s="1" t="s">
        <v>41</v>
      </c>
      <c r="N787" s="1" t="s">
        <v>30</v>
      </c>
      <c r="O787" s="1" t="s">
        <v>325</v>
      </c>
      <c r="P787" s="1" t="str">
        <f t="shared" si="782"/>
        <v>Columbia</v>
      </c>
      <c r="Q787" s="1" t="s">
        <v>326</v>
      </c>
      <c r="R787" s="1" t="str">
        <f t="shared" si="783"/>
        <v>South Carolina</v>
      </c>
      <c r="S787" s="1">
        <v>29203</v>
      </c>
      <c r="T787" s="1" t="s">
        <v>33</v>
      </c>
      <c r="U787" s="1" t="s">
        <v>2018</v>
      </c>
      <c r="V787" s="1" t="s">
        <v>46</v>
      </c>
      <c r="W787" s="7">
        <v>186.69</v>
      </c>
      <c r="X787" s="1">
        <v>2</v>
      </c>
      <c r="Y787" s="7">
        <v>185.95</v>
      </c>
      <c r="Z787" s="7">
        <f t="shared" ref="Z787:AA787" si="805">W787*X787</f>
        <v>373.38</v>
      </c>
      <c r="AA787" s="7">
        <f t="shared" si="805"/>
        <v>371.9</v>
      </c>
      <c r="AB787" s="7">
        <f t="shared" si="785"/>
        <v>1.4800000000000182</v>
      </c>
    </row>
    <row r="788" spans="1:28">
      <c r="A788" s="1">
        <v>787</v>
      </c>
      <c r="B788" s="1" t="s">
        <v>2019</v>
      </c>
      <c r="C788" s="2">
        <v>43176</v>
      </c>
      <c r="D788" s="6" t="str">
        <f t="shared" si="780"/>
        <v>Mar</v>
      </c>
      <c r="E788" s="6" t="str">
        <f t="shared" si="781"/>
        <v>Qtr 1</v>
      </c>
      <c r="F788" s="5" t="s">
        <v>2020</v>
      </c>
      <c r="G788" s="1" t="s">
        <v>26</v>
      </c>
      <c r="H788" s="1" t="s">
        <v>410</v>
      </c>
      <c r="I788" s="1" t="s">
        <v>411</v>
      </c>
      <c r="J788" s="1" t="str">
        <f ca="1">IFERROR(__xludf.DUMMYFUNCTION("split(I788,"" "")"),"Clay")</f>
        <v>Clay</v>
      </c>
      <c r="K788" s="1" t="str">
        <f ca="1">IFERROR(__xludf.DUMMYFUNCTION("""COMPUTED_VALUE"""),"Ludtke")</f>
        <v>Ludtke</v>
      </c>
      <c r="L788" s="1"/>
      <c r="M788" s="1" t="s">
        <v>29</v>
      </c>
      <c r="N788" s="1" t="s">
        <v>30</v>
      </c>
      <c r="O788" s="1" t="s">
        <v>2021</v>
      </c>
      <c r="P788" s="1" t="str">
        <f t="shared" si="782"/>
        <v>Lancaster</v>
      </c>
      <c r="Q788" s="1" t="s">
        <v>68</v>
      </c>
      <c r="R788" s="1" t="str">
        <f t="shared" si="783"/>
        <v>California</v>
      </c>
      <c r="S788" s="1">
        <v>93534</v>
      </c>
      <c r="T788" s="1" t="s">
        <v>44</v>
      </c>
      <c r="U788" s="1" t="s">
        <v>2022</v>
      </c>
      <c r="V788" s="1" t="s">
        <v>46</v>
      </c>
      <c r="W788" s="7">
        <v>17.456</v>
      </c>
      <c r="X788" s="1">
        <v>9</v>
      </c>
      <c r="Y788" s="7">
        <v>16.96</v>
      </c>
      <c r="Z788" s="7">
        <f t="shared" ref="Z788:AA788" si="806">W788*X788</f>
        <v>157.10399999999998</v>
      </c>
      <c r="AA788" s="7">
        <f t="shared" si="806"/>
        <v>152.64000000000001</v>
      </c>
      <c r="AB788" s="7">
        <f t="shared" si="785"/>
        <v>4.4639999999999702</v>
      </c>
    </row>
    <row r="789" spans="1:28">
      <c r="A789" s="1">
        <v>788</v>
      </c>
      <c r="B789" s="1" t="s">
        <v>2023</v>
      </c>
      <c r="C789" s="2">
        <v>42716</v>
      </c>
      <c r="D789" s="6" t="str">
        <f t="shared" si="780"/>
        <v>Dec</v>
      </c>
      <c r="E789" s="6" t="str">
        <f t="shared" si="781"/>
        <v>Qtr 4</v>
      </c>
      <c r="F789" s="5" t="s">
        <v>2024</v>
      </c>
      <c r="G789" s="1" t="s">
        <v>49</v>
      </c>
      <c r="H789" s="1" t="s">
        <v>2025</v>
      </c>
      <c r="I789" s="1" t="s">
        <v>2026</v>
      </c>
      <c r="J789" s="1" t="str">
        <f ca="1">IFERROR(__xludf.DUMMYFUNCTION("split(I789,"" "")"),"Liz")</f>
        <v>Liz</v>
      </c>
      <c r="K789" s="1" t="str">
        <f ca="1">IFERROR(__xludf.DUMMYFUNCTION("""COMPUTED_VALUE"""),"Thompson")</f>
        <v>Thompson</v>
      </c>
      <c r="L789" s="1"/>
      <c r="M789" s="1" t="s">
        <v>29</v>
      </c>
      <c r="N789" s="1" t="s">
        <v>30</v>
      </c>
      <c r="O789" s="1" t="s">
        <v>2021</v>
      </c>
      <c r="P789" s="1" t="str">
        <f t="shared" si="782"/>
        <v>Lancaster</v>
      </c>
      <c r="Q789" s="1" t="s">
        <v>68</v>
      </c>
      <c r="R789" s="1" t="str">
        <f t="shared" si="783"/>
        <v>California</v>
      </c>
      <c r="S789" s="1">
        <v>93534</v>
      </c>
      <c r="T789" s="1" t="s">
        <v>44</v>
      </c>
      <c r="U789" s="1" t="s">
        <v>2027</v>
      </c>
      <c r="V789" s="1" t="s">
        <v>35</v>
      </c>
      <c r="W789" s="7">
        <v>348.928</v>
      </c>
      <c r="X789" s="1">
        <v>9</v>
      </c>
      <c r="Y789" s="7">
        <v>348.61</v>
      </c>
      <c r="Z789" s="7">
        <f t="shared" ref="Z789:AA789" si="807">W789*X789</f>
        <v>3140.3519999999999</v>
      </c>
      <c r="AA789" s="7">
        <f t="shared" si="807"/>
        <v>3137.4900000000002</v>
      </c>
      <c r="AB789" s="7">
        <f t="shared" si="785"/>
        <v>2.8619999999996253</v>
      </c>
    </row>
    <row r="790" spans="1:28">
      <c r="A790" s="1">
        <v>789</v>
      </c>
      <c r="B790" s="1" t="s">
        <v>2028</v>
      </c>
      <c r="C790" s="2">
        <v>42547</v>
      </c>
      <c r="D790" s="6" t="str">
        <f t="shared" si="780"/>
        <v>Jun</v>
      </c>
      <c r="E790" s="6" t="str">
        <f t="shared" si="781"/>
        <v>Qtr 2</v>
      </c>
      <c r="F790" s="5" t="s">
        <v>2029</v>
      </c>
      <c r="G790" s="1" t="s">
        <v>49</v>
      </c>
      <c r="H790" s="1" t="s">
        <v>1359</v>
      </c>
      <c r="I790" s="1" t="s">
        <v>1360</v>
      </c>
      <c r="J790" s="1" t="str">
        <f ca="1">IFERROR(__xludf.DUMMYFUNCTION("split(I790,"" "")"),"Sue")</f>
        <v>Sue</v>
      </c>
      <c r="K790" s="1" t="str">
        <f ca="1">IFERROR(__xludf.DUMMYFUNCTION("""COMPUTED_VALUE"""),"Ann")</f>
        <v>Ann</v>
      </c>
      <c r="L790" s="1" t="str">
        <f ca="1">IFERROR(__xludf.DUMMYFUNCTION("""COMPUTED_VALUE"""),"Reed")</f>
        <v>Reed</v>
      </c>
      <c r="M790" s="1" t="s">
        <v>29</v>
      </c>
      <c r="N790" s="1" t="s">
        <v>30</v>
      </c>
      <c r="O790" s="1" t="s">
        <v>1192</v>
      </c>
      <c r="P790" s="1" t="str">
        <f t="shared" si="782"/>
        <v>Richmond</v>
      </c>
      <c r="Q790" s="1" t="s">
        <v>272</v>
      </c>
      <c r="R790" s="1" t="str">
        <f t="shared" si="783"/>
        <v>Virginia</v>
      </c>
      <c r="S790" s="1">
        <v>23223</v>
      </c>
      <c r="T790" s="1" t="s">
        <v>33</v>
      </c>
      <c r="U790" s="1" t="s">
        <v>1217</v>
      </c>
      <c r="V790" s="1" t="s">
        <v>46</v>
      </c>
      <c r="W790" s="7">
        <v>143.96</v>
      </c>
      <c r="X790" s="1">
        <v>2</v>
      </c>
      <c r="Y790" s="7">
        <v>143.01</v>
      </c>
      <c r="Z790" s="7">
        <f t="shared" ref="Z790:AA790" si="808">W790*X790</f>
        <v>287.92</v>
      </c>
      <c r="AA790" s="7">
        <f t="shared" si="808"/>
        <v>286.02</v>
      </c>
      <c r="AB790" s="7">
        <f t="shared" si="785"/>
        <v>1.9000000000000341</v>
      </c>
    </row>
    <row r="791" spans="1:28">
      <c r="A791" s="1">
        <v>790</v>
      </c>
      <c r="B791" s="1" t="s">
        <v>2028</v>
      </c>
      <c r="C791" s="2">
        <v>42547</v>
      </c>
      <c r="D791" s="6" t="str">
        <f t="shared" si="780"/>
        <v>Jun</v>
      </c>
      <c r="E791" s="6" t="str">
        <f t="shared" si="781"/>
        <v>Qtr 2</v>
      </c>
      <c r="F791" s="5" t="s">
        <v>2029</v>
      </c>
      <c r="G791" s="1" t="s">
        <v>49</v>
      </c>
      <c r="H791" s="1" t="s">
        <v>1359</v>
      </c>
      <c r="I791" s="1" t="s">
        <v>1360</v>
      </c>
      <c r="J791" s="1" t="str">
        <f ca="1">IFERROR(__xludf.DUMMYFUNCTION("split(I791,"" "")"),"Sue")</f>
        <v>Sue</v>
      </c>
      <c r="K791" s="1" t="str">
        <f ca="1">IFERROR(__xludf.DUMMYFUNCTION("""COMPUTED_VALUE"""),"Ann")</f>
        <v>Ann</v>
      </c>
      <c r="L791" s="1" t="str">
        <f ca="1">IFERROR(__xludf.DUMMYFUNCTION("""COMPUTED_VALUE"""),"Reed")</f>
        <v>Reed</v>
      </c>
      <c r="M791" s="1" t="s">
        <v>29</v>
      </c>
      <c r="N791" s="1" t="s">
        <v>30</v>
      </c>
      <c r="O791" s="1" t="s">
        <v>1192</v>
      </c>
      <c r="P791" s="1" t="str">
        <f t="shared" si="782"/>
        <v>Richmond</v>
      </c>
      <c r="Q791" s="1" t="s">
        <v>272</v>
      </c>
      <c r="R791" s="1" t="str">
        <f t="shared" si="783"/>
        <v>Virginia</v>
      </c>
      <c r="S791" s="1">
        <v>23223</v>
      </c>
      <c r="T791" s="1" t="s">
        <v>33</v>
      </c>
      <c r="U791" s="1" t="s">
        <v>1328</v>
      </c>
      <c r="V791" s="1" t="s">
        <v>46</v>
      </c>
      <c r="W791" s="7">
        <v>15.42</v>
      </c>
      <c r="X791" s="1">
        <v>2</v>
      </c>
      <c r="Y791" s="7">
        <v>14.8</v>
      </c>
      <c r="Z791" s="7">
        <f t="shared" ref="Z791:AA791" si="809">W791*X791</f>
        <v>30.84</v>
      </c>
      <c r="AA791" s="7">
        <f t="shared" si="809"/>
        <v>29.6</v>
      </c>
      <c r="AB791" s="7">
        <f t="shared" si="785"/>
        <v>1.2399999999999984</v>
      </c>
    </row>
    <row r="792" spans="1:28">
      <c r="A792" s="1">
        <v>791</v>
      </c>
      <c r="B792" s="1" t="s">
        <v>2028</v>
      </c>
      <c r="C792" s="2">
        <v>42547</v>
      </c>
      <c r="D792" s="6" t="str">
        <f t="shared" si="780"/>
        <v>Jun</v>
      </c>
      <c r="E792" s="6" t="str">
        <f t="shared" si="781"/>
        <v>Qtr 2</v>
      </c>
      <c r="F792" s="5" t="s">
        <v>2029</v>
      </c>
      <c r="G792" s="1" t="s">
        <v>49</v>
      </c>
      <c r="H792" s="1" t="s">
        <v>1359</v>
      </c>
      <c r="I792" s="1" t="s">
        <v>1360</v>
      </c>
      <c r="J792" s="1" t="str">
        <f ca="1">IFERROR(__xludf.DUMMYFUNCTION("split(I792,"" "")"),"Sue")</f>
        <v>Sue</v>
      </c>
      <c r="K792" s="1" t="str">
        <f ca="1">IFERROR(__xludf.DUMMYFUNCTION("""COMPUTED_VALUE"""),"Ann")</f>
        <v>Ann</v>
      </c>
      <c r="L792" s="1" t="str">
        <f ca="1">IFERROR(__xludf.DUMMYFUNCTION("""COMPUTED_VALUE"""),"Reed")</f>
        <v>Reed</v>
      </c>
      <c r="M792" s="1" t="s">
        <v>29</v>
      </c>
      <c r="N792" s="1" t="s">
        <v>30</v>
      </c>
      <c r="O792" s="1" t="s">
        <v>1192</v>
      </c>
      <c r="P792" s="1" t="str">
        <f t="shared" si="782"/>
        <v>Richmond</v>
      </c>
      <c r="Q792" s="1" t="s">
        <v>272</v>
      </c>
      <c r="R792" s="1" t="str">
        <f t="shared" si="783"/>
        <v>Virginia</v>
      </c>
      <c r="S792" s="1">
        <v>23223</v>
      </c>
      <c r="T792" s="1" t="s">
        <v>33</v>
      </c>
      <c r="U792" s="1" t="s">
        <v>2030</v>
      </c>
      <c r="V792" s="1" t="s">
        <v>46</v>
      </c>
      <c r="W792" s="7">
        <v>43.04</v>
      </c>
      <c r="X792" s="1">
        <v>2</v>
      </c>
      <c r="Y792" s="7">
        <v>42.63</v>
      </c>
      <c r="Z792" s="7">
        <f t="shared" ref="Z792:AA792" si="810">W792*X792</f>
        <v>86.08</v>
      </c>
      <c r="AA792" s="7">
        <f t="shared" si="810"/>
        <v>85.26</v>
      </c>
      <c r="AB792" s="7">
        <f t="shared" si="785"/>
        <v>0.81999999999999318</v>
      </c>
    </row>
    <row r="793" spans="1:28">
      <c r="A793" s="1">
        <v>792</v>
      </c>
      <c r="B793" s="1" t="s">
        <v>2028</v>
      </c>
      <c r="C793" s="2">
        <v>42547</v>
      </c>
      <c r="D793" s="6" t="str">
        <f t="shared" si="780"/>
        <v>Jun</v>
      </c>
      <c r="E793" s="6" t="str">
        <f t="shared" si="781"/>
        <v>Qtr 2</v>
      </c>
      <c r="F793" s="5" t="s">
        <v>2029</v>
      </c>
      <c r="G793" s="1" t="s">
        <v>49</v>
      </c>
      <c r="H793" s="1" t="s">
        <v>1359</v>
      </c>
      <c r="I793" s="1" t="s">
        <v>1360</v>
      </c>
      <c r="J793" s="1" t="str">
        <f ca="1">IFERROR(__xludf.DUMMYFUNCTION("split(I793,"" "")"),"Sue")</f>
        <v>Sue</v>
      </c>
      <c r="K793" s="1" t="str">
        <f ca="1">IFERROR(__xludf.DUMMYFUNCTION("""COMPUTED_VALUE"""),"Ann")</f>
        <v>Ann</v>
      </c>
      <c r="L793" s="1" t="str">
        <f ca="1">IFERROR(__xludf.DUMMYFUNCTION("""COMPUTED_VALUE"""),"Reed")</f>
        <v>Reed</v>
      </c>
      <c r="M793" s="1" t="s">
        <v>29</v>
      </c>
      <c r="N793" s="1" t="s">
        <v>30</v>
      </c>
      <c r="O793" s="1" t="s">
        <v>1192</v>
      </c>
      <c r="P793" s="1" t="str">
        <f t="shared" si="782"/>
        <v>Richmond</v>
      </c>
      <c r="Q793" s="1" t="s">
        <v>272</v>
      </c>
      <c r="R793" s="1" t="str">
        <f t="shared" si="783"/>
        <v>Virginia</v>
      </c>
      <c r="S793" s="1">
        <v>23223</v>
      </c>
      <c r="T793" s="1" t="s">
        <v>33</v>
      </c>
      <c r="U793" s="1" t="s">
        <v>2031</v>
      </c>
      <c r="V793" s="1" t="s">
        <v>35</v>
      </c>
      <c r="W793" s="7">
        <v>332.94</v>
      </c>
      <c r="X793" s="1">
        <v>2</v>
      </c>
      <c r="Y793" s="7">
        <v>332.22</v>
      </c>
      <c r="Z793" s="7">
        <f t="shared" ref="Z793:AA793" si="811">W793*X793</f>
        <v>665.88</v>
      </c>
      <c r="AA793" s="7">
        <f t="shared" si="811"/>
        <v>664.44</v>
      </c>
      <c r="AB793" s="7">
        <f t="shared" si="785"/>
        <v>1.4399999999999409</v>
      </c>
    </row>
    <row r="794" spans="1:28">
      <c r="A794" s="1">
        <v>793</v>
      </c>
      <c r="B794" s="1" t="s">
        <v>2032</v>
      </c>
      <c r="C794" s="2">
        <v>42875</v>
      </c>
      <c r="D794" s="6" t="str">
        <f t="shared" si="780"/>
        <v>May</v>
      </c>
      <c r="E794" s="6" t="str">
        <f t="shared" si="781"/>
        <v>Qtr 2</v>
      </c>
      <c r="F794" s="5" t="s">
        <v>2033</v>
      </c>
      <c r="G794" s="1" t="s">
        <v>1050</v>
      </c>
      <c r="H794" s="1" t="s">
        <v>2034</v>
      </c>
      <c r="I794" s="1" t="s">
        <v>2035</v>
      </c>
      <c r="J794" s="1" t="str">
        <f ca="1">IFERROR(__xludf.DUMMYFUNCTION("split(I794,"" "")"),"Joe")</f>
        <v>Joe</v>
      </c>
      <c r="K794" s="1" t="str">
        <f ca="1">IFERROR(__xludf.DUMMYFUNCTION("""COMPUTED_VALUE"""),"Kamberova")</f>
        <v>Kamberova</v>
      </c>
      <c r="L794" s="1"/>
      <c r="M794" s="1" t="s">
        <v>29</v>
      </c>
      <c r="N794" s="1" t="s">
        <v>30</v>
      </c>
      <c r="O794" s="1" t="s">
        <v>2036</v>
      </c>
      <c r="P794" s="1" t="str">
        <f t="shared" si="782"/>
        <v>Asheville</v>
      </c>
      <c r="Q794" s="1" t="s">
        <v>75</v>
      </c>
      <c r="R794" s="1" t="str">
        <f t="shared" si="783"/>
        <v>North Carolina</v>
      </c>
      <c r="S794" s="1">
        <v>28806</v>
      </c>
      <c r="T794" s="1" t="s">
        <v>33</v>
      </c>
      <c r="U794" s="1" t="s">
        <v>2037</v>
      </c>
      <c r="V794" s="1" t="s">
        <v>64</v>
      </c>
      <c r="W794" s="7">
        <v>1363.96</v>
      </c>
      <c r="X794" s="1">
        <v>2</v>
      </c>
      <c r="Y794" s="7">
        <v>1363.48</v>
      </c>
      <c r="Z794" s="7">
        <f t="shared" ref="Z794:AA794" si="812">W794*X794</f>
        <v>2727.92</v>
      </c>
      <c r="AA794" s="7">
        <f t="shared" si="812"/>
        <v>2726.96</v>
      </c>
      <c r="AB794" s="7">
        <f t="shared" si="785"/>
        <v>0.96000000000003638</v>
      </c>
    </row>
    <row r="795" spans="1:28">
      <c r="A795" s="1">
        <v>794</v>
      </c>
      <c r="B795" s="1" t="s">
        <v>2038</v>
      </c>
      <c r="C795" s="2">
        <v>42267</v>
      </c>
      <c r="D795" s="6" t="str">
        <f t="shared" si="780"/>
        <v>Sep</v>
      </c>
      <c r="E795" s="6" t="str">
        <f t="shared" si="781"/>
        <v>Qtr 3</v>
      </c>
      <c r="F795" s="5" t="s">
        <v>2039</v>
      </c>
      <c r="G795" s="1" t="s">
        <v>49</v>
      </c>
      <c r="H795" s="1" t="s">
        <v>2040</v>
      </c>
      <c r="I795" s="1" t="s">
        <v>2041</v>
      </c>
      <c r="J795" s="1" t="str">
        <f ca="1">IFERROR(__xludf.DUMMYFUNCTION("split(I795,"" "")"),"Erica")</f>
        <v>Erica</v>
      </c>
      <c r="K795" s="1" t="str">
        <f ca="1">IFERROR(__xludf.DUMMYFUNCTION("""COMPUTED_VALUE"""),"Smith")</f>
        <v>Smith</v>
      </c>
      <c r="L795" s="1"/>
      <c r="M795" s="1" t="s">
        <v>29</v>
      </c>
      <c r="N795" s="1" t="s">
        <v>30</v>
      </c>
      <c r="O795" s="1" t="s">
        <v>110</v>
      </c>
      <c r="P795" s="1" t="str">
        <f t="shared" si="782"/>
        <v>San Francisco</v>
      </c>
      <c r="Q795" s="1" t="s">
        <v>68</v>
      </c>
      <c r="R795" s="1" t="str">
        <f t="shared" si="783"/>
        <v>California</v>
      </c>
      <c r="S795" s="1">
        <v>94110</v>
      </c>
      <c r="T795" s="1" t="s">
        <v>44</v>
      </c>
      <c r="U795" s="1" t="s">
        <v>2042</v>
      </c>
      <c r="V795" s="1" t="s">
        <v>46</v>
      </c>
      <c r="W795" s="7">
        <v>9.9600000000000009</v>
      </c>
      <c r="X795" s="1">
        <v>9</v>
      </c>
      <c r="Y795" s="7">
        <v>8.9700000000000006</v>
      </c>
      <c r="Z795" s="7">
        <f t="shared" ref="Z795:AA795" si="813">W795*X795</f>
        <v>89.640000000000015</v>
      </c>
      <c r="AA795" s="7">
        <f t="shared" si="813"/>
        <v>80.73</v>
      </c>
      <c r="AB795" s="7">
        <f t="shared" si="785"/>
        <v>8.9100000000000108</v>
      </c>
    </row>
    <row r="796" spans="1:28">
      <c r="A796" s="1">
        <v>795</v>
      </c>
      <c r="B796" s="1" t="s">
        <v>2038</v>
      </c>
      <c r="C796" s="2">
        <v>42267</v>
      </c>
      <c r="D796" s="6" t="str">
        <f t="shared" si="780"/>
        <v>Sep</v>
      </c>
      <c r="E796" s="6" t="str">
        <f t="shared" si="781"/>
        <v>Qtr 3</v>
      </c>
      <c r="F796" s="5" t="s">
        <v>2039</v>
      </c>
      <c r="G796" s="1" t="s">
        <v>49</v>
      </c>
      <c r="H796" s="1" t="s">
        <v>2040</v>
      </c>
      <c r="I796" s="1" t="s">
        <v>2041</v>
      </c>
      <c r="J796" s="1" t="str">
        <f ca="1">IFERROR(__xludf.DUMMYFUNCTION("split(I796,"" "")"),"Erica")</f>
        <v>Erica</v>
      </c>
      <c r="K796" s="1" t="str">
        <f ca="1">IFERROR(__xludf.DUMMYFUNCTION("""COMPUTED_VALUE"""),"Smith")</f>
        <v>Smith</v>
      </c>
      <c r="L796" s="1"/>
      <c r="M796" s="1" t="s">
        <v>29</v>
      </c>
      <c r="N796" s="1" t="s">
        <v>30</v>
      </c>
      <c r="O796" s="1" t="s">
        <v>110</v>
      </c>
      <c r="P796" s="1" t="str">
        <f t="shared" si="782"/>
        <v>San Francisco</v>
      </c>
      <c r="Q796" s="1" t="s">
        <v>68</v>
      </c>
      <c r="R796" s="1" t="str">
        <f t="shared" si="783"/>
        <v>California</v>
      </c>
      <c r="S796" s="1">
        <v>94110</v>
      </c>
      <c r="T796" s="1" t="s">
        <v>44</v>
      </c>
      <c r="U796" s="1" t="s">
        <v>1170</v>
      </c>
      <c r="V796" s="1" t="s">
        <v>46</v>
      </c>
      <c r="W796" s="7">
        <v>21.72</v>
      </c>
      <c r="X796" s="1">
        <v>9</v>
      </c>
      <c r="Y796" s="7">
        <v>21.3</v>
      </c>
      <c r="Z796" s="7">
        <f t="shared" ref="Z796:AA796" si="814">W796*X796</f>
        <v>195.48</v>
      </c>
      <c r="AA796" s="7">
        <f t="shared" si="814"/>
        <v>191.70000000000002</v>
      </c>
      <c r="AB796" s="7">
        <f t="shared" si="785"/>
        <v>3.7799999999999727</v>
      </c>
    </row>
    <row r="797" spans="1:28">
      <c r="A797" s="1">
        <v>796</v>
      </c>
      <c r="B797" s="1" t="s">
        <v>2043</v>
      </c>
      <c r="C797" s="2">
        <v>43364</v>
      </c>
      <c r="D797" s="6" t="str">
        <f t="shared" si="780"/>
        <v>Sep</v>
      </c>
      <c r="E797" s="6" t="str">
        <f t="shared" si="781"/>
        <v>Qtr 3</v>
      </c>
      <c r="F797" s="5" t="s">
        <v>1700</v>
      </c>
      <c r="G797" s="1" t="s">
        <v>49</v>
      </c>
      <c r="H797" s="1" t="s">
        <v>2044</v>
      </c>
      <c r="I797" s="1" t="s">
        <v>2045</v>
      </c>
      <c r="J797" s="1" t="str">
        <f ca="1">IFERROR(__xludf.DUMMYFUNCTION("split(I797,"" "")"),"Rick")</f>
        <v>Rick</v>
      </c>
      <c r="K797" s="1" t="str">
        <f ca="1">IFERROR(__xludf.DUMMYFUNCTION("""COMPUTED_VALUE"""),"Hansen")</f>
        <v>Hansen</v>
      </c>
      <c r="L797" s="1"/>
      <c r="M797" s="1" t="s">
        <v>29</v>
      </c>
      <c r="N797" s="1" t="s">
        <v>30</v>
      </c>
      <c r="O797" s="1" t="s">
        <v>331</v>
      </c>
      <c r="P797" s="1" t="str">
        <f t="shared" si="782"/>
        <v>Rochester</v>
      </c>
      <c r="Q797" s="1" t="s">
        <v>201</v>
      </c>
      <c r="R797" s="1" t="str">
        <f t="shared" si="783"/>
        <v>Minnesota</v>
      </c>
      <c r="S797" s="1">
        <v>55901</v>
      </c>
      <c r="T797" s="1" t="s">
        <v>90</v>
      </c>
      <c r="U797" s="1" t="s">
        <v>1953</v>
      </c>
      <c r="V797" s="1" t="s">
        <v>46</v>
      </c>
      <c r="W797" s="7">
        <v>20.16</v>
      </c>
      <c r="X797" s="1">
        <v>5</v>
      </c>
      <c r="Y797" s="7">
        <v>20.03</v>
      </c>
      <c r="Z797" s="7">
        <f t="shared" ref="Z797:AA797" si="815">W797*X797</f>
        <v>100.8</v>
      </c>
      <c r="AA797" s="7">
        <f t="shared" si="815"/>
        <v>100.15</v>
      </c>
      <c r="AB797" s="7">
        <f t="shared" si="785"/>
        <v>0.64999999999999147</v>
      </c>
    </row>
    <row r="798" spans="1:28">
      <c r="A798" s="1">
        <v>797</v>
      </c>
      <c r="B798" s="1" t="s">
        <v>2046</v>
      </c>
      <c r="C798" s="2">
        <v>42728</v>
      </c>
      <c r="D798" s="6" t="str">
        <f t="shared" si="780"/>
        <v>Dec</v>
      </c>
      <c r="E798" s="6" t="str">
        <f t="shared" si="781"/>
        <v>Qtr 4</v>
      </c>
      <c r="F798" s="5" t="s">
        <v>2047</v>
      </c>
      <c r="G798" s="1" t="s">
        <v>162</v>
      </c>
      <c r="H798" s="1" t="s">
        <v>749</v>
      </c>
      <c r="I798" s="1" t="s">
        <v>750</v>
      </c>
      <c r="J798" s="1" t="str">
        <f ca="1">IFERROR(__xludf.DUMMYFUNCTION("split(I798,"" "")"),"David")</f>
        <v>David</v>
      </c>
      <c r="K798" s="1" t="str">
        <f ca="1">IFERROR(__xludf.DUMMYFUNCTION("""COMPUTED_VALUE"""),"Bremer")</f>
        <v>Bremer</v>
      </c>
      <c r="L798" s="1"/>
      <c r="M798" s="1" t="s">
        <v>41</v>
      </c>
      <c r="N798" s="1" t="s">
        <v>30</v>
      </c>
      <c r="O798" s="1" t="s">
        <v>331</v>
      </c>
      <c r="P798" s="1" t="str">
        <f t="shared" si="782"/>
        <v>Rochester</v>
      </c>
      <c r="Q798" s="1" t="s">
        <v>234</v>
      </c>
      <c r="R798" s="1" t="str">
        <f t="shared" si="783"/>
        <v>New York</v>
      </c>
      <c r="S798" s="1">
        <v>14609</v>
      </c>
      <c r="T798" s="1" t="s">
        <v>128</v>
      </c>
      <c r="U798" s="1" t="s">
        <v>2048</v>
      </c>
      <c r="V798" s="1" t="s">
        <v>46</v>
      </c>
      <c r="W798" s="7">
        <v>132.79</v>
      </c>
      <c r="X798" s="1">
        <v>1</v>
      </c>
      <c r="Y798" s="7">
        <v>132.09</v>
      </c>
      <c r="Z798" s="7">
        <f t="shared" ref="Z798:AA798" si="816">W798*X798</f>
        <v>132.79</v>
      </c>
      <c r="AA798" s="7">
        <f t="shared" si="816"/>
        <v>132.09</v>
      </c>
      <c r="AB798" s="7">
        <f t="shared" si="785"/>
        <v>0.69999999999998863</v>
      </c>
    </row>
    <row r="799" spans="1:28">
      <c r="A799" s="1">
        <v>798</v>
      </c>
      <c r="B799" s="1" t="s">
        <v>2046</v>
      </c>
      <c r="C799" s="2">
        <v>42728</v>
      </c>
      <c r="D799" s="6" t="str">
        <f t="shared" si="780"/>
        <v>Dec</v>
      </c>
      <c r="E799" s="6" t="str">
        <f t="shared" si="781"/>
        <v>Qtr 4</v>
      </c>
      <c r="F799" s="5" t="s">
        <v>2047</v>
      </c>
      <c r="G799" s="1" t="s">
        <v>162</v>
      </c>
      <c r="H799" s="1" t="s">
        <v>749</v>
      </c>
      <c r="I799" s="1" t="s">
        <v>750</v>
      </c>
      <c r="J799" s="1" t="str">
        <f ca="1">IFERROR(__xludf.DUMMYFUNCTION("split(I799,"" "")"),"David")</f>
        <v>David</v>
      </c>
      <c r="K799" s="1" t="str">
        <f ca="1">IFERROR(__xludf.DUMMYFUNCTION("""COMPUTED_VALUE"""),"Bremer")</f>
        <v>Bremer</v>
      </c>
      <c r="L799" s="1"/>
      <c r="M799" s="1" t="s">
        <v>41</v>
      </c>
      <c r="N799" s="1" t="s">
        <v>30</v>
      </c>
      <c r="O799" s="1" t="s">
        <v>331</v>
      </c>
      <c r="P799" s="1" t="str">
        <f t="shared" si="782"/>
        <v>Rochester</v>
      </c>
      <c r="Q799" s="1" t="s">
        <v>234</v>
      </c>
      <c r="R799" s="1" t="str">
        <f t="shared" si="783"/>
        <v>New York</v>
      </c>
      <c r="S799" s="1">
        <v>14609</v>
      </c>
      <c r="T799" s="1" t="s">
        <v>128</v>
      </c>
      <c r="U799" s="1" t="s">
        <v>76</v>
      </c>
      <c r="V799" s="1" t="s">
        <v>46</v>
      </c>
      <c r="W799" s="7">
        <v>12.96</v>
      </c>
      <c r="X799" s="1">
        <v>1</v>
      </c>
      <c r="Y799" s="7">
        <v>12.5</v>
      </c>
      <c r="Z799" s="7">
        <f t="shared" ref="Z799:AA799" si="817">W799*X799</f>
        <v>12.96</v>
      </c>
      <c r="AA799" s="7">
        <f t="shared" si="817"/>
        <v>12.5</v>
      </c>
      <c r="AB799" s="7">
        <f t="shared" si="785"/>
        <v>0.46000000000000085</v>
      </c>
    </row>
    <row r="800" spans="1:28">
      <c r="A800" s="1">
        <v>799</v>
      </c>
      <c r="B800" s="1" t="s">
        <v>2046</v>
      </c>
      <c r="C800" s="2">
        <v>42728</v>
      </c>
      <c r="D800" s="6" t="str">
        <f t="shared" si="780"/>
        <v>Dec</v>
      </c>
      <c r="E800" s="6" t="str">
        <f t="shared" si="781"/>
        <v>Qtr 4</v>
      </c>
      <c r="F800" s="5" t="s">
        <v>2047</v>
      </c>
      <c r="G800" s="1" t="s">
        <v>162</v>
      </c>
      <c r="H800" s="1" t="s">
        <v>749</v>
      </c>
      <c r="I800" s="1" t="s">
        <v>750</v>
      </c>
      <c r="J800" s="1" t="str">
        <f ca="1">IFERROR(__xludf.DUMMYFUNCTION("split(I800,"" "")"),"David")</f>
        <v>David</v>
      </c>
      <c r="K800" s="1" t="str">
        <f ca="1">IFERROR(__xludf.DUMMYFUNCTION("""COMPUTED_VALUE"""),"Bremer")</f>
        <v>Bremer</v>
      </c>
      <c r="L800" s="1"/>
      <c r="M800" s="1" t="s">
        <v>41</v>
      </c>
      <c r="N800" s="1" t="s">
        <v>30</v>
      </c>
      <c r="O800" s="1" t="s">
        <v>331</v>
      </c>
      <c r="P800" s="1" t="str">
        <f t="shared" si="782"/>
        <v>Rochester</v>
      </c>
      <c r="Q800" s="1" t="s">
        <v>234</v>
      </c>
      <c r="R800" s="1" t="str">
        <f t="shared" si="783"/>
        <v>New York</v>
      </c>
      <c r="S800" s="1">
        <v>14609</v>
      </c>
      <c r="T800" s="1" t="s">
        <v>128</v>
      </c>
      <c r="U800" s="1" t="s">
        <v>2049</v>
      </c>
      <c r="V800" s="1" t="s">
        <v>46</v>
      </c>
      <c r="W800" s="7">
        <v>21.56</v>
      </c>
      <c r="X800" s="1">
        <v>1</v>
      </c>
      <c r="Y800" s="7">
        <v>20.78</v>
      </c>
      <c r="Z800" s="7">
        <f t="shared" ref="Z800:AA800" si="818">W800*X800</f>
        <v>21.56</v>
      </c>
      <c r="AA800" s="7">
        <f t="shared" si="818"/>
        <v>20.78</v>
      </c>
      <c r="AB800" s="7">
        <f t="shared" si="785"/>
        <v>0.77999999999999758</v>
      </c>
    </row>
    <row r="801" spans="1:28">
      <c r="A801" s="1">
        <v>800</v>
      </c>
      <c r="B801" s="1" t="s">
        <v>2050</v>
      </c>
      <c r="C801" s="2">
        <v>42701</v>
      </c>
      <c r="D801" s="6" t="str">
        <f t="shared" si="780"/>
        <v>Nov</v>
      </c>
      <c r="E801" s="6" t="str">
        <f t="shared" si="781"/>
        <v>Qtr 4</v>
      </c>
      <c r="F801" s="5">
        <v>42441</v>
      </c>
      <c r="G801" s="1" t="s">
        <v>49</v>
      </c>
      <c r="H801" s="1" t="s">
        <v>2051</v>
      </c>
      <c r="I801" s="1" t="s">
        <v>2052</v>
      </c>
      <c r="J801" s="1" t="str">
        <f ca="1">IFERROR(__xludf.DUMMYFUNCTION("split(I801,"" "")"),"Carlos")</f>
        <v>Carlos</v>
      </c>
      <c r="K801" s="1" t="str">
        <f ca="1">IFERROR(__xludf.DUMMYFUNCTION("""COMPUTED_VALUE"""),"Daly")</f>
        <v>Daly</v>
      </c>
      <c r="L801" s="1"/>
      <c r="M801" s="1" t="s">
        <v>29</v>
      </c>
      <c r="N801" s="1" t="s">
        <v>30</v>
      </c>
      <c r="O801" s="1" t="s">
        <v>2053</v>
      </c>
      <c r="P801" s="1" t="str">
        <f t="shared" si="782"/>
        <v>Lake Elsinore</v>
      </c>
      <c r="Q801" s="1" t="s">
        <v>68</v>
      </c>
      <c r="R801" s="1" t="str">
        <f t="shared" si="783"/>
        <v>California</v>
      </c>
      <c r="S801" s="1">
        <v>92530</v>
      </c>
      <c r="T801" s="1" t="s">
        <v>44</v>
      </c>
      <c r="U801" s="1" t="s">
        <v>1496</v>
      </c>
      <c r="V801" s="1" t="s">
        <v>35</v>
      </c>
      <c r="W801" s="7">
        <v>283.92</v>
      </c>
      <c r="X801" s="1">
        <v>9</v>
      </c>
      <c r="Y801" s="7">
        <v>282.99</v>
      </c>
      <c r="Z801" s="7">
        <f t="shared" ref="Z801:AA801" si="819">W801*X801</f>
        <v>2555.2800000000002</v>
      </c>
      <c r="AA801" s="7">
        <f t="shared" si="819"/>
        <v>2546.91</v>
      </c>
      <c r="AB801" s="7">
        <f t="shared" si="785"/>
        <v>8.3700000000003456</v>
      </c>
    </row>
    <row r="802" spans="1:28">
      <c r="A802" s="1">
        <v>801</v>
      </c>
      <c r="B802" s="1" t="s">
        <v>2054</v>
      </c>
      <c r="C802" s="2">
        <v>43151</v>
      </c>
      <c r="D802" s="6" t="str">
        <f t="shared" si="780"/>
        <v>Feb</v>
      </c>
      <c r="E802" s="6" t="str">
        <f t="shared" si="781"/>
        <v>Qtr 1</v>
      </c>
      <c r="F802" s="5" t="s">
        <v>2055</v>
      </c>
      <c r="G802" s="1" t="s">
        <v>162</v>
      </c>
      <c r="H802" s="1" t="s">
        <v>2056</v>
      </c>
      <c r="I802" s="1" t="s">
        <v>2057</v>
      </c>
      <c r="J802" s="1" t="str">
        <f ca="1">IFERROR(__xludf.DUMMYFUNCTION("split(I802,"" "")"),"Helen")</f>
        <v>Helen</v>
      </c>
      <c r="K802" s="1" t="str">
        <f ca="1">IFERROR(__xludf.DUMMYFUNCTION("""COMPUTED_VALUE"""),"Wasserman")</f>
        <v>Wasserman</v>
      </c>
      <c r="L802" s="1"/>
      <c r="M802" s="1" t="s">
        <v>41</v>
      </c>
      <c r="N802" s="1" t="s">
        <v>30</v>
      </c>
      <c r="O802" s="1" t="s">
        <v>778</v>
      </c>
      <c r="P802" s="1" t="str">
        <f t="shared" si="782"/>
        <v>San Diego</v>
      </c>
      <c r="Q802" s="1" t="s">
        <v>68</v>
      </c>
      <c r="R802" s="1" t="str">
        <f t="shared" si="783"/>
        <v>California</v>
      </c>
      <c r="S802" s="1">
        <v>92105</v>
      </c>
      <c r="T802" s="1" t="s">
        <v>44</v>
      </c>
      <c r="U802" s="1" t="s">
        <v>2058</v>
      </c>
      <c r="V802" s="1" t="s">
        <v>35</v>
      </c>
      <c r="W802" s="7">
        <v>22.23</v>
      </c>
      <c r="X802" s="1">
        <v>9</v>
      </c>
      <c r="Y802" s="7">
        <v>21.53</v>
      </c>
      <c r="Z802" s="7">
        <f t="shared" ref="Z802:AA802" si="820">W802*X802</f>
        <v>200.07</v>
      </c>
      <c r="AA802" s="7">
        <f t="shared" si="820"/>
        <v>193.77</v>
      </c>
      <c r="AB802" s="7">
        <f t="shared" si="785"/>
        <v>6.2999999999999829</v>
      </c>
    </row>
    <row r="803" spans="1:28">
      <c r="A803" s="1">
        <v>802</v>
      </c>
      <c r="B803" s="1" t="s">
        <v>2054</v>
      </c>
      <c r="C803" s="2">
        <v>43151</v>
      </c>
      <c r="D803" s="6" t="str">
        <f t="shared" si="780"/>
        <v>Feb</v>
      </c>
      <c r="E803" s="6" t="str">
        <f t="shared" si="781"/>
        <v>Qtr 1</v>
      </c>
      <c r="F803" s="5" t="s">
        <v>2055</v>
      </c>
      <c r="G803" s="1" t="s">
        <v>162</v>
      </c>
      <c r="H803" s="1" t="s">
        <v>2056</v>
      </c>
      <c r="I803" s="1" t="s">
        <v>2057</v>
      </c>
      <c r="J803" s="1" t="str">
        <f ca="1">IFERROR(__xludf.DUMMYFUNCTION("split(I803,"" "")"),"Helen")</f>
        <v>Helen</v>
      </c>
      <c r="K803" s="1" t="str">
        <f ca="1">IFERROR(__xludf.DUMMYFUNCTION("""COMPUTED_VALUE"""),"Wasserman")</f>
        <v>Wasserman</v>
      </c>
      <c r="L803" s="1"/>
      <c r="M803" s="1" t="s">
        <v>41</v>
      </c>
      <c r="N803" s="1" t="s">
        <v>30</v>
      </c>
      <c r="O803" s="1" t="s">
        <v>778</v>
      </c>
      <c r="P803" s="1" t="str">
        <f t="shared" si="782"/>
        <v>San Diego</v>
      </c>
      <c r="Q803" s="1" t="s">
        <v>68</v>
      </c>
      <c r="R803" s="1" t="str">
        <f t="shared" si="783"/>
        <v>California</v>
      </c>
      <c r="S803" s="1">
        <v>92105</v>
      </c>
      <c r="T803" s="1" t="s">
        <v>44</v>
      </c>
      <c r="U803" s="1" t="s">
        <v>789</v>
      </c>
      <c r="V803" s="1" t="s">
        <v>64</v>
      </c>
      <c r="W803" s="7">
        <v>215.96799999999999</v>
      </c>
      <c r="X803" s="1">
        <v>9</v>
      </c>
      <c r="Y803" s="7">
        <v>215.54</v>
      </c>
      <c r="Z803" s="7">
        <f t="shared" ref="Z803:AA803" si="821">W803*X803</f>
        <v>1943.712</v>
      </c>
      <c r="AA803" s="7">
        <f t="shared" si="821"/>
        <v>1939.86</v>
      </c>
      <c r="AB803" s="7">
        <f t="shared" si="785"/>
        <v>3.8520000000000891</v>
      </c>
    </row>
    <row r="804" spans="1:28">
      <c r="A804" s="1">
        <v>803</v>
      </c>
      <c r="B804" s="1" t="s">
        <v>2059</v>
      </c>
      <c r="C804" s="2">
        <v>42965</v>
      </c>
      <c r="D804" s="6" t="str">
        <f t="shared" si="780"/>
        <v>Aug</v>
      </c>
      <c r="E804" s="6" t="str">
        <f t="shared" si="781"/>
        <v>Qtr 3</v>
      </c>
      <c r="F804" s="5" t="s">
        <v>2060</v>
      </c>
      <c r="G804" s="1" t="s">
        <v>26</v>
      </c>
      <c r="H804" s="1" t="s">
        <v>2056</v>
      </c>
      <c r="I804" s="1" t="s">
        <v>2057</v>
      </c>
      <c r="J804" s="1" t="str">
        <f ca="1">IFERROR(__xludf.DUMMYFUNCTION("split(I804,"" "")"),"Helen")</f>
        <v>Helen</v>
      </c>
      <c r="K804" s="1" t="str">
        <f ca="1">IFERROR(__xludf.DUMMYFUNCTION("""COMPUTED_VALUE"""),"Wasserman")</f>
        <v>Wasserman</v>
      </c>
      <c r="L804" s="1"/>
      <c r="M804" s="1" t="s">
        <v>41</v>
      </c>
      <c r="N804" s="1" t="s">
        <v>30</v>
      </c>
      <c r="O804" s="1" t="s">
        <v>233</v>
      </c>
      <c r="P804" s="1" t="str">
        <f t="shared" si="782"/>
        <v>New York City</v>
      </c>
      <c r="Q804" s="1" t="s">
        <v>234</v>
      </c>
      <c r="R804" s="1" t="str">
        <f t="shared" si="783"/>
        <v>New York</v>
      </c>
      <c r="S804" s="1">
        <v>10024</v>
      </c>
      <c r="T804" s="1" t="s">
        <v>128</v>
      </c>
      <c r="U804" s="1" t="s">
        <v>2061</v>
      </c>
      <c r="V804" s="1" t="s">
        <v>46</v>
      </c>
      <c r="W804" s="7">
        <v>355.32</v>
      </c>
      <c r="X804" s="1">
        <v>1</v>
      </c>
      <c r="Y804" s="7">
        <v>354.85</v>
      </c>
      <c r="Z804" s="7">
        <f t="shared" ref="Z804:AA804" si="822">W804*X804</f>
        <v>355.32</v>
      </c>
      <c r="AA804" s="7">
        <f t="shared" si="822"/>
        <v>354.85</v>
      </c>
      <c r="AB804" s="7">
        <f t="shared" si="785"/>
        <v>0.46999999999997044</v>
      </c>
    </row>
    <row r="805" spans="1:28">
      <c r="A805" s="1">
        <v>804</v>
      </c>
      <c r="B805" s="1" t="s">
        <v>2062</v>
      </c>
      <c r="C805" s="2">
        <v>43072</v>
      </c>
      <c r="D805" s="6" t="str">
        <f t="shared" si="780"/>
        <v>Dec</v>
      </c>
      <c r="E805" s="6" t="str">
        <f t="shared" si="781"/>
        <v>Qtr 4</v>
      </c>
      <c r="F805" s="5" t="s">
        <v>2063</v>
      </c>
      <c r="G805" s="1" t="s">
        <v>49</v>
      </c>
      <c r="H805" s="1" t="s">
        <v>2064</v>
      </c>
      <c r="I805" s="1" t="s">
        <v>2065</v>
      </c>
      <c r="J805" s="1" t="str">
        <f ca="1">IFERROR(__xludf.DUMMYFUNCTION("split(I805,"" "")"),"Mike")</f>
        <v>Mike</v>
      </c>
      <c r="K805" s="1" t="str">
        <f ca="1">IFERROR(__xludf.DUMMYFUNCTION("""COMPUTED_VALUE"""),"Caudle")</f>
        <v>Caudle</v>
      </c>
      <c r="L805" s="1"/>
      <c r="M805" s="1" t="s">
        <v>41</v>
      </c>
      <c r="N805" s="1" t="s">
        <v>30</v>
      </c>
      <c r="O805" s="1" t="s">
        <v>608</v>
      </c>
      <c r="P805" s="1" t="str">
        <f t="shared" si="782"/>
        <v>Monroe</v>
      </c>
      <c r="Q805" s="1" t="s">
        <v>609</v>
      </c>
      <c r="R805" s="1" t="str">
        <f t="shared" si="783"/>
        <v>Louisiana</v>
      </c>
      <c r="S805" s="1">
        <v>71203</v>
      </c>
      <c r="T805" s="1" t="s">
        <v>33</v>
      </c>
      <c r="U805" s="1" t="s">
        <v>2066</v>
      </c>
      <c r="V805" s="1" t="s">
        <v>46</v>
      </c>
      <c r="W805" s="7">
        <v>12.96</v>
      </c>
      <c r="X805" s="1">
        <v>7</v>
      </c>
      <c r="Y805" s="7">
        <v>12.7</v>
      </c>
      <c r="Z805" s="7">
        <f t="shared" ref="Z805:AA805" si="823">W805*X805</f>
        <v>90.72</v>
      </c>
      <c r="AA805" s="7">
        <f t="shared" si="823"/>
        <v>88.899999999999991</v>
      </c>
      <c r="AB805" s="7">
        <f t="shared" si="785"/>
        <v>1.8200000000000074</v>
      </c>
    </row>
    <row r="806" spans="1:28">
      <c r="A806" s="1">
        <v>805</v>
      </c>
      <c r="B806" s="1" t="s">
        <v>2067</v>
      </c>
      <c r="C806" s="2">
        <v>43212</v>
      </c>
      <c r="D806" s="6" t="str">
        <f t="shared" si="780"/>
        <v>Apr</v>
      </c>
      <c r="E806" s="6" t="str">
        <f t="shared" si="781"/>
        <v>Qtr 2</v>
      </c>
      <c r="F806" s="5" t="s">
        <v>2068</v>
      </c>
      <c r="G806" s="1" t="s">
        <v>162</v>
      </c>
      <c r="H806" s="1" t="s">
        <v>2069</v>
      </c>
      <c r="I806" s="1" t="s">
        <v>2070</v>
      </c>
      <c r="J806" s="1" t="str">
        <f ca="1">IFERROR(__xludf.DUMMYFUNCTION("split(I806,"" "")"),"Gary")</f>
        <v>Gary</v>
      </c>
      <c r="K806" s="1" t="str">
        <f ca="1">IFERROR(__xludf.DUMMYFUNCTION("""COMPUTED_VALUE"""),"McGarr")</f>
        <v>McGarr</v>
      </c>
      <c r="L806" s="1"/>
      <c r="M806" s="1" t="s">
        <v>29</v>
      </c>
      <c r="N806" s="1" t="s">
        <v>30</v>
      </c>
      <c r="O806" s="1" t="s">
        <v>110</v>
      </c>
      <c r="P806" s="1" t="str">
        <f t="shared" si="782"/>
        <v>San Francisco</v>
      </c>
      <c r="Q806" s="1" t="s">
        <v>68</v>
      </c>
      <c r="R806" s="1" t="str">
        <f t="shared" si="783"/>
        <v>California</v>
      </c>
      <c r="S806" s="1">
        <v>94122</v>
      </c>
      <c r="T806" s="1" t="s">
        <v>44</v>
      </c>
      <c r="U806" s="1" t="s">
        <v>2071</v>
      </c>
      <c r="V806" s="1" t="s">
        <v>35</v>
      </c>
      <c r="W806" s="7">
        <v>18.28</v>
      </c>
      <c r="X806" s="1">
        <v>9</v>
      </c>
      <c r="Y806" s="7">
        <v>17.559999999999999</v>
      </c>
      <c r="Z806" s="7">
        <f t="shared" ref="Z806:AA806" si="824">W806*X806</f>
        <v>164.52</v>
      </c>
      <c r="AA806" s="7">
        <f t="shared" si="824"/>
        <v>158.04</v>
      </c>
      <c r="AB806" s="7">
        <f t="shared" si="785"/>
        <v>6.4800000000000182</v>
      </c>
    </row>
    <row r="807" spans="1:28">
      <c r="A807" s="1">
        <v>806</v>
      </c>
      <c r="B807" s="1" t="s">
        <v>2072</v>
      </c>
      <c r="C807" s="2">
        <v>42015</v>
      </c>
      <c r="D807" s="6" t="str">
        <f t="shared" si="780"/>
        <v>Jan</v>
      </c>
      <c r="E807" s="6" t="str">
        <f t="shared" si="781"/>
        <v>Qtr 1</v>
      </c>
      <c r="F807" s="5">
        <v>42196</v>
      </c>
      <c r="G807" s="1" t="s">
        <v>49</v>
      </c>
      <c r="H807" s="1" t="s">
        <v>1081</v>
      </c>
      <c r="I807" s="1" t="s">
        <v>1082</v>
      </c>
      <c r="J807" s="1" t="str">
        <f ca="1">IFERROR(__xludf.DUMMYFUNCTION("split(I807,"" "")"),"Russell")</f>
        <v>Russell</v>
      </c>
      <c r="K807" s="1" t="str">
        <f ca="1">IFERROR(__xludf.DUMMYFUNCTION("""COMPUTED_VALUE"""),"Applegate")</f>
        <v>Applegate</v>
      </c>
      <c r="L807" s="1"/>
      <c r="M807" s="1" t="s">
        <v>29</v>
      </c>
      <c r="N807" s="1" t="s">
        <v>30</v>
      </c>
      <c r="O807" s="1" t="s">
        <v>670</v>
      </c>
      <c r="P807" s="1" t="str">
        <f t="shared" si="782"/>
        <v>Denver</v>
      </c>
      <c r="Q807" s="1" t="s">
        <v>386</v>
      </c>
      <c r="R807" s="1" t="str">
        <f t="shared" si="783"/>
        <v>Colorado</v>
      </c>
      <c r="S807" s="1">
        <v>80219</v>
      </c>
      <c r="T807" s="1" t="s">
        <v>44</v>
      </c>
      <c r="U807" s="1" t="s">
        <v>2073</v>
      </c>
      <c r="V807" s="1" t="s">
        <v>46</v>
      </c>
      <c r="W807" s="7">
        <v>43.176000000000002</v>
      </c>
      <c r="X807" s="1">
        <v>8</v>
      </c>
      <c r="Y807" s="7">
        <v>42.52</v>
      </c>
      <c r="Z807" s="7">
        <f t="shared" ref="Z807:AA807" si="825">W807*X807</f>
        <v>345.40800000000002</v>
      </c>
      <c r="AA807" s="7">
        <f t="shared" si="825"/>
        <v>340.16</v>
      </c>
      <c r="AB807" s="7">
        <f t="shared" si="785"/>
        <v>5.2479999999999905</v>
      </c>
    </row>
    <row r="808" spans="1:28">
      <c r="A808" s="1">
        <v>807</v>
      </c>
      <c r="B808" s="1" t="s">
        <v>2072</v>
      </c>
      <c r="C808" s="2">
        <v>42015</v>
      </c>
      <c r="D808" s="6" t="str">
        <f t="shared" si="780"/>
        <v>Jan</v>
      </c>
      <c r="E808" s="6" t="str">
        <f t="shared" si="781"/>
        <v>Qtr 1</v>
      </c>
      <c r="F808" s="5">
        <v>42196</v>
      </c>
      <c r="G808" s="1" t="s">
        <v>49</v>
      </c>
      <c r="H808" s="1" t="s">
        <v>1081</v>
      </c>
      <c r="I808" s="1" t="s">
        <v>1082</v>
      </c>
      <c r="J808" s="1" t="str">
        <f ca="1">IFERROR(__xludf.DUMMYFUNCTION("split(I808,"" "")"),"Russell")</f>
        <v>Russell</v>
      </c>
      <c r="K808" s="1" t="str">
        <f ca="1">IFERROR(__xludf.DUMMYFUNCTION("""COMPUTED_VALUE"""),"Applegate")</f>
        <v>Applegate</v>
      </c>
      <c r="L808" s="1"/>
      <c r="M808" s="1" t="s">
        <v>29</v>
      </c>
      <c r="N808" s="1" t="s">
        <v>30</v>
      </c>
      <c r="O808" s="1" t="s">
        <v>670</v>
      </c>
      <c r="P808" s="1" t="str">
        <f t="shared" si="782"/>
        <v>Denver</v>
      </c>
      <c r="Q808" s="1" t="s">
        <v>386</v>
      </c>
      <c r="R808" s="1" t="str">
        <f t="shared" si="783"/>
        <v>Colorado</v>
      </c>
      <c r="S808" s="1">
        <v>80219</v>
      </c>
      <c r="T808" s="1" t="s">
        <v>44</v>
      </c>
      <c r="U808" s="1" t="s">
        <v>2074</v>
      </c>
      <c r="V808" s="1" t="s">
        <v>64</v>
      </c>
      <c r="W808" s="7">
        <v>1983.9680000000001</v>
      </c>
      <c r="X808" s="1">
        <v>8</v>
      </c>
      <c r="Y808" s="7">
        <v>1983.61</v>
      </c>
      <c r="Z808" s="7">
        <f t="shared" ref="Z808:AA808" si="826">W808*X808</f>
        <v>15871.744000000001</v>
      </c>
      <c r="AA808" s="7">
        <f t="shared" si="826"/>
        <v>15868.88</v>
      </c>
      <c r="AB808" s="7">
        <f t="shared" si="785"/>
        <v>2.864000000001397</v>
      </c>
    </row>
    <row r="809" spans="1:28">
      <c r="A809" s="1">
        <v>808</v>
      </c>
      <c r="B809" s="1" t="s">
        <v>2075</v>
      </c>
      <c r="C809" s="2">
        <v>42431</v>
      </c>
      <c r="D809" s="6" t="str">
        <f t="shared" si="780"/>
        <v>Mar</v>
      </c>
      <c r="E809" s="6" t="str">
        <f t="shared" si="781"/>
        <v>Qtr 1</v>
      </c>
      <c r="F809" s="5">
        <v>42492</v>
      </c>
      <c r="G809" s="1" t="s">
        <v>162</v>
      </c>
      <c r="H809" s="1" t="s">
        <v>1482</v>
      </c>
      <c r="I809" s="1" t="s">
        <v>1483</v>
      </c>
      <c r="J809" s="1" t="str">
        <f ca="1">IFERROR(__xludf.DUMMYFUNCTION("split(I809,"" "")"),"Allen")</f>
        <v>Allen</v>
      </c>
      <c r="K809" s="1" t="str">
        <f ca="1">IFERROR(__xludf.DUMMYFUNCTION("""COMPUTED_VALUE"""),"Armold")</f>
        <v>Armold</v>
      </c>
      <c r="L809" s="1"/>
      <c r="M809" s="1" t="s">
        <v>29</v>
      </c>
      <c r="N809" s="1" t="s">
        <v>30</v>
      </c>
      <c r="O809" s="1" t="s">
        <v>2076</v>
      </c>
      <c r="P809" s="1" t="str">
        <f t="shared" si="782"/>
        <v>Omaha</v>
      </c>
      <c r="Q809" s="1" t="s">
        <v>119</v>
      </c>
      <c r="R809" s="1" t="str">
        <f t="shared" si="783"/>
        <v>Nebraska</v>
      </c>
      <c r="S809" s="1">
        <v>68104</v>
      </c>
      <c r="T809" s="1" t="s">
        <v>90</v>
      </c>
      <c r="U809" s="1" t="s">
        <v>1216</v>
      </c>
      <c r="V809" s="1" t="s">
        <v>35</v>
      </c>
      <c r="W809" s="7">
        <v>28.4</v>
      </c>
      <c r="X809" s="1">
        <v>6</v>
      </c>
      <c r="Y809" s="7">
        <v>28.32</v>
      </c>
      <c r="Z809" s="7">
        <f t="shared" ref="Z809:AA809" si="827">W809*X809</f>
        <v>170.39999999999998</v>
      </c>
      <c r="AA809" s="7">
        <f t="shared" si="827"/>
        <v>169.92000000000002</v>
      </c>
      <c r="AB809" s="7">
        <f t="shared" si="785"/>
        <v>0.47999999999996135</v>
      </c>
    </row>
    <row r="810" spans="1:28">
      <c r="A810" s="1">
        <v>809</v>
      </c>
      <c r="B810" s="1" t="s">
        <v>2075</v>
      </c>
      <c r="C810" s="2">
        <v>42431</v>
      </c>
      <c r="D810" s="6" t="str">
        <f t="shared" si="780"/>
        <v>Mar</v>
      </c>
      <c r="E810" s="6" t="str">
        <f t="shared" si="781"/>
        <v>Qtr 1</v>
      </c>
      <c r="F810" s="5">
        <v>42492</v>
      </c>
      <c r="G810" s="1" t="s">
        <v>162</v>
      </c>
      <c r="H810" s="1" t="s">
        <v>1482</v>
      </c>
      <c r="I810" s="1" t="s">
        <v>1483</v>
      </c>
      <c r="J810" s="1" t="str">
        <f ca="1">IFERROR(__xludf.DUMMYFUNCTION("split(I810,"" "")"),"Allen")</f>
        <v>Allen</v>
      </c>
      <c r="K810" s="1" t="str">
        <f ca="1">IFERROR(__xludf.DUMMYFUNCTION("""COMPUTED_VALUE"""),"Armold")</f>
        <v>Armold</v>
      </c>
      <c r="L810" s="1"/>
      <c r="M810" s="1" t="s">
        <v>29</v>
      </c>
      <c r="N810" s="1" t="s">
        <v>30</v>
      </c>
      <c r="O810" s="1" t="s">
        <v>2076</v>
      </c>
      <c r="P810" s="1" t="str">
        <f t="shared" si="782"/>
        <v>Omaha</v>
      </c>
      <c r="Q810" s="1" t="s">
        <v>119</v>
      </c>
      <c r="R810" s="1" t="str">
        <f t="shared" si="783"/>
        <v>Nebraska</v>
      </c>
      <c r="S810" s="1">
        <v>68104</v>
      </c>
      <c r="T810" s="1" t="s">
        <v>90</v>
      </c>
      <c r="U810" s="1" t="s">
        <v>2077</v>
      </c>
      <c r="V810" s="1" t="s">
        <v>64</v>
      </c>
      <c r="W810" s="7">
        <v>149.97</v>
      </c>
      <c r="X810" s="1">
        <v>6</v>
      </c>
      <c r="Y810" s="7">
        <v>149.22</v>
      </c>
      <c r="Z810" s="7">
        <f t="shared" ref="Z810:AA810" si="828">W810*X810</f>
        <v>899.81999999999994</v>
      </c>
      <c r="AA810" s="7">
        <f t="shared" si="828"/>
        <v>895.31999999999994</v>
      </c>
      <c r="AB810" s="7">
        <f t="shared" si="785"/>
        <v>4.5</v>
      </c>
    </row>
    <row r="811" spans="1:28">
      <c r="A811" s="1">
        <v>810</v>
      </c>
      <c r="B811" s="1" t="s">
        <v>2078</v>
      </c>
      <c r="C811" s="2">
        <v>42290</v>
      </c>
      <c r="D811" s="6" t="str">
        <f t="shared" si="780"/>
        <v>Oct</v>
      </c>
      <c r="E811" s="6" t="str">
        <f t="shared" si="781"/>
        <v>Qtr 4</v>
      </c>
      <c r="F811" s="5" t="s">
        <v>2079</v>
      </c>
      <c r="G811" s="1" t="s">
        <v>162</v>
      </c>
      <c r="H811" s="1" t="s">
        <v>1607</v>
      </c>
      <c r="I811" s="1" t="s">
        <v>1608</v>
      </c>
      <c r="J811" s="1" t="str">
        <f ca="1">IFERROR(__xludf.DUMMYFUNCTION("split(I811,"" "")"),"Zuschuss")</f>
        <v>Zuschuss</v>
      </c>
      <c r="K811" s="1" t="str">
        <f ca="1">IFERROR(__xludf.DUMMYFUNCTION("""COMPUTED_VALUE"""),"Carroll")</f>
        <v>Carroll</v>
      </c>
      <c r="L811" s="1"/>
      <c r="M811" s="1" t="s">
        <v>29</v>
      </c>
      <c r="N811" s="1" t="s">
        <v>30</v>
      </c>
      <c r="O811" s="1" t="s">
        <v>2080</v>
      </c>
      <c r="P811" s="1" t="str">
        <f t="shared" si="782"/>
        <v>Edmonds</v>
      </c>
      <c r="Q811" s="1" t="s">
        <v>81</v>
      </c>
      <c r="R811" s="1" t="str">
        <f t="shared" si="783"/>
        <v>Washington</v>
      </c>
      <c r="S811" s="1">
        <v>98026</v>
      </c>
      <c r="T811" s="1" t="s">
        <v>44</v>
      </c>
      <c r="U811" s="1" t="s">
        <v>2081</v>
      </c>
      <c r="V811" s="1" t="s">
        <v>46</v>
      </c>
      <c r="W811" s="7">
        <v>11.52</v>
      </c>
      <c r="X811" s="1">
        <v>9</v>
      </c>
      <c r="Y811" s="7">
        <v>11.04</v>
      </c>
      <c r="Z811" s="7">
        <f t="shared" ref="Z811:AA811" si="829">W811*X811</f>
        <v>103.67999999999999</v>
      </c>
      <c r="AA811" s="7">
        <f t="shared" si="829"/>
        <v>99.359999999999985</v>
      </c>
      <c r="AB811" s="7">
        <f t="shared" si="785"/>
        <v>4.3200000000000074</v>
      </c>
    </row>
    <row r="812" spans="1:28">
      <c r="A812" s="1">
        <v>811</v>
      </c>
      <c r="B812" s="1" t="s">
        <v>2078</v>
      </c>
      <c r="C812" s="2">
        <v>42290</v>
      </c>
      <c r="D812" s="6" t="str">
        <f t="shared" si="780"/>
        <v>Oct</v>
      </c>
      <c r="E812" s="6" t="str">
        <f t="shared" si="781"/>
        <v>Qtr 4</v>
      </c>
      <c r="F812" s="5" t="s">
        <v>2079</v>
      </c>
      <c r="G812" s="1" t="s">
        <v>162</v>
      </c>
      <c r="H812" s="1" t="s">
        <v>1607</v>
      </c>
      <c r="I812" s="1" t="s">
        <v>1608</v>
      </c>
      <c r="J812" s="1" t="str">
        <f ca="1">IFERROR(__xludf.DUMMYFUNCTION("split(I812,"" "")"),"Zuschuss")</f>
        <v>Zuschuss</v>
      </c>
      <c r="K812" s="1" t="str">
        <f ca="1">IFERROR(__xludf.DUMMYFUNCTION("""COMPUTED_VALUE"""),"Carroll")</f>
        <v>Carroll</v>
      </c>
      <c r="L812" s="1"/>
      <c r="M812" s="1" t="s">
        <v>29</v>
      </c>
      <c r="N812" s="1" t="s">
        <v>30</v>
      </c>
      <c r="O812" s="1" t="s">
        <v>2080</v>
      </c>
      <c r="P812" s="1" t="str">
        <f t="shared" si="782"/>
        <v>Edmonds</v>
      </c>
      <c r="Q812" s="1" t="s">
        <v>81</v>
      </c>
      <c r="R812" s="1" t="str">
        <f t="shared" si="783"/>
        <v>Washington</v>
      </c>
      <c r="S812" s="1">
        <v>98026</v>
      </c>
      <c r="T812" s="1" t="s">
        <v>44</v>
      </c>
      <c r="U812" s="1" t="s">
        <v>862</v>
      </c>
      <c r="V812" s="1" t="s">
        <v>35</v>
      </c>
      <c r="W812" s="7">
        <v>1298.55</v>
      </c>
      <c r="X812" s="1">
        <v>9</v>
      </c>
      <c r="Y812" s="7">
        <v>1297.8800000000001</v>
      </c>
      <c r="Z812" s="7">
        <f t="shared" ref="Z812:AA812" si="830">W812*X812</f>
        <v>11686.949999999999</v>
      </c>
      <c r="AA812" s="7">
        <f t="shared" si="830"/>
        <v>11680.920000000002</v>
      </c>
      <c r="AB812" s="7">
        <f t="shared" si="785"/>
        <v>6.0299999999970169</v>
      </c>
    </row>
    <row r="813" spans="1:28">
      <c r="A813" s="1">
        <v>812</v>
      </c>
      <c r="B813" s="1" t="s">
        <v>2078</v>
      </c>
      <c r="C813" s="2">
        <v>42290</v>
      </c>
      <c r="D813" s="6" t="str">
        <f t="shared" si="780"/>
        <v>Oct</v>
      </c>
      <c r="E813" s="6" t="str">
        <f t="shared" si="781"/>
        <v>Qtr 4</v>
      </c>
      <c r="F813" s="5" t="s">
        <v>2079</v>
      </c>
      <c r="G813" s="1" t="s">
        <v>162</v>
      </c>
      <c r="H813" s="1" t="s">
        <v>1607</v>
      </c>
      <c r="I813" s="1" t="s">
        <v>1608</v>
      </c>
      <c r="J813" s="1" t="str">
        <f ca="1">IFERROR(__xludf.DUMMYFUNCTION("split(I813,"" "")"),"Zuschuss")</f>
        <v>Zuschuss</v>
      </c>
      <c r="K813" s="1" t="str">
        <f ca="1">IFERROR(__xludf.DUMMYFUNCTION("""COMPUTED_VALUE"""),"Carroll")</f>
        <v>Carroll</v>
      </c>
      <c r="L813" s="1"/>
      <c r="M813" s="1" t="s">
        <v>29</v>
      </c>
      <c r="N813" s="1" t="s">
        <v>30</v>
      </c>
      <c r="O813" s="1" t="s">
        <v>2080</v>
      </c>
      <c r="P813" s="1" t="str">
        <f t="shared" si="782"/>
        <v>Edmonds</v>
      </c>
      <c r="Q813" s="1" t="s">
        <v>81</v>
      </c>
      <c r="R813" s="1" t="str">
        <f t="shared" si="783"/>
        <v>Washington</v>
      </c>
      <c r="S813" s="1">
        <v>98026</v>
      </c>
      <c r="T813" s="1" t="s">
        <v>44</v>
      </c>
      <c r="U813" s="1" t="s">
        <v>2082</v>
      </c>
      <c r="V813" s="1" t="s">
        <v>46</v>
      </c>
      <c r="W813" s="7">
        <v>213.92</v>
      </c>
      <c r="X813" s="1">
        <v>9</v>
      </c>
      <c r="Y813" s="7">
        <v>213.11</v>
      </c>
      <c r="Z813" s="7">
        <f t="shared" ref="Z813:AA813" si="831">W813*X813</f>
        <v>1925.28</v>
      </c>
      <c r="AA813" s="7">
        <f t="shared" si="831"/>
        <v>1917.9900000000002</v>
      </c>
      <c r="AB813" s="7">
        <f t="shared" si="785"/>
        <v>7.2899999999997362</v>
      </c>
    </row>
    <row r="814" spans="1:28">
      <c r="A814" s="1">
        <v>813</v>
      </c>
      <c r="B814" s="1" t="s">
        <v>2078</v>
      </c>
      <c r="C814" s="2">
        <v>42290</v>
      </c>
      <c r="D814" s="6" t="str">
        <f t="shared" si="780"/>
        <v>Oct</v>
      </c>
      <c r="E814" s="6" t="str">
        <f t="shared" si="781"/>
        <v>Qtr 4</v>
      </c>
      <c r="F814" s="5" t="s">
        <v>2079</v>
      </c>
      <c r="G814" s="1" t="s">
        <v>162</v>
      </c>
      <c r="H814" s="1" t="s">
        <v>1607</v>
      </c>
      <c r="I814" s="1" t="s">
        <v>1608</v>
      </c>
      <c r="J814" s="1" t="str">
        <f ca="1">IFERROR(__xludf.DUMMYFUNCTION("split(I814,"" "")"),"Zuschuss")</f>
        <v>Zuschuss</v>
      </c>
      <c r="K814" s="1" t="str">
        <f ca="1">IFERROR(__xludf.DUMMYFUNCTION("""COMPUTED_VALUE"""),"Carroll")</f>
        <v>Carroll</v>
      </c>
      <c r="L814" s="1"/>
      <c r="M814" s="1" t="s">
        <v>29</v>
      </c>
      <c r="N814" s="1" t="s">
        <v>30</v>
      </c>
      <c r="O814" s="1" t="s">
        <v>2080</v>
      </c>
      <c r="P814" s="1" t="str">
        <f t="shared" si="782"/>
        <v>Edmonds</v>
      </c>
      <c r="Q814" s="1" t="s">
        <v>81</v>
      </c>
      <c r="R814" s="1" t="str">
        <f t="shared" si="783"/>
        <v>Washington</v>
      </c>
      <c r="S814" s="1">
        <v>98026</v>
      </c>
      <c r="T814" s="1" t="s">
        <v>44</v>
      </c>
      <c r="U814" s="1" t="s">
        <v>1756</v>
      </c>
      <c r="V814" s="1" t="s">
        <v>64</v>
      </c>
      <c r="W814" s="7">
        <v>25.78</v>
      </c>
      <c r="X814" s="1">
        <v>9</v>
      </c>
      <c r="Y814" s="7">
        <v>24.79</v>
      </c>
      <c r="Z814" s="7">
        <f t="shared" ref="Z814:AA814" si="832">W814*X814</f>
        <v>232.02</v>
      </c>
      <c r="AA814" s="7">
        <f t="shared" si="832"/>
        <v>223.10999999999999</v>
      </c>
      <c r="AB814" s="7">
        <f t="shared" si="785"/>
        <v>8.910000000000025</v>
      </c>
    </row>
    <row r="815" spans="1:28">
      <c r="A815" s="1">
        <v>814</v>
      </c>
      <c r="B815" s="1" t="s">
        <v>2083</v>
      </c>
      <c r="C815" s="2">
        <v>43234</v>
      </c>
      <c r="D815" s="6" t="str">
        <f t="shared" si="780"/>
        <v>May</v>
      </c>
      <c r="E815" s="6" t="str">
        <f t="shared" si="781"/>
        <v>Qtr 2</v>
      </c>
      <c r="F815" s="5" t="s">
        <v>2084</v>
      </c>
      <c r="G815" s="1" t="s">
        <v>1050</v>
      </c>
      <c r="H815" s="1" t="s">
        <v>2085</v>
      </c>
      <c r="I815" s="1" t="s">
        <v>2086</v>
      </c>
      <c r="J815" s="1" t="str">
        <f ca="1">IFERROR(__xludf.DUMMYFUNCTION("split(I815,"" "")"),"Pauline")</f>
        <v>Pauline</v>
      </c>
      <c r="K815" s="1" t="str">
        <f ca="1">IFERROR(__xludf.DUMMYFUNCTION("""COMPUTED_VALUE"""),"Johnson")</f>
        <v>Johnson</v>
      </c>
      <c r="L815" s="1"/>
      <c r="M815" s="1" t="s">
        <v>29</v>
      </c>
      <c r="N815" s="1" t="s">
        <v>30</v>
      </c>
      <c r="O815" s="1" t="s">
        <v>2087</v>
      </c>
      <c r="P815" s="1" t="str">
        <f t="shared" si="782"/>
        <v>Santa Ana</v>
      </c>
      <c r="Q815" s="1" t="s">
        <v>68</v>
      </c>
      <c r="R815" s="1" t="str">
        <f t="shared" si="783"/>
        <v>California</v>
      </c>
      <c r="S815" s="1">
        <v>92704</v>
      </c>
      <c r="T815" s="1" t="s">
        <v>44</v>
      </c>
      <c r="U815" s="1" t="s">
        <v>2071</v>
      </c>
      <c r="V815" s="1" t="s">
        <v>35</v>
      </c>
      <c r="W815" s="7">
        <v>18.28</v>
      </c>
      <c r="X815" s="1">
        <v>9</v>
      </c>
      <c r="Y815" s="7">
        <v>18.079999999999998</v>
      </c>
      <c r="Z815" s="7">
        <f t="shared" ref="Z815:AA815" si="833">W815*X815</f>
        <v>164.52</v>
      </c>
      <c r="AA815" s="7">
        <f t="shared" si="833"/>
        <v>162.71999999999997</v>
      </c>
      <c r="AB815" s="7">
        <f t="shared" si="785"/>
        <v>1.8000000000000398</v>
      </c>
    </row>
    <row r="816" spans="1:28">
      <c r="A816" s="1">
        <v>815</v>
      </c>
      <c r="B816" s="1" t="s">
        <v>2083</v>
      </c>
      <c r="C816" s="2">
        <v>43234</v>
      </c>
      <c r="D816" s="6" t="str">
        <f t="shared" si="780"/>
        <v>May</v>
      </c>
      <c r="E816" s="6" t="str">
        <f t="shared" si="781"/>
        <v>Qtr 2</v>
      </c>
      <c r="F816" s="5" t="s">
        <v>2084</v>
      </c>
      <c r="G816" s="1" t="s">
        <v>1050</v>
      </c>
      <c r="H816" s="1" t="s">
        <v>2085</v>
      </c>
      <c r="I816" s="1" t="s">
        <v>2086</v>
      </c>
      <c r="J816" s="1" t="str">
        <f ca="1">IFERROR(__xludf.DUMMYFUNCTION("split(I816,"" "")"),"Pauline")</f>
        <v>Pauline</v>
      </c>
      <c r="K816" s="1" t="str">
        <f ca="1">IFERROR(__xludf.DUMMYFUNCTION("""COMPUTED_VALUE"""),"Johnson")</f>
        <v>Johnson</v>
      </c>
      <c r="L816" s="1"/>
      <c r="M816" s="1" t="s">
        <v>29</v>
      </c>
      <c r="N816" s="1" t="s">
        <v>30</v>
      </c>
      <c r="O816" s="1" t="s">
        <v>2087</v>
      </c>
      <c r="P816" s="1" t="str">
        <f t="shared" si="782"/>
        <v>Santa Ana</v>
      </c>
      <c r="Q816" s="1" t="s">
        <v>68</v>
      </c>
      <c r="R816" s="1" t="str">
        <f t="shared" si="783"/>
        <v>California</v>
      </c>
      <c r="S816" s="1">
        <v>92704</v>
      </c>
      <c r="T816" s="1" t="s">
        <v>44</v>
      </c>
      <c r="U816" s="1" t="s">
        <v>2088</v>
      </c>
      <c r="V816" s="1" t="s">
        <v>64</v>
      </c>
      <c r="W816" s="7">
        <v>1399.93</v>
      </c>
      <c r="X816" s="1">
        <v>9</v>
      </c>
      <c r="Y816" s="7">
        <v>1399.32</v>
      </c>
      <c r="Z816" s="7">
        <f t="shared" ref="Z816:AA816" si="834">W816*X816</f>
        <v>12599.37</v>
      </c>
      <c r="AA816" s="7">
        <f t="shared" si="834"/>
        <v>12593.88</v>
      </c>
      <c r="AB816" s="7">
        <f t="shared" si="785"/>
        <v>5.4900000000016007</v>
      </c>
    </row>
    <row r="817" spans="1:28">
      <c r="A817" s="1">
        <v>816</v>
      </c>
      <c r="B817" s="1" t="s">
        <v>2089</v>
      </c>
      <c r="C817" s="2">
        <v>42449</v>
      </c>
      <c r="D817" s="6" t="str">
        <f t="shared" si="780"/>
        <v>Mar</v>
      </c>
      <c r="E817" s="6" t="str">
        <f t="shared" si="781"/>
        <v>Qtr 1</v>
      </c>
      <c r="F817" s="5" t="s">
        <v>2090</v>
      </c>
      <c r="G817" s="1" t="s">
        <v>162</v>
      </c>
      <c r="H817" s="1" t="s">
        <v>2091</v>
      </c>
      <c r="I817" s="1" t="s">
        <v>2092</v>
      </c>
      <c r="J817" s="1" t="str">
        <f ca="1">IFERROR(__xludf.DUMMYFUNCTION("split(I817,"" "")"),"Bart")</f>
        <v>Bart</v>
      </c>
      <c r="K817" s="1" t="str">
        <f ca="1">IFERROR(__xludf.DUMMYFUNCTION("""COMPUTED_VALUE"""),"Watters")</f>
        <v>Watters</v>
      </c>
      <c r="L817" s="1"/>
      <c r="M817" s="1" t="s">
        <v>41</v>
      </c>
      <c r="N817" s="1" t="s">
        <v>30</v>
      </c>
      <c r="O817" s="1" t="s">
        <v>2093</v>
      </c>
      <c r="P817" s="1" t="str">
        <f t="shared" si="782"/>
        <v>Milwaukee</v>
      </c>
      <c r="Q817" s="1" t="s">
        <v>98</v>
      </c>
      <c r="R817" s="1" t="str">
        <f t="shared" si="783"/>
        <v>Wisconsin</v>
      </c>
      <c r="S817" s="1">
        <v>53209</v>
      </c>
      <c r="T817" s="1" t="s">
        <v>90</v>
      </c>
      <c r="U817" s="1" t="s">
        <v>635</v>
      </c>
      <c r="V817" s="1" t="s">
        <v>46</v>
      </c>
      <c r="W817" s="7">
        <v>51.84</v>
      </c>
      <c r="X817" s="1">
        <v>5</v>
      </c>
      <c r="Y817" s="7">
        <v>51.11</v>
      </c>
      <c r="Z817" s="7">
        <f t="shared" ref="Z817:AA817" si="835">W817*X817</f>
        <v>259.20000000000005</v>
      </c>
      <c r="AA817" s="7">
        <f t="shared" si="835"/>
        <v>255.55</v>
      </c>
      <c r="AB817" s="7">
        <f t="shared" si="785"/>
        <v>3.6500000000000341</v>
      </c>
    </row>
    <row r="818" spans="1:28">
      <c r="A818" s="1">
        <v>817</v>
      </c>
      <c r="B818" s="1" t="s">
        <v>2094</v>
      </c>
      <c r="C818" s="2">
        <v>42993</v>
      </c>
      <c r="D818" s="6" t="str">
        <f t="shared" si="780"/>
        <v>Sep</v>
      </c>
      <c r="E818" s="6" t="str">
        <f t="shared" si="781"/>
        <v>Qtr 3</v>
      </c>
      <c r="F818" s="5" t="s">
        <v>1765</v>
      </c>
      <c r="G818" s="1" t="s">
        <v>49</v>
      </c>
      <c r="H818" s="1" t="s">
        <v>1440</v>
      </c>
      <c r="I818" s="1" t="s">
        <v>1441</v>
      </c>
      <c r="J818" s="1" t="str">
        <f ca="1">IFERROR(__xludf.DUMMYFUNCTION("split(I818,"" "")"),"Dean")</f>
        <v>Dean</v>
      </c>
      <c r="K818" s="1" t="str">
        <f ca="1">IFERROR(__xludf.DUMMYFUNCTION("""COMPUTED_VALUE"""),"Braden")</f>
        <v>Braden</v>
      </c>
      <c r="L818" s="1"/>
      <c r="M818" s="1" t="s">
        <v>29</v>
      </c>
      <c r="N818" s="1" t="s">
        <v>30</v>
      </c>
      <c r="O818" s="1" t="s">
        <v>126</v>
      </c>
      <c r="P818" s="1" t="str">
        <f t="shared" si="782"/>
        <v>Philadelphia</v>
      </c>
      <c r="Q818" s="1" t="s">
        <v>127</v>
      </c>
      <c r="R818" s="1" t="str">
        <f t="shared" si="783"/>
        <v>Pennsylvania</v>
      </c>
      <c r="S818" s="1">
        <v>19140</v>
      </c>
      <c r="T818" s="1" t="s">
        <v>128</v>
      </c>
      <c r="U818" s="1" t="s">
        <v>2095</v>
      </c>
      <c r="V818" s="1" t="s">
        <v>46</v>
      </c>
      <c r="W818" s="7">
        <v>5.3440000000000003</v>
      </c>
      <c r="X818" s="1">
        <v>1</v>
      </c>
      <c r="Y818" s="7">
        <v>4.97</v>
      </c>
      <c r="Z818" s="7">
        <f t="shared" ref="Z818:AA818" si="836">W818*X818</f>
        <v>5.3440000000000003</v>
      </c>
      <c r="AA818" s="7">
        <f t="shared" si="836"/>
        <v>4.97</v>
      </c>
      <c r="AB818" s="7">
        <f t="shared" si="785"/>
        <v>0.37400000000000055</v>
      </c>
    </row>
    <row r="819" spans="1:28">
      <c r="A819" s="1">
        <v>818</v>
      </c>
      <c r="B819" s="1" t="s">
        <v>2096</v>
      </c>
      <c r="C819" s="2">
        <v>42183</v>
      </c>
      <c r="D819" s="6" t="str">
        <f t="shared" si="780"/>
        <v>Jun</v>
      </c>
      <c r="E819" s="6" t="str">
        <f t="shared" si="781"/>
        <v>Qtr 2</v>
      </c>
      <c r="F819" s="5">
        <v>42042</v>
      </c>
      <c r="G819" s="1" t="s">
        <v>49</v>
      </c>
      <c r="H819" s="1" t="s">
        <v>1552</v>
      </c>
      <c r="I819" s="1" t="s">
        <v>1553</v>
      </c>
      <c r="J819" s="1" t="str">
        <f ca="1">IFERROR(__xludf.DUMMYFUNCTION("split(I819,"" "")"),"Cynthia")</f>
        <v>Cynthia</v>
      </c>
      <c r="K819" s="1" t="str">
        <f ca="1">IFERROR(__xludf.DUMMYFUNCTION("""COMPUTED_VALUE"""),"Arntzen")</f>
        <v>Arntzen</v>
      </c>
      <c r="L819" s="1"/>
      <c r="M819" s="1" t="s">
        <v>29</v>
      </c>
      <c r="N819" s="1" t="s">
        <v>30</v>
      </c>
      <c r="O819" s="1" t="s">
        <v>126</v>
      </c>
      <c r="P819" s="1" t="str">
        <f t="shared" si="782"/>
        <v>Philadelphia</v>
      </c>
      <c r="Q819" s="1" t="s">
        <v>127</v>
      </c>
      <c r="R819" s="1" t="str">
        <f t="shared" si="783"/>
        <v>Pennsylvania</v>
      </c>
      <c r="S819" s="1">
        <v>19140</v>
      </c>
      <c r="T819" s="1" t="s">
        <v>128</v>
      </c>
      <c r="U819" s="1" t="s">
        <v>343</v>
      </c>
      <c r="V819" s="1" t="s">
        <v>46</v>
      </c>
      <c r="W819" s="7">
        <v>41.472000000000001</v>
      </c>
      <c r="X819" s="1">
        <v>1</v>
      </c>
      <c r="Y819" s="7">
        <v>41.33</v>
      </c>
      <c r="Z819" s="7">
        <f t="shared" ref="Z819:AA819" si="837">W819*X819</f>
        <v>41.472000000000001</v>
      </c>
      <c r="AA819" s="7">
        <f t="shared" si="837"/>
        <v>41.33</v>
      </c>
      <c r="AB819" s="7">
        <f t="shared" si="785"/>
        <v>0.14200000000000301</v>
      </c>
    </row>
    <row r="820" spans="1:28">
      <c r="A820" s="1">
        <v>819</v>
      </c>
      <c r="B820" s="1" t="s">
        <v>2096</v>
      </c>
      <c r="C820" s="2">
        <v>42183</v>
      </c>
      <c r="D820" s="6" t="str">
        <f t="shared" si="780"/>
        <v>Jun</v>
      </c>
      <c r="E820" s="6" t="str">
        <f t="shared" si="781"/>
        <v>Qtr 2</v>
      </c>
      <c r="F820" s="5">
        <v>42042</v>
      </c>
      <c r="G820" s="1" t="s">
        <v>49</v>
      </c>
      <c r="H820" s="1" t="s">
        <v>1552</v>
      </c>
      <c r="I820" s="1" t="s">
        <v>1553</v>
      </c>
      <c r="J820" s="1" t="str">
        <f ca="1">IFERROR(__xludf.DUMMYFUNCTION("split(I820,"" "")"),"Cynthia")</f>
        <v>Cynthia</v>
      </c>
      <c r="K820" s="1" t="str">
        <f ca="1">IFERROR(__xludf.DUMMYFUNCTION("""COMPUTED_VALUE"""),"Arntzen")</f>
        <v>Arntzen</v>
      </c>
      <c r="L820" s="1"/>
      <c r="M820" s="1" t="s">
        <v>29</v>
      </c>
      <c r="N820" s="1" t="s">
        <v>30</v>
      </c>
      <c r="O820" s="1" t="s">
        <v>126</v>
      </c>
      <c r="P820" s="1" t="str">
        <f t="shared" si="782"/>
        <v>Philadelphia</v>
      </c>
      <c r="Q820" s="1" t="s">
        <v>127</v>
      </c>
      <c r="R820" s="1" t="str">
        <f t="shared" si="783"/>
        <v>Pennsylvania</v>
      </c>
      <c r="S820" s="1">
        <v>19140</v>
      </c>
      <c r="T820" s="1" t="s">
        <v>128</v>
      </c>
      <c r="U820" s="1" t="s">
        <v>2097</v>
      </c>
      <c r="V820" s="1" t="s">
        <v>46</v>
      </c>
      <c r="W820" s="7">
        <v>3.1680000000000001</v>
      </c>
      <c r="X820" s="1">
        <v>1</v>
      </c>
      <c r="Y820" s="7">
        <v>2.59</v>
      </c>
      <c r="Z820" s="7">
        <f t="shared" ref="Z820:AA820" si="838">W820*X820</f>
        <v>3.1680000000000001</v>
      </c>
      <c r="AA820" s="7">
        <f t="shared" si="838"/>
        <v>2.59</v>
      </c>
      <c r="AB820" s="7">
        <f t="shared" si="785"/>
        <v>0.57800000000000029</v>
      </c>
    </row>
    <row r="821" spans="1:28">
      <c r="A821" s="1">
        <v>820</v>
      </c>
      <c r="B821" s="1" t="s">
        <v>2096</v>
      </c>
      <c r="C821" s="2">
        <v>42183</v>
      </c>
      <c r="D821" s="6" t="str">
        <f t="shared" si="780"/>
        <v>Jun</v>
      </c>
      <c r="E821" s="6" t="str">
        <f t="shared" si="781"/>
        <v>Qtr 2</v>
      </c>
      <c r="F821" s="5">
        <v>42042</v>
      </c>
      <c r="G821" s="1" t="s">
        <v>49</v>
      </c>
      <c r="H821" s="1" t="s">
        <v>1552</v>
      </c>
      <c r="I821" s="1" t="s">
        <v>1553</v>
      </c>
      <c r="J821" s="1" t="str">
        <f ca="1">IFERROR(__xludf.DUMMYFUNCTION("split(I821,"" "")"),"Cynthia")</f>
        <v>Cynthia</v>
      </c>
      <c r="K821" s="1" t="str">
        <f ca="1">IFERROR(__xludf.DUMMYFUNCTION("""COMPUTED_VALUE"""),"Arntzen")</f>
        <v>Arntzen</v>
      </c>
      <c r="L821" s="1"/>
      <c r="M821" s="1" t="s">
        <v>29</v>
      </c>
      <c r="N821" s="1" t="s">
        <v>30</v>
      </c>
      <c r="O821" s="1" t="s">
        <v>126</v>
      </c>
      <c r="P821" s="1" t="str">
        <f t="shared" si="782"/>
        <v>Philadelphia</v>
      </c>
      <c r="Q821" s="1" t="s">
        <v>127</v>
      </c>
      <c r="R821" s="1" t="str">
        <f t="shared" si="783"/>
        <v>Pennsylvania</v>
      </c>
      <c r="S821" s="1">
        <v>19140</v>
      </c>
      <c r="T821" s="1" t="s">
        <v>128</v>
      </c>
      <c r="U821" s="1" t="s">
        <v>2098</v>
      </c>
      <c r="V821" s="1" t="s">
        <v>35</v>
      </c>
      <c r="W821" s="7">
        <v>1228.4649999999999</v>
      </c>
      <c r="X821" s="1">
        <v>1</v>
      </c>
      <c r="Y821" s="7">
        <v>1227.98</v>
      </c>
      <c r="Z821" s="7">
        <f t="shared" ref="Z821:AA821" si="839">W821*X821</f>
        <v>1228.4649999999999</v>
      </c>
      <c r="AA821" s="7">
        <f t="shared" si="839"/>
        <v>1227.98</v>
      </c>
      <c r="AB821" s="7">
        <f t="shared" si="785"/>
        <v>0.48499999999989996</v>
      </c>
    </row>
    <row r="822" spans="1:28">
      <c r="A822" s="1">
        <v>821</v>
      </c>
      <c r="B822" s="1" t="s">
        <v>2096</v>
      </c>
      <c r="C822" s="2">
        <v>42183</v>
      </c>
      <c r="D822" s="6" t="str">
        <f t="shared" si="780"/>
        <v>Jun</v>
      </c>
      <c r="E822" s="6" t="str">
        <f t="shared" si="781"/>
        <v>Qtr 2</v>
      </c>
      <c r="F822" s="5">
        <v>42042</v>
      </c>
      <c r="G822" s="1" t="s">
        <v>49</v>
      </c>
      <c r="H822" s="1" t="s">
        <v>1552</v>
      </c>
      <c r="I822" s="1" t="s">
        <v>1553</v>
      </c>
      <c r="J822" s="1" t="str">
        <f ca="1">IFERROR(__xludf.DUMMYFUNCTION("split(I822,"" "")"),"Cynthia")</f>
        <v>Cynthia</v>
      </c>
      <c r="K822" s="1" t="str">
        <f ca="1">IFERROR(__xludf.DUMMYFUNCTION("""COMPUTED_VALUE"""),"Arntzen")</f>
        <v>Arntzen</v>
      </c>
      <c r="L822" s="1"/>
      <c r="M822" s="1" t="s">
        <v>29</v>
      </c>
      <c r="N822" s="1" t="s">
        <v>30</v>
      </c>
      <c r="O822" s="1" t="s">
        <v>126</v>
      </c>
      <c r="P822" s="1" t="str">
        <f t="shared" si="782"/>
        <v>Philadelphia</v>
      </c>
      <c r="Q822" s="1" t="s">
        <v>127</v>
      </c>
      <c r="R822" s="1" t="str">
        <f t="shared" si="783"/>
        <v>Pennsylvania</v>
      </c>
      <c r="S822" s="1">
        <v>19140</v>
      </c>
      <c r="T822" s="1" t="s">
        <v>128</v>
      </c>
      <c r="U822" s="1" t="s">
        <v>2099</v>
      </c>
      <c r="V822" s="1" t="s">
        <v>46</v>
      </c>
      <c r="W822" s="7">
        <v>31.085999999999999</v>
      </c>
      <c r="X822" s="1">
        <v>1</v>
      </c>
      <c r="Y822" s="7">
        <v>31.06</v>
      </c>
      <c r="Z822" s="7">
        <f t="shared" ref="Z822:AA822" si="840">W822*X822</f>
        <v>31.085999999999999</v>
      </c>
      <c r="AA822" s="7">
        <f t="shared" si="840"/>
        <v>31.06</v>
      </c>
      <c r="AB822" s="7">
        <f t="shared" si="785"/>
        <v>2.5999999999999801E-2</v>
      </c>
    </row>
    <row r="823" spans="1:28">
      <c r="A823" s="1">
        <v>822</v>
      </c>
      <c r="B823" s="1" t="s">
        <v>2096</v>
      </c>
      <c r="C823" s="2">
        <v>42183</v>
      </c>
      <c r="D823" s="6" t="str">
        <f t="shared" si="780"/>
        <v>Jun</v>
      </c>
      <c r="E823" s="6" t="str">
        <f t="shared" si="781"/>
        <v>Qtr 2</v>
      </c>
      <c r="F823" s="5">
        <v>42042</v>
      </c>
      <c r="G823" s="1" t="s">
        <v>49</v>
      </c>
      <c r="H823" s="1" t="s">
        <v>1552</v>
      </c>
      <c r="I823" s="1" t="s">
        <v>1553</v>
      </c>
      <c r="J823" s="1" t="str">
        <f ca="1">IFERROR(__xludf.DUMMYFUNCTION("split(I823,"" "")"),"Cynthia")</f>
        <v>Cynthia</v>
      </c>
      <c r="K823" s="1" t="str">
        <f ca="1">IFERROR(__xludf.DUMMYFUNCTION("""COMPUTED_VALUE"""),"Arntzen")</f>
        <v>Arntzen</v>
      </c>
      <c r="L823" s="1"/>
      <c r="M823" s="1" t="s">
        <v>29</v>
      </c>
      <c r="N823" s="1" t="s">
        <v>30</v>
      </c>
      <c r="O823" s="1" t="s">
        <v>126</v>
      </c>
      <c r="P823" s="1" t="str">
        <f t="shared" si="782"/>
        <v>Philadelphia</v>
      </c>
      <c r="Q823" s="1" t="s">
        <v>127</v>
      </c>
      <c r="R823" s="1" t="str">
        <f t="shared" si="783"/>
        <v>Pennsylvania</v>
      </c>
      <c r="S823" s="1">
        <v>19140</v>
      </c>
      <c r="T823" s="1" t="s">
        <v>128</v>
      </c>
      <c r="U823" s="1" t="s">
        <v>2100</v>
      </c>
      <c r="V823" s="1" t="s">
        <v>46</v>
      </c>
      <c r="W823" s="7">
        <v>335.52</v>
      </c>
      <c r="X823" s="1">
        <v>1</v>
      </c>
      <c r="Y823" s="7">
        <v>335.44</v>
      </c>
      <c r="Z823" s="7">
        <f t="shared" ref="Z823:AA823" si="841">W823*X823</f>
        <v>335.52</v>
      </c>
      <c r="AA823" s="7">
        <f t="shared" si="841"/>
        <v>335.44</v>
      </c>
      <c r="AB823" s="7">
        <f t="shared" si="785"/>
        <v>7.9999999999984084E-2</v>
      </c>
    </row>
    <row r="824" spans="1:28">
      <c r="A824" s="1">
        <v>823</v>
      </c>
      <c r="B824" s="1" t="s">
        <v>2101</v>
      </c>
      <c r="C824" s="2">
        <v>43271</v>
      </c>
      <c r="D824" s="6" t="str">
        <f t="shared" si="780"/>
        <v>Jun</v>
      </c>
      <c r="E824" s="6" t="str">
        <f t="shared" si="781"/>
        <v>Qtr 2</v>
      </c>
      <c r="F824" s="5" t="s">
        <v>2102</v>
      </c>
      <c r="G824" s="1" t="s">
        <v>49</v>
      </c>
      <c r="H824" s="1" t="s">
        <v>2103</v>
      </c>
      <c r="I824" s="1" t="s">
        <v>2104</v>
      </c>
      <c r="J824" s="1" t="str">
        <f ca="1">IFERROR(__xludf.DUMMYFUNCTION("split(I824,"" "")"),"Toby")</f>
        <v>Toby</v>
      </c>
      <c r="K824" s="1" t="str">
        <f ca="1">IFERROR(__xludf.DUMMYFUNCTION("""COMPUTED_VALUE"""),"Ritter")</f>
        <v>Ritter</v>
      </c>
      <c r="L824" s="1"/>
      <c r="M824" s="1" t="s">
        <v>29</v>
      </c>
      <c r="N824" s="1" t="s">
        <v>30</v>
      </c>
      <c r="O824" s="1" t="s">
        <v>891</v>
      </c>
      <c r="P824" s="1" t="str">
        <f t="shared" si="782"/>
        <v>Belleville</v>
      </c>
      <c r="Q824" s="1" t="s">
        <v>653</v>
      </c>
      <c r="R824" s="1" t="str">
        <f t="shared" si="783"/>
        <v>New Jersey</v>
      </c>
      <c r="S824" s="1">
        <v>7109</v>
      </c>
      <c r="T824" s="1" t="s">
        <v>128</v>
      </c>
      <c r="U824" s="1" t="s">
        <v>2105</v>
      </c>
      <c r="V824" s="1" t="s">
        <v>64</v>
      </c>
      <c r="W824" s="7">
        <v>239.97</v>
      </c>
      <c r="X824" s="1">
        <v>7</v>
      </c>
      <c r="Y824" s="7">
        <v>239.15</v>
      </c>
      <c r="Z824" s="7">
        <f t="shared" ref="Z824:AA824" si="842">W824*X824</f>
        <v>1679.79</v>
      </c>
      <c r="AA824" s="7">
        <f t="shared" si="842"/>
        <v>1674.05</v>
      </c>
      <c r="AB824" s="7">
        <f t="shared" si="785"/>
        <v>5.7400000000000091</v>
      </c>
    </row>
    <row r="825" spans="1:28">
      <c r="A825" s="1">
        <v>824</v>
      </c>
      <c r="B825" s="1" t="s">
        <v>2101</v>
      </c>
      <c r="C825" s="2">
        <v>43271</v>
      </c>
      <c r="D825" s="6" t="str">
        <f t="shared" si="780"/>
        <v>Jun</v>
      </c>
      <c r="E825" s="6" t="str">
        <f t="shared" si="781"/>
        <v>Qtr 2</v>
      </c>
      <c r="F825" s="5" t="s">
        <v>2102</v>
      </c>
      <c r="G825" s="1" t="s">
        <v>49</v>
      </c>
      <c r="H825" s="1" t="s">
        <v>2103</v>
      </c>
      <c r="I825" s="1" t="s">
        <v>2104</v>
      </c>
      <c r="J825" s="1" t="str">
        <f ca="1">IFERROR(__xludf.DUMMYFUNCTION("split(I825,"" "")"),"Toby")</f>
        <v>Toby</v>
      </c>
      <c r="K825" s="1" t="str">
        <f ca="1">IFERROR(__xludf.DUMMYFUNCTION("""COMPUTED_VALUE"""),"Ritter")</f>
        <v>Ritter</v>
      </c>
      <c r="L825" s="1"/>
      <c r="M825" s="1" t="s">
        <v>29</v>
      </c>
      <c r="N825" s="1" t="s">
        <v>30</v>
      </c>
      <c r="O825" s="1" t="s">
        <v>891</v>
      </c>
      <c r="P825" s="1" t="str">
        <f t="shared" si="782"/>
        <v>Belleville</v>
      </c>
      <c r="Q825" s="1" t="s">
        <v>653</v>
      </c>
      <c r="R825" s="1" t="str">
        <f t="shared" si="783"/>
        <v>New Jersey</v>
      </c>
      <c r="S825" s="1">
        <v>7109</v>
      </c>
      <c r="T825" s="1" t="s">
        <v>128</v>
      </c>
      <c r="U825" s="1" t="s">
        <v>1933</v>
      </c>
      <c r="V825" s="1" t="s">
        <v>46</v>
      </c>
      <c r="W825" s="7">
        <v>9.82</v>
      </c>
      <c r="X825" s="1">
        <v>7</v>
      </c>
      <c r="Y825" s="7">
        <v>9.82</v>
      </c>
      <c r="Z825" s="7">
        <f t="shared" ref="Z825:AA825" si="843">W825*X825</f>
        <v>68.740000000000009</v>
      </c>
      <c r="AA825" s="7">
        <f t="shared" si="843"/>
        <v>68.740000000000009</v>
      </c>
      <c r="AB825" s="7">
        <f t="shared" si="785"/>
        <v>0</v>
      </c>
    </row>
    <row r="826" spans="1:28">
      <c r="A826" s="1">
        <v>825</v>
      </c>
      <c r="B826" s="1" t="s">
        <v>2106</v>
      </c>
      <c r="C826" s="2">
        <v>42252</v>
      </c>
      <c r="D826" s="6" t="str">
        <f t="shared" si="780"/>
        <v>Sep</v>
      </c>
      <c r="E826" s="6" t="str">
        <f t="shared" si="781"/>
        <v>Qtr 3</v>
      </c>
      <c r="F826" s="5" t="s">
        <v>101</v>
      </c>
      <c r="G826" s="1" t="s">
        <v>49</v>
      </c>
      <c r="H826" s="1" t="s">
        <v>2107</v>
      </c>
      <c r="I826" s="1" t="s">
        <v>2108</v>
      </c>
      <c r="J826" s="1" t="str">
        <f ca="1">IFERROR(__xludf.DUMMYFUNCTION("split(I826,"" "")"),"Patrick")</f>
        <v>Patrick</v>
      </c>
      <c r="K826" s="1" t="str">
        <f ca="1">IFERROR(__xludf.DUMMYFUNCTION("""COMPUTED_VALUE"""),"Gardner")</f>
        <v>Gardner</v>
      </c>
      <c r="L826" s="1"/>
      <c r="M826" s="1" t="s">
        <v>29</v>
      </c>
      <c r="N826" s="1" t="s">
        <v>30</v>
      </c>
      <c r="O826" s="1" t="s">
        <v>110</v>
      </c>
      <c r="P826" s="1" t="str">
        <f t="shared" si="782"/>
        <v>San Francisco</v>
      </c>
      <c r="Q826" s="1" t="s">
        <v>68</v>
      </c>
      <c r="R826" s="1" t="str">
        <f t="shared" si="783"/>
        <v>California</v>
      </c>
      <c r="S826" s="1">
        <v>94110</v>
      </c>
      <c r="T826" s="1" t="s">
        <v>44</v>
      </c>
      <c r="U826" s="1" t="s">
        <v>2109</v>
      </c>
      <c r="V826" s="1" t="s">
        <v>64</v>
      </c>
      <c r="W826" s="7">
        <v>67.8</v>
      </c>
      <c r="X826" s="1">
        <v>9</v>
      </c>
      <c r="Y826" s="7">
        <v>66.819999999999993</v>
      </c>
      <c r="Z826" s="7">
        <f t="shared" ref="Z826:AA826" si="844">W826*X826</f>
        <v>610.19999999999993</v>
      </c>
      <c r="AA826" s="7">
        <f t="shared" si="844"/>
        <v>601.37999999999988</v>
      </c>
      <c r="AB826" s="7">
        <f t="shared" si="785"/>
        <v>8.82000000000005</v>
      </c>
    </row>
    <row r="827" spans="1:28">
      <c r="A827" s="1">
        <v>826</v>
      </c>
      <c r="B827" s="1" t="s">
        <v>2106</v>
      </c>
      <c r="C827" s="2">
        <v>42252</v>
      </c>
      <c r="D827" s="6" t="str">
        <f t="shared" si="780"/>
        <v>Sep</v>
      </c>
      <c r="E827" s="6" t="str">
        <f t="shared" si="781"/>
        <v>Qtr 3</v>
      </c>
      <c r="F827" s="5" t="s">
        <v>101</v>
      </c>
      <c r="G827" s="1" t="s">
        <v>49</v>
      </c>
      <c r="H827" s="1" t="s">
        <v>2107</v>
      </c>
      <c r="I827" s="1" t="s">
        <v>2108</v>
      </c>
      <c r="J827" s="1" t="str">
        <f ca="1">IFERROR(__xludf.DUMMYFUNCTION("split(I827,"" "")"),"Patrick")</f>
        <v>Patrick</v>
      </c>
      <c r="K827" s="1" t="str">
        <f ca="1">IFERROR(__xludf.DUMMYFUNCTION("""COMPUTED_VALUE"""),"Gardner")</f>
        <v>Gardner</v>
      </c>
      <c r="L827" s="1"/>
      <c r="M827" s="1" t="s">
        <v>29</v>
      </c>
      <c r="N827" s="1" t="s">
        <v>30</v>
      </c>
      <c r="O827" s="1" t="s">
        <v>110</v>
      </c>
      <c r="P827" s="1" t="str">
        <f t="shared" si="782"/>
        <v>San Francisco</v>
      </c>
      <c r="Q827" s="1" t="s">
        <v>68</v>
      </c>
      <c r="R827" s="1" t="str">
        <f t="shared" si="783"/>
        <v>California</v>
      </c>
      <c r="S827" s="1">
        <v>94110</v>
      </c>
      <c r="T827" s="1" t="s">
        <v>44</v>
      </c>
      <c r="U827" s="1" t="s">
        <v>709</v>
      </c>
      <c r="V827" s="1" t="s">
        <v>64</v>
      </c>
      <c r="W827" s="7">
        <v>167.97</v>
      </c>
      <c r="X827" s="1">
        <v>9</v>
      </c>
      <c r="Y827" s="7">
        <v>167.06</v>
      </c>
      <c r="Z827" s="7">
        <f t="shared" ref="Z827:AA827" si="845">W827*X827</f>
        <v>1511.73</v>
      </c>
      <c r="AA827" s="7">
        <f t="shared" si="845"/>
        <v>1503.54</v>
      </c>
      <c r="AB827" s="7">
        <f t="shared" si="785"/>
        <v>8.1900000000000546</v>
      </c>
    </row>
    <row r="828" spans="1:28">
      <c r="A828" s="1">
        <v>827</v>
      </c>
      <c r="B828" s="1" t="s">
        <v>2110</v>
      </c>
      <c r="C828" s="2">
        <v>43333</v>
      </c>
      <c r="D828" s="6" t="str">
        <f t="shared" si="780"/>
        <v>Aug</v>
      </c>
      <c r="E828" s="6" t="str">
        <f t="shared" si="781"/>
        <v>Qtr 3</v>
      </c>
      <c r="F828" s="5" t="s">
        <v>2111</v>
      </c>
      <c r="G828" s="1" t="s">
        <v>49</v>
      </c>
      <c r="H828" s="1" t="s">
        <v>1530</v>
      </c>
      <c r="I828" s="1" t="s">
        <v>1531</v>
      </c>
      <c r="J828" s="1" t="str">
        <f ca="1">IFERROR(__xludf.DUMMYFUNCTION("split(I828,"" "")"),"Greg")</f>
        <v>Greg</v>
      </c>
      <c r="K828" s="1" t="str">
        <f ca="1">IFERROR(__xludf.DUMMYFUNCTION("""COMPUTED_VALUE"""),"Tran")</f>
        <v>Tran</v>
      </c>
      <c r="L828" s="1"/>
      <c r="M828" s="1" t="s">
        <v>29</v>
      </c>
      <c r="N828" s="1" t="s">
        <v>30</v>
      </c>
      <c r="O828" s="1" t="s">
        <v>765</v>
      </c>
      <c r="P828" s="1" t="str">
        <f t="shared" si="782"/>
        <v>Lakeville</v>
      </c>
      <c r="Q828" s="1" t="s">
        <v>201</v>
      </c>
      <c r="R828" s="1" t="str">
        <f t="shared" si="783"/>
        <v>Minnesota</v>
      </c>
      <c r="S828" s="1">
        <v>55044</v>
      </c>
      <c r="T828" s="1" t="s">
        <v>90</v>
      </c>
      <c r="U828" s="1" t="s">
        <v>2112</v>
      </c>
      <c r="V828" s="1" t="s">
        <v>46</v>
      </c>
      <c r="W828" s="7">
        <v>35</v>
      </c>
      <c r="X828" s="1">
        <v>5</v>
      </c>
      <c r="Y828" s="7">
        <v>34.119999999999997</v>
      </c>
      <c r="Z828" s="7">
        <f t="shared" ref="Z828:AA828" si="846">W828*X828</f>
        <v>175</v>
      </c>
      <c r="AA828" s="7">
        <f t="shared" si="846"/>
        <v>170.6</v>
      </c>
      <c r="AB828" s="7">
        <f t="shared" si="785"/>
        <v>4.4000000000000057</v>
      </c>
    </row>
    <row r="829" spans="1:28">
      <c r="A829" s="1">
        <v>828</v>
      </c>
      <c r="B829" s="1" t="s">
        <v>2110</v>
      </c>
      <c r="C829" s="2">
        <v>43333</v>
      </c>
      <c r="D829" s="6" t="str">
        <f t="shared" si="780"/>
        <v>Aug</v>
      </c>
      <c r="E829" s="6" t="str">
        <f t="shared" si="781"/>
        <v>Qtr 3</v>
      </c>
      <c r="F829" s="5" t="s">
        <v>2111</v>
      </c>
      <c r="G829" s="1" t="s">
        <v>49</v>
      </c>
      <c r="H829" s="1" t="s">
        <v>1530</v>
      </c>
      <c r="I829" s="1" t="s">
        <v>1531</v>
      </c>
      <c r="J829" s="1" t="str">
        <f ca="1">IFERROR(__xludf.DUMMYFUNCTION("split(I829,"" "")"),"Greg")</f>
        <v>Greg</v>
      </c>
      <c r="K829" s="1" t="str">
        <f ca="1">IFERROR(__xludf.DUMMYFUNCTION("""COMPUTED_VALUE"""),"Tran")</f>
        <v>Tran</v>
      </c>
      <c r="L829" s="1"/>
      <c r="M829" s="1" t="s">
        <v>29</v>
      </c>
      <c r="N829" s="1" t="s">
        <v>30</v>
      </c>
      <c r="O829" s="1" t="s">
        <v>765</v>
      </c>
      <c r="P829" s="1" t="str">
        <f t="shared" si="782"/>
        <v>Lakeville</v>
      </c>
      <c r="Q829" s="1" t="s">
        <v>201</v>
      </c>
      <c r="R829" s="1" t="str">
        <f t="shared" si="783"/>
        <v>Minnesota</v>
      </c>
      <c r="S829" s="1">
        <v>55044</v>
      </c>
      <c r="T829" s="1" t="s">
        <v>90</v>
      </c>
      <c r="U829" s="1" t="s">
        <v>2113</v>
      </c>
      <c r="V829" s="1" t="s">
        <v>46</v>
      </c>
      <c r="W829" s="7">
        <v>37.24</v>
      </c>
      <c r="X829" s="1">
        <v>5</v>
      </c>
      <c r="Y829" s="7">
        <v>37.15</v>
      </c>
      <c r="Z829" s="7">
        <f t="shared" ref="Z829:AA829" si="847">W829*X829</f>
        <v>186.20000000000002</v>
      </c>
      <c r="AA829" s="7">
        <f t="shared" si="847"/>
        <v>185.75</v>
      </c>
      <c r="AB829" s="7">
        <f t="shared" si="785"/>
        <v>0.45000000000001705</v>
      </c>
    </row>
    <row r="830" spans="1:28">
      <c r="A830" s="1">
        <v>829</v>
      </c>
      <c r="B830" s="1" t="s">
        <v>2110</v>
      </c>
      <c r="C830" s="2">
        <v>43333</v>
      </c>
      <c r="D830" s="6" t="str">
        <f t="shared" si="780"/>
        <v>Aug</v>
      </c>
      <c r="E830" s="6" t="str">
        <f t="shared" si="781"/>
        <v>Qtr 3</v>
      </c>
      <c r="F830" s="5" t="s">
        <v>2111</v>
      </c>
      <c r="G830" s="1" t="s">
        <v>49</v>
      </c>
      <c r="H830" s="1" t="s">
        <v>1530</v>
      </c>
      <c r="I830" s="1" t="s">
        <v>1531</v>
      </c>
      <c r="J830" s="1" t="str">
        <f ca="1">IFERROR(__xludf.DUMMYFUNCTION("split(I830,"" "")"),"Greg")</f>
        <v>Greg</v>
      </c>
      <c r="K830" s="1" t="str">
        <f ca="1">IFERROR(__xludf.DUMMYFUNCTION("""COMPUTED_VALUE"""),"Tran")</f>
        <v>Tran</v>
      </c>
      <c r="L830" s="1"/>
      <c r="M830" s="1" t="s">
        <v>29</v>
      </c>
      <c r="N830" s="1" t="s">
        <v>30</v>
      </c>
      <c r="O830" s="1" t="s">
        <v>765</v>
      </c>
      <c r="P830" s="1" t="str">
        <f t="shared" si="782"/>
        <v>Lakeville</v>
      </c>
      <c r="Q830" s="1" t="s">
        <v>201</v>
      </c>
      <c r="R830" s="1" t="str">
        <f t="shared" si="783"/>
        <v>Minnesota</v>
      </c>
      <c r="S830" s="1">
        <v>55044</v>
      </c>
      <c r="T830" s="1" t="s">
        <v>90</v>
      </c>
      <c r="U830" s="1" t="s">
        <v>2114</v>
      </c>
      <c r="V830" s="1" t="s">
        <v>46</v>
      </c>
      <c r="W830" s="7">
        <v>15.28</v>
      </c>
      <c r="X830" s="1">
        <v>5</v>
      </c>
      <c r="Y830" s="7">
        <v>14.83</v>
      </c>
      <c r="Z830" s="7">
        <f t="shared" ref="Z830:AA830" si="848">W830*X830</f>
        <v>76.399999999999991</v>
      </c>
      <c r="AA830" s="7">
        <f t="shared" si="848"/>
        <v>74.150000000000006</v>
      </c>
      <c r="AB830" s="7">
        <f t="shared" si="785"/>
        <v>2.2499999999999858</v>
      </c>
    </row>
    <row r="831" spans="1:28">
      <c r="A831" s="1">
        <v>830</v>
      </c>
      <c r="B831" s="1" t="s">
        <v>2115</v>
      </c>
      <c r="C831" s="2">
        <v>43267</v>
      </c>
      <c r="D831" s="6" t="str">
        <f t="shared" si="780"/>
        <v>Jun</v>
      </c>
      <c r="E831" s="6" t="str">
        <f t="shared" si="781"/>
        <v>Qtr 2</v>
      </c>
      <c r="F831" s="5" t="s">
        <v>2116</v>
      </c>
      <c r="G831" s="1" t="s">
        <v>26</v>
      </c>
      <c r="H831" s="1" t="s">
        <v>284</v>
      </c>
      <c r="I831" s="1" t="s">
        <v>285</v>
      </c>
      <c r="J831" s="1" t="str">
        <f ca="1">IFERROR(__xludf.DUMMYFUNCTION("split(I831,"" "")"),"Joel")</f>
        <v>Joel</v>
      </c>
      <c r="K831" s="1" t="str">
        <f ca="1">IFERROR(__xludf.DUMMYFUNCTION("""COMPUTED_VALUE"""),"Eaton")</f>
        <v>Eaton</v>
      </c>
      <c r="L831" s="1"/>
      <c r="M831" s="1" t="s">
        <v>29</v>
      </c>
      <c r="N831" s="1" t="s">
        <v>30</v>
      </c>
      <c r="O831" s="1" t="s">
        <v>2117</v>
      </c>
      <c r="P831" s="1" t="str">
        <f t="shared" si="782"/>
        <v>Florence</v>
      </c>
      <c r="Q831" s="1" t="s">
        <v>32</v>
      </c>
      <c r="R831" s="1" t="str">
        <f t="shared" si="783"/>
        <v>Kentucky</v>
      </c>
      <c r="S831" s="1">
        <v>41042</v>
      </c>
      <c r="T831" s="1" t="s">
        <v>33</v>
      </c>
      <c r="U831" s="1" t="s">
        <v>2118</v>
      </c>
      <c r="V831" s="1" t="s">
        <v>35</v>
      </c>
      <c r="W831" s="7">
        <v>301.95999999999998</v>
      </c>
      <c r="X831" s="1">
        <v>4</v>
      </c>
      <c r="Y831" s="7">
        <v>301.63</v>
      </c>
      <c r="Z831" s="7">
        <f t="shared" ref="Z831:AA831" si="849">W831*X831</f>
        <v>1207.8399999999999</v>
      </c>
      <c r="AA831" s="7">
        <f t="shared" si="849"/>
        <v>1206.52</v>
      </c>
      <c r="AB831" s="7">
        <f t="shared" si="785"/>
        <v>1.3199999999999363</v>
      </c>
    </row>
    <row r="832" spans="1:28">
      <c r="A832" s="1">
        <v>831</v>
      </c>
      <c r="B832" s="1" t="s">
        <v>2115</v>
      </c>
      <c r="C832" s="2">
        <v>43267</v>
      </c>
      <c r="D832" s="6" t="str">
        <f t="shared" si="780"/>
        <v>Jun</v>
      </c>
      <c r="E832" s="6" t="str">
        <f t="shared" si="781"/>
        <v>Qtr 2</v>
      </c>
      <c r="F832" s="5" t="s">
        <v>2116</v>
      </c>
      <c r="G832" s="1" t="s">
        <v>26</v>
      </c>
      <c r="H832" s="1" t="s">
        <v>284</v>
      </c>
      <c r="I832" s="1" t="s">
        <v>285</v>
      </c>
      <c r="J832" s="1" t="str">
        <f ca="1">IFERROR(__xludf.DUMMYFUNCTION("split(I832,"" "")"),"Joel")</f>
        <v>Joel</v>
      </c>
      <c r="K832" s="1" t="str">
        <f ca="1">IFERROR(__xludf.DUMMYFUNCTION("""COMPUTED_VALUE"""),"Eaton")</f>
        <v>Eaton</v>
      </c>
      <c r="L832" s="1"/>
      <c r="M832" s="1" t="s">
        <v>29</v>
      </c>
      <c r="N832" s="1" t="s">
        <v>30</v>
      </c>
      <c r="O832" s="1" t="s">
        <v>2117</v>
      </c>
      <c r="P832" s="1" t="str">
        <f t="shared" si="782"/>
        <v>Florence</v>
      </c>
      <c r="Q832" s="1" t="s">
        <v>32</v>
      </c>
      <c r="R832" s="1" t="str">
        <f t="shared" si="783"/>
        <v>Kentucky</v>
      </c>
      <c r="S832" s="1">
        <v>41042</v>
      </c>
      <c r="T832" s="1" t="s">
        <v>33</v>
      </c>
      <c r="U832" s="1" t="s">
        <v>2119</v>
      </c>
      <c r="V832" s="1" t="s">
        <v>46</v>
      </c>
      <c r="W832" s="7">
        <v>180.66</v>
      </c>
      <c r="X832" s="1">
        <v>4</v>
      </c>
      <c r="Y832" s="7">
        <v>180.35</v>
      </c>
      <c r="Z832" s="7">
        <f t="shared" ref="Z832:AA832" si="850">W832*X832</f>
        <v>722.64</v>
      </c>
      <c r="AA832" s="7">
        <f t="shared" si="850"/>
        <v>721.4</v>
      </c>
      <c r="AB832" s="7">
        <f t="shared" si="785"/>
        <v>1.2400000000000091</v>
      </c>
    </row>
    <row r="833" spans="1:28">
      <c r="A833" s="1">
        <v>832</v>
      </c>
      <c r="B833" s="1" t="s">
        <v>2115</v>
      </c>
      <c r="C833" s="2">
        <v>43267</v>
      </c>
      <c r="D833" s="6" t="str">
        <f t="shared" si="780"/>
        <v>Jun</v>
      </c>
      <c r="E833" s="6" t="str">
        <f t="shared" si="781"/>
        <v>Qtr 2</v>
      </c>
      <c r="F833" s="5" t="s">
        <v>2116</v>
      </c>
      <c r="G833" s="1" t="s">
        <v>26</v>
      </c>
      <c r="H833" s="1" t="s">
        <v>284</v>
      </c>
      <c r="I833" s="1" t="s">
        <v>285</v>
      </c>
      <c r="J833" s="1" t="str">
        <f ca="1">IFERROR(__xludf.DUMMYFUNCTION("split(I833,"" "")"),"Joel")</f>
        <v>Joel</v>
      </c>
      <c r="K833" s="1" t="str">
        <f ca="1">IFERROR(__xludf.DUMMYFUNCTION("""COMPUTED_VALUE"""),"Eaton")</f>
        <v>Eaton</v>
      </c>
      <c r="L833" s="1"/>
      <c r="M833" s="1" t="s">
        <v>29</v>
      </c>
      <c r="N833" s="1" t="s">
        <v>30</v>
      </c>
      <c r="O833" s="1" t="s">
        <v>2117</v>
      </c>
      <c r="P833" s="1" t="str">
        <f t="shared" si="782"/>
        <v>Florence</v>
      </c>
      <c r="Q833" s="1" t="s">
        <v>32</v>
      </c>
      <c r="R833" s="1" t="str">
        <f t="shared" si="783"/>
        <v>Kentucky</v>
      </c>
      <c r="S833" s="1">
        <v>41042</v>
      </c>
      <c r="T833" s="1" t="s">
        <v>33</v>
      </c>
      <c r="U833" s="1" t="s">
        <v>2120</v>
      </c>
      <c r="V833" s="1" t="s">
        <v>64</v>
      </c>
      <c r="W833" s="7">
        <v>191.98</v>
      </c>
      <c r="X833" s="1">
        <v>4</v>
      </c>
      <c r="Y833" s="7">
        <v>191.97</v>
      </c>
      <c r="Z833" s="7">
        <f t="shared" ref="Z833:AA833" si="851">W833*X833</f>
        <v>767.92</v>
      </c>
      <c r="AA833" s="7">
        <f t="shared" si="851"/>
        <v>767.88</v>
      </c>
      <c r="AB833" s="7">
        <f t="shared" si="785"/>
        <v>3.999999999996362E-2</v>
      </c>
    </row>
    <row r="834" spans="1:28">
      <c r="A834" s="1">
        <v>833</v>
      </c>
      <c r="B834" s="1" t="s">
        <v>2115</v>
      </c>
      <c r="C834" s="2">
        <v>43267</v>
      </c>
      <c r="D834" s="6" t="str">
        <f t="shared" si="780"/>
        <v>Jun</v>
      </c>
      <c r="E834" s="6" t="str">
        <f t="shared" si="781"/>
        <v>Qtr 2</v>
      </c>
      <c r="F834" s="5" t="s">
        <v>2116</v>
      </c>
      <c r="G834" s="1" t="s">
        <v>26</v>
      </c>
      <c r="H834" s="1" t="s">
        <v>284</v>
      </c>
      <c r="I834" s="1" t="s">
        <v>285</v>
      </c>
      <c r="J834" s="1" t="str">
        <f ca="1">IFERROR(__xludf.DUMMYFUNCTION("split(I834,"" "")"),"Joel")</f>
        <v>Joel</v>
      </c>
      <c r="K834" s="1" t="str">
        <f ca="1">IFERROR(__xludf.DUMMYFUNCTION("""COMPUTED_VALUE"""),"Eaton")</f>
        <v>Eaton</v>
      </c>
      <c r="L834" s="1"/>
      <c r="M834" s="1" t="s">
        <v>29</v>
      </c>
      <c r="N834" s="1" t="s">
        <v>30</v>
      </c>
      <c r="O834" s="1" t="s">
        <v>2117</v>
      </c>
      <c r="P834" s="1" t="str">
        <f t="shared" si="782"/>
        <v>Florence</v>
      </c>
      <c r="Q834" s="1" t="s">
        <v>32</v>
      </c>
      <c r="R834" s="1" t="str">
        <f t="shared" si="783"/>
        <v>Kentucky</v>
      </c>
      <c r="S834" s="1">
        <v>41042</v>
      </c>
      <c r="T834" s="1" t="s">
        <v>33</v>
      </c>
      <c r="U834" s="1" t="s">
        <v>2121</v>
      </c>
      <c r="V834" s="1" t="s">
        <v>64</v>
      </c>
      <c r="W834" s="7">
        <v>65.989999999999995</v>
      </c>
      <c r="X834" s="1">
        <v>4</v>
      </c>
      <c r="Y834" s="7">
        <v>65.98</v>
      </c>
      <c r="Z834" s="7">
        <f t="shared" ref="Z834:AA834" si="852">W834*X834</f>
        <v>263.95999999999998</v>
      </c>
      <c r="AA834" s="7">
        <f t="shared" si="852"/>
        <v>263.92</v>
      </c>
      <c r="AB834" s="7">
        <f t="shared" si="785"/>
        <v>3.999999999996362E-2</v>
      </c>
    </row>
    <row r="835" spans="1:28">
      <c r="A835" s="1">
        <v>834</v>
      </c>
      <c r="B835" s="1" t="s">
        <v>2122</v>
      </c>
      <c r="C835" s="2">
        <v>42939</v>
      </c>
      <c r="D835" s="6" t="str">
        <f t="shared" si="780"/>
        <v>Jul</v>
      </c>
      <c r="E835" s="6" t="str">
        <f t="shared" si="781"/>
        <v>Qtr 3</v>
      </c>
      <c r="F835" s="5" t="s">
        <v>2123</v>
      </c>
      <c r="G835" s="1" t="s">
        <v>49</v>
      </c>
      <c r="H835" s="1" t="s">
        <v>581</v>
      </c>
      <c r="I835" s="1" t="s">
        <v>582</v>
      </c>
      <c r="J835" s="1" t="str">
        <f ca="1">IFERROR(__xludf.DUMMYFUNCTION("split(I835,"" "")"),"Jennifer")</f>
        <v>Jennifer</v>
      </c>
      <c r="K835" s="1" t="str">
        <f ca="1">IFERROR(__xludf.DUMMYFUNCTION("""COMPUTED_VALUE"""),"Braxton")</f>
        <v>Braxton</v>
      </c>
      <c r="L835" s="1"/>
      <c r="M835" s="1" t="s">
        <v>41</v>
      </c>
      <c r="N835" s="1" t="s">
        <v>30</v>
      </c>
      <c r="O835" s="1" t="s">
        <v>743</v>
      </c>
      <c r="P835" s="1" t="str">
        <f t="shared" si="782"/>
        <v>Tampa</v>
      </c>
      <c r="Q835" s="1" t="s">
        <v>194</v>
      </c>
      <c r="R835" s="1" t="str">
        <f t="shared" si="783"/>
        <v>Florida</v>
      </c>
      <c r="S835" s="1">
        <v>33614</v>
      </c>
      <c r="T835" s="1" t="s">
        <v>33</v>
      </c>
      <c r="U835" s="1" t="s">
        <v>2124</v>
      </c>
      <c r="V835" s="1" t="s">
        <v>46</v>
      </c>
      <c r="W835" s="7">
        <v>35.216000000000001</v>
      </c>
      <c r="X835" s="1">
        <v>3</v>
      </c>
      <c r="Y835" s="7">
        <v>34.32</v>
      </c>
      <c r="Z835" s="7">
        <f t="shared" ref="Z835:AA835" si="853">W835*X835</f>
        <v>105.648</v>
      </c>
      <c r="AA835" s="7">
        <f t="shared" si="853"/>
        <v>102.96000000000001</v>
      </c>
      <c r="AB835" s="7">
        <f t="shared" si="785"/>
        <v>2.6879999999999882</v>
      </c>
    </row>
    <row r="836" spans="1:28">
      <c r="A836" s="1">
        <v>835</v>
      </c>
      <c r="B836" s="1" t="s">
        <v>2122</v>
      </c>
      <c r="C836" s="2">
        <v>42939</v>
      </c>
      <c r="D836" s="6" t="str">
        <f t="shared" si="780"/>
        <v>Jul</v>
      </c>
      <c r="E836" s="6" t="str">
        <f t="shared" si="781"/>
        <v>Qtr 3</v>
      </c>
      <c r="F836" s="5" t="s">
        <v>2123</v>
      </c>
      <c r="G836" s="1" t="s">
        <v>49</v>
      </c>
      <c r="H836" s="1" t="s">
        <v>581</v>
      </c>
      <c r="I836" s="1" t="s">
        <v>582</v>
      </c>
      <c r="J836" s="1" t="str">
        <f ca="1">IFERROR(__xludf.DUMMYFUNCTION("split(I836,"" "")"),"Jennifer")</f>
        <v>Jennifer</v>
      </c>
      <c r="K836" s="1" t="str">
        <f ca="1">IFERROR(__xludf.DUMMYFUNCTION("""COMPUTED_VALUE"""),"Braxton")</f>
        <v>Braxton</v>
      </c>
      <c r="L836" s="1"/>
      <c r="M836" s="1" t="s">
        <v>41</v>
      </c>
      <c r="N836" s="1" t="s">
        <v>30</v>
      </c>
      <c r="O836" s="1" t="s">
        <v>743</v>
      </c>
      <c r="P836" s="1" t="str">
        <f t="shared" si="782"/>
        <v>Tampa</v>
      </c>
      <c r="Q836" s="1" t="s">
        <v>194</v>
      </c>
      <c r="R836" s="1" t="str">
        <f t="shared" si="783"/>
        <v>Florida</v>
      </c>
      <c r="S836" s="1">
        <v>33614</v>
      </c>
      <c r="T836" s="1" t="s">
        <v>33</v>
      </c>
      <c r="U836" s="1" t="s">
        <v>2125</v>
      </c>
      <c r="V836" s="1" t="s">
        <v>46</v>
      </c>
      <c r="W836" s="7">
        <v>23.696000000000002</v>
      </c>
      <c r="X836" s="1">
        <v>3</v>
      </c>
      <c r="Y836" s="7">
        <v>23.08</v>
      </c>
      <c r="Z836" s="7">
        <f t="shared" ref="Z836:AA836" si="854">W836*X836</f>
        <v>71.088000000000008</v>
      </c>
      <c r="AA836" s="7">
        <f t="shared" si="854"/>
        <v>69.239999999999995</v>
      </c>
      <c r="AB836" s="7">
        <f t="shared" si="785"/>
        <v>1.8480000000000132</v>
      </c>
    </row>
    <row r="837" spans="1:28">
      <c r="A837" s="1">
        <v>836</v>
      </c>
      <c r="B837" s="1" t="s">
        <v>2122</v>
      </c>
      <c r="C837" s="2">
        <v>42939</v>
      </c>
      <c r="D837" s="6" t="str">
        <f t="shared" si="780"/>
        <v>Jul</v>
      </c>
      <c r="E837" s="6" t="str">
        <f t="shared" si="781"/>
        <v>Qtr 3</v>
      </c>
      <c r="F837" s="5" t="s">
        <v>2123</v>
      </c>
      <c r="G837" s="1" t="s">
        <v>49</v>
      </c>
      <c r="H837" s="1" t="s">
        <v>581</v>
      </c>
      <c r="I837" s="1" t="s">
        <v>582</v>
      </c>
      <c r="J837" s="1" t="str">
        <f ca="1">IFERROR(__xludf.DUMMYFUNCTION("split(I837,"" "")"),"Jennifer")</f>
        <v>Jennifer</v>
      </c>
      <c r="K837" s="1" t="str">
        <f ca="1">IFERROR(__xludf.DUMMYFUNCTION("""COMPUTED_VALUE"""),"Braxton")</f>
        <v>Braxton</v>
      </c>
      <c r="L837" s="1"/>
      <c r="M837" s="1" t="s">
        <v>41</v>
      </c>
      <c r="N837" s="1" t="s">
        <v>30</v>
      </c>
      <c r="O837" s="1" t="s">
        <v>743</v>
      </c>
      <c r="P837" s="1" t="str">
        <f t="shared" si="782"/>
        <v>Tampa</v>
      </c>
      <c r="Q837" s="1" t="s">
        <v>194</v>
      </c>
      <c r="R837" s="1" t="str">
        <f t="shared" si="783"/>
        <v>Florida</v>
      </c>
      <c r="S837" s="1">
        <v>33614</v>
      </c>
      <c r="T837" s="1" t="s">
        <v>33</v>
      </c>
      <c r="U837" s="1" t="s">
        <v>2126</v>
      </c>
      <c r="V837" s="1" t="s">
        <v>64</v>
      </c>
      <c r="W837" s="7">
        <v>265.47500000000002</v>
      </c>
      <c r="X837" s="1">
        <v>3</v>
      </c>
      <c r="Y837" s="7">
        <v>265.14999999999998</v>
      </c>
      <c r="Z837" s="7">
        <f t="shared" ref="Z837:AA837" si="855">W837*X837</f>
        <v>796.42500000000007</v>
      </c>
      <c r="AA837" s="7">
        <f t="shared" si="855"/>
        <v>795.44999999999993</v>
      </c>
      <c r="AB837" s="7">
        <f t="shared" si="785"/>
        <v>0.97500000000013642</v>
      </c>
    </row>
    <row r="838" spans="1:28">
      <c r="A838" s="1">
        <v>837</v>
      </c>
      <c r="B838" s="1" t="s">
        <v>2127</v>
      </c>
      <c r="C838" s="2">
        <v>42225</v>
      </c>
      <c r="D838" s="6" t="str">
        <f t="shared" si="780"/>
        <v>Aug</v>
      </c>
      <c r="E838" s="6" t="str">
        <f t="shared" si="781"/>
        <v>Qtr 3</v>
      </c>
      <c r="F838" s="5" t="s">
        <v>1219</v>
      </c>
      <c r="G838" s="1" t="s">
        <v>26</v>
      </c>
      <c r="H838" s="1" t="s">
        <v>1977</v>
      </c>
      <c r="I838" s="1" t="s">
        <v>1978</v>
      </c>
      <c r="J838" s="1" t="str">
        <f ca="1">IFERROR(__xludf.DUMMYFUNCTION("split(I838,"" "")"),"Lisa")</f>
        <v>Lisa</v>
      </c>
      <c r="K838" s="1" t="str">
        <f ca="1">IFERROR(__xludf.DUMMYFUNCTION("""COMPUTED_VALUE"""),"Hazard")</f>
        <v>Hazard</v>
      </c>
      <c r="L838" s="1"/>
      <c r="M838" s="1" t="s">
        <v>29</v>
      </c>
      <c r="N838" s="1" t="s">
        <v>30</v>
      </c>
      <c r="O838" s="1" t="s">
        <v>1801</v>
      </c>
      <c r="P838" s="1" t="str">
        <f t="shared" si="782"/>
        <v>Tyler</v>
      </c>
      <c r="Q838" s="1" t="s">
        <v>89</v>
      </c>
      <c r="R838" s="1" t="str">
        <f t="shared" si="783"/>
        <v>Texas</v>
      </c>
      <c r="S838" s="1">
        <v>75701</v>
      </c>
      <c r="T838" s="1" t="s">
        <v>90</v>
      </c>
      <c r="U838" s="1" t="s">
        <v>2128</v>
      </c>
      <c r="V838" s="1" t="s">
        <v>46</v>
      </c>
      <c r="W838" s="7">
        <v>51.183999999999997</v>
      </c>
      <c r="X838" s="1">
        <v>7</v>
      </c>
      <c r="Y838" s="7">
        <v>51.02</v>
      </c>
      <c r="Z838" s="7">
        <f t="shared" ref="Z838:AA838" si="856">W838*X838</f>
        <v>358.28800000000001</v>
      </c>
      <c r="AA838" s="7">
        <f t="shared" si="856"/>
        <v>357.14000000000004</v>
      </c>
      <c r="AB838" s="7">
        <f t="shared" si="785"/>
        <v>1.1479999999999677</v>
      </c>
    </row>
    <row r="839" spans="1:28">
      <c r="A839" s="1">
        <v>838</v>
      </c>
      <c r="B839" s="1" t="s">
        <v>2129</v>
      </c>
      <c r="C839" s="2">
        <v>43201</v>
      </c>
      <c r="D839" s="6" t="str">
        <f t="shared" si="780"/>
        <v>Apr</v>
      </c>
      <c r="E839" s="6" t="str">
        <f t="shared" si="781"/>
        <v>Qtr 2</v>
      </c>
      <c r="F839" s="5">
        <v>43415</v>
      </c>
      <c r="G839" s="1" t="s">
        <v>49</v>
      </c>
      <c r="H839" s="1" t="s">
        <v>2130</v>
      </c>
      <c r="I839" s="1" t="s">
        <v>2131</v>
      </c>
      <c r="J839" s="1" t="str">
        <f ca="1">IFERROR(__xludf.DUMMYFUNCTION("split(I839,"" "")"),"James")</f>
        <v>James</v>
      </c>
      <c r="K839" s="1" t="str">
        <f ca="1">IFERROR(__xludf.DUMMYFUNCTION("""COMPUTED_VALUE"""),"Lanier")</f>
        <v>Lanier</v>
      </c>
      <c r="L839" s="1"/>
      <c r="M839" s="1" t="s">
        <v>87</v>
      </c>
      <c r="N839" s="1" t="s">
        <v>30</v>
      </c>
      <c r="O839" s="1" t="s">
        <v>325</v>
      </c>
      <c r="P839" s="1" t="str">
        <f t="shared" si="782"/>
        <v>Columbia</v>
      </c>
      <c r="Q839" s="1" t="s">
        <v>287</v>
      </c>
      <c r="R839" s="1" t="str">
        <f t="shared" si="783"/>
        <v>Tennessee</v>
      </c>
      <c r="S839" s="1">
        <v>38401</v>
      </c>
      <c r="T839" s="1" t="s">
        <v>33</v>
      </c>
      <c r="U839" s="1" t="s">
        <v>2132</v>
      </c>
      <c r="V839" s="1" t="s">
        <v>46</v>
      </c>
      <c r="W839" s="7">
        <v>9.6639999999999997</v>
      </c>
      <c r="X839" s="1">
        <v>3</v>
      </c>
      <c r="Y839" s="7">
        <v>9.3699999999999992</v>
      </c>
      <c r="Z839" s="7">
        <f t="shared" ref="Z839:AA839" si="857">W839*X839</f>
        <v>28.991999999999997</v>
      </c>
      <c r="AA839" s="7">
        <f t="shared" si="857"/>
        <v>28.11</v>
      </c>
      <c r="AB839" s="7">
        <f t="shared" si="785"/>
        <v>0.8819999999999979</v>
      </c>
    </row>
    <row r="840" spans="1:28">
      <c r="A840" s="1">
        <v>839</v>
      </c>
      <c r="B840" s="1" t="s">
        <v>2133</v>
      </c>
      <c r="C840" s="2">
        <v>42919</v>
      </c>
      <c r="D840" s="6" t="str">
        <f t="shared" si="780"/>
        <v>Jul</v>
      </c>
      <c r="E840" s="6" t="str">
        <f t="shared" si="781"/>
        <v>Qtr 3</v>
      </c>
      <c r="F840" s="5">
        <v>43072</v>
      </c>
      <c r="G840" s="1" t="s">
        <v>49</v>
      </c>
      <c r="H840" s="1" t="s">
        <v>1281</v>
      </c>
      <c r="I840" s="1" t="s">
        <v>1282</v>
      </c>
      <c r="J840" s="1" t="str">
        <f ca="1">IFERROR(__xludf.DUMMYFUNCTION("split(I840,"" "")"),"Ed")</f>
        <v>Ed</v>
      </c>
      <c r="K840" s="1" t="str">
        <f ca="1">IFERROR(__xludf.DUMMYFUNCTION("""COMPUTED_VALUE"""),"Braxton")</f>
        <v>Braxton</v>
      </c>
      <c r="L840" s="1"/>
      <c r="M840" s="1" t="s">
        <v>41</v>
      </c>
      <c r="N840" s="1" t="s">
        <v>30</v>
      </c>
      <c r="O840" s="1" t="s">
        <v>88</v>
      </c>
      <c r="P840" s="1" t="str">
        <f t="shared" si="782"/>
        <v>Fort Worth</v>
      </c>
      <c r="Q840" s="1" t="s">
        <v>89</v>
      </c>
      <c r="R840" s="1" t="str">
        <f t="shared" si="783"/>
        <v>Texas</v>
      </c>
      <c r="S840" s="1">
        <v>76106</v>
      </c>
      <c r="T840" s="1" t="s">
        <v>90</v>
      </c>
      <c r="U840" s="1" t="s">
        <v>1278</v>
      </c>
      <c r="V840" s="1" t="s">
        <v>64</v>
      </c>
      <c r="W840" s="7">
        <v>21.071999999999999</v>
      </c>
      <c r="X840" s="1">
        <v>7</v>
      </c>
      <c r="Y840" s="7">
        <v>20.89</v>
      </c>
      <c r="Z840" s="7">
        <f t="shared" ref="Z840:AA840" si="858">W840*X840</f>
        <v>147.50399999999999</v>
      </c>
      <c r="AA840" s="7">
        <f t="shared" si="858"/>
        <v>146.23000000000002</v>
      </c>
      <c r="AB840" s="7">
        <f t="shared" si="785"/>
        <v>1.2739999999999725</v>
      </c>
    </row>
    <row r="841" spans="1:28">
      <c r="A841" s="1">
        <v>840</v>
      </c>
      <c r="B841" s="1" t="s">
        <v>2134</v>
      </c>
      <c r="C841" s="2">
        <v>42694</v>
      </c>
      <c r="D841" s="6" t="str">
        <f t="shared" si="780"/>
        <v>Nov</v>
      </c>
      <c r="E841" s="6" t="str">
        <f t="shared" si="781"/>
        <v>Qtr 4</v>
      </c>
      <c r="F841" s="5" t="s">
        <v>2135</v>
      </c>
      <c r="G841" s="1" t="s">
        <v>49</v>
      </c>
      <c r="H841" s="1" t="s">
        <v>2136</v>
      </c>
      <c r="I841" s="1" t="s">
        <v>2137</v>
      </c>
      <c r="J841" s="1" t="str">
        <f ca="1">IFERROR(__xludf.DUMMYFUNCTION("split(I841,"" "")"),"Brian")</f>
        <v>Brian</v>
      </c>
      <c r="K841" s="1" t="str">
        <f ca="1">IFERROR(__xludf.DUMMYFUNCTION("""COMPUTED_VALUE"""),"Moss")</f>
        <v>Moss</v>
      </c>
      <c r="L841" s="1"/>
      <c r="M841" s="1" t="s">
        <v>41</v>
      </c>
      <c r="N841" s="1" t="s">
        <v>30</v>
      </c>
      <c r="O841" s="1" t="s">
        <v>233</v>
      </c>
      <c r="P841" s="1" t="str">
        <f t="shared" si="782"/>
        <v>New York City</v>
      </c>
      <c r="Q841" s="1" t="s">
        <v>234</v>
      </c>
      <c r="R841" s="1" t="str">
        <f t="shared" si="783"/>
        <v>New York</v>
      </c>
      <c r="S841" s="1">
        <v>10035</v>
      </c>
      <c r="T841" s="1" t="s">
        <v>128</v>
      </c>
      <c r="U841" s="1" t="s">
        <v>2001</v>
      </c>
      <c r="V841" s="1" t="s">
        <v>46</v>
      </c>
      <c r="W841" s="7">
        <v>60.45</v>
      </c>
      <c r="X841" s="1">
        <v>1</v>
      </c>
      <c r="Y841" s="7">
        <v>60.25</v>
      </c>
      <c r="Z841" s="7">
        <f t="shared" ref="Z841:AA841" si="859">W841*X841</f>
        <v>60.45</v>
      </c>
      <c r="AA841" s="7">
        <f t="shared" si="859"/>
        <v>60.25</v>
      </c>
      <c r="AB841" s="7">
        <f t="shared" si="785"/>
        <v>0.20000000000000284</v>
      </c>
    </row>
    <row r="842" spans="1:28">
      <c r="A842" s="1">
        <v>841</v>
      </c>
      <c r="B842" s="1" t="s">
        <v>2134</v>
      </c>
      <c r="C842" s="2">
        <v>42694</v>
      </c>
      <c r="D842" s="6" t="str">
        <f t="shared" si="780"/>
        <v>Nov</v>
      </c>
      <c r="E842" s="6" t="str">
        <f t="shared" si="781"/>
        <v>Qtr 4</v>
      </c>
      <c r="F842" s="5" t="s">
        <v>2135</v>
      </c>
      <c r="G842" s="1" t="s">
        <v>49</v>
      </c>
      <c r="H842" s="1" t="s">
        <v>2136</v>
      </c>
      <c r="I842" s="1" t="s">
        <v>2137</v>
      </c>
      <c r="J842" s="1" t="str">
        <f ca="1">IFERROR(__xludf.DUMMYFUNCTION("split(I842,"" "")"),"Brian")</f>
        <v>Brian</v>
      </c>
      <c r="K842" s="1" t="str">
        <f ca="1">IFERROR(__xludf.DUMMYFUNCTION("""COMPUTED_VALUE"""),"Moss")</f>
        <v>Moss</v>
      </c>
      <c r="L842" s="1"/>
      <c r="M842" s="1" t="s">
        <v>41</v>
      </c>
      <c r="N842" s="1" t="s">
        <v>30</v>
      </c>
      <c r="O842" s="1" t="s">
        <v>233</v>
      </c>
      <c r="P842" s="1" t="str">
        <f t="shared" si="782"/>
        <v>New York City</v>
      </c>
      <c r="Q842" s="1" t="s">
        <v>234</v>
      </c>
      <c r="R842" s="1" t="str">
        <f t="shared" si="783"/>
        <v>New York</v>
      </c>
      <c r="S842" s="1">
        <v>10035</v>
      </c>
      <c r="T842" s="1" t="s">
        <v>128</v>
      </c>
      <c r="U842" s="1" t="s">
        <v>2138</v>
      </c>
      <c r="V842" s="1" t="s">
        <v>46</v>
      </c>
      <c r="W842" s="7">
        <v>11.52</v>
      </c>
      <c r="X842" s="1">
        <v>1</v>
      </c>
      <c r="Y842" s="7">
        <v>11.19</v>
      </c>
      <c r="Z842" s="7">
        <f t="shared" ref="Z842:AA842" si="860">W842*X842</f>
        <v>11.52</v>
      </c>
      <c r="AA842" s="7">
        <f t="shared" si="860"/>
        <v>11.19</v>
      </c>
      <c r="AB842" s="7">
        <f t="shared" si="785"/>
        <v>0.33000000000000007</v>
      </c>
    </row>
    <row r="843" spans="1:28">
      <c r="A843" s="1">
        <v>842</v>
      </c>
      <c r="B843" s="1" t="s">
        <v>2134</v>
      </c>
      <c r="C843" s="2">
        <v>42694</v>
      </c>
      <c r="D843" s="6" t="str">
        <f t="shared" si="780"/>
        <v>Nov</v>
      </c>
      <c r="E843" s="6" t="str">
        <f t="shared" si="781"/>
        <v>Qtr 4</v>
      </c>
      <c r="F843" s="5" t="s">
        <v>2135</v>
      </c>
      <c r="G843" s="1" t="s">
        <v>49</v>
      </c>
      <c r="H843" s="1" t="s">
        <v>2136</v>
      </c>
      <c r="I843" s="1" t="s">
        <v>2137</v>
      </c>
      <c r="J843" s="1" t="str">
        <f ca="1">IFERROR(__xludf.DUMMYFUNCTION("split(I843,"" "")"),"Brian")</f>
        <v>Brian</v>
      </c>
      <c r="K843" s="1" t="str">
        <f ca="1">IFERROR(__xludf.DUMMYFUNCTION("""COMPUTED_VALUE"""),"Moss")</f>
        <v>Moss</v>
      </c>
      <c r="L843" s="1"/>
      <c r="M843" s="1" t="s">
        <v>41</v>
      </c>
      <c r="N843" s="1" t="s">
        <v>30</v>
      </c>
      <c r="O843" s="1" t="s">
        <v>233</v>
      </c>
      <c r="P843" s="1" t="str">
        <f t="shared" si="782"/>
        <v>New York City</v>
      </c>
      <c r="Q843" s="1" t="s">
        <v>234</v>
      </c>
      <c r="R843" s="1" t="str">
        <f t="shared" si="783"/>
        <v>New York</v>
      </c>
      <c r="S843" s="1">
        <v>10035</v>
      </c>
      <c r="T843" s="1" t="s">
        <v>128</v>
      </c>
      <c r="U843" s="1" t="s">
        <v>2139</v>
      </c>
      <c r="V843" s="1" t="s">
        <v>35</v>
      </c>
      <c r="W843" s="7">
        <v>186.048</v>
      </c>
      <c r="X843" s="1">
        <v>1</v>
      </c>
      <c r="Y843" s="7">
        <v>185.91</v>
      </c>
      <c r="Z843" s="7">
        <f t="shared" ref="Z843:AA843" si="861">W843*X843</f>
        <v>186.048</v>
      </c>
      <c r="AA843" s="7">
        <f t="shared" si="861"/>
        <v>185.91</v>
      </c>
      <c r="AB843" s="7">
        <f t="shared" si="785"/>
        <v>0.13800000000000523</v>
      </c>
    </row>
    <row r="844" spans="1:28">
      <c r="A844" s="1">
        <v>843</v>
      </c>
      <c r="B844" s="1" t="s">
        <v>2140</v>
      </c>
      <c r="C844" s="2">
        <v>42927</v>
      </c>
      <c r="D844" s="6" t="str">
        <f t="shared" si="780"/>
        <v>Jul</v>
      </c>
      <c r="E844" s="6" t="str">
        <f t="shared" si="781"/>
        <v>Qtr 3</v>
      </c>
      <c r="F844" s="5">
        <v>42989</v>
      </c>
      <c r="G844" s="1" t="s">
        <v>162</v>
      </c>
      <c r="H844" s="1" t="s">
        <v>2141</v>
      </c>
      <c r="I844" s="1" t="s">
        <v>2142</v>
      </c>
      <c r="J844" s="1" t="str">
        <f ca="1">IFERROR(__xludf.DUMMYFUNCTION("split(I844,"" "")"),"Eudokia")</f>
        <v>Eudokia</v>
      </c>
      <c r="K844" s="1" t="str">
        <f ca="1">IFERROR(__xludf.DUMMYFUNCTION("""COMPUTED_VALUE"""),"Martin")</f>
        <v>Martin</v>
      </c>
      <c r="L844" s="1"/>
      <c r="M844" s="1" t="s">
        <v>41</v>
      </c>
      <c r="N844" s="1" t="s">
        <v>30</v>
      </c>
      <c r="O844" s="1" t="s">
        <v>42</v>
      </c>
      <c r="P844" s="1" t="str">
        <f t="shared" si="782"/>
        <v>Los Angeles</v>
      </c>
      <c r="Q844" s="1" t="s">
        <v>68</v>
      </c>
      <c r="R844" s="1" t="str">
        <f t="shared" si="783"/>
        <v>California</v>
      </c>
      <c r="S844" s="1">
        <v>90036</v>
      </c>
      <c r="T844" s="1" t="s">
        <v>44</v>
      </c>
      <c r="U844" s="1" t="s">
        <v>2143</v>
      </c>
      <c r="V844" s="1" t="s">
        <v>46</v>
      </c>
      <c r="W844" s="7">
        <v>37.44</v>
      </c>
      <c r="X844" s="1">
        <v>9</v>
      </c>
      <c r="Y844" s="7">
        <v>37.17</v>
      </c>
      <c r="Z844" s="7">
        <f t="shared" ref="Z844:AA844" si="862">W844*X844</f>
        <v>336.96</v>
      </c>
      <c r="AA844" s="7">
        <f t="shared" si="862"/>
        <v>334.53000000000003</v>
      </c>
      <c r="AB844" s="7">
        <f t="shared" si="785"/>
        <v>2.42999999999995</v>
      </c>
    </row>
    <row r="845" spans="1:28">
      <c r="A845" s="1">
        <v>844</v>
      </c>
      <c r="B845" s="1" t="s">
        <v>2140</v>
      </c>
      <c r="C845" s="2">
        <v>42927</v>
      </c>
      <c r="D845" s="6" t="str">
        <f t="shared" si="780"/>
        <v>Jul</v>
      </c>
      <c r="E845" s="6" t="str">
        <f t="shared" si="781"/>
        <v>Qtr 3</v>
      </c>
      <c r="F845" s="5">
        <v>42989</v>
      </c>
      <c r="G845" s="1" t="s">
        <v>162</v>
      </c>
      <c r="H845" s="1" t="s">
        <v>2141</v>
      </c>
      <c r="I845" s="1" t="s">
        <v>2142</v>
      </c>
      <c r="J845" s="1" t="str">
        <f ca="1">IFERROR(__xludf.DUMMYFUNCTION("split(I845,"" "")"),"Eudokia")</f>
        <v>Eudokia</v>
      </c>
      <c r="K845" s="1" t="str">
        <f ca="1">IFERROR(__xludf.DUMMYFUNCTION("""COMPUTED_VALUE"""),"Martin")</f>
        <v>Martin</v>
      </c>
      <c r="L845" s="1"/>
      <c r="M845" s="1" t="s">
        <v>41</v>
      </c>
      <c r="N845" s="1" t="s">
        <v>30</v>
      </c>
      <c r="O845" s="1" t="s">
        <v>42</v>
      </c>
      <c r="P845" s="1" t="str">
        <f t="shared" si="782"/>
        <v>Los Angeles</v>
      </c>
      <c r="Q845" s="1" t="s">
        <v>68</v>
      </c>
      <c r="R845" s="1" t="str">
        <f t="shared" si="783"/>
        <v>California</v>
      </c>
      <c r="S845" s="1">
        <v>90036</v>
      </c>
      <c r="T845" s="1" t="s">
        <v>44</v>
      </c>
      <c r="U845" s="1" t="s">
        <v>2144</v>
      </c>
      <c r="V845" s="1" t="s">
        <v>46</v>
      </c>
      <c r="W845" s="7">
        <v>26.975999999999999</v>
      </c>
      <c r="X845" s="1">
        <v>9</v>
      </c>
      <c r="Y845" s="7">
        <v>26.22</v>
      </c>
      <c r="Z845" s="7">
        <f t="shared" ref="Z845:AA845" si="863">W845*X845</f>
        <v>242.78399999999999</v>
      </c>
      <c r="AA845" s="7">
        <f t="shared" si="863"/>
        <v>235.98</v>
      </c>
      <c r="AB845" s="7">
        <f t="shared" si="785"/>
        <v>6.804000000000002</v>
      </c>
    </row>
    <row r="846" spans="1:28">
      <c r="A846" s="1">
        <v>845</v>
      </c>
      <c r="B846" s="1" t="s">
        <v>2140</v>
      </c>
      <c r="C846" s="2">
        <v>42927</v>
      </c>
      <c r="D846" s="6" t="str">
        <f t="shared" si="780"/>
        <v>Jul</v>
      </c>
      <c r="E846" s="6" t="str">
        <f t="shared" si="781"/>
        <v>Qtr 3</v>
      </c>
      <c r="F846" s="5">
        <v>42989</v>
      </c>
      <c r="G846" s="1" t="s">
        <v>162</v>
      </c>
      <c r="H846" s="1" t="s">
        <v>2141</v>
      </c>
      <c r="I846" s="1" t="s">
        <v>2142</v>
      </c>
      <c r="J846" s="1" t="str">
        <f ca="1">IFERROR(__xludf.DUMMYFUNCTION("split(I846,"" "")"),"Eudokia")</f>
        <v>Eudokia</v>
      </c>
      <c r="K846" s="1" t="str">
        <f ca="1">IFERROR(__xludf.DUMMYFUNCTION("""COMPUTED_VALUE"""),"Martin")</f>
        <v>Martin</v>
      </c>
      <c r="L846" s="1"/>
      <c r="M846" s="1" t="s">
        <v>41</v>
      </c>
      <c r="N846" s="1" t="s">
        <v>30</v>
      </c>
      <c r="O846" s="1" t="s">
        <v>42</v>
      </c>
      <c r="P846" s="1" t="str">
        <f t="shared" si="782"/>
        <v>Los Angeles</v>
      </c>
      <c r="Q846" s="1" t="s">
        <v>68</v>
      </c>
      <c r="R846" s="1" t="str">
        <f t="shared" si="783"/>
        <v>California</v>
      </c>
      <c r="S846" s="1">
        <v>90036</v>
      </c>
      <c r="T846" s="1" t="s">
        <v>44</v>
      </c>
      <c r="U846" s="1" t="s">
        <v>2145</v>
      </c>
      <c r="V846" s="1" t="s">
        <v>46</v>
      </c>
      <c r="W846" s="7">
        <v>11.36</v>
      </c>
      <c r="X846" s="1">
        <v>9</v>
      </c>
      <c r="Y846" s="7">
        <v>11.28</v>
      </c>
      <c r="Z846" s="7">
        <f t="shared" ref="Z846:AA846" si="864">W846*X846</f>
        <v>102.24</v>
      </c>
      <c r="AA846" s="7">
        <f t="shared" si="864"/>
        <v>101.52</v>
      </c>
      <c r="AB846" s="7">
        <f t="shared" si="785"/>
        <v>0.71999999999999886</v>
      </c>
    </row>
    <row r="847" spans="1:28">
      <c r="A847" s="1">
        <v>846</v>
      </c>
      <c r="B847" s="1" t="s">
        <v>2140</v>
      </c>
      <c r="C847" s="2">
        <v>42927</v>
      </c>
      <c r="D847" s="6" t="str">
        <f t="shared" si="780"/>
        <v>Jul</v>
      </c>
      <c r="E847" s="6" t="str">
        <f t="shared" si="781"/>
        <v>Qtr 3</v>
      </c>
      <c r="F847" s="5">
        <v>42989</v>
      </c>
      <c r="G847" s="1" t="s">
        <v>162</v>
      </c>
      <c r="H847" s="1" t="s">
        <v>2141</v>
      </c>
      <c r="I847" s="1" t="s">
        <v>2142</v>
      </c>
      <c r="J847" s="1" t="str">
        <f ca="1">IFERROR(__xludf.DUMMYFUNCTION("split(I847,"" "")"),"Eudokia")</f>
        <v>Eudokia</v>
      </c>
      <c r="K847" s="1" t="str">
        <f ca="1">IFERROR(__xludf.DUMMYFUNCTION("""COMPUTED_VALUE"""),"Martin")</f>
        <v>Martin</v>
      </c>
      <c r="L847" s="1"/>
      <c r="M847" s="1" t="s">
        <v>41</v>
      </c>
      <c r="N847" s="1" t="s">
        <v>30</v>
      </c>
      <c r="O847" s="1" t="s">
        <v>42</v>
      </c>
      <c r="P847" s="1" t="str">
        <f t="shared" si="782"/>
        <v>Los Angeles</v>
      </c>
      <c r="Q847" s="1" t="s">
        <v>68</v>
      </c>
      <c r="R847" s="1" t="str">
        <f t="shared" si="783"/>
        <v>California</v>
      </c>
      <c r="S847" s="1">
        <v>90036</v>
      </c>
      <c r="T847" s="1" t="s">
        <v>44</v>
      </c>
      <c r="U847" s="1" t="s">
        <v>2146</v>
      </c>
      <c r="V847" s="1" t="s">
        <v>46</v>
      </c>
      <c r="W847" s="7">
        <v>14.62</v>
      </c>
      <c r="X847" s="1">
        <v>9</v>
      </c>
      <c r="Y847" s="7">
        <v>14.55</v>
      </c>
      <c r="Z847" s="7">
        <f t="shared" ref="Z847:AA847" si="865">W847*X847</f>
        <v>131.57999999999998</v>
      </c>
      <c r="AA847" s="7">
        <f t="shared" si="865"/>
        <v>130.95000000000002</v>
      </c>
      <c r="AB847" s="7">
        <f t="shared" si="785"/>
        <v>0.62999999999996703</v>
      </c>
    </row>
    <row r="848" spans="1:28">
      <c r="A848" s="1">
        <v>847</v>
      </c>
      <c r="B848" s="1" t="s">
        <v>2147</v>
      </c>
      <c r="C848" s="2">
        <v>42656</v>
      </c>
      <c r="D848" s="6" t="str">
        <f t="shared" si="780"/>
        <v>Oct</v>
      </c>
      <c r="E848" s="6" t="str">
        <f t="shared" si="781"/>
        <v>Qtr 4</v>
      </c>
      <c r="F848" s="5" t="s">
        <v>2148</v>
      </c>
      <c r="G848" s="1" t="s">
        <v>49</v>
      </c>
      <c r="H848" s="1" t="s">
        <v>2149</v>
      </c>
      <c r="I848" s="1" t="s">
        <v>2150</v>
      </c>
      <c r="J848" s="1" t="str">
        <f ca="1">IFERROR(__xludf.DUMMYFUNCTION("split(I848,"" "")"),"Art")</f>
        <v>Art</v>
      </c>
      <c r="K848" s="1" t="str">
        <f ca="1">IFERROR(__xludf.DUMMYFUNCTION("""COMPUTED_VALUE"""),"Foster")</f>
        <v>Foster</v>
      </c>
      <c r="L848" s="1"/>
      <c r="M848" s="1" t="s">
        <v>29</v>
      </c>
      <c r="N848" s="1" t="s">
        <v>30</v>
      </c>
      <c r="O848" s="1" t="s">
        <v>1199</v>
      </c>
      <c r="P848" s="1" t="str">
        <f t="shared" si="782"/>
        <v>Louisville</v>
      </c>
      <c r="Q848" s="1" t="s">
        <v>32</v>
      </c>
      <c r="R848" s="1" t="str">
        <f t="shared" si="783"/>
        <v>Kentucky</v>
      </c>
      <c r="S848" s="1">
        <v>40214</v>
      </c>
      <c r="T848" s="1" t="s">
        <v>33</v>
      </c>
      <c r="U848" s="1" t="s">
        <v>634</v>
      </c>
      <c r="V848" s="1" t="s">
        <v>64</v>
      </c>
      <c r="W848" s="7">
        <v>83.72</v>
      </c>
      <c r="X848" s="1">
        <v>4</v>
      </c>
      <c r="Y848" s="7">
        <v>83.34</v>
      </c>
      <c r="Z848" s="7">
        <f t="shared" ref="Z848:AA848" si="866">W848*X848</f>
        <v>334.88</v>
      </c>
      <c r="AA848" s="7">
        <f t="shared" si="866"/>
        <v>333.36</v>
      </c>
      <c r="AB848" s="7">
        <f t="shared" si="785"/>
        <v>1.5199999999999818</v>
      </c>
    </row>
    <row r="849" spans="1:28">
      <c r="A849" s="1">
        <v>848</v>
      </c>
      <c r="B849" s="1" t="s">
        <v>2147</v>
      </c>
      <c r="C849" s="2">
        <v>42656</v>
      </c>
      <c r="D849" s="6" t="str">
        <f t="shared" si="780"/>
        <v>Oct</v>
      </c>
      <c r="E849" s="6" t="str">
        <f t="shared" si="781"/>
        <v>Qtr 4</v>
      </c>
      <c r="F849" s="5" t="s">
        <v>2148</v>
      </c>
      <c r="G849" s="1" t="s">
        <v>49</v>
      </c>
      <c r="H849" s="1" t="s">
        <v>2149</v>
      </c>
      <c r="I849" s="1" t="s">
        <v>2150</v>
      </c>
      <c r="J849" s="1" t="str">
        <f ca="1">IFERROR(__xludf.DUMMYFUNCTION("split(I849,"" "")"),"Art")</f>
        <v>Art</v>
      </c>
      <c r="K849" s="1" t="str">
        <f ca="1">IFERROR(__xludf.DUMMYFUNCTION("""COMPUTED_VALUE"""),"Foster")</f>
        <v>Foster</v>
      </c>
      <c r="L849" s="1"/>
      <c r="M849" s="1" t="s">
        <v>29</v>
      </c>
      <c r="N849" s="1" t="s">
        <v>30</v>
      </c>
      <c r="O849" s="1" t="s">
        <v>1199</v>
      </c>
      <c r="P849" s="1" t="str">
        <f t="shared" si="782"/>
        <v>Louisville</v>
      </c>
      <c r="Q849" s="1" t="s">
        <v>32</v>
      </c>
      <c r="R849" s="1" t="str">
        <f t="shared" si="783"/>
        <v>Kentucky</v>
      </c>
      <c r="S849" s="1">
        <v>40214</v>
      </c>
      <c r="T849" s="1" t="s">
        <v>33</v>
      </c>
      <c r="U849" s="1" t="s">
        <v>886</v>
      </c>
      <c r="V849" s="1" t="s">
        <v>35</v>
      </c>
      <c r="W849" s="7">
        <v>287.94</v>
      </c>
      <c r="X849" s="1">
        <v>4</v>
      </c>
      <c r="Y849" s="7">
        <v>286.99</v>
      </c>
      <c r="Z849" s="7">
        <f t="shared" ref="Z849:AA849" si="867">W849*X849</f>
        <v>1151.76</v>
      </c>
      <c r="AA849" s="7">
        <f t="shared" si="867"/>
        <v>1147.96</v>
      </c>
      <c r="AB849" s="7">
        <f t="shared" si="785"/>
        <v>3.7999999999999545</v>
      </c>
    </row>
    <row r="850" spans="1:28">
      <c r="A850" s="1">
        <v>849</v>
      </c>
      <c r="B850" s="1" t="s">
        <v>2151</v>
      </c>
      <c r="C850" s="2">
        <v>43101</v>
      </c>
      <c r="D850" s="6" t="str">
        <f t="shared" si="780"/>
        <v>Jan</v>
      </c>
      <c r="E850" s="6" t="str">
        <f t="shared" si="781"/>
        <v>Qtr 1</v>
      </c>
      <c r="F850" s="5">
        <v>43252</v>
      </c>
      <c r="G850" s="1" t="s">
        <v>49</v>
      </c>
      <c r="H850" s="1" t="s">
        <v>2152</v>
      </c>
      <c r="I850" s="1" t="s">
        <v>2153</v>
      </c>
      <c r="J850" s="1" t="str">
        <f ca="1">IFERROR(__xludf.DUMMYFUNCTION("split(I850,"" "")"),"Guy")</f>
        <v>Guy</v>
      </c>
      <c r="K850" s="1" t="str">
        <f ca="1">IFERROR(__xludf.DUMMYFUNCTION("""COMPUTED_VALUE"""),"Armstrong")</f>
        <v>Armstrong</v>
      </c>
      <c r="L850" s="1"/>
      <c r="M850" s="1" t="s">
        <v>29</v>
      </c>
      <c r="N850" s="1" t="s">
        <v>30</v>
      </c>
      <c r="O850" s="1" t="s">
        <v>2154</v>
      </c>
      <c r="P850" s="1" t="str">
        <f t="shared" si="782"/>
        <v>Lorain</v>
      </c>
      <c r="Q850" s="1" t="s">
        <v>421</v>
      </c>
      <c r="R850" s="1" t="str">
        <f t="shared" si="783"/>
        <v>Ohio</v>
      </c>
      <c r="S850" s="1">
        <v>44052</v>
      </c>
      <c r="T850" s="1" t="s">
        <v>128</v>
      </c>
      <c r="U850" s="1" t="s">
        <v>2155</v>
      </c>
      <c r="V850" s="1" t="s">
        <v>35</v>
      </c>
      <c r="W850" s="7">
        <v>48.896000000000001</v>
      </c>
      <c r="X850" s="1">
        <v>4</v>
      </c>
      <c r="Y850" s="7">
        <v>48.39</v>
      </c>
      <c r="Z850" s="7">
        <f t="shared" ref="Z850:AA850" si="868">W850*X850</f>
        <v>195.584</v>
      </c>
      <c r="AA850" s="7">
        <f t="shared" si="868"/>
        <v>193.56</v>
      </c>
      <c r="AB850" s="7">
        <f t="shared" si="785"/>
        <v>2.0240000000000009</v>
      </c>
    </row>
    <row r="851" spans="1:28">
      <c r="A851" s="1">
        <v>850</v>
      </c>
      <c r="B851" s="1" t="s">
        <v>2156</v>
      </c>
      <c r="C851" s="2">
        <v>42187</v>
      </c>
      <c r="D851" s="6" t="str">
        <f t="shared" si="780"/>
        <v>Jul</v>
      </c>
      <c r="E851" s="6" t="str">
        <f t="shared" si="781"/>
        <v>Qtr 3</v>
      </c>
      <c r="F851" s="5">
        <v>42340</v>
      </c>
      <c r="G851" s="1" t="s">
        <v>49</v>
      </c>
      <c r="H851" s="1" t="s">
        <v>2157</v>
      </c>
      <c r="I851" s="1" t="s">
        <v>2158</v>
      </c>
      <c r="J851" s="1" t="str">
        <f ca="1">IFERROR(__xludf.DUMMYFUNCTION("split(I851,"" "")"),"Cyma")</f>
        <v>Cyma</v>
      </c>
      <c r="K851" s="1" t="str">
        <f ca="1">IFERROR(__xludf.DUMMYFUNCTION("""COMPUTED_VALUE"""),"Kinney")</f>
        <v>Kinney</v>
      </c>
      <c r="L851" s="1"/>
      <c r="M851" s="1" t="s">
        <v>41</v>
      </c>
      <c r="N851" s="1" t="s">
        <v>30</v>
      </c>
      <c r="O851" s="1" t="s">
        <v>2159</v>
      </c>
      <c r="P851" s="1" t="str">
        <f t="shared" si="782"/>
        <v>Linden</v>
      </c>
      <c r="Q851" s="1" t="s">
        <v>653</v>
      </c>
      <c r="R851" s="1" t="str">
        <f t="shared" si="783"/>
        <v>New Jersey</v>
      </c>
      <c r="S851" s="1">
        <v>7036</v>
      </c>
      <c r="T851" s="1" t="s">
        <v>128</v>
      </c>
      <c r="U851" s="1" t="s">
        <v>2160</v>
      </c>
      <c r="V851" s="1" t="s">
        <v>64</v>
      </c>
      <c r="W851" s="7">
        <v>115.36</v>
      </c>
      <c r="X851" s="1">
        <v>7</v>
      </c>
      <c r="Y851" s="7">
        <v>114.77</v>
      </c>
      <c r="Z851" s="7">
        <f t="shared" ref="Z851:AA851" si="869">W851*X851</f>
        <v>807.52</v>
      </c>
      <c r="AA851" s="7">
        <f t="shared" si="869"/>
        <v>803.39</v>
      </c>
      <c r="AB851" s="7">
        <f t="shared" si="785"/>
        <v>4.1299999999999955</v>
      </c>
    </row>
    <row r="852" spans="1:28">
      <c r="A852" s="1">
        <v>851</v>
      </c>
      <c r="B852" s="1" t="s">
        <v>2161</v>
      </c>
      <c r="C852" s="2">
        <v>42906</v>
      </c>
      <c r="D852" s="6" t="str">
        <f t="shared" si="780"/>
        <v>Jun</v>
      </c>
      <c r="E852" s="6" t="str">
        <f t="shared" si="781"/>
        <v>Qtr 2</v>
      </c>
      <c r="F852" s="5" t="s">
        <v>212</v>
      </c>
      <c r="G852" s="1" t="s">
        <v>26</v>
      </c>
      <c r="H852" s="1" t="s">
        <v>2162</v>
      </c>
      <c r="I852" s="1" t="s">
        <v>2163</v>
      </c>
      <c r="J852" s="1" t="str">
        <f ca="1">IFERROR(__xludf.DUMMYFUNCTION("split(I852,"" "")"),"Dave")</f>
        <v>Dave</v>
      </c>
      <c r="K852" s="1" t="str">
        <f ca="1">IFERROR(__xludf.DUMMYFUNCTION("""COMPUTED_VALUE"""),"Poirier")</f>
        <v>Poirier</v>
      </c>
      <c r="L852" s="1"/>
      <c r="M852" s="1" t="s">
        <v>41</v>
      </c>
      <c r="N852" s="1" t="s">
        <v>30</v>
      </c>
      <c r="O852" s="1" t="s">
        <v>2164</v>
      </c>
      <c r="P852" s="1" t="str">
        <f t="shared" si="782"/>
        <v>Salinas</v>
      </c>
      <c r="Q852" s="1" t="s">
        <v>68</v>
      </c>
      <c r="R852" s="1" t="str">
        <f t="shared" si="783"/>
        <v>California</v>
      </c>
      <c r="S852" s="1">
        <v>93905</v>
      </c>
      <c r="T852" s="1" t="s">
        <v>44</v>
      </c>
      <c r="U852" s="1" t="s">
        <v>2165</v>
      </c>
      <c r="V852" s="1" t="s">
        <v>46</v>
      </c>
      <c r="W852" s="7">
        <v>5.16</v>
      </c>
      <c r="X852" s="1">
        <v>9</v>
      </c>
      <c r="Y852" s="7">
        <v>5.0199999999999996</v>
      </c>
      <c r="Z852" s="7">
        <f t="shared" ref="Z852:AA852" si="870">W852*X852</f>
        <v>46.44</v>
      </c>
      <c r="AA852" s="7">
        <f t="shared" si="870"/>
        <v>45.179999999999993</v>
      </c>
      <c r="AB852" s="7">
        <f t="shared" si="785"/>
        <v>1.2600000000000051</v>
      </c>
    </row>
    <row r="853" spans="1:28">
      <c r="A853" s="1">
        <v>852</v>
      </c>
      <c r="B853" s="1" t="s">
        <v>2161</v>
      </c>
      <c r="C853" s="2">
        <v>42906</v>
      </c>
      <c r="D853" s="6" t="str">
        <f t="shared" si="780"/>
        <v>Jun</v>
      </c>
      <c r="E853" s="6" t="str">
        <f t="shared" si="781"/>
        <v>Qtr 2</v>
      </c>
      <c r="F853" s="5" t="s">
        <v>212</v>
      </c>
      <c r="G853" s="1" t="s">
        <v>26</v>
      </c>
      <c r="H853" s="1" t="s">
        <v>2162</v>
      </c>
      <c r="I853" s="1" t="s">
        <v>2163</v>
      </c>
      <c r="J853" s="1" t="str">
        <f ca="1">IFERROR(__xludf.DUMMYFUNCTION("split(I853,"" "")"),"Dave")</f>
        <v>Dave</v>
      </c>
      <c r="K853" s="1" t="str">
        <f ca="1">IFERROR(__xludf.DUMMYFUNCTION("""COMPUTED_VALUE"""),"Poirier")</f>
        <v>Poirier</v>
      </c>
      <c r="L853" s="1"/>
      <c r="M853" s="1" t="s">
        <v>41</v>
      </c>
      <c r="N853" s="1" t="s">
        <v>30</v>
      </c>
      <c r="O853" s="1" t="s">
        <v>2164</v>
      </c>
      <c r="P853" s="1" t="str">
        <f t="shared" si="782"/>
        <v>Salinas</v>
      </c>
      <c r="Q853" s="1" t="s">
        <v>68</v>
      </c>
      <c r="R853" s="1" t="str">
        <f t="shared" si="783"/>
        <v>California</v>
      </c>
      <c r="S853" s="1">
        <v>93905</v>
      </c>
      <c r="T853" s="1" t="s">
        <v>44</v>
      </c>
      <c r="U853" s="1" t="s">
        <v>2166</v>
      </c>
      <c r="V853" s="1" t="s">
        <v>46</v>
      </c>
      <c r="W853" s="7">
        <v>38.880000000000003</v>
      </c>
      <c r="X853" s="1">
        <v>9</v>
      </c>
      <c r="Y853" s="7">
        <v>38.86</v>
      </c>
      <c r="Z853" s="7">
        <f t="shared" ref="Z853:AA853" si="871">W853*X853</f>
        <v>349.92</v>
      </c>
      <c r="AA853" s="7">
        <f t="shared" si="871"/>
        <v>349.74</v>
      </c>
      <c r="AB853" s="7">
        <f t="shared" si="785"/>
        <v>0.18000000000000682</v>
      </c>
    </row>
    <row r="854" spans="1:28">
      <c r="A854" s="1">
        <v>853</v>
      </c>
      <c r="B854" s="1" t="s">
        <v>2167</v>
      </c>
      <c r="C854" s="2">
        <v>42883</v>
      </c>
      <c r="D854" s="6" t="str">
        <f t="shared" si="780"/>
        <v>May</v>
      </c>
      <c r="E854" s="6" t="str">
        <f t="shared" si="781"/>
        <v>Qtr 2</v>
      </c>
      <c r="F854" s="5">
        <v>42831</v>
      </c>
      <c r="G854" s="1" t="s">
        <v>49</v>
      </c>
      <c r="H854" s="1" t="s">
        <v>733</v>
      </c>
      <c r="I854" s="1" t="s">
        <v>734</v>
      </c>
      <c r="J854" s="1" t="str">
        <f ca="1">IFERROR(__xludf.DUMMYFUNCTION("split(I854,"" "")"),"Valerie")</f>
        <v>Valerie</v>
      </c>
      <c r="K854" s="1" t="str">
        <f ca="1">IFERROR(__xludf.DUMMYFUNCTION("""COMPUTED_VALUE"""),"Dominguez")</f>
        <v>Dominguez</v>
      </c>
      <c r="L854" s="1"/>
      <c r="M854" s="1" t="s">
        <v>29</v>
      </c>
      <c r="N854" s="1" t="s">
        <v>30</v>
      </c>
      <c r="O854" s="1" t="s">
        <v>281</v>
      </c>
      <c r="P854" s="1" t="str">
        <f t="shared" si="782"/>
        <v>Jackson</v>
      </c>
      <c r="Q854" s="1" t="s">
        <v>1211</v>
      </c>
      <c r="R854" s="1" t="str">
        <f t="shared" si="783"/>
        <v>Mississippi</v>
      </c>
      <c r="S854" s="1">
        <v>39212</v>
      </c>
      <c r="T854" s="1" t="s">
        <v>33</v>
      </c>
      <c r="U854" s="1" t="s">
        <v>944</v>
      </c>
      <c r="V854" s="1" t="s">
        <v>46</v>
      </c>
      <c r="W854" s="7">
        <v>185.88</v>
      </c>
      <c r="X854" s="1">
        <v>3</v>
      </c>
      <c r="Y854" s="7">
        <v>185.07</v>
      </c>
      <c r="Z854" s="7">
        <f t="shared" ref="Z854:AA854" si="872">W854*X854</f>
        <v>557.64</v>
      </c>
      <c r="AA854" s="7">
        <f t="shared" si="872"/>
        <v>555.21</v>
      </c>
      <c r="AB854" s="7">
        <f t="shared" si="785"/>
        <v>2.42999999999995</v>
      </c>
    </row>
    <row r="855" spans="1:28">
      <c r="A855" s="1">
        <v>854</v>
      </c>
      <c r="B855" s="1" t="s">
        <v>2168</v>
      </c>
      <c r="C855" s="2">
        <v>42785</v>
      </c>
      <c r="D855" s="6" t="str">
        <f t="shared" si="780"/>
        <v>Feb</v>
      </c>
      <c r="E855" s="6" t="str">
        <f t="shared" si="781"/>
        <v>Qtr 1</v>
      </c>
      <c r="F855" s="5" t="s">
        <v>2169</v>
      </c>
      <c r="G855" s="1" t="s">
        <v>49</v>
      </c>
      <c r="H855" s="1" t="s">
        <v>1530</v>
      </c>
      <c r="I855" s="1" t="s">
        <v>1531</v>
      </c>
      <c r="J855" s="1" t="str">
        <f ca="1">IFERROR(__xludf.DUMMYFUNCTION("split(I855,"" "")"),"Greg")</f>
        <v>Greg</v>
      </c>
      <c r="K855" s="1" t="str">
        <f ca="1">IFERROR(__xludf.DUMMYFUNCTION("""COMPUTED_VALUE"""),"Tran")</f>
        <v>Tran</v>
      </c>
      <c r="L855" s="1"/>
      <c r="M855" s="1" t="s">
        <v>29</v>
      </c>
      <c r="N855" s="1" t="s">
        <v>30</v>
      </c>
      <c r="O855" s="1" t="s">
        <v>233</v>
      </c>
      <c r="P855" s="1" t="str">
        <f t="shared" si="782"/>
        <v>New York City</v>
      </c>
      <c r="Q855" s="1" t="s">
        <v>234</v>
      </c>
      <c r="R855" s="1" t="str">
        <f t="shared" si="783"/>
        <v>New York</v>
      </c>
      <c r="S855" s="1">
        <v>10035</v>
      </c>
      <c r="T855" s="1" t="s">
        <v>128</v>
      </c>
      <c r="U855" s="1" t="s">
        <v>2058</v>
      </c>
      <c r="V855" s="1" t="s">
        <v>35</v>
      </c>
      <c r="W855" s="7">
        <v>44.46</v>
      </c>
      <c r="X855" s="1">
        <v>1</v>
      </c>
      <c r="Y855" s="7">
        <v>44.26</v>
      </c>
      <c r="Z855" s="7">
        <f t="shared" ref="Z855:AA855" si="873">W855*X855</f>
        <v>44.46</v>
      </c>
      <c r="AA855" s="7">
        <f t="shared" si="873"/>
        <v>44.26</v>
      </c>
      <c r="AB855" s="7">
        <f t="shared" si="785"/>
        <v>0.20000000000000284</v>
      </c>
    </row>
    <row r="856" spans="1:28">
      <c r="A856" s="1">
        <v>855</v>
      </c>
      <c r="B856" s="1" t="s">
        <v>2168</v>
      </c>
      <c r="C856" s="2">
        <v>42785</v>
      </c>
      <c r="D856" s="6" t="str">
        <f t="shared" si="780"/>
        <v>Feb</v>
      </c>
      <c r="E856" s="6" t="str">
        <f t="shared" si="781"/>
        <v>Qtr 1</v>
      </c>
      <c r="F856" s="5" t="s">
        <v>2169</v>
      </c>
      <c r="G856" s="1" t="s">
        <v>49</v>
      </c>
      <c r="H856" s="1" t="s">
        <v>1530</v>
      </c>
      <c r="I856" s="1" t="s">
        <v>1531</v>
      </c>
      <c r="J856" s="1" t="str">
        <f ca="1">IFERROR(__xludf.DUMMYFUNCTION("split(I856,"" "")"),"Greg")</f>
        <v>Greg</v>
      </c>
      <c r="K856" s="1" t="str">
        <f ca="1">IFERROR(__xludf.DUMMYFUNCTION("""COMPUTED_VALUE"""),"Tran")</f>
        <v>Tran</v>
      </c>
      <c r="L856" s="1"/>
      <c r="M856" s="1" t="s">
        <v>29</v>
      </c>
      <c r="N856" s="1" t="s">
        <v>30</v>
      </c>
      <c r="O856" s="1" t="s">
        <v>233</v>
      </c>
      <c r="P856" s="1" t="str">
        <f t="shared" si="782"/>
        <v>New York City</v>
      </c>
      <c r="Q856" s="1" t="s">
        <v>234</v>
      </c>
      <c r="R856" s="1" t="str">
        <f t="shared" si="783"/>
        <v>New York</v>
      </c>
      <c r="S856" s="1">
        <v>10035</v>
      </c>
      <c r="T856" s="1" t="s">
        <v>128</v>
      </c>
      <c r="U856" s="1" t="s">
        <v>1442</v>
      </c>
      <c r="V856" s="1" t="s">
        <v>46</v>
      </c>
      <c r="W856" s="7">
        <v>242.94</v>
      </c>
      <c r="X856" s="1">
        <v>1</v>
      </c>
      <c r="Y856" s="7">
        <v>242.33</v>
      </c>
      <c r="Z856" s="7">
        <f t="shared" ref="Z856:AA856" si="874">W856*X856</f>
        <v>242.94</v>
      </c>
      <c r="AA856" s="7">
        <f t="shared" si="874"/>
        <v>242.33</v>
      </c>
      <c r="AB856" s="7">
        <f t="shared" si="785"/>
        <v>0.60999999999998522</v>
      </c>
    </row>
    <row r="857" spans="1:28">
      <c r="A857" s="1">
        <v>856</v>
      </c>
      <c r="B857" s="1" t="s">
        <v>2170</v>
      </c>
      <c r="C857" s="2">
        <v>42071</v>
      </c>
      <c r="D857" s="6" t="str">
        <f t="shared" si="780"/>
        <v>Mar</v>
      </c>
      <c r="E857" s="6" t="str">
        <f t="shared" si="781"/>
        <v>Qtr 1</v>
      </c>
      <c r="F857" s="5">
        <v>42224</v>
      </c>
      <c r="G857" s="1" t="s">
        <v>49</v>
      </c>
      <c r="H857" s="1" t="s">
        <v>2171</v>
      </c>
      <c r="I857" s="1" t="s">
        <v>2172</v>
      </c>
      <c r="J857" s="1" t="str">
        <f ca="1">IFERROR(__xludf.DUMMYFUNCTION("split(I857,"" "")"),"Berenike")</f>
        <v>Berenike</v>
      </c>
      <c r="K857" s="1" t="str">
        <f ca="1">IFERROR(__xludf.DUMMYFUNCTION("""COMPUTED_VALUE"""),"Kampe")</f>
        <v>Kampe</v>
      </c>
      <c r="L857" s="1"/>
      <c r="M857" s="1" t="s">
        <v>29</v>
      </c>
      <c r="N857" s="1" t="s">
        <v>30</v>
      </c>
      <c r="O857" s="1" t="s">
        <v>233</v>
      </c>
      <c r="P857" s="1" t="str">
        <f t="shared" si="782"/>
        <v>New York City</v>
      </c>
      <c r="Q857" s="1" t="s">
        <v>234</v>
      </c>
      <c r="R857" s="1" t="str">
        <f t="shared" si="783"/>
        <v>New York</v>
      </c>
      <c r="S857" s="1">
        <v>10035</v>
      </c>
      <c r="T857" s="1" t="s">
        <v>128</v>
      </c>
      <c r="U857" s="1" t="s">
        <v>2173</v>
      </c>
      <c r="V857" s="1" t="s">
        <v>46</v>
      </c>
      <c r="W857" s="7">
        <v>39.96</v>
      </c>
      <c r="X857" s="1">
        <v>1</v>
      </c>
      <c r="Y857" s="7">
        <v>39.21</v>
      </c>
      <c r="Z857" s="7">
        <f t="shared" ref="Z857:AA857" si="875">W857*X857</f>
        <v>39.96</v>
      </c>
      <c r="AA857" s="7">
        <f t="shared" si="875"/>
        <v>39.21</v>
      </c>
      <c r="AB857" s="7">
        <f t="shared" si="785"/>
        <v>0.75</v>
      </c>
    </row>
    <row r="858" spans="1:28">
      <c r="A858" s="1">
        <v>857</v>
      </c>
      <c r="B858" s="1" t="s">
        <v>2170</v>
      </c>
      <c r="C858" s="2">
        <v>42071</v>
      </c>
      <c r="D858" s="6" t="str">
        <f t="shared" si="780"/>
        <v>Mar</v>
      </c>
      <c r="E858" s="6" t="str">
        <f t="shared" si="781"/>
        <v>Qtr 1</v>
      </c>
      <c r="F858" s="5">
        <v>42224</v>
      </c>
      <c r="G858" s="1" t="s">
        <v>49</v>
      </c>
      <c r="H858" s="1" t="s">
        <v>2171</v>
      </c>
      <c r="I858" s="1" t="s">
        <v>2172</v>
      </c>
      <c r="J858" s="1" t="str">
        <f ca="1">IFERROR(__xludf.DUMMYFUNCTION("split(I858,"" "")"),"Berenike")</f>
        <v>Berenike</v>
      </c>
      <c r="K858" s="1" t="str">
        <f ca="1">IFERROR(__xludf.DUMMYFUNCTION("""COMPUTED_VALUE"""),"Kampe")</f>
        <v>Kampe</v>
      </c>
      <c r="L858" s="1"/>
      <c r="M858" s="1" t="s">
        <v>29</v>
      </c>
      <c r="N858" s="1" t="s">
        <v>30</v>
      </c>
      <c r="O858" s="1" t="s">
        <v>233</v>
      </c>
      <c r="P858" s="1" t="str">
        <f t="shared" si="782"/>
        <v>New York City</v>
      </c>
      <c r="Q858" s="1" t="s">
        <v>234</v>
      </c>
      <c r="R858" s="1" t="str">
        <f t="shared" si="783"/>
        <v>New York</v>
      </c>
      <c r="S858" s="1">
        <v>10035</v>
      </c>
      <c r="T858" s="1" t="s">
        <v>128</v>
      </c>
      <c r="U858" s="1" t="s">
        <v>2174</v>
      </c>
      <c r="V858" s="1" t="s">
        <v>46</v>
      </c>
      <c r="W858" s="7">
        <v>102.3</v>
      </c>
      <c r="X858" s="1">
        <v>1</v>
      </c>
      <c r="Y858" s="7">
        <v>102.1</v>
      </c>
      <c r="Z858" s="7">
        <f t="shared" ref="Z858:AA858" si="876">W858*X858</f>
        <v>102.3</v>
      </c>
      <c r="AA858" s="7">
        <f t="shared" si="876"/>
        <v>102.1</v>
      </c>
      <c r="AB858" s="7">
        <f t="shared" si="785"/>
        <v>0.20000000000000284</v>
      </c>
    </row>
    <row r="859" spans="1:28">
      <c r="A859" s="1">
        <v>858</v>
      </c>
      <c r="B859" s="1" t="s">
        <v>2170</v>
      </c>
      <c r="C859" s="2">
        <v>42071</v>
      </c>
      <c r="D859" s="6" t="str">
        <f t="shared" si="780"/>
        <v>Mar</v>
      </c>
      <c r="E859" s="6" t="str">
        <f t="shared" si="781"/>
        <v>Qtr 1</v>
      </c>
      <c r="F859" s="5">
        <v>42224</v>
      </c>
      <c r="G859" s="1" t="s">
        <v>49</v>
      </c>
      <c r="H859" s="1" t="s">
        <v>2171</v>
      </c>
      <c r="I859" s="1" t="s">
        <v>2172</v>
      </c>
      <c r="J859" s="1" t="str">
        <f ca="1">IFERROR(__xludf.DUMMYFUNCTION("split(I859,"" "")"),"Berenike")</f>
        <v>Berenike</v>
      </c>
      <c r="K859" s="1" t="str">
        <f ca="1">IFERROR(__xludf.DUMMYFUNCTION("""COMPUTED_VALUE"""),"Kampe")</f>
        <v>Kampe</v>
      </c>
      <c r="L859" s="1"/>
      <c r="M859" s="1" t="s">
        <v>29</v>
      </c>
      <c r="N859" s="1" t="s">
        <v>30</v>
      </c>
      <c r="O859" s="1" t="s">
        <v>233</v>
      </c>
      <c r="P859" s="1" t="str">
        <f t="shared" si="782"/>
        <v>New York City</v>
      </c>
      <c r="Q859" s="1" t="s">
        <v>234</v>
      </c>
      <c r="R859" s="1" t="str">
        <f t="shared" si="783"/>
        <v>New York</v>
      </c>
      <c r="S859" s="1">
        <v>10035</v>
      </c>
      <c r="T859" s="1" t="s">
        <v>128</v>
      </c>
      <c r="U859" s="1" t="s">
        <v>2175</v>
      </c>
      <c r="V859" s="1" t="s">
        <v>46</v>
      </c>
      <c r="W859" s="7">
        <v>21.36</v>
      </c>
      <c r="X859" s="1">
        <v>1</v>
      </c>
      <c r="Y859" s="7">
        <v>20.84</v>
      </c>
      <c r="Z859" s="7">
        <f t="shared" ref="Z859:AA859" si="877">W859*X859</f>
        <v>21.36</v>
      </c>
      <c r="AA859" s="7">
        <f t="shared" si="877"/>
        <v>20.84</v>
      </c>
      <c r="AB859" s="7">
        <f t="shared" si="785"/>
        <v>0.51999999999999957</v>
      </c>
    </row>
    <row r="860" spans="1:28">
      <c r="A860" s="1">
        <v>859</v>
      </c>
      <c r="B860" s="1" t="s">
        <v>2176</v>
      </c>
      <c r="C860" s="2">
        <v>43377</v>
      </c>
      <c r="D860" s="6" t="str">
        <f t="shared" si="780"/>
        <v>Oct</v>
      </c>
      <c r="E860" s="6" t="str">
        <f t="shared" si="781"/>
        <v>Qtr 4</v>
      </c>
      <c r="F860" s="5" t="s">
        <v>2177</v>
      </c>
      <c r="G860" s="1" t="s">
        <v>49</v>
      </c>
      <c r="H860" s="1" t="s">
        <v>2178</v>
      </c>
      <c r="I860" s="1" t="s">
        <v>2179</v>
      </c>
      <c r="J860" s="1" t="str">
        <f ca="1">IFERROR(__xludf.DUMMYFUNCTION("split(I860,"" "")"),"Sanjit")</f>
        <v>Sanjit</v>
      </c>
      <c r="K860" s="1" t="str">
        <f ca="1">IFERROR(__xludf.DUMMYFUNCTION("""COMPUTED_VALUE"""),"Jacobs")</f>
        <v>Jacobs</v>
      </c>
      <c r="L860" s="1"/>
      <c r="M860" s="1" t="s">
        <v>87</v>
      </c>
      <c r="N860" s="1" t="s">
        <v>30</v>
      </c>
      <c r="O860" s="1" t="s">
        <v>2180</v>
      </c>
      <c r="P860" s="1" t="str">
        <f t="shared" si="782"/>
        <v>New Brunswick</v>
      </c>
      <c r="Q860" s="1" t="s">
        <v>653</v>
      </c>
      <c r="R860" s="1" t="str">
        <f t="shared" si="783"/>
        <v>New Jersey</v>
      </c>
      <c r="S860" s="1">
        <v>8901</v>
      </c>
      <c r="T860" s="1" t="s">
        <v>128</v>
      </c>
      <c r="U860" s="1" t="s">
        <v>779</v>
      </c>
      <c r="V860" s="1" t="s">
        <v>46</v>
      </c>
      <c r="W860" s="7">
        <v>7.61</v>
      </c>
      <c r="X860" s="1">
        <v>8</v>
      </c>
      <c r="Y860" s="7">
        <v>7.6</v>
      </c>
      <c r="Z860" s="7">
        <f t="shared" ref="Z860:AA860" si="878">W860*X860</f>
        <v>60.88</v>
      </c>
      <c r="AA860" s="7">
        <f t="shared" si="878"/>
        <v>60.8</v>
      </c>
      <c r="AB860" s="7">
        <f t="shared" si="785"/>
        <v>8.00000000000054E-2</v>
      </c>
    </row>
    <row r="861" spans="1:28">
      <c r="A861" s="1">
        <v>860</v>
      </c>
      <c r="B861" s="1" t="s">
        <v>2176</v>
      </c>
      <c r="C861" s="2">
        <v>43377</v>
      </c>
      <c r="D861" s="6" t="str">
        <f t="shared" si="780"/>
        <v>Oct</v>
      </c>
      <c r="E861" s="6" t="str">
        <f t="shared" si="781"/>
        <v>Qtr 4</v>
      </c>
      <c r="F861" s="5" t="s">
        <v>2177</v>
      </c>
      <c r="G861" s="1" t="s">
        <v>49</v>
      </c>
      <c r="H861" s="1" t="s">
        <v>2178</v>
      </c>
      <c r="I861" s="1" t="s">
        <v>2179</v>
      </c>
      <c r="J861" s="1" t="str">
        <f ca="1">IFERROR(__xludf.DUMMYFUNCTION("split(I861,"" "")"),"Sanjit")</f>
        <v>Sanjit</v>
      </c>
      <c r="K861" s="1" t="str">
        <f ca="1">IFERROR(__xludf.DUMMYFUNCTION("""COMPUTED_VALUE"""),"Jacobs")</f>
        <v>Jacobs</v>
      </c>
      <c r="L861" s="1"/>
      <c r="M861" s="1" t="s">
        <v>87</v>
      </c>
      <c r="N861" s="1" t="s">
        <v>30</v>
      </c>
      <c r="O861" s="1" t="s">
        <v>2180</v>
      </c>
      <c r="P861" s="1" t="str">
        <f t="shared" si="782"/>
        <v>New Brunswick</v>
      </c>
      <c r="Q861" s="1" t="s">
        <v>653</v>
      </c>
      <c r="R861" s="1" t="str">
        <f t="shared" si="783"/>
        <v>New Jersey</v>
      </c>
      <c r="S861" s="1">
        <v>8901</v>
      </c>
      <c r="T861" s="1" t="s">
        <v>128</v>
      </c>
      <c r="U861" s="1" t="s">
        <v>956</v>
      </c>
      <c r="V861" s="1" t="s">
        <v>46</v>
      </c>
      <c r="W861" s="7">
        <v>7.16</v>
      </c>
      <c r="X861" s="1">
        <v>8</v>
      </c>
      <c r="Y861" s="7">
        <v>6.82</v>
      </c>
      <c r="Z861" s="7">
        <f t="shared" ref="Z861:AA861" si="879">W861*X861</f>
        <v>57.28</v>
      </c>
      <c r="AA861" s="7">
        <f t="shared" si="879"/>
        <v>54.56</v>
      </c>
      <c r="AB861" s="7">
        <f t="shared" si="785"/>
        <v>2.7199999999999989</v>
      </c>
    </row>
    <row r="862" spans="1:28">
      <c r="A862" s="1">
        <v>861</v>
      </c>
      <c r="B862" s="1" t="s">
        <v>2181</v>
      </c>
      <c r="C862" s="2">
        <v>42253</v>
      </c>
      <c r="D862" s="6" t="str">
        <f t="shared" si="780"/>
        <v>Sep</v>
      </c>
      <c r="E862" s="6" t="str">
        <f t="shared" si="781"/>
        <v>Qtr 3</v>
      </c>
      <c r="F862" s="5" t="s">
        <v>2182</v>
      </c>
      <c r="G862" s="1" t="s">
        <v>49</v>
      </c>
      <c r="H862" s="1" t="s">
        <v>2183</v>
      </c>
      <c r="I862" s="1" t="s">
        <v>2184</v>
      </c>
      <c r="J862" s="1" t="str">
        <f ca="1">IFERROR(__xludf.DUMMYFUNCTION("split(I862,"" "")"),"Chuck")</f>
        <v>Chuck</v>
      </c>
      <c r="K862" s="1" t="str">
        <f ca="1">IFERROR(__xludf.DUMMYFUNCTION("""COMPUTED_VALUE"""),"Magee")</f>
        <v>Magee</v>
      </c>
      <c r="L862" s="1"/>
      <c r="M862" s="1" t="s">
        <v>29</v>
      </c>
      <c r="N862" s="1" t="s">
        <v>30</v>
      </c>
      <c r="O862" s="1" t="s">
        <v>110</v>
      </c>
      <c r="P862" s="1" t="str">
        <f t="shared" si="782"/>
        <v>San Francisco</v>
      </c>
      <c r="Q862" s="1" t="s">
        <v>68</v>
      </c>
      <c r="R862" s="1" t="str">
        <f t="shared" si="783"/>
        <v>California</v>
      </c>
      <c r="S862" s="1">
        <v>94122</v>
      </c>
      <c r="T862" s="1" t="s">
        <v>44</v>
      </c>
      <c r="U862" s="1" t="s">
        <v>1055</v>
      </c>
      <c r="V862" s="1" t="s">
        <v>46</v>
      </c>
      <c r="W862" s="7">
        <v>7.36</v>
      </c>
      <c r="X862" s="1">
        <v>9</v>
      </c>
      <c r="Y862" s="7">
        <v>6.7</v>
      </c>
      <c r="Z862" s="7">
        <f t="shared" ref="Z862:AA862" si="880">W862*X862</f>
        <v>66.240000000000009</v>
      </c>
      <c r="AA862" s="7">
        <f t="shared" si="880"/>
        <v>60.300000000000004</v>
      </c>
      <c r="AB862" s="7">
        <f t="shared" si="785"/>
        <v>5.9400000000000048</v>
      </c>
    </row>
    <row r="863" spans="1:28">
      <c r="A863" s="1">
        <v>862</v>
      </c>
      <c r="B863" s="1" t="s">
        <v>2181</v>
      </c>
      <c r="C863" s="2">
        <v>42253</v>
      </c>
      <c r="D863" s="6" t="str">
        <f t="shared" si="780"/>
        <v>Sep</v>
      </c>
      <c r="E863" s="6" t="str">
        <f t="shared" si="781"/>
        <v>Qtr 3</v>
      </c>
      <c r="F863" s="5" t="s">
        <v>2182</v>
      </c>
      <c r="G863" s="1" t="s">
        <v>49</v>
      </c>
      <c r="H863" s="1" t="s">
        <v>2183</v>
      </c>
      <c r="I863" s="1" t="s">
        <v>2184</v>
      </c>
      <c r="J863" s="1" t="str">
        <f ca="1">IFERROR(__xludf.DUMMYFUNCTION("split(I863,"" "")"),"Chuck")</f>
        <v>Chuck</v>
      </c>
      <c r="K863" s="1" t="str">
        <f ca="1">IFERROR(__xludf.DUMMYFUNCTION("""COMPUTED_VALUE"""),"Magee")</f>
        <v>Magee</v>
      </c>
      <c r="L863" s="1"/>
      <c r="M863" s="1" t="s">
        <v>29</v>
      </c>
      <c r="N863" s="1" t="s">
        <v>30</v>
      </c>
      <c r="O863" s="1" t="s">
        <v>110</v>
      </c>
      <c r="P863" s="1" t="str">
        <f t="shared" si="782"/>
        <v>San Francisco</v>
      </c>
      <c r="Q863" s="1" t="s">
        <v>68</v>
      </c>
      <c r="R863" s="1" t="str">
        <f t="shared" si="783"/>
        <v>California</v>
      </c>
      <c r="S863" s="1">
        <v>94122</v>
      </c>
      <c r="T863" s="1" t="s">
        <v>44</v>
      </c>
      <c r="U863" s="1" t="s">
        <v>2185</v>
      </c>
      <c r="V863" s="1" t="s">
        <v>46</v>
      </c>
      <c r="W863" s="7">
        <v>23.1</v>
      </c>
      <c r="X863" s="1">
        <v>9</v>
      </c>
      <c r="Y863" s="7">
        <v>22.15</v>
      </c>
      <c r="Z863" s="7">
        <f t="shared" ref="Z863:AA863" si="881">W863*X863</f>
        <v>207.9</v>
      </c>
      <c r="AA863" s="7">
        <f t="shared" si="881"/>
        <v>199.35</v>
      </c>
      <c r="AB863" s="7">
        <f t="shared" si="785"/>
        <v>8.5500000000000114</v>
      </c>
    </row>
    <row r="864" spans="1:28">
      <c r="A864" s="1">
        <v>863</v>
      </c>
      <c r="B864" s="1" t="s">
        <v>2186</v>
      </c>
      <c r="C864" s="2">
        <v>42856</v>
      </c>
      <c r="D864" s="6" t="str">
        <f t="shared" si="780"/>
        <v>May</v>
      </c>
      <c r="E864" s="6" t="str">
        <f t="shared" si="781"/>
        <v>Qtr 2</v>
      </c>
      <c r="F864" s="5">
        <v>42917</v>
      </c>
      <c r="G864" s="1" t="s">
        <v>26</v>
      </c>
      <c r="H864" s="1" t="s">
        <v>1990</v>
      </c>
      <c r="I864" s="1" t="s">
        <v>1991</v>
      </c>
      <c r="J864" s="1" t="str">
        <f ca="1">IFERROR(__xludf.DUMMYFUNCTION("split(I864,"" "")"),"Anthony")</f>
        <v>Anthony</v>
      </c>
      <c r="K864" s="1" t="str">
        <f ca="1">IFERROR(__xludf.DUMMYFUNCTION("""COMPUTED_VALUE"""),"Johnson")</f>
        <v>Johnson</v>
      </c>
      <c r="L864" s="1"/>
      <c r="M864" s="1" t="s">
        <v>41</v>
      </c>
      <c r="N864" s="1" t="s">
        <v>30</v>
      </c>
      <c r="O864" s="1" t="s">
        <v>1241</v>
      </c>
      <c r="P864" s="1" t="str">
        <f t="shared" si="782"/>
        <v>Jacksonville</v>
      </c>
      <c r="Q864" s="1" t="s">
        <v>194</v>
      </c>
      <c r="R864" s="1" t="str">
        <f t="shared" si="783"/>
        <v>Florida</v>
      </c>
      <c r="S864" s="1">
        <v>32216</v>
      </c>
      <c r="T864" s="1" t="s">
        <v>33</v>
      </c>
      <c r="U864" s="1" t="s">
        <v>2187</v>
      </c>
      <c r="V864" s="1" t="s">
        <v>64</v>
      </c>
      <c r="W864" s="7">
        <v>191.47200000000001</v>
      </c>
      <c r="X864" s="1">
        <v>3</v>
      </c>
      <c r="Y864" s="7">
        <v>190.66</v>
      </c>
      <c r="Z864" s="7">
        <f t="shared" ref="Z864:AA864" si="882">W864*X864</f>
        <v>574.41600000000005</v>
      </c>
      <c r="AA864" s="7">
        <f t="shared" si="882"/>
        <v>571.98</v>
      </c>
      <c r="AB864" s="7">
        <f t="shared" si="785"/>
        <v>2.4360000000000355</v>
      </c>
    </row>
    <row r="865" spans="1:28">
      <c r="A865" s="1">
        <v>864</v>
      </c>
      <c r="B865" s="1" t="s">
        <v>2186</v>
      </c>
      <c r="C865" s="2">
        <v>42856</v>
      </c>
      <c r="D865" s="6" t="str">
        <f t="shared" si="780"/>
        <v>May</v>
      </c>
      <c r="E865" s="6" t="str">
        <f t="shared" si="781"/>
        <v>Qtr 2</v>
      </c>
      <c r="F865" s="5">
        <v>42917</v>
      </c>
      <c r="G865" s="1" t="s">
        <v>26</v>
      </c>
      <c r="H865" s="1" t="s">
        <v>1990</v>
      </c>
      <c r="I865" s="1" t="s">
        <v>1991</v>
      </c>
      <c r="J865" s="1" t="str">
        <f ca="1">IFERROR(__xludf.DUMMYFUNCTION("split(I865,"" "")"),"Anthony")</f>
        <v>Anthony</v>
      </c>
      <c r="K865" s="1" t="str">
        <f ca="1">IFERROR(__xludf.DUMMYFUNCTION("""COMPUTED_VALUE"""),"Johnson")</f>
        <v>Johnson</v>
      </c>
      <c r="L865" s="1"/>
      <c r="M865" s="1" t="s">
        <v>41</v>
      </c>
      <c r="N865" s="1" t="s">
        <v>30</v>
      </c>
      <c r="O865" s="1" t="s">
        <v>1241</v>
      </c>
      <c r="P865" s="1" t="str">
        <f t="shared" si="782"/>
        <v>Jacksonville</v>
      </c>
      <c r="Q865" s="1" t="s">
        <v>194</v>
      </c>
      <c r="R865" s="1" t="str">
        <f t="shared" si="783"/>
        <v>Florida</v>
      </c>
      <c r="S865" s="1">
        <v>32216</v>
      </c>
      <c r="T865" s="1" t="s">
        <v>33</v>
      </c>
      <c r="U865" s="1" t="s">
        <v>2188</v>
      </c>
      <c r="V865" s="1" t="s">
        <v>46</v>
      </c>
      <c r="W865" s="7">
        <v>5.2480000000000002</v>
      </c>
      <c r="X865" s="1">
        <v>3</v>
      </c>
      <c r="Y865" s="7">
        <v>4.47</v>
      </c>
      <c r="Z865" s="7">
        <f t="shared" ref="Z865:AA865" si="883">W865*X865</f>
        <v>15.744</v>
      </c>
      <c r="AA865" s="7">
        <f t="shared" si="883"/>
        <v>13.41</v>
      </c>
      <c r="AB865" s="7">
        <f t="shared" si="785"/>
        <v>2.3339999999999996</v>
      </c>
    </row>
    <row r="866" spans="1:28">
      <c r="A866" s="1">
        <v>865</v>
      </c>
      <c r="B866" s="1" t="s">
        <v>2186</v>
      </c>
      <c r="C866" s="2">
        <v>42856</v>
      </c>
      <c r="D866" s="6" t="str">
        <f t="shared" si="780"/>
        <v>May</v>
      </c>
      <c r="E866" s="6" t="str">
        <f t="shared" si="781"/>
        <v>Qtr 2</v>
      </c>
      <c r="F866" s="5">
        <v>42917</v>
      </c>
      <c r="G866" s="1" t="s">
        <v>26</v>
      </c>
      <c r="H866" s="1" t="s">
        <v>1990</v>
      </c>
      <c r="I866" s="1" t="s">
        <v>1991</v>
      </c>
      <c r="J866" s="1" t="str">
        <f ca="1">IFERROR(__xludf.DUMMYFUNCTION("split(I866,"" "")"),"Anthony")</f>
        <v>Anthony</v>
      </c>
      <c r="K866" s="1" t="str">
        <f ca="1">IFERROR(__xludf.DUMMYFUNCTION("""COMPUTED_VALUE"""),"Johnson")</f>
        <v>Johnson</v>
      </c>
      <c r="L866" s="1"/>
      <c r="M866" s="1" t="s">
        <v>41</v>
      </c>
      <c r="N866" s="1" t="s">
        <v>30</v>
      </c>
      <c r="O866" s="1" t="s">
        <v>1241</v>
      </c>
      <c r="P866" s="1" t="str">
        <f t="shared" si="782"/>
        <v>Jacksonville</v>
      </c>
      <c r="Q866" s="1" t="s">
        <v>194</v>
      </c>
      <c r="R866" s="1" t="str">
        <f t="shared" si="783"/>
        <v>Florida</v>
      </c>
      <c r="S866" s="1">
        <v>32216</v>
      </c>
      <c r="T866" s="1" t="s">
        <v>33</v>
      </c>
      <c r="U866" s="1" t="s">
        <v>2189</v>
      </c>
      <c r="V866" s="1" t="s">
        <v>64</v>
      </c>
      <c r="W866" s="7">
        <v>59.183999999999997</v>
      </c>
      <c r="X866" s="1">
        <v>3</v>
      </c>
      <c r="Y866" s="7">
        <v>59.09</v>
      </c>
      <c r="Z866" s="7">
        <f t="shared" ref="Z866:AA866" si="884">W866*X866</f>
        <v>177.55199999999999</v>
      </c>
      <c r="AA866" s="7">
        <f t="shared" si="884"/>
        <v>177.27</v>
      </c>
      <c r="AB866" s="7">
        <f t="shared" si="785"/>
        <v>0.28199999999998226</v>
      </c>
    </row>
    <row r="867" spans="1:28">
      <c r="A867" s="1">
        <v>866</v>
      </c>
      <c r="B867" s="1" t="s">
        <v>2190</v>
      </c>
      <c r="C867" s="2">
        <v>42278</v>
      </c>
      <c r="D867" s="6" t="str">
        <f t="shared" si="780"/>
        <v>Oct</v>
      </c>
      <c r="E867" s="6" t="str">
        <f t="shared" si="781"/>
        <v>Qtr 4</v>
      </c>
      <c r="F867" s="5" t="s">
        <v>1980</v>
      </c>
      <c r="G867" s="1" t="s">
        <v>49</v>
      </c>
      <c r="H867" s="1" t="s">
        <v>2191</v>
      </c>
      <c r="I867" s="1" t="s">
        <v>2192</v>
      </c>
      <c r="J867" s="1" t="str">
        <f ca="1">IFERROR(__xludf.DUMMYFUNCTION("split(I867,"" "")"),"Anthony")</f>
        <v>Anthony</v>
      </c>
      <c r="K867" s="1" t="str">
        <f ca="1">IFERROR(__xludf.DUMMYFUNCTION("""COMPUTED_VALUE"""),"Jacobs")</f>
        <v>Jacobs</v>
      </c>
      <c r="L867" s="1"/>
      <c r="M867" s="1" t="s">
        <v>41</v>
      </c>
      <c r="N867" s="1" t="s">
        <v>30</v>
      </c>
      <c r="O867" s="1" t="s">
        <v>271</v>
      </c>
      <c r="P867" s="1" t="str">
        <f t="shared" si="782"/>
        <v>Springfield</v>
      </c>
      <c r="Q867" s="1" t="s">
        <v>272</v>
      </c>
      <c r="R867" s="1" t="str">
        <f t="shared" si="783"/>
        <v>Virginia</v>
      </c>
      <c r="S867" s="1">
        <v>22153</v>
      </c>
      <c r="T867" s="1" t="s">
        <v>33</v>
      </c>
      <c r="U867" s="1" t="s">
        <v>2193</v>
      </c>
      <c r="V867" s="1" t="s">
        <v>46</v>
      </c>
      <c r="W867" s="7">
        <v>2.89</v>
      </c>
      <c r="X867" s="1">
        <v>2</v>
      </c>
      <c r="Y867" s="7">
        <v>2.46</v>
      </c>
      <c r="Z867" s="7">
        <f t="shared" ref="Z867:AA867" si="885">W867*X867</f>
        <v>5.78</v>
      </c>
      <c r="AA867" s="7">
        <f t="shared" si="885"/>
        <v>4.92</v>
      </c>
      <c r="AB867" s="7">
        <f t="shared" si="785"/>
        <v>0.86000000000000032</v>
      </c>
    </row>
    <row r="868" spans="1:28">
      <c r="A868" s="1">
        <v>867</v>
      </c>
      <c r="B868" s="1" t="s">
        <v>2190</v>
      </c>
      <c r="C868" s="2">
        <v>42278</v>
      </c>
      <c r="D868" s="6" t="str">
        <f t="shared" si="780"/>
        <v>Oct</v>
      </c>
      <c r="E868" s="6" t="str">
        <f t="shared" si="781"/>
        <v>Qtr 4</v>
      </c>
      <c r="F868" s="5" t="s">
        <v>1980</v>
      </c>
      <c r="G868" s="1" t="s">
        <v>49</v>
      </c>
      <c r="H868" s="1" t="s">
        <v>2191</v>
      </c>
      <c r="I868" s="1" t="s">
        <v>2192</v>
      </c>
      <c r="J868" s="1" t="str">
        <f ca="1">IFERROR(__xludf.DUMMYFUNCTION("split(I868,"" "")"),"Anthony")</f>
        <v>Anthony</v>
      </c>
      <c r="K868" s="1" t="str">
        <f ca="1">IFERROR(__xludf.DUMMYFUNCTION("""COMPUTED_VALUE"""),"Jacobs")</f>
        <v>Jacobs</v>
      </c>
      <c r="L868" s="1"/>
      <c r="M868" s="1" t="s">
        <v>41</v>
      </c>
      <c r="N868" s="1" t="s">
        <v>30</v>
      </c>
      <c r="O868" s="1" t="s">
        <v>271</v>
      </c>
      <c r="P868" s="1" t="str">
        <f t="shared" si="782"/>
        <v>Springfield</v>
      </c>
      <c r="Q868" s="1" t="s">
        <v>272</v>
      </c>
      <c r="R868" s="1" t="str">
        <f t="shared" si="783"/>
        <v>Virginia</v>
      </c>
      <c r="S868" s="1">
        <v>22153</v>
      </c>
      <c r="T868" s="1" t="s">
        <v>33</v>
      </c>
      <c r="U868" s="1" t="s">
        <v>2194</v>
      </c>
      <c r="V868" s="1" t="s">
        <v>35</v>
      </c>
      <c r="W868" s="7">
        <v>51.94</v>
      </c>
      <c r="X868" s="1">
        <v>2</v>
      </c>
      <c r="Y868" s="7">
        <v>51.29</v>
      </c>
      <c r="Z868" s="7">
        <f t="shared" ref="Z868:AA868" si="886">W868*X868</f>
        <v>103.88</v>
      </c>
      <c r="AA868" s="7">
        <f t="shared" si="886"/>
        <v>102.58</v>
      </c>
      <c r="AB868" s="7">
        <f t="shared" si="785"/>
        <v>1.2999999999999972</v>
      </c>
    </row>
    <row r="869" spans="1:28">
      <c r="A869" s="1">
        <v>868</v>
      </c>
      <c r="B869" s="1" t="s">
        <v>2195</v>
      </c>
      <c r="C869" s="2">
        <v>43007</v>
      </c>
      <c r="D869" s="6" t="str">
        <f t="shared" si="780"/>
        <v>Sep</v>
      </c>
      <c r="E869" s="6" t="str">
        <f t="shared" si="781"/>
        <v>Qtr 3</v>
      </c>
      <c r="F869" s="5">
        <v>42776</v>
      </c>
      <c r="G869" s="1" t="s">
        <v>162</v>
      </c>
      <c r="H869" s="1" t="s">
        <v>2196</v>
      </c>
      <c r="I869" s="1" t="s">
        <v>2197</v>
      </c>
      <c r="J869" s="1" t="str">
        <f ca="1">IFERROR(__xludf.DUMMYFUNCTION("split(I869,"" "")"),"Linda")</f>
        <v>Linda</v>
      </c>
      <c r="K869" s="1" t="str">
        <f ca="1">IFERROR(__xludf.DUMMYFUNCTION("""COMPUTED_VALUE"""),"Southworth")</f>
        <v>Southworth</v>
      </c>
      <c r="L869" s="1"/>
      <c r="M869" s="1" t="s">
        <v>41</v>
      </c>
      <c r="N869" s="1" t="s">
        <v>30</v>
      </c>
      <c r="O869" s="1" t="s">
        <v>126</v>
      </c>
      <c r="P869" s="1" t="str">
        <f t="shared" si="782"/>
        <v>Philadelphia</v>
      </c>
      <c r="Q869" s="1" t="s">
        <v>127</v>
      </c>
      <c r="R869" s="1" t="str">
        <f t="shared" si="783"/>
        <v>Pennsylvania</v>
      </c>
      <c r="S869" s="1">
        <v>19140</v>
      </c>
      <c r="T869" s="1" t="s">
        <v>128</v>
      </c>
      <c r="U869" s="1" t="s">
        <v>2198</v>
      </c>
      <c r="V869" s="1" t="s">
        <v>46</v>
      </c>
      <c r="W869" s="7">
        <v>15.936</v>
      </c>
      <c r="X869" s="1">
        <v>1</v>
      </c>
      <c r="Y869" s="7">
        <v>15.64</v>
      </c>
      <c r="Z869" s="7">
        <f t="shared" ref="Z869:AA869" si="887">W869*X869</f>
        <v>15.936</v>
      </c>
      <c r="AA869" s="7">
        <f t="shared" si="887"/>
        <v>15.64</v>
      </c>
      <c r="AB869" s="7">
        <f t="shared" si="785"/>
        <v>0.29599999999999937</v>
      </c>
    </row>
    <row r="870" spans="1:28">
      <c r="A870" s="1">
        <v>869</v>
      </c>
      <c r="B870" s="1" t="s">
        <v>2199</v>
      </c>
      <c r="C870" s="2">
        <v>42159</v>
      </c>
      <c r="D870" s="6" t="str">
        <f t="shared" si="780"/>
        <v>Jun</v>
      </c>
      <c r="E870" s="6" t="str">
        <f t="shared" si="781"/>
        <v>Qtr 2</v>
      </c>
      <c r="F870" s="5">
        <v>42281</v>
      </c>
      <c r="G870" s="1" t="s">
        <v>49</v>
      </c>
      <c r="H870" s="1" t="s">
        <v>2200</v>
      </c>
      <c r="I870" s="1" t="s">
        <v>2201</v>
      </c>
      <c r="J870" s="1" t="str">
        <f ca="1">IFERROR(__xludf.DUMMYFUNCTION("split(I870,"" "")"),"Guy")</f>
        <v>Guy</v>
      </c>
      <c r="K870" s="1" t="str">
        <f ca="1">IFERROR(__xludf.DUMMYFUNCTION("""COMPUTED_VALUE"""),"Phonely")</f>
        <v>Phonely</v>
      </c>
      <c r="L870" s="1"/>
      <c r="M870" s="1" t="s">
        <v>41</v>
      </c>
      <c r="N870" s="1" t="s">
        <v>30</v>
      </c>
      <c r="O870" s="1" t="s">
        <v>2021</v>
      </c>
      <c r="P870" s="1" t="str">
        <f t="shared" si="782"/>
        <v>Lancaster</v>
      </c>
      <c r="Q870" s="1" t="s">
        <v>127</v>
      </c>
      <c r="R870" s="1" t="str">
        <f t="shared" si="783"/>
        <v>Pennsylvania</v>
      </c>
      <c r="S870" s="1">
        <v>17602</v>
      </c>
      <c r="T870" s="1" t="s">
        <v>128</v>
      </c>
      <c r="U870" s="1" t="s">
        <v>2202</v>
      </c>
      <c r="V870" s="1" t="s">
        <v>46</v>
      </c>
      <c r="W870" s="7">
        <v>44.91</v>
      </c>
      <c r="X870" s="1">
        <v>1</v>
      </c>
      <c r="Y870" s="7">
        <v>44.34</v>
      </c>
      <c r="Z870" s="7">
        <f t="shared" ref="Z870:AA870" si="888">W870*X870</f>
        <v>44.91</v>
      </c>
      <c r="AA870" s="7">
        <f t="shared" si="888"/>
        <v>44.34</v>
      </c>
      <c r="AB870" s="7">
        <f t="shared" si="785"/>
        <v>0.56999999999999318</v>
      </c>
    </row>
    <row r="871" spans="1:28">
      <c r="A871" s="1">
        <v>870</v>
      </c>
      <c r="B871" s="1" t="s">
        <v>2203</v>
      </c>
      <c r="C871" s="2">
        <v>42803</v>
      </c>
      <c r="D871" s="6" t="str">
        <f t="shared" si="780"/>
        <v>Mar</v>
      </c>
      <c r="E871" s="6" t="str">
        <f t="shared" si="781"/>
        <v>Qtr 1</v>
      </c>
      <c r="F871" s="5">
        <v>42864</v>
      </c>
      <c r="G871" s="1" t="s">
        <v>162</v>
      </c>
      <c r="H871" s="1" t="s">
        <v>2204</v>
      </c>
      <c r="I871" s="1" t="s">
        <v>2205</v>
      </c>
      <c r="J871" s="1" t="str">
        <f ca="1">IFERROR(__xludf.DUMMYFUNCTION("split(I871,"" "")"),"Paul")</f>
        <v>Paul</v>
      </c>
      <c r="K871" s="1" t="str">
        <f ca="1">IFERROR(__xludf.DUMMYFUNCTION("""COMPUTED_VALUE"""),"Knutson")</f>
        <v>Knutson</v>
      </c>
      <c r="L871" s="1"/>
      <c r="M871" s="1" t="s">
        <v>87</v>
      </c>
      <c r="N871" s="1" t="s">
        <v>30</v>
      </c>
      <c r="O871" s="1" t="s">
        <v>126</v>
      </c>
      <c r="P871" s="1" t="str">
        <f t="shared" si="782"/>
        <v>Philadelphia</v>
      </c>
      <c r="Q871" s="1" t="s">
        <v>127</v>
      </c>
      <c r="R871" s="1" t="str">
        <f t="shared" si="783"/>
        <v>Pennsylvania</v>
      </c>
      <c r="S871" s="1">
        <v>19143</v>
      </c>
      <c r="T871" s="1" t="s">
        <v>128</v>
      </c>
      <c r="U871" s="1" t="s">
        <v>2206</v>
      </c>
      <c r="V871" s="1" t="s">
        <v>46</v>
      </c>
      <c r="W871" s="7">
        <v>1141.47</v>
      </c>
      <c r="X871" s="1">
        <v>1</v>
      </c>
      <c r="Y871" s="7">
        <v>1140.6600000000001</v>
      </c>
      <c r="Z871" s="7">
        <f t="shared" ref="Z871:AA871" si="889">W871*X871</f>
        <v>1141.47</v>
      </c>
      <c r="AA871" s="7">
        <f t="shared" si="889"/>
        <v>1140.6600000000001</v>
      </c>
      <c r="AB871" s="7">
        <f t="shared" si="785"/>
        <v>0.80999999999994543</v>
      </c>
    </row>
    <row r="872" spans="1:28">
      <c r="A872" s="1">
        <v>871</v>
      </c>
      <c r="B872" s="1" t="s">
        <v>2203</v>
      </c>
      <c r="C872" s="2">
        <v>42803</v>
      </c>
      <c r="D872" s="6" t="str">
        <f t="shared" si="780"/>
        <v>Mar</v>
      </c>
      <c r="E872" s="6" t="str">
        <f t="shared" si="781"/>
        <v>Qtr 1</v>
      </c>
      <c r="F872" s="5">
        <v>42864</v>
      </c>
      <c r="G872" s="1" t="s">
        <v>162</v>
      </c>
      <c r="H872" s="1" t="s">
        <v>2204</v>
      </c>
      <c r="I872" s="1" t="s">
        <v>2205</v>
      </c>
      <c r="J872" s="1" t="str">
        <f ca="1">IFERROR(__xludf.DUMMYFUNCTION("split(I872,"" "")"),"Paul")</f>
        <v>Paul</v>
      </c>
      <c r="K872" s="1" t="str">
        <f ca="1">IFERROR(__xludf.DUMMYFUNCTION("""COMPUTED_VALUE"""),"Knutson")</f>
        <v>Knutson</v>
      </c>
      <c r="L872" s="1"/>
      <c r="M872" s="1" t="s">
        <v>87</v>
      </c>
      <c r="N872" s="1" t="s">
        <v>30</v>
      </c>
      <c r="O872" s="1" t="s">
        <v>126</v>
      </c>
      <c r="P872" s="1" t="str">
        <f t="shared" si="782"/>
        <v>Philadelphia</v>
      </c>
      <c r="Q872" s="1" t="s">
        <v>127</v>
      </c>
      <c r="R872" s="1" t="str">
        <f t="shared" si="783"/>
        <v>Pennsylvania</v>
      </c>
      <c r="S872" s="1">
        <v>19143</v>
      </c>
      <c r="T872" s="1" t="s">
        <v>128</v>
      </c>
      <c r="U872" s="1" t="s">
        <v>1563</v>
      </c>
      <c r="V872" s="1" t="s">
        <v>64</v>
      </c>
      <c r="W872" s="7">
        <v>280.78199999999998</v>
      </c>
      <c r="X872" s="1">
        <v>1</v>
      </c>
      <c r="Y872" s="7">
        <v>280.45999999999998</v>
      </c>
      <c r="Z872" s="7">
        <f t="shared" ref="Z872:AA872" si="890">W872*X872</f>
        <v>280.78199999999998</v>
      </c>
      <c r="AA872" s="7">
        <f t="shared" si="890"/>
        <v>280.45999999999998</v>
      </c>
      <c r="AB872" s="7">
        <f t="shared" si="785"/>
        <v>0.32200000000000273</v>
      </c>
    </row>
    <row r="873" spans="1:28">
      <c r="A873" s="1">
        <v>872</v>
      </c>
      <c r="B873" s="1" t="s">
        <v>2207</v>
      </c>
      <c r="C873" s="2">
        <v>42662</v>
      </c>
      <c r="D873" s="6" t="str">
        <f t="shared" si="780"/>
        <v>Oct</v>
      </c>
      <c r="E873" s="6" t="str">
        <f t="shared" si="781"/>
        <v>Qtr 4</v>
      </c>
      <c r="F873" s="5" t="s">
        <v>399</v>
      </c>
      <c r="G873" s="1" t="s">
        <v>162</v>
      </c>
      <c r="H873" s="1" t="s">
        <v>143</v>
      </c>
      <c r="I873" s="1" t="s">
        <v>144</v>
      </c>
      <c r="J873" s="1" t="str">
        <f ca="1">IFERROR(__xludf.DUMMYFUNCTION("split(I873,"" "")"),"Tracy")</f>
        <v>Tracy</v>
      </c>
      <c r="K873" s="1" t="str">
        <f ca="1">IFERROR(__xludf.DUMMYFUNCTION("""COMPUTED_VALUE"""),"Blumstein")</f>
        <v>Blumstein</v>
      </c>
      <c r="L873" s="1"/>
      <c r="M873" s="1" t="s">
        <v>29</v>
      </c>
      <c r="N873" s="1" t="s">
        <v>30</v>
      </c>
      <c r="O873" s="1" t="s">
        <v>74</v>
      </c>
      <c r="P873" s="1" t="str">
        <f t="shared" si="782"/>
        <v>Concord</v>
      </c>
      <c r="Q873" s="1" t="s">
        <v>2208</v>
      </c>
      <c r="R873" s="1" t="str">
        <f t="shared" si="783"/>
        <v>New Hampshire</v>
      </c>
      <c r="S873" s="1">
        <v>3301</v>
      </c>
      <c r="T873" s="1" t="s">
        <v>128</v>
      </c>
      <c r="U873" s="1" t="s">
        <v>2209</v>
      </c>
      <c r="V873" s="1" t="s">
        <v>46</v>
      </c>
      <c r="W873" s="7">
        <v>34.44</v>
      </c>
      <c r="X873" s="1">
        <v>3</v>
      </c>
      <c r="Y873" s="7">
        <v>33.61</v>
      </c>
      <c r="Z873" s="7">
        <f t="shared" ref="Z873:AA873" si="891">W873*X873</f>
        <v>103.32</v>
      </c>
      <c r="AA873" s="7">
        <f t="shared" si="891"/>
        <v>100.83</v>
      </c>
      <c r="AB873" s="7">
        <f t="shared" si="785"/>
        <v>2.4899999999999949</v>
      </c>
    </row>
    <row r="874" spans="1:28">
      <c r="A874" s="1">
        <v>873</v>
      </c>
      <c r="B874" s="1" t="s">
        <v>2210</v>
      </c>
      <c r="C874" s="2">
        <v>42289</v>
      </c>
      <c r="D874" s="6" t="str">
        <f t="shared" si="780"/>
        <v>Oct</v>
      </c>
      <c r="E874" s="6" t="str">
        <f t="shared" si="781"/>
        <v>Qtr 4</v>
      </c>
      <c r="F874" s="5" t="s">
        <v>2211</v>
      </c>
      <c r="G874" s="1" t="s">
        <v>49</v>
      </c>
      <c r="H874" s="1" t="s">
        <v>2212</v>
      </c>
      <c r="I874" s="1" t="s">
        <v>2213</v>
      </c>
      <c r="J874" s="1" t="str">
        <f ca="1">IFERROR(__xludf.DUMMYFUNCTION("split(I874,"" "")"),"Sally")</f>
        <v>Sally</v>
      </c>
      <c r="K874" s="1" t="str">
        <f ca="1">IFERROR(__xludf.DUMMYFUNCTION("""COMPUTED_VALUE"""),"Matthias")</f>
        <v>Matthias</v>
      </c>
      <c r="L874" s="1"/>
      <c r="M874" s="1" t="s">
        <v>29</v>
      </c>
      <c r="N874" s="1" t="s">
        <v>30</v>
      </c>
      <c r="O874" s="1" t="s">
        <v>233</v>
      </c>
      <c r="P874" s="1" t="str">
        <f t="shared" si="782"/>
        <v>New York City</v>
      </c>
      <c r="Q874" s="1" t="s">
        <v>234</v>
      </c>
      <c r="R874" s="1" t="str">
        <f t="shared" si="783"/>
        <v>New York</v>
      </c>
      <c r="S874" s="1">
        <v>10009</v>
      </c>
      <c r="T874" s="1" t="s">
        <v>128</v>
      </c>
      <c r="U874" s="1" t="s">
        <v>852</v>
      </c>
      <c r="V874" s="1" t="s">
        <v>46</v>
      </c>
      <c r="W874" s="7">
        <v>11.36</v>
      </c>
      <c r="X874" s="1">
        <v>1</v>
      </c>
      <c r="Y874" s="7">
        <v>10.48</v>
      </c>
      <c r="Z874" s="7">
        <f t="shared" ref="Z874:AA874" si="892">W874*X874</f>
        <v>11.36</v>
      </c>
      <c r="AA874" s="7">
        <f t="shared" si="892"/>
        <v>10.48</v>
      </c>
      <c r="AB874" s="7">
        <f t="shared" si="785"/>
        <v>0.87999999999999901</v>
      </c>
    </row>
    <row r="875" spans="1:28">
      <c r="A875" s="1">
        <v>874</v>
      </c>
      <c r="B875" s="1" t="s">
        <v>2210</v>
      </c>
      <c r="C875" s="2">
        <v>42289</v>
      </c>
      <c r="D875" s="6" t="str">
        <f t="shared" si="780"/>
        <v>Oct</v>
      </c>
      <c r="E875" s="6" t="str">
        <f t="shared" si="781"/>
        <v>Qtr 4</v>
      </c>
      <c r="F875" s="5" t="s">
        <v>2211</v>
      </c>
      <c r="G875" s="1" t="s">
        <v>49</v>
      </c>
      <c r="H875" s="1" t="s">
        <v>2212</v>
      </c>
      <c r="I875" s="1" t="s">
        <v>2213</v>
      </c>
      <c r="J875" s="1" t="str">
        <f ca="1">IFERROR(__xludf.DUMMYFUNCTION("split(I875,"" "")"),"Sally")</f>
        <v>Sally</v>
      </c>
      <c r="K875" s="1" t="str">
        <f ca="1">IFERROR(__xludf.DUMMYFUNCTION("""COMPUTED_VALUE"""),"Matthias")</f>
        <v>Matthias</v>
      </c>
      <c r="L875" s="1"/>
      <c r="M875" s="1" t="s">
        <v>29</v>
      </c>
      <c r="N875" s="1" t="s">
        <v>30</v>
      </c>
      <c r="O875" s="1" t="s">
        <v>233</v>
      </c>
      <c r="P875" s="1" t="str">
        <f t="shared" si="782"/>
        <v>New York City</v>
      </c>
      <c r="Q875" s="1" t="s">
        <v>234</v>
      </c>
      <c r="R875" s="1" t="str">
        <f t="shared" si="783"/>
        <v>New York</v>
      </c>
      <c r="S875" s="1">
        <v>10009</v>
      </c>
      <c r="T875" s="1" t="s">
        <v>128</v>
      </c>
      <c r="U875" s="1" t="s">
        <v>1304</v>
      </c>
      <c r="V875" s="1" t="s">
        <v>46</v>
      </c>
      <c r="W875" s="7">
        <v>106.34399999999999</v>
      </c>
      <c r="X875" s="1">
        <v>1</v>
      </c>
      <c r="Y875" s="7">
        <v>105.77</v>
      </c>
      <c r="Z875" s="7">
        <f t="shared" ref="Z875:AA875" si="893">W875*X875</f>
        <v>106.34399999999999</v>
      </c>
      <c r="AA875" s="7">
        <f t="shared" si="893"/>
        <v>105.77</v>
      </c>
      <c r="AB875" s="7">
        <f t="shared" si="785"/>
        <v>0.57399999999999807</v>
      </c>
    </row>
    <row r="876" spans="1:28">
      <c r="A876" s="1">
        <v>875</v>
      </c>
      <c r="B876" s="1" t="s">
        <v>2214</v>
      </c>
      <c r="C876" s="2">
        <v>43337</v>
      </c>
      <c r="D876" s="6" t="str">
        <f t="shared" si="780"/>
        <v>Aug</v>
      </c>
      <c r="E876" s="6" t="str">
        <f t="shared" si="781"/>
        <v>Qtr 3</v>
      </c>
      <c r="F876" s="5" t="s">
        <v>2215</v>
      </c>
      <c r="G876" s="1" t="s">
        <v>49</v>
      </c>
      <c r="H876" s="1" t="s">
        <v>2152</v>
      </c>
      <c r="I876" s="1" t="s">
        <v>2153</v>
      </c>
      <c r="J876" s="1" t="str">
        <f ca="1">IFERROR(__xludf.DUMMYFUNCTION("split(I876,"" "")"),"Guy")</f>
        <v>Guy</v>
      </c>
      <c r="K876" s="1" t="str">
        <f ca="1">IFERROR(__xludf.DUMMYFUNCTION("""COMPUTED_VALUE"""),"Armstrong")</f>
        <v>Armstrong</v>
      </c>
      <c r="L876" s="1"/>
      <c r="M876" s="1" t="s">
        <v>29</v>
      </c>
      <c r="N876" s="1" t="s">
        <v>30</v>
      </c>
      <c r="O876" s="1" t="s">
        <v>394</v>
      </c>
      <c r="P876" s="1" t="str">
        <f t="shared" si="782"/>
        <v>Charlotte</v>
      </c>
      <c r="Q876" s="1" t="s">
        <v>75</v>
      </c>
      <c r="R876" s="1" t="str">
        <f t="shared" si="783"/>
        <v>North Carolina</v>
      </c>
      <c r="S876" s="1">
        <v>28205</v>
      </c>
      <c r="T876" s="1" t="s">
        <v>33</v>
      </c>
      <c r="U876" s="1" t="s">
        <v>2216</v>
      </c>
      <c r="V876" s="1" t="s">
        <v>46</v>
      </c>
      <c r="W876" s="7">
        <v>192.16</v>
      </c>
      <c r="X876" s="1">
        <v>2</v>
      </c>
      <c r="Y876" s="7">
        <v>191.21</v>
      </c>
      <c r="Z876" s="7">
        <f t="shared" ref="Z876:AA876" si="894">W876*X876</f>
        <v>384.32</v>
      </c>
      <c r="AA876" s="7">
        <f t="shared" si="894"/>
        <v>382.42</v>
      </c>
      <c r="AB876" s="7">
        <f t="shared" si="785"/>
        <v>1.8999999999999773</v>
      </c>
    </row>
    <row r="877" spans="1:28">
      <c r="A877" s="1">
        <v>876</v>
      </c>
      <c r="B877" s="1" t="s">
        <v>2217</v>
      </c>
      <c r="C877" s="2">
        <v>42752</v>
      </c>
      <c r="D877" s="6" t="str">
        <f t="shared" si="780"/>
        <v>Jan</v>
      </c>
      <c r="E877" s="6" t="str">
        <f t="shared" si="781"/>
        <v>Qtr 1</v>
      </c>
      <c r="F877" s="5" t="s">
        <v>2218</v>
      </c>
      <c r="G877" s="1" t="s">
        <v>49</v>
      </c>
      <c r="H877" s="1" t="s">
        <v>1738</v>
      </c>
      <c r="I877" s="1" t="s">
        <v>1739</v>
      </c>
      <c r="J877" s="1" t="str">
        <f ca="1">IFERROR(__xludf.DUMMYFUNCTION("split(I877,"" "")"),"Chuck")</f>
        <v>Chuck</v>
      </c>
      <c r="K877" s="1" t="str">
        <f ca="1">IFERROR(__xludf.DUMMYFUNCTION("""COMPUTED_VALUE"""),"Clark")</f>
        <v>Clark</v>
      </c>
      <c r="L877" s="1"/>
      <c r="M877" s="1" t="s">
        <v>87</v>
      </c>
      <c r="N877" s="1" t="s">
        <v>30</v>
      </c>
      <c r="O877" s="1" t="s">
        <v>74</v>
      </c>
      <c r="P877" s="1" t="str">
        <f t="shared" si="782"/>
        <v>Concord</v>
      </c>
      <c r="Q877" s="1" t="s">
        <v>2208</v>
      </c>
      <c r="R877" s="1" t="str">
        <f t="shared" si="783"/>
        <v>New Hampshire</v>
      </c>
      <c r="S877" s="1">
        <v>3301</v>
      </c>
      <c r="T877" s="1" t="s">
        <v>128</v>
      </c>
      <c r="U877" s="1" t="s">
        <v>746</v>
      </c>
      <c r="V877" s="1" t="s">
        <v>35</v>
      </c>
      <c r="W877" s="7">
        <v>322.58999999999997</v>
      </c>
      <c r="X877" s="1">
        <v>3</v>
      </c>
      <c r="Y877" s="7">
        <v>322.39999999999998</v>
      </c>
      <c r="Z877" s="7">
        <f t="shared" ref="Z877:AA877" si="895">W877*X877</f>
        <v>967.77</v>
      </c>
      <c r="AA877" s="7">
        <f t="shared" si="895"/>
        <v>967.19999999999993</v>
      </c>
      <c r="AB877" s="7">
        <f t="shared" si="785"/>
        <v>0.57000000000005002</v>
      </c>
    </row>
    <row r="878" spans="1:28">
      <c r="A878" s="1">
        <v>877</v>
      </c>
      <c r="B878" s="1" t="s">
        <v>2217</v>
      </c>
      <c r="C878" s="2">
        <v>42752</v>
      </c>
      <c r="D878" s="6" t="str">
        <f t="shared" si="780"/>
        <v>Jan</v>
      </c>
      <c r="E878" s="6" t="str">
        <f t="shared" si="781"/>
        <v>Qtr 1</v>
      </c>
      <c r="F878" s="5" t="s">
        <v>2218</v>
      </c>
      <c r="G878" s="1" t="s">
        <v>49</v>
      </c>
      <c r="H878" s="1" t="s">
        <v>1738</v>
      </c>
      <c r="I878" s="1" t="s">
        <v>1739</v>
      </c>
      <c r="J878" s="1" t="str">
        <f ca="1">IFERROR(__xludf.DUMMYFUNCTION("split(I878,"" "")"),"Chuck")</f>
        <v>Chuck</v>
      </c>
      <c r="K878" s="1" t="str">
        <f ca="1">IFERROR(__xludf.DUMMYFUNCTION("""COMPUTED_VALUE"""),"Clark")</f>
        <v>Clark</v>
      </c>
      <c r="L878" s="1"/>
      <c r="M878" s="1" t="s">
        <v>87</v>
      </c>
      <c r="N878" s="1" t="s">
        <v>30</v>
      </c>
      <c r="O878" s="1" t="s">
        <v>74</v>
      </c>
      <c r="P878" s="1" t="str">
        <f t="shared" si="782"/>
        <v>Concord</v>
      </c>
      <c r="Q878" s="1" t="s">
        <v>2208</v>
      </c>
      <c r="R878" s="1" t="str">
        <f t="shared" si="783"/>
        <v>New Hampshire</v>
      </c>
      <c r="S878" s="1">
        <v>3301</v>
      </c>
      <c r="T878" s="1" t="s">
        <v>128</v>
      </c>
      <c r="U878" s="1" t="s">
        <v>838</v>
      </c>
      <c r="V878" s="1" t="s">
        <v>64</v>
      </c>
      <c r="W878" s="7">
        <v>29.99</v>
      </c>
      <c r="X878" s="1">
        <v>3</v>
      </c>
      <c r="Y878" s="7">
        <v>29.34</v>
      </c>
      <c r="Z878" s="7">
        <f t="shared" ref="Z878:AA878" si="896">W878*X878</f>
        <v>89.97</v>
      </c>
      <c r="AA878" s="7">
        <f t="shared" si="896"/>
        <v>88.02</v>
      </c>
      <c r="AB878" s="7">
        <f t="shared" si="785"/>
        <v>1.9500000000000028</v>
      </c>
    </row>
    <row r="879" spans="1:28">
      <c r="A879" s="1">
        <v>878</v>
      </c>
      <c r="B879" s="1" t="s">
        <v>2217</v>
      </c>
      <c r="C879" s="2">
        <v>42752</v>
      </c>
      <c r="D879" s="6" t="str">
        <f t="shared" si="780"/>
        <v>Jan</v>
      </c>
      <c r="E879" s="6" t="str">
        <f t="shared" si="781"/>
        <v>Qtr 1</v>
      </c>
      <c r="F879" s="5" t="s">
        <v>2218</v>
      </c>
      <c r="G879" s="1" t="s">
        <v>49</v>
      </c>
      <c r="H879" s="1" t="s">
        <v>1738</v>
      </c>
      <c r="I879" s="1" t="s">
        <v>1739</v>
      </c>
      <c r="J879" s="1" t="str">
        <f ca="1">IFERROR(__xludf.DUMMYFUNCTION("split(I879,"" "")"),"Chuck")</f>
        <v>Chuck</v>
      </c>
      <c r="K879" s="1" t="str">
        <f ca="1">IFERROR(__xludf.DUMMYFUNCTION("""COMPUTED_VALUE"""),"Clark")</f>
        <v>Clark</v>
      </c>
      <c r="L879" s="1"/>
      <c r="M879" s="1" t="s">
        <v>87</v>
      </c>
      <c r="N879" s="1" t="s">
        <v>30</v>
      </c>
      <c r="O879" s="1" t="s">
        <v>74</v>
      </c>
      <c r="P879" s="1" t="str">
        <f t="shared" si="782"/>
        <v>Concord</v>
      </c>
      <c r="Q879" s="1" t="s">
        <v>2208</v>
      </c>
      <c r="R879" s="1" t="str">
        <f t="shared" si="783"/>
        <v>New Hampshire</v>
      </c>
      <c r="S879" s="1">
        <v>3301</v>
      </c>
      <c r="T879" s="1" t="s">
        <v>128</v>
      </c>
      <c r="U879" s="1" t="s">
        <v>2219</v>
      </c>
      <c r="V879" s="1" t="s">
        <v>64</v>
      </c>
      <c r="W879" s="7">
        <v>371.97</v>
      </c>
      <c r="X879" s="1">
        <v>3</v>
      </c>
      <c r="Y879" s="7">
        <v>371.37</v>
      </c>
      <c r="Z879" s="7">
        <f t="shared" ref="Z879:AA879" si="897">W879*X879</f>
        <v>1115.9100000000001</v>
      </c>
      <c r="AA879" s="7">
        <f t="shared" si="897"/>
        <v>1114.1100000000001</v>
      </c>
      <c r="AB879" s="7">
        <f t="shared" si="785"/>
        <v>1.7999999999999545</v>
      </c>
    </row>
    <row r="880" spans="1:28">
      <c r="A880" s="1">
        <v>879</v>
      </c>
      <c r="B880" s="1" t="s">
        <v>2220</v>
      </c>
      <c r="C880" s="2">
        <v>42264</v>
      </c>
      <c r="D880" s="6" t="str">
        <f t="shared" si="780"/>
        <v>Sep</v>
      </c>
      <c r="E880" s="6" t="str">
        <f t="shared" si="781"/>
        <v>Qtr 3</v>
      </c>
      <c r="F880" s="5" t="s">
        <v>801</v>
      </c>
      <c r="G880" s="1" t="s">
        <v>49</v>
      </c>
      <c r="H880" s="1" t="s">
        <v>2221</v>
      </c>
      <c r="I880" s="1" t="s">
        <v>2222</v>
      </c>
      <c r="J880" s="1" t="str">
        <f ca="1">IFERROR(__xludf.DUMMYFUNCTION("split(I880,"" "")"),"Anthony")</f>
        <v>Anthony</v>
      </c>
      <c r="K880" s="1" t="str">
        <f ca="1">IFERROR(__xludf.DUMMYFUNCTION("""COMPUTED_VALUE"""),"Garverick")</f>
        <v>Garverick</v>
      </c>
      <c r="L880" s="1"/>
      <c r="M880" s="1" t="s">
        <v>87</v>
      </c>
      <c r="N880" s="1" t="s">
        <v>30</v>
      </c>
      <c r="O880" s="1" t="s">
        <v>126</v>
      </c>
      <c r="P880" s="1" t="str">
        <f t="shared" si="782"/>
        <v>Philadelphia</v>
      </c>
      <c r="Q880" s="1" t="s">
        <v>127</v>
      </c>
      <c r="R880" s="1" t="str">
        <f t="shared" si="783"/>
        <v>Pennsylvania</v>
      </c>
      <c r="S880" s="1">
        <v>19120</v>
      </c>
      <c r="T880" s="1" t="s">
        <v>128</v>
      </c>
      <c r="U880" s="1" t="s">
        <v>2223</v>
      </c>
      <c r="V880" s="1" t="s">
        <v>46</v>
      </c>
      <c r="W880" s="7">
        <v>5.8920000000000003</v>
      </c>
      <c r="X880" s="1">
        <v>1</v>
      </c>
      <c r="Y880" s="7">
        <v>5.78</v>
      </c>
      <c r="Z880" s="7">
        <f t="shared" ref="Z880:AA880" si="898">W880*X880</f>
        <v>5.8920000000000003</v>
      </c>
      <c r="AA880" s="7">
        <f t="shared" si="898"/>
        <v>5.78</v>
      </c>
      <c r="AB880" s="7">
        <f t="shared" si="785"/>
        <v>0.1120000000000001</v>
      </c>
    </row>
    <row r="881" spans="1:28">
      <c r="A881" s="1">
        <v>880</v>
      </c>
      <c r="B881" s="1" t="s">
        <v>2224</v>
      </c>
      <c r="C881" s="2">
        <v>43434</v>
      </c>
      <c r="D881" s="6" t="str">
        <f t="shared" si="780"/>
        <v>Nov</v>
      </c>
      <c r="E881" s="6" t="str">
        <f t="shared" si="781"/>
        <v>Qtr 4</v>
      </c>
      <c r="F881" s="5">
        <v>43143</v>
      </c>
      <c r="G881" s="1" t="s">
        <v>26</v>
      </c>
      <c r="H881" s="1" t="s">
        <v>85</v>
      </c>
      <c r="I881" s="1" t="s">
        <v>86</v>
      </c>
      <c r="J881" s="1" t="str">
        <f ca="1">IFERROR(__xludf.DUMMYFUNCTION("split(I881,"" "")"),"Harold")</f>
        <v>Harold</v>
      </c>
      <c r="K881" s="1" t="str">
        <f ca="1">IFERROR(__xludf.DUMMYFUNCTION("""COMPUTED_VALUE"""),"Pawlan")</f>
        <v>Pawlan</v>
      </c>
      <c r="L881" s="1"/>
      <c r="M881" s="1" t="s">
        <v>87</v>
      </c>
      <c r="N881" s="1" t="s">
        <v>30</v>
      </c>
      <c r="O881" s="1" t="s">
        <v>233</v>
      </c>
      <c r="P881" s="1" t="str">
        <f t="shared" si="782"/>
        <v>New York City</v>
      </c>
      <c r="Q881" s="1" t="s">
        <v>234</v>
      </c>
      <c r="R881" s="1" t="str">
        <f t="shared" si="783"/>
        <v>New York</v>
      </c>
      <c r="S881" s="1">
        <v>10024</v>
      </c>
      <c r="T881" s="1" t="s">
        <v>128</v>
      </c>
      <c r="U881" s="1" t="s">
        <v>2225</v>
      </c>
      <c r="V881" s="1" t="s">
        <v>46</v>
      </c>
      <c r="W881" s="7">
        <v>68.471999999999994</v>
      </c>
      <c r="X881" s="1">
        <v>1</v>
      </c>
      <c r="Y881" s="7">
        <v>68.14</v>
      </c>
      <c r="Z881" s="7">
        <f t="shared" ref="Z881:AA881" si="899">W881*X881</f>
        <v>68.471999999999994</v>
      </c>
      <c r="AA881" s="7">
        <f t="shared" si="899"/>
        <v>68.14</v>
      </c>
      <c r="AB881" s="7">
        <f t="shared" si="785"/>
        <v>0.33199999999999363</v>
      </c>
    </row>
    <row r="882" spans="1:28">
      <c r="A882" s="1">
        <v>881</v>
      </c>
      <c r="B882" s="1" t="s">
        <v>2224</v>
      </c>
      <c r="C882" s="2">
        <v>43434</v>
      </c>
      <c r="D882" s="6" t="str">
        <f t="shared" si="780"/>
        <v>Nov</v>
      </c>
      <c r="E882" s="6" t="str">
        <f t="shared" si="781"/>
        <v>Qtr 4</v>
      </c>
      <c r="F882" s="5">
        <v>43143</v>
      </c>
      <c r="G882" s="1" t="s">
        <v>26</v>
      </c>
      <c r="H882" s="1" t="s">
        <v>85</v>
      </c>
      <c r="I882" s="1" t="s">
        <v>86</v>
      </c>
      <c r="J882" s="1" t="str">
        <f ca="1">IFERROR(__xludf.DUMMYFUNCTION("split(I882,"" "")"),"Harold")</f>
        <v>Harold</v>
      </c>
      <c r="K882" s="1" t="str">
        <f ca="1">IFERROR(__xludf.DUMMYFUNCTION("""COMPUTED_VALUE"""),"Pawlan")</f>
        <v>Pawlan</v>
      </c>
      <c r="L882" s="1"/>
      <c r="M882" s="1" t="s">
        <v>87</v>
      </c>
      <c r="N882" s="1" t="s">
        <v>30</v>
      </c>
      <c r="O882" s="1" t="s">
        <v>233</v>
      </c>
      <c r="P882" s="1" t="str">
        <f t="shared" si="782"/>
        <v>New York City</v>
      </c>
      <c r="Q882" s="1" t="s">
        <v>234</v>
      </c>
      <c r="R882" s="1" t="str">
        <f t="shared" si="783"/>
        <v>New York</v>
      </c>
      <c r="S882" s="1">
        <v>10024</v>
      </c>
      <c r="T882" s="1" t="s">
        <v>128</v>
      </c>
      <c r="U882" s="1" t="s">
        <v>569</v>
      </c>
      <c r="V882" s="1" t="s">
        <v>35</v>
      </c>
      <c r="W882" s="7">
        <v>1242.9000000000001</v>
      </c>
      <c r="X882" s="1">
        <v>1</v>
      </c>
      <c r="Y882" s="7">
        <v>1242.58</v>
      </c>
      <c r="Z882" s="7">
        <f t="shared" ref="Z882:AA882" si="900">W882*X882</f>
        <v>1242.9000000000001</v>
      </c>
      <c r="AA882" s="7">
        <f t="shared" si="900"/>
        <v>1242.58</v>
      </c>
      <c r="AB882" s="7">
        <f t="shared" si="785"/>
        <v>0.32000000000016371</v>
      </c>
    </row>
    <row r="883" spans="1:28">
      <c r="A883" s="1">
        <v>882</v>
      </c>
      <c r="B883" s="1" t="s">
        <v>2226</v>
      </c>
      <c r="C883" s="2">
        <v>42623</v>
      </c>
      <c r="D883" s="6" t="str">
        <f t="shared" si="780"/>
        <v>Sep</v>
      </c>
      <c r="E883" s="6" t="str">
        <f t="shared" si="781"/>
        <v>Qtr 3</v>
      </c>
      <c r="F883" s="5" t="s">
        <v>2227</v>
      </c>
      <c r="G883" s="1" t="s">
        <v>49</v>
      </c>
      <c r="H883" s="1" t="s">
        <v>427</v>
      </c>
      <c r="I883" s="1" t="s">
        <v>428</v>
      </c>
      <c r="J883" s="1" t="str">
        <f ca="1">IFERROR(__xludf.DUMMYFUNCTION("split(I883,"" "")"),"Dave")</f>
        <v>Dave</v>
      </c>
      <c r="K883" s="1" t="str">
        <f ca="1">IFERROR(__xludf.DUMMYFUNCTION("""COMPUTED_VALUE"""),"Kipp")</f>
        <v>Kipp</v>
      </c>
      <c r="L883" s="1"/>
      <c r="M883" s="1" t="s">
        <v>29</v>
      </c>
      <c r="N883" s="1" t="s">
        <v>30</v>
      </c>
      <c r="O883" s="1" t="s">
        <v>271</v>
      </c>
      <c r="P883" s="1" t="str">
        <f t="shared" si="782"/>
        <v>Springfield</v>
      </c>
      <c r="Q883" s="1" t="s">
        <v>272</v>
      </c>
      <c r="R883" s="1" t="str">
        <f t="shared" si="783"/>
        <v>Virginia</v>
      </c>
      <c r="S883" s="1">
        <v>22153</v>
      </c>
      <c r="T883" s="1" t="s">
        <v>33</v>
      </c>
      <c r="U883" s="1" t="s">
        <v>1328</v>
      </c>
      <c r="V883" s="1" t="s">
        <v>46</v>
      </c>
      <c r="W883" s="7">
        <v>30.84</v>
      </c>
      <c r="X883" s="1">
        <v>2</v>
      </c>
      <c r="Y883" s="7">
        <v>30.29</v>
      </c>
      <c r="Z883" s="7">
        <f t="shared" ref="Z883:AA883" si="901">W883*X883</f>
        <v>61.68</v>
      </c>
      <c r="AA883" s="7">
        <f t="shared" si="901"/>
        <v>60.58</v>
      </c>
      <c r="AB883" s="7">
        <f t="shared" si="785"/>
        <v>1.1000000000000014</v>
      </c>
    </row>
    <row r="884" spans="1:28">
      <c r="A884" s="1">
        <v>883</v>
      </c>
      <c r="B884" s="1" t="s">
        <v>2228</v>
      </c>
      <c r="C884" s="2">
        <v>43457</v>
      </c>
      <c r="D884" s="6" t="str">
        <f t="shared" si="780"/>
        <v>Dec</v>
      </c>
      <c r="E884" s="6" t="str">
        <f t="shared" si="781"/>
        <v>Qtr 4</v>
      </c>
      <c r="F884" s="5" t="s">
        <v>2229</v>
      </c>
      <c r="G884" s="1" t="s">
        <v>1050</v>
      </c>
      <c r="H884" s="1" t="s">
        <v>378</v>
      </c>
      <c r="I884" s="1" t="s">
        <v>379</v>
      </c>
      <c r="J884" s="1" t="str">
        <f ca="1">IFERROR(__xludf.DUMMYFUNCTION("split(I884,"" "")"),"Gary")</f>
        <v>Gary</v>
      </c>
      <c r="K884" s="1" t="str">
        <f ca="1">IFERROR(__xludf.DUMMYFUNCTION("""COMPUTED_VALUE"""),"Zandusky")</f>
        <v>Zandusky</v>
      </c>
      <c r="L884" s="1"/>
      <c r="M884" s="1" t="s">
        <v>29</v>
      </c>
      <c r="N884" s="1" t="s">
        <v>30</v>
      </c>
      <c r="O884" s="1" t="s">
        <v>110</v>
      </c>
      <c r="P884" s="1" t="str">
        <f t="shared" si="782"/>
        <v>San Francisco</v>
      </c>
      <c r="Q884" s="1" t="s">
        <v>68</v>
      </c>
      <c r="R884" s="1" t="str">
        <f t="shared" si="783"/>
        <v>California</v>
      </c>
      <c r="S884" s="1">
        <v>94109</v>
      </c>
      <c r="T884" s="1" t="s">
        <v>44</v>
      </c>
      <c r="U884" s="1" t="s">
        <v>1843</v>
      </c>
      <c r="V884" s="1" t="s">
        <v>46</v>
      </c>
      <c r="W884" s="7">
        <v>13.48</v>
      </c>
      <c r="X884" s="1">
        <v>9</v>
      </c>
      <c r="Y884" s="7">
        <v>12.5</v>
      </c>
      <c r="Z884" s="7">
        <f t="shared" ref="Z884:AA884" si="902">W884*X884</f>
        <v>121.32000000000001</v>
      </c>
      <c r="AA884" s="7">
        <f t="shared" si="902"/>
        <v>112.5</v>
      </c>
      <c r="AB884" s="7">
        <f t="shared" si="785"/>
        <v>8.8200000000000074</v>
      </c>
    </row>
    <row r="885" spans="1:28">
      <c r="A885" s="1">
        <v>884</v>
      </c>
      <c r="B885" s="1" t="s">
        <v>2230</v>
      </c>
      <c r="C885" s="2">
        <v>43030</v>
      </c>
      <c r="D885" s="6" t="str">
        <f t="shared" si="780"/>
        <v>Oct</v>
      </c>
      <c r="E885" s="6" t="str">
        <f t="shared" si="781"/>
        <v>Qtr 4</v>
      </c>
      <c r="F885" s="5" t="s">
        <v>2231</v>
      </c>
      <c r="G885" s="1" t="s">
        <v>162</v>
      </c>
      <c r="H885" s="1" t="s">
        <v>2232</v>
      </c>
      <c r="I885" s="1" t="s">
        <v>2233</v>
      </c>
      <c r="J885" s="1" t="str">
        <f ca="1">IFERROR(__xludf.DUMMYFUNCTION("split(I885,"" "")"),"Peter")</f>
        <v>Peter</v>
      </c>
      <c r="K885" s="1" t="str">
        <f ca="1">IFERROR(__xludf.DUMMYFUNCTION("""COMPUTED_VALUE"""),"McVee")</f>
        <v>McVee</v>
      </c>
      <c r="L885" s="1"/>
      <c r="M885" s="1" t="s">
        <v>87</v>
      </c>
      <c r="N885" s="1" t="s">
        <v>30</v>
      </c>
      <c r="O885" s="1" t="s">
        <v>728</v>
      </c>
      <c r="P885" s="1" t="str">
        <f t="shared" si="782"/>
        <v>Detroit</v>
      </c>
      <c r="Q885" s="1" t="s">
        <v>209</v>
      </c>
      <c r="R885" s="1" t="str">
        <f t="shared" si="783"/>
        <v>Michigan</v>
      </c>
      <c r="S885" s="1">
        <v>48227</v>
      </c>
      <c r="T885" s="1" t="s">
        <v>90</v>
      </c>
      <c r="U885" s="1" t="s">
        <v>1721</v>
      </c>
      <c r="V885" s="1" t="s">
        <v>35</v>
      </c>
      <c r="W885" s="7">
        <v>31.4</v>
      </c>
      <c r="X885" s="1">
        <v>4</v>
      </c>
      <c r="Y885" s="7">
        <v>31.38</v>
      </c>
      <c r="Z885" s="7">
        <f t="shared" ref="Z885:AA885" si="903">W885*X885</f>
        <v>125.6</v>
      </c>
      <c r="AA885" s="7">
        <f t="shared" si="903"/>
        <v>125.52</v>
      </c>
      <c r="AB885" s="7">
        <f t="shared" si="785"/>
        <v>7.9999999999998295E-2</v>
      </c>
    </row>
    <row r="886" spans="1:28">
      <c r="A886" s="1">
        <v>885</v>
      </c>
      <c r="B886" s="1" t="s">
        <v>2234</v>
      </c>
      <c r="C886" s="2">
        <v>42123</v>
      </c>
      <c r="D886" s="6" t="str">
        <f t="shared" si="780"/>
        <v>Apr</v>
      </c>
      <c r="E886" s="6" t="str">
        <f t="shared" si="781"/>
        <v>Qtr 2</v>
      </c>
      <c r="F886" s="5">
        <v>42099</v>
      </c>
      <c r="G886" s="1" t="s">
        <v>49</v>
      </c>
      <c r="H886" s="1" t="s">
        <v>2235</v>
      </c>
      <c r="I886" s="1" t="s">
        <v>2236</v>
      </c>
      <c r="J886" s="1" t="str">
        <f ca="1">IFERROR(__xludf.DUMMYFUNCTION("split(I886,"" "")"),"Lauren")</f>
        <v>Lauren</v>
      </c>
      <c r="K886" s="1" t="str">
        <f ca="1">IFERROR(__xludf.DUMMYFUNCTION("""COMPUTED_VALUE"""),"Leatherbury")</f>
        <v>Leatherbury</v>
      </c>
      <c r="L886" s="1"/>
      <c r="M886" s="1" t="s">
        <v>29</v>
      </c>
      <c r="N886" s="1" t="s">
        <v>30</v>
      </c>
      <c r="O886" s="1" t="s">
        <v>331</v>
      </c>
      <c r="P886" s="1" t="str">
        <f t="shared" si="782"/>
        <v>Rochester</v>
      </c>
      <c r="Q886" s="1" t="s">
        <v>234</v>
      </c>
      <c r="R886" s="1" t="str">
        <f t="shared" si="783"/>
        <v>New York</v>
      </c>
      <c r="S886" s="1">
        <v>14609</v>
      </c>
      <c r="T886" s="1" t="s">
        <v>128</v>
      </c>
      <c r="U886" s="1" t="s">
        <v>2237</v>
      </c>
      <c r="V886" s="1" t="s">
        <v>35</v>
      </c>
      <c r="W886" s="7">
        <v>17.46</v>
      </c>
      <c r="X886" s="1">
        <v>1</v>
      </c>
      <c r="Y886" s="7">
        <v>16.59</v>
      </c>
      <c r="Z886" s="7">
        <f t="shared" ref="Z886:AA886" si="904">W886*X886</f>
        <v>17.46</v>
      </c>
      <c r="AA886" s="7">
        <f t="shared" si="904"/>
        <v>16.59</v>
      </c>
      <c r="AB886" s="7">
        <f t="shared" si="785"/>
        <v>0.87000000000000099</v>
      </c>
    </row>
    <row r="887" spans="1:28">
      <c r="A887" s="1">
        <v>886</v>
      </c>
      <c r="B887" s="1" t="s">
        <v>2238</v>
      </c>
      <c r="C887" s="2">
        <v>42485</v>
      </c>
      <c r="D887" s="6" t="str">
        <f t="shared" si="780"/>
        <v>Apr</v>
      </c>
      <c r="E887" s="6" t="str">
        <f t="shared" si="781"/>
        <v>Qtr 2</v>
      </c>
      <c r="F887" s="5" t="s">
        <v>2239</v>
      </c>
      <c r="G887" s="1" t="s">
        <v>26</v>
      </c>
      <c r="H887" s="1" t="s">
        <v>2240</v>
      </c>
      <c r="I887" s="1" t="s">
        <v>2241</v>
      </c>
      <c r="J887" s="1" t="str">
        <f ca="1">IFERROR(__xludf.DUMMYFUNCTION("split(I887,"" "")"),"Jill")</f>
        <v>Jill</v>
      </c>
      <c r="K887" s="1" t="str">
        <f ca="1">IFERROR(__xludf.DUMMYFUNCTION("""COMPUTED_VALUE"""),"Stevenson")</f>
        <v>Stevenson</v>
      </c>
      <c r="L887" s="1"/>
      <c r="M887" s="1" t="s">
        <v>41</v>
      </c>
      <c r="N887" s="1" t="s">
        <v>30</v>
      </c>
      <c r="O887" s="1" t="s">
        <v>42</v>
      </c>
      <c r="P887" s="1" t="str">
        <f t="shared" si="782"/>
        <v>Los Angeles</v>
      </c>
      <c r="Q887" s="1" t="s">
        <v>68</v>
      </c>
      <c r="R887" s="1" t="str">
        <f t="shared" si="783"/>
        <v>California</v>
      </c>
      <c r="S887" s="1">
        <v>90045</v>
      </c>
      <c r="T887" s="1" t="s">
        <v>44</v>
      </c>
      <c r="U887" s="1" t="s">
        <v>2242</v>
      </c>
      <c r="V887" s="1" t="s">
        <v>46</v>
      </c>
      <c r="W887" s="7">
        <v>13.944000000000001</v>
      </c>
      <c r="X887" s="1">
        <v>9</v>
      </c>
      <c r="Y887" s="7">
        <v>13.63</v>
      </c>
      <c r="Z887" s="7">
        <f t="shared" ref="Z887:AA887" si="905">W887*X887</f>
        <v>125.49600000000001</v>
      </c>
      <c r="AA887" s="7">
        <f t="shared" si="905"/>
        <v>122.67</v>
      </c>
      <c r="AB887" s="7">
        <f t="shared" si="785"/>
        <v>2.8260000000000076</v>
      </c>
    </row>
    <row r="888" spans="1:28">
      <c r="A888" s="1">
        <v>887</v>
      </c>
      <c r="B888" s="1" t="s">
        <v>2243</v>
      </c>
      <c r="C888" s="2">
        <v>43277</v>
      </c>
      <c r="D888" s="6" t="str">
        <f t="shared" si="780"/>
        <v>Jun</v>
      </c>
      <c r="E888" s="6" t="str">
        <f t="shared" si="781"/>
        <v>Qtr 2</v>
      </c>
      <c r="F888" s="5">
        <v>43138</v>
      </c>
      <c r="G888" s="1" t="s">
        <v>49</v>
      </c>
      <c r="H888" s="1" t="s">
        <v>1541</v>
      </c>
      <c r="I888" s="1" t="s">
        <v>1542</v>
      </c>
      <c r="J888" s="1" t="str">
        <f ca="1">IFERROR(__xludf.DUMMYFUNCTION("split(I888,"" "")"),"Olvera")</f>
        <v>Olvera</v>
      </c>
      <c r="K888" s="1" t="str">
        <f ca="1">IFERROR(__xludf.DUMMYFUNCTION("""COMPUTED_VALUE"""),"Toch")</f>
        <v>Toch</v>
      </c>
      <c r="L888" s="1"/>
      <c r="M888" s="1" t="s">
        <v>29</v>
      </c>
      <c r="N888" s="1" t="s">
        <v>30</v>
      </c>
      <c r="O888" s="1" t="s">
        <v>778</v>
      </c>
      <c r="P888" s="1" t="str">
        <f t="shared" si="782"/>
        <v>San Diego</v>
      </c>
      <c r="Q888" s="1" t="s">
        <v>68</v>
      </c>
      <c r="R888" s="1" t="str">
        <f t="shared" si="783"/>
        <v>California</v>
      </c>
      <c r="S888" s="1">
        <v>92105</v>
      </c>
      <c r="T888" s="1" t="s">
        <v>44</v>
      </c>
      <c r="U888" s="1" t="s">
        <v>2244</v>
      </c>
      <c r="V888" s="1" t="s">
        <v>46</v>
      </c>
      <c r="W888" s="7">
        <v>83.76</v>
      </c>
      <c r="X888" s="1">
        <v>9</v>
      </c>
      <c r="Y888" s="7">
        <v>83.49</v>
      </c>
      <c r="Z888" s="7">
        <f t="shared" ref="Z888:AA888" si="906">W888*X888</f>
        <v>753.84</v>
      </c>
      <c r="AA888" s="7">
        <f t="shared" si="906"/>
        <v>751.41</v>
      </c>
      <c r="AB888" s="7">
        <f t="shared" si="785"/>
        <v>2.4300000000000637</v>
      </c>
    </row>
    <row r="889" spans="1:28">
      <c r="A889" s="1">
        <v>888</v>
      </c>
      <c r="B889" s="1" t="s">
        <v>2245</v>
      </c>
      <c r="C889" s="2">
        <v>43387</v>
      </c>
      <c r="D889" s="6" t="str">
        <f t="shared" si="780"/>
        <v>Oct</v>
      </c>
      <c r="E889" s="6" t="str">
        <f t="shared" si="781"/>
        <v>Qtr 4</v>
      </c>
      <c r="F889" s="5" t="s">
        <v>1137</v>
      </c>
      <c r="G889" s="1" t="s">
        <v>49</v>
      </c>
      <c r="H889" s="1" t="s">
        <v>2246</v>
      </c>
      <c r="I889" s="1" t="s">
        <v>2247</v>
      </c>
      <c r="J889" s="1" t="str">
        <f ca="1">IFERROR(__xludf.DUMMYFUNCTION("split(I889,"" "")"),"Ed")</f>
        <v>Ed</v>
      </c>
      <c r="K889" s="1" t="str">
        <f ca="1">IFERROR(__xludf.DUMMYFUNCTION("""COMPUTED_VALUE"""),"Ludwig")</f>
        <v>Ludwig</v>
      </c>
      <c r="L889" s="1"/>
      <c r="M889" s="1" t="s">
        <v>87</v>
      </c>
      <c r="N889" s="1" t="s">
        <v>30</v>
      </c>
      <c r="O889" s="1" t="s">
        <v>325</v>
      </c>
      <c r="P889" s="1" t="str">
        <f t="shared" si="782"/>
        <v>Columbia</v>
      </c>
      <c r="Q889" s="1" t="s">
        <v>2248</v>
      </c>
      <c r="R889" s="1" t="str">
        <f t="shared" si="783"/>
        <v>Maryland</v>
      </c>
      <c r="S889" s="1">
        <v>21044</v>
      </c>
      <c r="T889" s="1" t="s">
        <v>128</v>
      </c>
      <c r="U889" s="1" t="s">
        <v>253</v>
      </c>
      <c r="V889" s="1" t="s">
        <v>46</v>
      </c>
      <c r="W889" s="7">
        <v>37.659999999999997</v>
      </c>
      <c r="X889" s="1">
        <v>2</v>
      </c>
      <c r="Y889" s="7">
        <v>37.21</v>
      </c>
      <c r="Z889" s="7">
        <f t="shared" ref="Z889:AA889" si="907">W889*X889</f>
        <v>75.319999999999993</v>
      </c>
      <c r="AA889" s="7">
        <f t="shared" si="907"/>
        <v>74.42</v>
      </c>
      <c r="AB889" s="7">
        <f t="shared" si="785"/>
        <v>0.89999999999999147</v>
      </c>
    </row>
    <row r="890" spans="1:28">
      <c r="A890" s="1">
        <v>889</v>
      </c>
      <c r="B890" s="1" t="s">
        <v>2249</v>
      </c>
      <c r="C890" s="2">
        <v>42259</v>
      </c>
      <c r="D890" s="6" t="str">
        <f t="shared" si="780"/>
        <v>Sep</v>
      </c>
      <c r="E890" s="6" t="str">
        <f t="shared" si="781"/>
        <v>Qtr 3</v>
      </c>
      <c r="F890" s="5" t="s">
        <v>2250</v>
      </c>
      <c r="G890" s="1" t="s">
        <v>49</v>
      </c>
      <c r="H890" s="1" t="s">
        <v>2157</v>
      </c>
      <c r="I890" s="1" t="s">
        <v>2158</v>
      </c>
      <c r="J890" s="1" t="str">
        <f ca="1">IFERROR(__xludf.DUMMYFUNCTION("split(I890,"" "")"),"Cyma")</f>
        <v>Cyma</v>
      </c>
      <c r="K890" s="1" t="str">
        <f ca="1">IFERROR(__xludf.DUMMYFUNCTION("""COMPUTED_VALUE"""),"Kinney")</f>
        <v>Kinney</v>
      </c>
      <c r="L890" s="1"/>
      <c r="M890" s="1" t="s">
        <v>41</v>
      </c>
      <c r="N890" s="1" t="s">
        <v>30</v>
      </c>
      <c r="O890" s="1" t="s">
        <v>110</v>
      </c>
      <c r="P890" s="1" t="str">
        <f t="shared" si="782"/>
        <v>San Francisco</v>
      </c>
      <c r="Q890" s="1" t="s">
        <v>68</v>
      </c>
      <c r="R890" s="1" t="str">
        <f t="shared" si="783"/>
        <v>California</v>
      </c>
      <c r="S890" s="1">
        <v>94122</v>
      </c>
      <c r="T890" s="1" t="s">
        <v>44</v>
      </c>
      <c r="U890" s="1" t="s">
        <v>1193</v>
      </c>
      <c r="V890" s="1" t="s">
        <v>46</v>
      </c>
      <c r="W890" s="7">
        <v>34.68</v>
      </c>
      <c r="X890" s="1">
        <v>9</v>
      </c>
      <c r="Y890" s="7">
        <v>33.869999999999997</v>
      </c>
      <c r="Z890" s="7">
        <f t="shared" ref="Z890:AA890" si="908">W890*X890</f>
        <v>312.12</v>
      </c>
      <c r="AA890" s="7">
        <f t="shared" si="908"/>
        <v>304.83</v>
      </c>
      <c r="AB890" s="7">
        <f t="shared" si="785"/>
        <v>7.2900000000000205</v>
      </c>
    </row>
    <row r="891" spans="1:28">
      <c r="A891" s="1">
        <v>890</v>
      </c>
      <c r="B891" s="1" t="s">
        <v>2251</v>
      </c>
      <c r="C891" s="2">
        <v>43271</v>
      </c>
      <c r="D891" s="6" t="str">
        <f t="shared" si="780"/>
        <v>Jun</v>
      </c>
      <c r="E891" s="6" t="str">
        <f t="shared" si="781"/>
        <v>Qtr 2</v>
      </c>
      <c r="F891" s="5" t="s">
        <v>2252</v>
      </c>
      <c r="G891" s="1" t="s">
        <v>49</v>
      </c>
      <c r="H891" s="1" t="s">
        <v>1335</v>
      </c>
      <c r="I891" s="1" t="s">
        <v>1336</v>
      </c>
      <c r="J891" s="1" t="str">
        <f ca="1">IFERROR(__xludf.DUMMYFUNCTION("split(I891,"" "")"),"Jeremy")</f>
        <v>Jeremy</v>
      </c>
      <c r="K891" s="1" t="str">
        <f ca="1">IFERROR(__xludf.DUMMYFUNCTION("""COMPUTED_VALUE"""),"Ellison")</f>
        <v>Ellison</v>
      </c>
      <c r="L891" s="1"/>
      <c r="M891" s="1" t="s">
        <v>29</v>
      </c>
      <c r="N891" s="1" t="s">
        <v>30</v>
      </c>
      <c r="O891" s="1" t="s">
        <v>1222</v>
      </c>
      <c r="P891" s="1" t="str">
        <f t="shared" si="782"/>
        <v>New Rochelle</v>
      </c>
      <c r="Q891" s="1" t="s">
        <v>234</v>
      </c>
      <c r="R891" s="1" t="str">
        <f t="shared" si="783"/>
        <v>New York</v>
      </c>
      <c r="S891" s="1">
        <v>10801</v>
      </c>
      <c r="T891" s="1" t="s">
        <v>128</v>
      </c>
      <c r="U891" s="1" t="s">
        <v>2253</v>
      </c>
      <c r="V891" s="1" t="s">
        <v>64</v>
      </c>
      <c r="W891" s="7">
        <v>149.94999999999999</v>
      </c>
      <c r="X891" s="1">
        <v>1</v>
      </c>
      <c r="Y891" s="7">
        <v>149.13</v>
      </c>
      <c r="Z891" s="7">
        <f t="shared" ref="Z891:AA891" si="909">W891*X891</f>
        <v>149.94999999999999</v>
      </c>
      <c r="AA891" s="7">
        <f t="shared" si="909"/>
        <v>149.13</v>
      </c>
      <c r="AB891" s="7">
        <f t="shared" si="785"/>
        <v>0.81999999999999318</v>
      </c>
    </row>
    <row r="892" spans="1:28">
      <c r="A892" s="1">
        <v>891</v>
      </c>
      <c r="B892" s="1" t="s">
        <v>2251</v>
      </c>
      <c r="C892" s="2">
        <v>43271</v>
      </c>
      <c r="D892" s="6" t="str">
        <f t="shared" si="780"/>
        <v>Jun</v>
      </c>
      <c r="E892" s="6" t="str">
        <f t="shared" si="781"/>
        <v>Qtr 2</v>
      </c>
      <c r="F892" s="5" t="s">
        <v>2252</v>
      </c>
      <c r="G892" s="1" t="s">
        <v>49</v>
      </c>
      <c r="H892" s="1" t="s">
        <v>1335</v>
      </c>
      <c r="I892" s="1" t="s">
        <v>1336</v>
      </c>
      <c r="J892" s="1" t="str">
        <f ca="1">IFERROR(__xludf.DUMMYFUNCTION("split(I892,"" "")"),"Jeremy")</f>
        <v>Jeremy</v>
      </c>
      <c r="K892" s="1" t="str">
        <f ca="1">IFERROR(__xludf.DUMMYFUNCTION("""COMPUTED_VALUE"""),"Ellison")</f>
        <v>Ellison</v>
      </c>
      <c r="L892" s="1"/>
      <c r="M892" s="1" t="s">
        <v>29</v>
      </c>
      <c r="N892" s="1" t="s">
        <v>30</v>
      </c>
      <c r="O892" s="1" t="s">
        <v>1222</v>
      </c>
      <c r="P892" s="1" t="str">
        <f t="shared" si="782"/>
        <v>New Rochelle</v>
      </c>
      <c r="Q892" s="1" t="s">
        <v>234</v>
      </c>
      <c r="R892" s="1" t="str">
        <f t="shared" si="783"/>
        <v>New York</v>
      </c>
      <c r="S892" s="1">
        <v>10801</v>
      </c>
      <c r="T892" s="1" t="s">
        <v>128</v>
      </c>
      <c r="U892" s="1" t="s">
        <v>1299</v>
      </c>
      <c r="V892" s="1" t="s">
        <v>46</v>
      </c>
      <c r="W892" s="7">
        <v>51.311999999999998</v>
      </c>
      <c r="X892" s="1">
        <v>1</v>
      </c>
      <c r="Y892" s="7">
        <v>50.91</v>
      </c>
      <c r="Z892" s="7">
        <f t="shared" ref="Z892:AA892" si="910">W892*X892</f>
        <v>51.311999999999998</v>
      </c>
      <c r="AA892" s="7">
        <f t="shared" si="910"/>
        <v>50.91</v>
      </c>
      <c r="AB892" s="7">
        <f t="shared" si="785"/>
        <v>0.40200000000000102</v>
      </c>
    </row>
    <row r="893" spans="1:28">
      <c r="A893" s="1">
        <v>892</v>
      </c>
      <c r="B893" s="1" t="s">
        <v>2254</v>
      </c>
      <c r="C893" s="2">
        <v>43277</v>
      </c>
      <c r="D893" s="6" t="str">
        <f t="shared" si="780"/>
        <v>Jun</v>
      </c>
      <c r="E893" s="6" t="str">
        <f t="shared" si="781"/>
        <v>Qtr 2</v>
      </c>
      <c r="F893" s="5" t="s">
        <v>2102</v>
      </c>
      <c r="G893" s="1" t="s">
        <v>162</v>
      </c>
      <c r="H893" s="1" t="s">
        <v>1864</v>
      </c>
      <c r="I893" s="1" t="s">
        <v>1865</v>
      </c>
      <c r="J893" s="1" t="str">
        <f ca="1">IFERROR(__xludf.DUMMYFUNCTION("split(I893,"" "")"),"Tracy")</f>
        <v>Tracy</v>
      </c>
      <c r="K893" s="1" t="str">
        <f ca="1">IFERROR(__xludf.DUMMYFUNCTION("""COMPUTED_VALUE"""),"Hopkins")</f>
        <v>Hopkins</v>
      </c>
      <c r="L893" s="1"/>
      <c r="M893" s="1" t="s">
        <v>87</v>
      </c>
      <c r="N893" s="1" t="s">
        <v>30</v>
      </c>
      <c r="O893" s="1" t="s">
        <v>728</v>
      </c>
      <c r="P893" s="1" t="str">
        <f t="shared" si="782"/>
        <v>Detroit</v>
      </c>
      <c r="Q893" s="1" t="s">
        <v>209</v>
      </c>
      <c r="R893" s="1" t="str">
        <f t="shared" si="783"/>
        <v>Michigan</v>
      </c>
      <c r="S893" s="1">
        <v>48227</v>
      </c>
      <c r="T893" s="1" t="s">
        <v>90</v>
      </c>
      <c r="U893" s="1" t="s">
        <v>2255</v>
      </c>
      <c r="V893" s="1" t="s">
        <v>46</v>
      </c>
      <c r="W893" s="7">
        <v>4.54</v>
      </c>
      <c r="X893" s="1">
        <v>4</v>
      </c>
      <c r="Y893" s="7">
        <v>4.38</v>
      </c>
      <c r="Z893" s="7">
        <f t="shared" ref="Z893:AA893" si="911">W893*X893</f>
        <v>18.16</v>
      </c>
      <c r="AA893" s="7">
        <f t="shared" si="911"/>
        <v>17.52</v>
      </c>
      <c r="AB893" s="7">
        <f t="shared" si="785"/>
        <v>0.64000000000000057</v>
      </c>
    </row>
    <row r="894" spans="1:28">
      <c r="A894" s="1">
        <v>893</v>
      </c>
      <c r="B894" s="1" t="s">
        <v>2254</v>
      </c>
      <c r="C894" s="2">
        <v>43277</v>
      </c>
      <c r="D894" s="6" t="str">
        <f t="shared" si="780"/>
        <v>Jun</v>
      </c>
      <c r="E894" s="6" t="str">
        <f t="shared" si="781"/>
        <v>Qtr 2</v>
      </c>
      <c r="F894" s="5" t="s">
        <v>2102</v>
      </c>
      <c r="G894" s="1" t="s">
        <v>162</v>
      </c>
      <c r="H894" s="1" t="s">
        <v>1864</v>
      </c>
      <c r="I894" s="1" t="s">
        <v>1865</v>
      </c>
      <c r="J894" s="1" t="str">
        <f ca="1">IFERROR(__xludf.DUMMYFUNCTION("split(I894,"" "")"),"Tracy")</f>
        <v>Tracy</v>
      </c>
      <c r="K894" s="1" t="str">
        <f ca="1">IFERROR(__xludf.DUMMYFUNCTION("""COMPUTED_VALUE"""),"Hopkins")</f>
        <v>Hopkins</v>
      </c>
      <c r="L894" s="1"/>
      <c r="M894" s="1" t="s">
        <v>87</v>
      </c>
      <c r="N894" s="1" t="s">
        <v>30</v>
      </c>
      <c r="O894" s="1" t="s">
        <v>728</v>
      </c>
      <c r="P894" s="1" t="str">
        <f t="shared" si="782"/>
        <v>Detroit</v>
      </c>
      <c r="Q894" s="1" t="s">
        <v>209</v>
      </c>
      <c r="R894" s="1" t="str">
        <f t="shared" si="783"/>
        <v>Michigan</v>
      </c>
      <c r="S894" s="1">
        <v>48227</v>
      </c>
      <c r="T894" s="1" t="s">
        <v>90</v>
      </c>
      <c r="U894" s="1" t="s">
        <v>2256</v>
      </c>
      <c r="V894" s="1" t="s">
        <v>46</v>
      </c>
      <c r="W894" s="7">
        <v>15.92</v>
      </c>
      <c r="X894" s="1">
        <v>4</v>
      </c>
      <c r="Y894" s="7">
        <v>15.36</v>
      </c>
      <c r="Z894" s="7">
        <f t="shared" ref="Z894:AA894" si="912">W894*X894</f>
        <v>63.68</v>
      </c>
      <c r="AA894" s="7">
        <f t="shared" si="912"/>
        <v>61.44</v>
      </c>
      <c r="AB894" s="7">
        <f t="shared" si="785"/>
        <v>2.240000000000002</v>
      </c>
    </row>
    <row r="895" spans="1:28">
      <c r="A895" s="1">
        <v>894</v>
      </c>
      <c r="B895" s="1" t="s">
        <v>2254</v>
      </c>
      <c r="C895" s="2">
        <v>43277</v>
      </c>
      <c r="D895" s="6" t="str">
        <f t="shared" si="780"/>
        <v>Jun</v>
      </c>
      <c r="E895" s="6" t="str">
        <f t="shared" si="781"/>
        <v>Qtr 2</v>
      </c>
      <c r="F895" s="5" t="s">
        <v>2102</v>
      </c>
      <c r="G895" s="1" t="s">
        <v>162</v>
      </c>
      <c r="H895" s="1" t="s">
        <v>1864</v>
      </c>
      <c r="I895" s="1" t="s">
        <v>1865</v>
      </c>
      <c r="J895" s="1" t="str">
        <f ca="1">IFERROR(__xludf.DUMMYFUNCTION("split(I895,"" "")"),"Tracy")</f>
        <v>Tracy</v>
      </c>
      <c r="K895" s="1" t="str">
        <f ca="1">IFERROR(__xludf.DUMMYFUNCTION("""COMPUTED_VALUE"""),"Hopkins")</f>
        <v>Hopkins</v>
      </c>
      <c r="L895" s="1"/>
      <c r="M895" s="1" t="s">
        <v>87</v>
      </c>
      <c r="N895" s="1" t="s">
        <v>30</v>
      </c>
      <c r="O895" s="1" t="s">
        <v>728</v>
      </c>
      <c r="P895" s="1" t="str">
        <f t="shared" si="782"/>
        <v>Detroit</v>
      </c>
      <c r="Q895" s="1" t="s">
        <v>209</v>
      </c>
      <c r="R895" s="1" t="str">
        <f t="shared" si="783"/>
        <v>Michigan</v>
      </c>
      <c r="S895" s="1">
        <v>48227</v>
      </c>
      <c r="T895" s="1" t="s">
        <v>90</v>
      </c>
      <c r="U895" s="1" t="s">
        <v>2257</v>
      </c>
      <c r="V895" s="1" t="s">
        <v>64</v>
      </c>
      <c r="W895" s="7">
        <v>543.91999999999996</v>
      </c>
      <c r="X895" s="1">
        <v>4</v>
      </c>
      <c r="Y895" s="7">
        <v>543.77</v>
      </c>
      <c r="Z895" s="7">
        <f t="shared" ref="Z895:AA895" si="913">W895*X895</f>
        <v>2175.6799999999998</v>
      </c>
      <c r="AA895" s="7">
        <f t="shared" si="913"/>
        <v>2175.08</v>
      </c>
      <c r="AB895" s="7">
        <f t="shared" si="785"/>
        <v>0.59999999999990905</v>
      </c>
    </row>
    <row r="896" spans="1:28">
      <c r="A896" s="1">
        <v>895</v>
      </c>
      <c r="B896" s="1" t="s">
        <v>2258</v>
      </c>
      <c r="C896" s="2">
        <v>43019</v>
      </c>
      <c r="D896" s="6" t="str">
        <f t="shared" si="780"/>
        <v>Oct</v>
      </c>
      <c r="E896" s="6" t="str">
        <f t="shared" si="781"/>
        <v>Qtr 4</v>
      </c>
      <c r="F896" s="5">
        <v>43080</v>
      </c>
      <c r="G896" s="1" t="s">
        <v>162</v>
      </c>
      <c r="H896" s="1" t="s">
        <v>2259</v>
      </c>
      <c r="I896" s="1" t="s">
        <v>2260</v>
      </c>
      <c r="J896" s="1" t="str">
        <f ca="1">IFERROR(__xludf.DUMMYFUNCTION("split(I896,"" "")"),"Pamela")</f>
        <v>Pamela</v>
      </c>
      <c r="K896" s="1" t="str">
        <f ca="1">IFERROR(__xludf.DUMMYFUNCTION("""COMPUTED_VALUE"""),"Coakley")</f>
        <v>Coakley</v>
      </c>
      <c r="L896" s="1"/>
      <c r="M896" s="1" t="s">
        <v>41</v>
      </c>
      <c r="N896" s="1" t="s">
        <v>30</v>
      </c>
      <c r="O896" s="1" t="s">
        <v>110</v>
      </c>
      <c r="P896" s="1" t="str">
        <f t="shared" si="782"/>
        <v>San Francisco</v>
      </c>
      <c r="Q896" s="1" t="s">
        <v>68</v>
      </c>
      <c r="R896" s="1" t="str">
        <f t="shared" si="783"/>
        <v>California</v>
      </c>
      <c r="S896" s="1">
        <v>94122</v>
      </c>
      <c r="T896" s="1" t="s">
        <v>44</v>
      </c>
      <c r="U896" s="1" t="s">
        <v>1062</v>
      </c>
      <c r="V896" s="1" t="s">
        <v>46</v>
      </c>
      <c r="W896" s="7">
        <v>155.82</v>
      </c>
      <c r="X896" s="1">
        <v>9</v>
      </c>
      <c r="Y896" s="7">
        <v>155.11000000000001</v>
      </c>
      <c r="Z896" s="7">
        <f t="shared" ref="Z896:AA896" si="914">W896*X896</f>
        <v>1402.3799999999999</v>
      </c>
      <c r="AA896" s="7">
        <f t="shared" si="914"/>
        <v>1395.9900000000002</v>
      </c>
      <c r="AB896" s="7">
        <f t="shared" si="785"/>
        <v>6.3899999999996453</v>
      </c>
    </row>
    <row r="897" spans="1:28">
      <c r="A897" s="1">
        <v>896</v>
      </c>
      <c r="B897" s="1" t="s">
        <v>2258</v>
      </c>
      <c r="C897" s="2">
        <v>43019</v>
      </c>
      <c r="D897" s="6" t="str">
        <f t="shared" si="780"/>
        <v>Oct</v>
      </c>
      <c r="E897" s="6" t="str">
        <f t="shared" si="781"/>
        <v>Qtr 4</v>
      </c>
      <c r="F897" s="5">
        <v>43080</v>
      </c>
      <c r="G897" s="1" t="s">
        <v>162</v>
      </c>
      <c r="H897" s="1" t="s">
        <v>2259</v>
      </c>
      <c r="I897" s="1" t="s">
        <v>2260</v>
      </c>
      <c r="J897" s="1" t="str">
        <f ca="1">IFERROR(__xludf.DUMMYFUNCTION("split(I897,"" "")"),"Pamela")</f>
        <v>Pamela</v>
      </c>
      <c r="K897" s="1" t="str">
        <f ca="1">IFERROR(__xludf.DUMMYFUNCTION("""COMPUTED_VALUE"""),"Coakley")</f>
        <v>Coakley</v>
      </c>
      <c r="L897" s="1"/>
      <c r="M897" s="1" t="s">
        <v>41</v>
      </c>
      <c r="N897" s="1" t="s">
        <v>30</v>
      </c>
      <c r="O897" s="1" t="s">
        <v>110</v>
      </c>
      <c r="P897" s="1" t="str">
        <f t="shared" si="782"/>
        <v>San Francisco</v>
      </c>
      <c r="Q897" s="1" t="s">
        <v>68</v>
      </c>
      <c r="R897" s="1" t="str">
        <f t="shared" si="783"/>
        <v>California</v>
      </c>
      <c r="S897" s="1">
        <v>94122</v>
      </c>
      <c r="T897" s="1" t="s">
        <v>44</v>
      </c>
      <c r="U897" s="1" t="s">
        <v>2261</v>
      </c>
      <c r="V897" s="1" t="s">
        <v>46</v>
      </c>
      <c r="W897" s="7">
        <v>70.007999999999996</v>
      </c>
      <c r="X897" s="1">
        <v>9</v>
      </c>
      <c r="Y897" s="7">
        <v>70</v>
      </c>
      <c r="Z897" s="7">
        <f t="shared" ref="Z897:AA897" si="915">W897*X897</f>
        <v>630.072</v>
      </c>
      <c r="AA897" s="7">
        <f t="shared" si="915"/>
        <v>630</v>
      </c>
      <c r="AB897" s="7">
        <f t="shared" si="785"/>
        <v>7.2000000000002728E-2</v>
      </c>
    </row>
    <row r="898" spans="1:28">
      <c r="A898" s="1">
        <v>897</v>
      </c>
      <c r="B898" s="1" t="s">
        <v>2262</v>
      </c>
      <c r="C898" s="2">
        <v>42804</v>
      </c>
      <c r="D898" s="6" t="str">
        <f t="shared" si="780"/>
        <v>Mar</v>
      </c>
      <c r="E898" s="6" t="str">
        <f t="shared" si="781"/>
        <v>Qtr 1</v>
      </c>
      <c r="F898" s="5">
        <v>42896</v>
      </c>
      <c r="G898" s="1" t="s">
        <v>26</v>
      </c>
      <c r="H898" s="1" t="s">
        <v>2263</v>
      </c>
      <c r="I898" s="1" t="s">
        <v>2264</v>
      </c>
      <c r="J898" s="1" t="str">
        <f ca="1">IFERROR(__xludf.DUMMYFUNCTION("split(I898,"" "")"),"Hunter")</f>
        <v>Hunter</v>
      </c>
      <c r="K898" s="1" t="str">
        <f ca="1">IFERROR(__xludf.DUMMYFUNCTION("""COMPUTED_VALUE"""),"Lopez")</f>
        <v>Lopez</v>
      </c>
      <c r="L898" s="1"/>
      <c r="M898" s="1" t="s">
        <v>29</v>
      </c>
      <c r="N898" s="1" t="s">
        <v>30</v>
      </c>
      <c r="O898" s="1" t="s">
        <v>172</v>
      </c>
      <c r="P898" s="1" t="str">
        <f t="shared" si="782"/>
        <v>Houston</v>
      </c>
      <c r="Q898" s="1" t="s">
        <v>89</v>
      </c>
      <c r="R898" s="1" t="str">
        <f t="shared" si="783"/>
        <v>Texas</v>
      </c>
      <c r="S898" s="1">
        <v>77095</v>
      </c>
      <c r="T898" s="1" t="s">
        <v>90</v>
      </c>
      <c r="U898" s="1" t="s">
        <v>2265</v>
      </c>
      <c r="V898" s="1" t="s">
        <v>46</v>
      </c>
      <c r="W898" s="7">
        <v>15.648</v>
      </c>
      <c r="X898" s="1">
        <v>7</v>
      </c>
      <c r="Y898" s="7">
        <v>14.69</v>
      </c>
      <c r="Z898" s="7">
        <f t="shared" ref="Z898:AA898" si="916">W898*X898</f>
        <v>109.536</v>
      </c>
      <c r="AA898" s="7">
        <f t="shared" si="916"/>
        <v>102.83</v>
      </c>
      <c r="AB898" s="7">
        <f t="shared" si="785"/>
        <v>6.7060000000000031</v>
      </c>
    </row>
    <row r="899" spans="1:28">
      <c r="A899" s="1">
        <v>898</v>
      </c>
      <c r="B899" s="1" t="s">
        <v>2266</v>
      </c>
      <c r="C899" s="2">
        <v>42256</v>
      </c>
      <c r="D899" s="6" t="str">
        <f t="shared" si="780"/>
        <v>Sep</v>
      </c>
      <c r="E899" s="6" t="str">
        <f t="shared" si="781"/>
        <v>Qtr 3</v>
      </c>
      <c r="F899" s="5" t="s">
        <v>2267</v>
      </c>
      <c r="G899" s="1" t="s">
        <v>49</v>
      </c>
      <c r="H899" s="1" t="s">
        <v>2268</v>
      </c>
      <c r="I899" s="1" t="s">
        <v>2269</v>
      </c>
      <c r="J899" s="1" t="str">
        <f ca="1">IFERROR(__xludf.DUMMYFUNCTION("split(I899,"" "")"),"Maribeth")</f>
        <v>Maribeth</v>
      </c>
      <c r="K899" s="1" t="str">
        <f ca="1">IFERROR(__xludf.DUMMYFUNCTION("""COMPUTED_VALUE"""),"Schnelling")</f>
        <v>Schnelling</v>
      </c>
      <c r="L899" s="1"/>
      <c r="M899" s="1" t="s">
        <v>29</v>
      </c>
      <c r="N899" s="1" t="s">
        <v>30</v>
      </c>
      <c r="O899" s="1" t="s">
        <v>728</v>
      </c>
      <c r="P899" s="1" t="str">
        <f t="shared" si="782"/>
        <v>Detroit</v>
      </c>
      <c r="Q899" s="1" t="s">
        <v>209</v>
      </c>
      <c r="R899" s="1" t="str">
        <f t="shared" si="783"/>
        <v>Michigan</v>
      </c>
      <c r="S899" s="1">
        <v>48227</v>
      </c>
      <c r="T899" s="1" t="s">
        <v>90</v>
      </c>
      <c r="U899" s="1" t="s">
        <v>1354</v>
      </c>
      <c r="V899" s="1" t="s">
        <v>46</v>
      </c>
      <c r="W899" s="7">
        <v>103.6</v>
      </c>
      <c r="X899" s="1">
        <v>4</v>
      </c>
      <c r="Y899" s="7">
        <v>103.15</v>
      </c>
      <c r="Z899" s="7">
        <f t="shared" ref="Z899:AA899" si="917">W899*X899</f>
        <v>414.4</v>
      </c>
      <c r="AA899" s="7">
        <f t="shared" si="917"/>
        <v>412.6</v>
      </c>
      <c r="AB899" s="7">
        <f t="shared" si="785"/>
        <v>1.7999999999999545</v>
      </c>
    </row>
    <row r="900" spans="1:28">
      <c r="A900" s="1">
        <v>899</v>
      </c>
      <c r="B900" s="1" t="s">
        <v>2270</v>
      </c>
      <c r="C900" s="2">
        <v>43402</v>
      </c>
      <c r="D900" s="6" t="str">
        <f t="shared" si="780"/>
        <v>Oct</v>
      </c>
      <c r="E900" s="6" t="str">
        <f t="shared" si="781"/>
        <v>Qtr 4</v>
      </c>
      <c r="F900" s="5" t="s">
        <v>2271</v>
      </c>
      <c r="G900" s="1" t="s">
        <v>26</v>
      </c>
      <c r="H900" s="1" t="s">
        <v>2272</v>
      </c>
      <c r="I900" s="1" t="s">
        <v>2273</v>
      </c>
      <c r="J900" s="1" t="str">
        <f ca="1">IFERROR(__xludf.DUMMYFUNCTION("split(I900,"" "")"),"George")</f>
        <v>George</v>
      </c>
      <c r="K900" s="1" t="str">
        <f ca="1">IFERROR(__xludf.DUMMYFUNCTION("""COMPUTED_VALUE"""),"Bell")</f>
        <v>Bell</v>
      </c>
      <c r="L900" s="1"/>
      <c r="M900" s="1" t="s">
        <v>41</v>
      </c>
      <c r="N900" s="1" t="s">
        <v>30</v>
      </c>
      <c r="O900" s="1" t="s">
        <v>1272</v>
      </c>
      <c r="P900" s="1" t="str">
        <f t="shared" si="782"/>
        <v>Auburn</v>
      </c>
      <c r="Q900" s="1" t="s">
        <v>234</v>
      </c>
      <c r="R900" s="1" t="str">
        <f t="shared" si="783"/>
        <v>New York</v>
      </c>
      <c r="S900" s="1">
        <v>13021</v>
      </c>
      <c r="T900" s="1" t="s">
        <v>128</v>
      </c>
      <c r="U900" s="1" t="s">
        <v>2274</v>
      </c>
      <c r="V900" s="1" t="s">
        <v>46</v>
      </c>
      <c r="W900" s="7">
        <v>46.96</v>
      </c>
      <c r="X900" s="1">
        <v>1</v>
      </c>
      <c r="Y900" s="7">
        <v>46.9</v>
      </c>
      <c r="Z900" s="7">
        <f t="shared" ref="Z900:AA900" si="918">W900*X900</f>
        <v>46.96</v>
      </c>
      <c r="AA900" s="7">
        <f t="shared" si="918"/>
        <v>46.9</v>
      </c>
      <c r="AB900" s="7">
        <f t="shared" si="785"/>
        <v>6.0000000000002274E-2</v>
      </c>
    </row>
    <row r="901" spans="1:28">
      <c r="A901" s="1">
        <v>900</v>
      </c>
      <c r="B901" s="1" t="s">
        <v>2275</v>
      </c>
      <c r="C901" s="2">
        <v>43012</v>
      </c>
      <c r="D901" s="6" t="str">
        <f t="shared" si="780"/>
        <v>Oct</v>
      </c>
      <c r="E901" s="6" t="str">
        <f t="shared" si="781"/>
        <v>Qtr 4</v>
      </c>
      <c r="F901" s="5">
        <v>43073</v>
      </c>
      <c r="G901" s="1" t="s">
        <v>162</v>
      </c>
      <c r="H901" s="1" t="s">
        <v>2276</v>
      </c>
      <c r="I901" s="1" t="s">
        <v>2277</v>
      </c>
      <c r="J901" s="1" t="str">
        <f ca="1">IFERROR(__xludf.DUMMYFUNCTION("split(I901,"" "")"),"Justin")</f>
        <v>Justin</v>
      </c>
      <c r="K901" s="1" t="str">
        <f ca="1">IFERROR(__xludf.DUMMYFUNCTION("""COMPUTED_VALUE"""),"Ritter")</f>
        <v>Ritter</v>
      </c>
      <c r="L901" s="1"/>
      <c r="M901" s="1" t="s">
        <v>41</v>
      </c>
      <c r="N901" s="1" t="s">
        <v>30</v>
      </c>
      <c r="O901" s="1" t="s">
        <v>271</v>
      </c>
      <c r="P901" s="1" t="str">
        <f t="shared" si="782"/>
        <v>Springfield</v>
      </c>
      <c r="Q901" s="1" t="s">
        <v>421</v>
      </c>
      <c r="R901" s="1" t="str">
        <f t="shared" si="783"/>
        <v>Ohio</v>
      </c>
      <c r="S901" s="1">
        <v>45503</v>
      </c>
      <c r="T901" s="1" t="s">
        <v>128</v>
      </c>
      <c r="U901" s="1" t="s">
        <v>2278</v>
      </c>
      <c r="V901" s="1" t="s">
        <v>46</v>
      </c>
      <c r="W901" s="7">
        <v>8.9039999999999999</v>
      </c>
      <c r="X901" s="1">
        <v>4</v>
      </c>
      <c r="Y901" s="7">
        <v>8.0399999999999991</v>
      </c>
      <c r="Z901" s="7">
        <f t="shared" ref="Z901:AA901" si="919">W901*X901</f>
        <v>35.616</v>
      </c>
      <c r="AA901" s="7">
        <f t="shared" si="919"/>
        <v>32.159999999999997</v>
      </c>
      <c r="AB901" s="7">
        <f t="shared" si="785"/>
        <v>3.4560000000000031</v>
      </c>
    </row>
    <row r="902" spans="1:28">
      <c r="A902" s="1">
        <v>901</v>
      </c>
      <c r="B902" s="1" t="s">
        <v>2279</v>
      </c>
      <c r="C902" s="2">
        <v>43415</v>
      </c>
      <c r="D902" s="6" t="str">
        <f t="shared" si="780"/>
        <v>Nov</v>
      </c>
      <c r="E902" s="6" t="str">
        <f t="shared" si="781"/>
        <v>Qtr 4</v>
      </c>
      <c r="F902" s="5" t="s">
        <v>649</v>
      </c>
      <c r="G902" s="1" t="s">
        <v>162</v>
      </c>
      <c r="H902" s="1" t="s">
        <v>1011</v>
      </c>
      <c r="I902" s="1" t="s">
        <v>1012</v>
      </c>
      <c r="J902" s="1" t="str">
        <f ca="1">IFERROR(__xludf.DUMMYFUNCTION("split(I902,"" "")"),"Tamara")</f>
        <v>Tamara</v>
      </c>
      <c r="K902" s="1" t="str">
        <f ca="1">IFERROR(__xludf.DUMMYFUNCTION("""COMPUTED_VALUE"""),"Dahlen")</f>
        <v>Dahlen</v>
      </c>
      <c r="L902" s="1"/>
      <c r="M902" s="1" t="s">
        <v>29</v>
      </c>
      <c r="N902" s="1" t="s">
        <v>30</v>
      </c>
      <c r="O902" s="1" t="s">
        <v>2280</v>
      </c>
      <c r="P902" s="1" t="str">
        <f t="shared" si="782"/>
        <v>Garland</v>
      </c>
      <c r="Q902" s="1" t="s">
        <v>89</v>
      </c>
      <c r="R902" s="1" t="str">
        <f t="shared" si="783"/>
        <v>Texas</v>
      </c>
      <c r="S902" s="1">
        <v>75043</v>
      </c>
      <c r="T902" s="1" t="s">
        <v>90</v>
      </c>
      <c r="U902" s="1" t="s">
        <v>2281</v>
      </c>
      <c r="V902" s="1" t="s">
        <v>46</v>
      </c>
      <c r="W902" s="7">
        <v>10.44</v>
      </c>
      <c r="X902" s="1">
        <v>7</v>
      </c>
      <c r="Y902" s="7">
        <v>9.91</v>
      </c>
      <c r="Z902" s="7">
        <f t="shared" ref="Z902:AA902" si="920">W902*X902</f>
        <v>73.08</v>
      </c>
      <c r="AA902" s="7">
        <f t="shared" si="920"/>
        <v>69.37</v>
      </c>
      <c r="AB902" s="7">
        <f t="shared" si="785"/>
        <v>3.7099999999999937</v>
      </c>
    </row>
    <row r="903" spans="1:28">
      <c r="A903" s="1">
        <v>902</v>
      </c>
      <c r="B903" s="1" t="s">
        <v>2279</v>
      </c>
      <c r="C903" s="2">
        <v>43415</v>
      </c>
      <c r="D903" s="6" t="str">
        <f t="shared" si="780"/>
        <v>Nov</v>
      </c>
      <c r="E903" s="6" t="str">
        <f t="shared" si="781"/>
        <v>Qtr 4</v>
      </c>
      <c r="F903" s="5" t="s">
        <v>649</v>
      </c>
      <c r="G903" s="1" t="s">
        <v>162</v>
      </c>
      <c r="H903" s="1" t="s">
        <v>1011</v>
      </c>
      <c r="I903" s="1" t="s">
        <v>1012</v>
      </c>
      <c r="J903" s="1" t="str">
        <f ca="1">IFERROR(__xludf.DUMMYFUNCTION("split(I903,"" "")"),"Tamara")</f>
        <v>Tamara</v>
      </c>
      <c r="K903" s="1" t="str">
        <f ca="1">IFERROR(__xludf.DUMMYFUNCTION("""COMPUTED_VALUE"""),"Dahlen")</f>
        <v>Dahlen</v>
      </c>
      <c r="L903" s="1"/>
      <c r="M903" s="1" t="s">
        <v>29</v>
      </c>
      <c r="N903" s="1" t="s">
        <v>30</v>
      </c>
      <c r="O903" s="1" t="s">
        <v>2280</v>
      </c>
      <c r="P903" s="1" t="str">
        <f t="shared" si="782"/>
        <v>Garland</v>
      </c>
      <c r="Q903" s="1" t="s">
        <v>89</v>
      </c>
      <c r="R903" s="1" t="str">
        <f t="shared" si="783"/>
        <v>Texas</v>
      </c>
      <c r="S903" s="1">
        <v>75043</v>
      </c>
      <c r="T903" s="1" t="s">
        <v>90</v>
      </c>
      <c r="U903" s="1" t="s">
        <v>2282</v>
      </c>
      <c r="V903" s="1" t="s">
        <v>46</v>
      </c>
      <c r="W903" s="7">
        <v>18.335999999999999</v>
      </c>
      <c r="X903" s="1">
        <v>7</v>
      </c>
      <c r="Y903" s="7">
        <v>17.690000000000001</v>
      </c>
      <c r="Z903" s="7">
        <f t="shared" ref="Z903:AA903" si="921">W903*X903</f>
        <v>128.35199999999998</v>
      </c>
      <c r="AA903" s="7">
        <f t="shared" si="921"/>
        <v>123.83000000000001</v>
      </c>
      <c r="AB903" s="7">
        <f t="shared" si="785"/>
        <v>4.5219999999999629</v>
      </c>
    </row>
    <row r="904" spans="1:28">
      <c r="A904" s="1">
        <v>903</v>
      </c>
      <c r="B904" s="1" t="s">
        <v>2283</v>
      </c>
      <c r="C904" s="2">
        <v>43358</v>
      </c>
      <c r="D904" s="6" t="str">
        <f t="shared" si="780"/>
        <v>Sep</v>
      </c>
      <c r="E904" s="6" t="str">
        <f t="shared" si="781"/>
        <v>Qtr 3</v>
      </c>
      <c r="F904" s="5" t="s">
        <v>280</v>
      </c>
      <c r="G904" s="1" t="s">
        <v>162</v>
      </c>
      <c r="H904" s="1" t="s">
        <v>533</v>
      </c>
      <c r="I904" s="1" t="s">
        <v>534</v>
      </c>
      <c r="J904" s="1" t="str">
        <f ca="1">IFERROR(__xludf.DUMMYFUNCTION("split(I904,"" "")"),"Dave")</f>
        <v>Dave</v>
      </c>
      <c r="K904" s="1" t="str">
        <f ca="1">IFERROR(__xludf.DUMMYFUNCTION("""COMPUTED_VALUE"""),"Brooks")</f>
        <v>Brooks</v>
      </c>
      <c r="L904" s="1"/>
      <c r="M904" s="1" t="s">
        <v>29</v>
      </c>
      <c r="N904" s="1" t="s">
        <v>30</v>
      </c>
      <c r="O904" s="1" t="s">
        <v>259</v>
      </c>
      <c r="P904" s="1" t="str">
        <f t="shared" si="782"/>
        <v>Chicago</v>
      </c>
      <c r="Q904" s="1" t="s">
        <v>182</v>
      </c>
      <c r="R904" s="1" t="str">
        <f t="shared" si="783"/>
        <v>Illinois</v>
      </c>
      <c r="S904" s="1">
        <v>60653</v>
      </c>
      <c r="T904" s="1" t="s">
        <v>90</v>
      </c>
      <c r="U904" s="1" t="s">
        <v>542</v>
      </c>
      <c r="V904" s="1" t="s">
        <v>64</v>
      </c>
      <c r="W904" s="7">
        <v>323.976</v>
      </c>
      <c r="X904" s="1">
        <v>6</v>
      </c>
      <c r="Y904" s="7">
        <v>323.14</v>
      </c>
      <c r="Z904" s="7">
        <f t="shared" ref="Z904:AA904" si="922">W904*X904</f>
        <v>1943.856</v>
      </c>
      <c r="AA904" s="7">
        <f t="shared" si="922"/>
        <v>1938.84</v>
      </c>
      <c r="AB904" s="7">
        <f t="shared" si="785"/>
        <v>5.0160000000000764</v>
      </c>
    </row>
    <row r="905" spans="1:28">
      <c r="A905" s="1">
        <v>904</v>
      </c>
      <c r="B905" s="1" t="s">
        <v>2284</v>
      </c>
      <c r="C905" s="2">
        <v>42951</v>
      </c>
      <c r="D905" s="6" t="str">
        <f t="shared" si="780"/>
        <v>Aug</v>
      </c>
      <c r="E905" s="6" t="str">
        <f t="shared" si="781"/>
        <v>Qtr 3</v>
      </c>
      <c r="F905" s="5">
        <v>43073</v>
      </c>
      <c r="G905" s="1" t="s">
        <v>49</v>
      </c>
      <c r="H905" s="1" t="s">
        <v>675</v>
      </c>
      <c r="I905" s="1" t="s">
        <v>676</v>
      </c>
      <c r="J905" s="1" t="str">
        <f ca="1">IFERROR(__xludf.DUMMYFUNCTION("split(I905,"" "")"),"Logan")</f>
        <v>Logan</v>
      </c>
      <c r="K905" s="1" t="str">
        <f ca="1">IFERROR(__xludf.DUMMYFUNCTION("""COMPUTED_VALUE"""),"Currie")</f>
        <v>Currie</v>
      </c>
      <c r="L905" s="1"/>
      <c r="M905" s="1" t="s">
        <v>29</v>
      </c>
      <c r="N905" s="1" t="s">
        <v>30</v>
      </c>
      <c r="O905" s="1" t="s">
        <v>42</v>
      </c>
      <c r="P905" s="1" t="str">
        <f t="shared" si="782"/>
        <v>Los Angeles</v>
      </c>
      <c r="Q905" s="1" t="s">
        <v>68</v>
      </c>
      <c r="R905" s="1" t="str">
        <f t="shared" si="783"/>
        <v>California</v>
      </c>
      <c r="S905" s="1">
        <v>90032</v>
      </c>
      <c r="T905" s="1" t="s">
        <v>44</v>
      </c>
      <c r="U905" s="1" t="s">
        <v>2285</v>
      </c>
      <c r="V905" s="1" t="s">
        <v>46</v>
      </c>
      <c r="W905" s="7">
        <v>20.04</v>
      </c>
      <c r="X905" s="1">
        <v>9</v>
      </c>
      <c r="Y905" s="7">
        <v>19.88</v>
      </c>
      <c r="Z905" s="7">
        <f t="shared" ref="Z905:AA905" si="923">W905*X905</f>
        <v>180.35999999999999</v>
      </c>
      <c r="AA905" s="7">
        <f t="shared" si="923"/>
        <v>178.92</v>
      </c>
      <c r="AB905" s="7">
        <f t="shared" si="785"/>
        <v>1.4399999999999977</v>
      </c>
    </row>
    <row r="906" spans="1:28">
      <c r="A906" s="1">
        <v>905</v>
      </c>
      <c r="B906" s="1" t="s">
        <v>2284</v>
      </c>
      <c r="C906" s="2">
        <v>42951</v>
      </c>
      <c r="D906" s="6" t="str">
        <f t="shared" si="780"/>
        <v>Aug</v>
      </c>
      <c r="E906" s="6" t="str">
        <f t="shared" si="781"/>
        <v>Qtr 3</v>
      </c>
      <c r="F906" s="5">
        <v>43073</v>
      </c>
      <c r="G906" s="1" t="s">
        <v>49</v>
      </c>
      <c r="H906" s="1" t="s">
        <v>675</v>
      </c>
      <c r="I906" s="1" t="s">
        <v>676</v>
      </c>
      <c r="J906" s="1" t="str">
        <f ca="1">IFERROR(__xludf.DUMMYFUNCTION("split(I906,"" "")"),"Logan")</f>
        <v>Logan</v>
      </c>
      <c r="K906" s="1" t="str">
        <f ca="1">IFERROR(__xludf.DUMMYFUNCTION("""COMPUTED_VALUE"""),"Currie")</f>
        <v>Currie</v>
      </c>
      <c r="L906" s="1"/>
      <c r="M906" s="1" t="s">
        <v>29</v>
      </c>
      <c r="N906" s="1" t="s">
        <v>30</v>
      </c>
      <c r="O906" s="1" t="s">
        <v>42</v>
      </c>
      <c r="P906" s="1" t="str">
        <f t="shared" si="782"/>
        <v>Los Angeles</v>
      </c>
      <c r="Q906" s="1" t="s">
        <v>68</v>
      </c>
      <c r="R906" s="1" t="str">
        <f t="shared" si="783"/>
        <v>California</v>
      </c>
      <c r="S906" s="1">
        <v>90032</v>
      </c>
      <c r="T906" s="1" t="s">
        <v>44</v>
      </c>
      <c r="U906" s="1" t="s">
        <v>1810</v>
      </c>
      <c r="V906" s="1" t="s">
        <v>46</v>
      </c>
      <c r="W906" s="7">
        <v>64.959999999999994</v>
      </c>
      <c r="X906" s="1">
        <v>9</v>
      </c>
      <c r="Y906" s="7">
        <v>64.81</v>
      </c>
      <c r="Z906" s="7">
        <f t="shared" ref="Z906:AA906" si="924">W906*X906</f>
        <v>584.64</v>
      </c>
      <c r="AA906" s="7">
        <f t="shared" si="924"/>
        <v>583.29</v>
      </c>
      <c r="AB906" s="7">
        <f t="shared" si="785"/>
        <v>1.3500000000000227</v>
      </c>
    </row>
    <row r="907" spans="1:28">
      <c r="A907" s="1">
        <v>906</v>
      </c>
      <c r="B907" s="1" t="s">
        <v>2284</v>
      </c>
      <c r="C907" s="2">
        <v>42951</v>
      </c>
      <c r="D907" s="6" t="str">
        <f t="shared" si="780"/>
        <v>Aug</v>
      </c>
      <c r="E907" s="6" t="str">
        <f t="shared" si="781"/>
        <v>Qtr 3</v>
      </c>
      <c r="F907" s="5">
        <v>43073</v>
      </c>
      <c r="G907" s="1" t="s">
        <v>49</v>
      </c>
      <c r="H907" s="1" t="s">
        <v>675</v>
      </c>
      <c r="I907" s="1" t="s">
        <v>676</v>
      </c>
      <c r="J907" s="1" t="str">
        <f ca="1">IFERROR(__xludf.DUMMYFUNCTION("split(I907,"" "")"),"Logan")</f>
        <v>Logan</v>
      </c>
      <c r="K907" s="1" t="str">
        <f ca="1">IFERROR(__xludf.DUMMYFUNCTION("""COMPUTED_VALUE"""),"Currie")</f>
        <v>Currie</v>
      </c>
      <c r="L907" s="1"/>
      <c r="M907" s="1" t="s">
        <v>29</v>
      </c>
      <c r="N907" s="1" t="s">
        <v>30</v>
      </c>
      <c r="O907" s="1" t="s">
        <v>42</v>
      </c>
      <c r="P907" s="1" t="str">
        <f t="shared" si="782"/>
        <v>Los Angeles</v>
      </c>
      <c r="Q907" s="1" t="s">
        <v>68</v>
      </c>
      <c r="R907" s="1" t="str">
        <f t="shared" si="783"/>
        <v>California</v>
      </c>
      <c r="S907" s="1">
        <v>90032</v>
      </c>
      <c r="T907" s="1" t="s">
        <v>44</v>
      </c>
      <c r="U907" s="1" t="s">
        <v>2286</v>
      </c>
      <c r="V907" s="1" t="s">
        <v>46</v>
      </c>
      <c r="W907" s="7">
        <v>12.96</v>
      </c>
      <c r="X907" s="1">
        <v>9</v>
      </c>
      <c r="Y907" s="7">
        <v>12.63</v>
      </c>
      <c r="Z907" s="7">
        <f t="shared" ref="Z907:AA907" si="925">W907*X907</f>
        <v>116.64000000000001</v>
      </c>
      <c r="AA907" s="7">
        <f t="shared" si="925"/>
        <v>113.67</v>
      </c>
      <c r="AB907" s="7">
        <f t="shared" si="785"/>
        <v>2.9700000000000131</v>
      </c>
    </row>
    <row r="908" spans="1:28">
      <c r="A908" s="1">
        <v>907</v>
      </c>
      <c r="B908" s="1" t="s">
        <v>2287</v>
      </c>
      <c r="C908" s="2">
        <v>43464</v>
      </c>
      <c r="D908" s="6" t="str">
        <f t="shared" si="780"/>
        <v>Dec</v>
      </c>
      <c r="E908" s="6" t="str">
        <f t="shared" si="781"/>
        <v>Qtr 4</v>
      </c>
      <c r="F908" s="5">
        <v>43525</v>
      </c>
      <c r="G908" s="1" t="s">
        <v>49</v>
      </c>
      <c r="H908" s="1" t="s">
        <v>206</v>
      </c>
      <c r="I908" s="1" t="s">
        <v>207</v>
      </c>
      <c r="J908" s="1" t="str">
        <f ca="1">IFERROR(__xludf.DUMMYFUNCTION("split(I908,"" "")"),"Patrick")</f>
        <v>Patrick</v>
      </c>
      <c r="K908" s="1" t="str">
        <f ca="1">IFERROR(__xludf.DUMMYFUNCTION("""COMPUTED_VALUE"""),"O'Donnell")</f>
        <v>O'Donnell</v>
      </c>
      <c r="L908" s="1"/>
      <c r="M908" s="1" t="s">
        <v>29</v>
      </c>
      <c r="N908" s="1" t="s">
        <v>30</v>
      </c>
      <c r="O908" s="1" t="s">
        <v>233</v>
      </c>
      <c r="P908" s="1" t="str">
        <f t="shared" si="782"/>
        <v>New York City</v>
      </c>
      <c r="Q908" s="1" t="s">
        <v>234</v>
      </c>
      <c r="R908" s="1" t="str">
        <f t="shared" si="783"/>
        <v>New York</v>
      </c>
      <c r="S908" s="1">
        <v>10009</v>
      </c>
      <c r="T908" s="1" t="s">
        <v>128</v>
      </c>
      <c r="U908" s="1" t="s">
        <v>2288</v>
      </c>
      <c r="V908" s="1" t="s">
        <v>35</v>
      </c>
      <c r="W908" s="7">
        <v>323.13600000000002</v>
      </c>
      <c r="X908" s="1">
        <v>1</v>
      </c>
      <c r="Y908" s="7">
        <v>322.23</v>
      </c>
      <c r="Z908" s="7">
        <f t="shared" ref="Z908:AA908" si="926">W908*X908</f>
        <v>323.13600000000002</v>
      </c>
      <c r="AA908" s="7">
        <f t="shared" si="926"/>
        <v>322.23</v>
      </c>
      <c r="AB908" s="7">
        <f t="shared" si="785"/>
        <v>0.90600000000000591</v>
      </c>
    </row>
    <row r="909" spans="1:28">
      <c r="A909" s="1">
        <v>908</v>
      </c>
      <c r="B909" s="1" t="s">
        <v>2287</v>
      </c>
      <c r="C909" s="2">
        <v>43464</v>
      </c>
      <c r="D909" s="6" t="str">
        <f t="shared" si="780"/>
        <v>Dec</v>
      </c>
      <c r="E909" s="6" t="str">
        <f t="shared" si="781"/>
        <v>Qtr 4</v>
      </c>
      <c r="F909" s="5">
        <v>43525</v>
      </c>
      <c r="G909" s="1" t="s">
        <v>49</v>
      </c>
      <c r="H909" s="1" t="s">
        <v>206</v>
      </c>
      <c r="I909" s="1" t="s">
        <v>207</v>
      </c>
      <c r="J909" s="1" t="str">
        <f ca="1">IFERROR(__xludf.DUMMYFUNCTION("split(I909,"" "")"),"Patrick")</f>
        <v>Patrick</v>
      </c>
      <c r="K909" s="1" t="str">
        <f ca="1">IFERROR(__xludf.DUMMYFUNCTION("""COMPUTED_VALUE"""),"O'Donnell")</f>
        <v>O'Donnell</v>
      </c>
      <c r="L909" s="1"/>
      <c r="M909" s="1" t="s">
        <v>29</v>
      </c>
      <c r="N909" s="1" t="s">
        <v>30</v>
      </c>
      <c r="O909" s="1" t="s">
        <v>233</v>
      </c>
      <c r="P909" s="1" t="str">
        <f t="shared" si="782"/>
        <v>New York City</v>
      </c>
      <c r="Q909" s="1" t="s">
        <v>234</v>
      </c>
      <c r="R909" s="1" t="str">
        <f t="shared" si="783"/>
        <v>New York</v>
      </c>
      <c r="S909" s="1">
        <v>10009</v>
      </c>
      <c r="T909" s="1" t="s">
        <v>128</v>
      </c>
      <c r="U909" s="1" t="s">
        <v>2289</v>
      </c>
      <c r="V909" s="1" t="s">
        <v>64</v>
      </c>
      <c r="W909" s="7">
        <v>90.93</v>
      </c>
      <c r="X909" s="1">
        <v>1</v>
      </c>
      <c r="Y909" s="7">
        <v>90.18</v>
      </c>
      <c r="Z909" s="7">
        <f t="shared" ref="Z909:AA909" si="927">W909*X909</f>
        <v>90.93</v>
      </c>
      <c r="AA909" s="7">
        <f t="shared" si="927"/>
        <v>90.18</v>
      </c>
      <c r="AB909" s="7">
        <f t="shared" si="785"/>
        <v>0.75</v>
      </c>
    </row>
    <row r="910" spans="1:28">
      <c r="A910" s="1">
        <v>909</v>
      </c>
      <c r="B910" s="1" t="s">
        <v>2287</v>
      </c>
      <c r="C910" s="2">
        <v>43464</v>
      </c>
      <c r="D910" s="6" t="str">
        <f t="shared" si="780"/>
        <v>Dec</v>
      </c>
      <c r="E910" s="6" t="str">
        <f t="shared" si="781"/>
        <v>Qtr 4</v>
      </c>
      <c r="F910" s="5">
        <v>43525</v>
      </c>
      <c r="G910" s="1" t="s">
        <v>49</v>
      </c>
      <c r="H910" s="1" t="s">
        <v>206</v>
      </c>
      <c r="I910" s="1" t="s">
        <v>207</v>
      </c>
      <c r="J910" s="1" t="str">
        <f ca="1">IFERROR(__xludf.DUMMYFUNCTION("split(I910,"" "")"),"Patrick")</f>
        <v>Patrick</v>
      </c>
      <c r="K910" s="1" t="str">
        <f ca="1">IFERROR(__xludf.DUMMYFUNCTION("""COMPUTED_VALUE"""),"O'Donnell")</f>
        <v>O'Donnell</v>
      </c>
      <c r="L910" s="1"/>
      <c r="M910" s="1" t="s">
        <v>29</v>
      </c>
      <c r="N910" s="1" t="s">
        <v>30</v>
      </c>
      <c r="O910" s="1" t="s">
        <v>233</v>
      </c>
      <c r="P910" s="1" t="str">
        <f t="shared" si="782"/>
        <v>New York City</v>
      </c>
      <c r="Q910" s="1" t="s">
        <v>234</v>
      </c>
      <c r="R910" s="1" t="str">
        <f t="shared" si="783"/>
        <v>New York</v>
      </c>
      <c r="S910" s="1">
        <v>10009</v>
      </c>
      <c r="T910" s="1" t="s">
        <v>128</v>
      </c>
      <c r="U910" s="1" t="s">
        <v>2290</v>
      </c>
      <c r="V910" s="1" t="s">
        <v>46</v>
      </c>
      <c r="W910" s="7">
        <v>52.776000000000003</v>
      </c>
      <c r="X910" s="1">
        <v>1</v>
      </c>
      <c r="Y910" s="7">
        <v>52.06</v>
      </c>
      <c r="Z910" s="7">
        <f t="shared" ref="Z910:AA910" si="928">W910*X910</f>
        <v>52.776000000000003</v>
      </c>
      <c r="AA910" s="7">
        <f t="shared" si="928"/>
        <v>52.06</v>
      </c>
      <c r="AB910" s="7">
        <f t="shared" si="785"/>
        <v>0.71600000000000108</v>
      </c>
    </row>
    <row r="911" spans="1:28">
      <c r="A911" s="1">
        <v>910</v>
      </c>
      <c r="B911" s="1" t="s">
        <v>2291</v>
      </c>
      <c r="C911" s="2">
        <v>43140</v>
      </c>
      <c r="D911" s="6" t="str">
        <f t="shared" si="780"/>
        <v>Feb</v>
      </c>
      <c r="E911" s="6" t="str">
        <f t="shared" si="781"/>
        <v>Qtr 1</v>
      </c>
      <c r="F911" s="5">
        <v>43290</v>
      </c>
      <c r="G911" s="1" t="s">
        <v>49</v>
      </c>
      <c r="H911" s="1" t="s">
        <v>2292</v>
      </c>
      <c r="I911" s="1" t="s">
        <v>2293</v>
      </c>
      <c r="J911" s="1" t="str">
        <f ca="1">IFERROR(__xludf.DUMMYFUNCTION("split(I911,"" "")"),"Bill")</f>
        <v>Bill</v>
      </c>
      <c r="K911" s="1" t="str">
        <f ca="1">IFERROR(__xludf.DUMMYFUNCTION("""COMPUTED_VALUE"""),"Eplett")</f>
        <v>Eplett</v>
      </c>
      <c r="L911" s="1"/>
      <c r="M911" s="1" t="s">
        <v>87</v>
      </c>
      <c r="N911" s="1" t="s">
        <v>30</v>
      </c>
      <c r="O911" s="1" t="s">
        <v>281</v>
      </c>
      <c r="P911" s="1" t="str">
        <f t="shared" si="782"/>
        <v>Jackson</v>
      </c>
      <c r="Q911" s="1" t="s">
        <v>209</v>
      </c>
      <c r="R911" s="1" t="str">
        <f t="shared" si="783"/>
        <v>Michigan</v>
      </c>
      <c r="S911" s="1">
        <v>49201</v>
      </c>
      <c r="T911" s="1" t="s">
        <v>90</v>
      </c>
      <c r="U911" s="1" t="s">
        <v>2294</v>
      </c>
      <c r="V911" s="1" t="s">
        <v>64</v>
      </c>
      <c r="W911" s="7">
        <v>1199.8</v>
      </c>
      <c r="X911" s="1">
        <v>4</v>
      </c>
      <c r="Y911" s="7">
        <v>1199.52</v>
      </c>
      <c r="Z911" s="7">
        <f t="shared" ref="Z911:AA911" si="929">W911*X911</f>
        <v>4799.2</v>
      </c>
      <c r="AA911" s="7">
        <f t="shared" si="929"/>
        <v>4798.08</v>
      </c>
      <c r="AB911" s="7">
        <f t="shared" si="785"/>
        <v>1.1199999999998909</v>
      </c>
    </row>
    <row r="912" spans="1:28">
      <c r="A912" s="1">
        <v>911</v>
      </c>
      <c r="B912" s="1" t="s">
        <v>2291</v>
      </c>
      <c r="C912" s="2">
        <v>43140</v>
      </c>
      <c r="D912" s="6" t="str">
        <f t="shared" si="780"/>
        <v>Feb</v>
      </c>
      <c r="E912" s="6" t="str">
        <f t="shared" si="781"/>
        <v>Qtr 1</v>
      </c>
      <c r="F912" s="5">
        <v>43290</v>
      </c>
      <c r="G912" s="1" t="s">
        <v>49</v>
      </c>
      <c r="H912" s="1" t="s">
        <v>2292</v>
      </c>
      <c r="I912" s="1" t="s">
        <v>2293</v>
      </c>
      <c r="J912" s="1" t="str">
        <f ca="1">IFERROR(__xludf.DUMMYFUNCTION("split(I912,"" "")"),"Bill")</f>
        <v>Bill</v>
      </c>
      <c r="K912" s="1" t="str">
        <f ca="1">IFERROR(__xludf.DUMMYFUNCTION("""COMPUTED_VALUE"""),"Eplett")</f>
        <v>Eplett</v>
      </c>
      <c r="L912" s="1"/>
      <c r="M912" s="1" t="s">
        <v>87</v>
      </c>
      <c r="N912" s="1" t="s">
        <v>30</v>
      </c>
      <c r="O912" s="1" t="s">
        <v>281</v>
      </c>
      <c r="P912" s="1" t="str">
        <f t="shared" si="782"/>
        <v>Jackson</v>
      </c>
      <c r="Q912" s="1" t="s">
        <v>209</v>
      </c>
      <c r="R912" s="1" t="str">
        <f t="shared" si="783"/>
        <v>Michigan</v>
      </c>
      <c r="S912" s="1">
        <v>49201</v>
      </c>
      <c r="T912" s="1" t="s">
        <v>90</v>
      </c>
      <c r="U912" s="1" t="s">
        <v>2295</v>
      </c>
      <c r="V912" s="1" t="s">
        <v>64</v>
      </c>
      <c r="W912" s="7">
        <v>1928.78</v>
      </c>
      <c r="X912" s="1">
        <v>4</v>
      </c>
      <c r="Y912" s="7">
        <v>1928.37</v>
      </c>
      <c r="Z912" s="7">
        <f t="shared" ref="Z912:AA912" si="930">W912*X912</f>
        <v>7715.12</v>
      </c>
      <c r="AA912" s="7">
        <f t="shared" si="930"/>
        <v>7713.48</v>
      </c>
      <c r="AB912" s="7">
        <f t="shared" si="785"/>
        <v>1.6400000000003274</v>
      </c>
    </row>
    <row r="913" spans="1:28">
      <c r="A913" s="1">
        <v>912</v>
      </c>
      <c r="B913" s="1" t="s">
        <v>2291</v>
      </c>
      <c r="C913" s="2">
        <v>43140</v>
      </c>
      <c r="D913" s="6" t="str">
        <f t="shared" si="780"/>
        <v>Feb</v>
      </c>
      <c r="E913" s="6" t="str">
        <f t="shared" si="781"/>
        <v>Qtr 1</v>
      </c>
      <c r="F913" s="5">
        <v>43290</v>
      </c>
      <c r="G913" s="1" t="s">
        <v>49</v>
      </c>
      <c r="H913" s="1" t="s">
        <v>2292</v>
      </c>
      <c r="I913" s="1" t="s">
        <v>2293</v>
      </c>
      <c r="J913" s="1" t="str">
        <f ca="1">IFERROR(__xludf.DUMMYFUNCTION("split(I913,"" "")"),"Bill")</f>
        <v>Bill</v>
      </c>
      <c r="K913" s="1" t="str">
        <f ca="1">IFERROR(__xludf.DUMMYFUNCTION("""COMPUTED_VALUE"""),"Eplett")</f>
        <v>Eplett</v>
      </c>
      <c r="L913" s="1"/>
      <c r="M913" s="1" t="s">
        <v>87</v>
      </c>
      <c r="N913" s="1" t="s">
        <v>30</v>
      </c>
      <c r="O913" s="1" t="s">
        <v>281</v>
      </c>
      <c r="P913" s="1" t="str">
        <f t="shared" si="782"/>
        <v>Jackson</v>
      </c>
      <c r="Q913" s="1" t="s">
        <v>209</v>
      </c>
      <c r="R913" s="1" t="str">
        <f t="shared" si="783"/>
        <v>Michigan</v>
      </c>
      <c r="S913" s="1">
        <v>49201</v>
      </c>
      <c r="T913" s="1" t="s">
        <v>90</v>
      </c>
      <c r="U913" s="1" t="s">
        <v>2296</v>
      </c>
      <c r="V913" s="1" t="s">
        <v>46</v>
      </c>
      <c r="W913" s="7">
        <v>352.38</v>
      </c>
      <c r="X913" s="1">
        <v>4</v>
      </c>
      <c r="Y913" s="7">
        <v>352.29</v>
      </c>
      <c r="Z913" s="7">
        <f t="shared" ref="Z913:AA913" si="931">W913*X913</f>
        <v>1409.52</v>
      </c>
      <c r="AA913" s="7">
        <f t="shared" si="931"/>
        <v>1409.16</v>
      </c>
      <c r="AB913" s="7">
        <f t="shared" si="785"/>
        <v>0.35999999999989996</v>
      </c>
    </row>
    <row r="914" spans="1:28">
      <c r="A914" s="1">
        <v>913</v>
      </c>
      <c r="B914" s="1" t="s">
        <v>2297</v>
      </c>
      <c r="C914" s="2">
        <v>42521</v>
      </c>
      <c r="D914" s="6" t="str">
        <f t="shared" si="780"/>
        <v>May</v>
      </c>
      <c r="E914" s="6" t="str">
        <f t="shared" si="781"/>
        <v>Qtr 2</v>
      </c>
      <c r="F914" s="5">
        <v>42557</v>
      </c>
      <c r="G914" s="1" t="s">
        <v>49</v>
      </c>
      <c r="H914" s="1" t="s">
        <v>2298</v>
      </c>
      <c r="I914" s="1" t="s">
        <v>2299</v>
      </c>
      <c r="J914" s="1" t="str">
        <f ca="1">IFERROR(__xludf.DUMMYFUNCTION("split(I914,"" "")"),"Sample")</f>
        <v>Sample</v>
      </c>
      <c r="K914" s="1" t="str">
        <f ca="1">IFERROR(__xludf.DUMMYFUNCTION("""COMPUTED_VALUE"""),"Company")</f>
        <v>Company</v>
      </c>
      <c r="L914" s="1" t="str">
        <f ca="1">IFERROR(__xludf.DUMMYFUNCTION("""COMPUTED_VALUE"""),"A")</f>
        <v>A</v>
      </c>
      <c r="M914" s="1" t="s">
        <v>87</v>
      </c>
      <c r="N914" s="1" t="s">
        <v>30</v>
      </c>
      <c r="O914" s="1" t="s">
        <v>2300</v>
      </c>
      <c r="P914" s="1" t="str">
        <f t="shared" si="782"/>
        <v>Norwich</v>
      </c>
      <c r="Q914" s="1" t="s">
        <v>617</v>
      </c>
      <c r="R914" s="1" t="str">
        <f t="shared" si="783"/>
        <v>Connecticut</v>
      </c>
      <c r="S914" s="1">
        <v>6360</v>
      </c>
      <c r="T914" s="1" t="s">
        <v>128</v>
      </c>
      <c r="U914" s="1" t="s">
        <v>1107</v>
      </c>
      <c r="V914" s="1" t="s">
        <v>35</v>
      </c>
      <c r="W914" s="7">
        <v>22.2</v>
      </c>
      <c r="X914" s="1">
        <v>6</v>
      </c>
      <c r="Y914" s="7">
        <v>21.9</v>
      </c>
      <c r="Z914" s="7">
        <f t="shared" ref="Z914:AA914" si="932">W914*X914</f>
        <v>133.19999999999999</v>
      </c>
      <c r="AA914" s="7">
        <f t="shared" si="932"/>
        <v>131.39999999999998</v>
      </c>
      <c r="AB914" s="7">
        <f t="shared" si="785"/>
        <v>1.8000000000000114</v>
      </c>
    </row>
    <row r="915" spans="1:28">
      <c r="A915" s="1">
        <v>914</v>
      </c>
      <c r="B915" s="1" t="s">
        <v>2301</v>
      </c>
      <c r="C915" s="2">
        <v>43431</v>
      </c>
      <c r="D915" s="6" t="str">
        <f t="shared" si="780"/>
        <v>Nov</v>
      </c>
      <c r="E915" s="6" t="str">
        <f t="shared" si="781"/>
        <v>Qtr 4</v>
      </c>
      <c r="F915" s="5" t="s">
        <v>2302</v>
      </c>
      <c r="G915" s="1" t="s">
        <v>162</v>
      </c>
      <c r="H915" s="1" t="s">
        <v>2136</v>
      </c>
      <c r="I915" s="1" t="s">
        <v>2137</v>
      </c>
      <c r="J915" s="1" t="str">
        <f ca="1">IFERROR(__xludf.DUMMYFUNCTION("split(I915,"" "")"),"Brian")</f>
        <v>Brian</v>
      </c>
      <c r="K915" s="1" t="str">
        <f ca="1">IFERROR(__xludf.DUMMYFUNCTION("""COMPUTED_VALUE"""),"Moss")</f>
        <v>Moss</v>
      </c>
      <c r="L915" s="1"/>
      <c r="M915" s="1" t="s">
        <v>41</v>
      </c>
      <c r="N915" s="1" t="s">
        <v>30</v>
      </c>
      <c r="O915" s="1" t="s">
        <v>2093</v>
      </c>
      <c r="P915" s="1" t="str">
        <f t="shared" si="782"/>
        <v>Milwaukee</v>
      </c>
      <c r="Q915" s="1" t="s">
        <v>98</v>
      </c>
      <c r="R915" s="1" t="str">
        <f t="shared" si="783"/>
        <v>Wisconsin</v>
      </c>
      <c r="S915" s="1">
        <v>53209</v>
      </c>
      <c r="T915" s="1" t="s">
        <v>90</v>
      </c>
      <c r="U915" s="1" t="s">
        <v>885</v>
      </c>
      <c r="V915" s="1" t="s">
        <v>35</v>
      </c>
      <c r="W915" s="7">
        <v>46.94</v>
      </c>
      <c r="X915" s="1">
        <v>5</v>
      </c>
      <c r="Y915" s="7">
        <v>46.19</v>
      </c>
      <c r="Z915" s="7">
        <f t="shared" ref="Z915:AA915" si="933">W915*X915</f>
        <v>234.7</v>
      </c>
      <c r="AA915" s="7">
        <f t="shared" si="933"/>
        <v>230.95</v>
      </c>
      <c r="AB915" s="7">
        <f t="shared" si="785"/>
        <v>3.75</v>
      </c>
    </row>
    <row r="916" spans="1:28">
      <c r="A916" s="1">
        <v>915</v>
      </c>
      <c r="B916" s="1" t="s">
        <v>2301</v>
      </c>
      <c r="C916" s="2">
        <v>43431</v>
      </c>
      <c r="D916" s="6" t="str">
        <f t="shared" si="780"/>
        <v>Nov</v>
      </c>
      <c r="E916" s="6" t="str">
        <f t="shared" si="781"/>
        <v>Qtr 4</v>
      </c>
      <c r="F916" s="5" t="s">
        <v>2302</v>
      </c>
      <c r="G916" s="1" t="s">
        <v>162</v>
      </c>
      <c r="H916" s="1" t="s">
        <v>2136</v>
      </c>
      <c r="I916" s="1" t="s">
        <v>2137</v>
      </c>
      <c r="J916" s="1" t="str">
        <f ca="1">IFERROR(__xludf.DUMMYFUNCTION("split(I916,"" "")"),"Brian")</f>
        <v>Brian</v>
      </c>
      <c r="K916" s="1" t="str">
        <f ca="1">IFERROR(__xludf.DUMMYFUNCTION("""COMPUTED_VALUE"""),"Moss")</f>
        <v>Moss</v>
      </c>
      <c r="L916" s="1"/>
      <c r="M916" s="1" t="s">
        <v>41</v>
      </c>
      <c r="N916" s="1" t="s">
        <v>30</v>
      </c>
      <c r="O916" s="1" t="s">
        <v>2093</v>
      </c>
      <c r="P916" s="1" t="str">
        <f t="shared" si="782"/>
        <v>Milwaukee</v>
      </c>
      <c r="Q916" s="1" t="s">
        <v>98</v>
      </c>
      <c r="R916" s="1" t="str">
        <f t="shared" si="783"/>
        <v>Wisconsin</v>
      </c>
      <c r="S916" s="1">
        <v>53209</v>
      </c>
      <c r="T916" s="1" t="s">
        <v>90</v>
      </c>
      <c r="U916" s="1" t="s">
        <v>1286</v>
      </c>
      <c r="V916" s="1" t="s">
        <v>64</v>
      </c>
      <c r="W916" s="7">
        <v>143.72999999999999</v>
      </c>
      <c r="X916" s="1">
        <v>5</v>
      </c>
      <c r="Y916" s="7">
        <v>143.66999999999999</v>
      </c>
      <c r="Z916" s="7">
        <f t="shared" ref="Z916:AA916" si="934">W916*X916</f>
        <v>718.65</v>
      </c>
      <c r="AA916" s="7">
        <f t="shared" si="934"/>
        <v>718.34999999999991</v>
      </c>
      <c r="AB916" s="7">
        <f t="shared" si="785"/>
        <v>0.30000000000006821</v>
      </c>
    </row>
    <row r="917" spans="1:28">
      <c r="A917" s="1">
        <v>916</v>
      </c>
      <c r="B917" s="1" t="s">
        <v>2303</v>
      </c>
      <c r="C917" s="2">
        <v>42170</v>
      </c>
      <c r="D917" s="6" t="str">
        <f t="shared" si="780"/>
        <v>Jun</v>
      </c>
      <c r="E917" s="6" t="str">
        <f t="shared" si="781"/>
        <v>Qtr 2</v>
      </c>
      <c r="F917" s="5" t="s">
        <v>2304</v>
      </c>
      <c r="G917" s="1" t="s">
        <v>49</v>
      </c>
      <c r="H917" s="1" t="s">
        <v>882</v>
      </c>
      <c r="I917" s="1" t="s">
        <v>883</v>
      </c>
      <c r="J917" s="1" t="str">
        <f ca="1">IFERROR(__xludf.DUMMYFUNCTION("split(I917,"" "")"),"Kelly")</f>
        <v>Kelly</v>
      </c>
      <c r="K917" s="1" t="str">
        <f ca="1">IFERROR(__xludf.DUMMYFUNCTION("""COMPUTED_VALUE"""),"Lampkin")</f>
        <v>Lampkin</v>
      </c>
      <c r="L917" s="1"/>
      <c r="M917" s="1" t="s">
        <v>41</v>
      </c>
      <c r="N917" s="1" t="s">
        <v>30</v>
      </c>
      <c r="O917" s="1" t="s">
        <v>565</v>
      </c>
      <c r="P917" s="1" t="str">
        <f t="shared" si="782"/>
        <v>San Antonio</v>
      </c>
      <c r="Q917" s="1" t="s">
        <v>89</v>
      </c>
      <c r="R917" s="1" t="str">
        <f t="shared" si="783"/>
        <v>Texas</v>
      </c>
      <c r="S917" s="1">
        <v>78207</v>
      </c>
      <c r="T917" s="1" t="s">
        <v>90</v>
      </c>
      <c r="U917" s="1" t="s">
        <v>2305</v>
      </c>
      <c r="V917" s="1" t="s">
        <v>35</v>
      </c>
      <c r="W917" s="7">
        <v>99.918000000000006</v>
      </c>
      <c r="X917" s="1">
        <v>7</v>
      </c>
      <c r="Y917" s="7">
        <v>99.41</v>
      </c>
      <c r="Z917" s="7">
        <f t="shared" ref="Z917:AA917" si="935">W917*X917</f>
        <v>699.42600000000004</v>
      </c>
      <c r="AA917" s="7">
        <f t="shared" si="935"/>
        <v>695.87</v>
      </c>
      <c r="AB917" s="7">
        <f t="shared" si="785"/>
        <v>3.55600000000004</v>
      </c>
    </row>
    <row r="918" spans="1:28">
      <c r="A918" s="1">
        <v>917</v>
      </c>
      <c r="B918" s="1" t="s">
        <v>2303</v>
      </c>
      <c r="C918" s="2">
        <v>42170</v>
      </c>
      <c r="D918" s="6" t="str">
        <f t="shared" si="780"/>
        <v>Jun</v>
      </c>
      <c r="E918" s="6" t="str">
        <f t="shared" si="781"/>
        <v>Qtr 2</v>
      </c>
      <c r="F918" s="5" t="s">
        <v>2304</v>
      </c>
      <c r="G918" s="1" t="s">
        <v>49</v>
      </c>
      <c r="H918" s="1" t="s">
        <v>882</v>
      </c>
      <c r="I918" s="1" t="s">
        <v>883</v>
      </c>
      <c r="J918" s="1" t="str">
        <f ca="1">IFERROR(__xludf.DUMMYFUNCTION("split(I918,"" "")"),"Kelly")</f>
        <v>Kelly</v>
      </c>
      <c r="K918" s="1" t="str">
        <f ca="1">IFERROR(__xludf.DUMMYFUNCTION("""COMPUTED_VALUE"""),"Lampkin")</f>
        <v>Lampkin</v>
      </c>
      <c r="L918" s="1"/>
      <c r="M918" s="1" t="s">
        <v>41</v>
      </c>
      <c r="N918" s="1" t="s">
        <v>30</v>
      </c>
      <c r="O918" s="1" t="s">
        <v>565</v>
      </c>
      <c r="P918" s="1" t="str">
        <f t="shared" si="782"/>
        <v>San Antonio</v>
      </c>
      <c r="Q918" s="1" t="s">
        <v>89</v>
      </c>
      <c r="R918" s="1" t="str">
        <f t="shared" si="783"/>
        <v>Texas</v>
      </c>
      <c r="S918" s="1">
        <v>78207</v>
      </c>
      <c r="T918" s="1" t="s">
        <v>90</v>
      </c>
      <c r="U918" s="1" t="s">
        <v>1460</v>
      </c>
      <c r="V918" s="1" t="s">
        <v>35</v>
      </c>
      <c r="W918" s="7">
        <v>797.94399999999996</v>
      </c>
      <c r="X918" s="1">
        <v>7</v>
      </c>
      <c r="Y918" s="7">
        <v>797.92</v>
      </c>
      <c r="Z918" s="7">
        <f t="shared" ref="Z918:AA918" si="936">W918*X918</f>
        <v>5585.6080000000002</v>
      </c>
      <c r="AA918" s="7">
        <f t="shared" si="936"/>
        <v>5585.44</v>
      </c>
      <c r="AB918" s="7">
        <f t="shared" si="785"/>
        <v>0.1680000000005748</v>
      </c>
    </row>
    <row r="919" spans="1:28">
      <c r="A919" s="1">
        <v>918</v>
      </c>
      <c r="B919" s="1" t="s">
        <v>2303</v>
      </c>
      <c r="C919" s="2">
        <v>42170</v>
      </c>
      <c r="D919" s="6" t="str">
        <f t="shared" si="780"/>
        <v>Jun</v>
      </c>
      <c r="E919" s="6" t="str">
        <f t="shared" si="781"/>
        <v>Qtr 2</v>
      </c>
      <c r="F919" s="5" t="s">
        <v>2304</v>
      </c>
      <c r="G919" s="1" t="s">
        <v>49</v>
      </c>
      <c r="H919" s="1" t="s">
        <v>882</v>
      </c>
      <c r="I919" s="1" t="s">
        <v>883</v>
      </c>
      <c r="J919" s="1" t="str">
        <f ca="1">IFERROR(__xludf.DUMMYFUNCTION("split(I919,"" "")"),"Kelly")</f>
        <v>Kelly</v>
      </c>
      <c r="K919" s="1" t="str">
        <f ca="1">IFERROR(__xludf.DUMMYFUNCTION("""COMPUTED_VALUE"""),"Lampkin")</f>
        <v>Lampkin</v>
      </c>
      <c r="L919" s="1"/>
      <c r="M919" s="1" t="s">
        <v>41</v>
      </c>
      <c r="N919" s="1" t="s">
        <v>30</v>
      </c>
      <c r="O919" s="1" t="s">
        <v>565</v>
      </c>
      <c r="P919" s="1" t="str">
        <f t="shared" si="782"/>
        <v>San Antonio</v>
      </c>
      <c r="Q919" s="1" t="s">
        <v>89</v>
      </c>
      <c r="R919" s="1" t="str">
        <f t="shared" si="783"/>
        <v>Texas</v>
      </c>
      <c r="S919" s="1">
        <v>78207</v>
      </c>
      <c r="T919" s="1" t="s">
        <v>90</v>
      </c>
      <c r="U919" s="1" t="s">
        <v>896</v>
      </c>
      <c r="V919" s="1" t="s">
        <v>46</v>
      </c>
      <c r="W919" s="7">
        <v>8.5679999999999996</v>
      </c>
      <c r="X919" s="1">
        <v>7</v>
      </c>
      <c r="Y919" s="7">
        <v>8.44</v>
      </c>
      <c r="Z919" s="7">
        <f t="shared" ref="Z919:AA919" si="937">W919*X919</f>
        <v>59.975999999999999</v>
      </c>
      <c r="AA919" s="7">
        <f t="shared" si="937"/>
        <v>59.08</v>
      </c>
      <c r="AB919" s="7">
        <f t="shared" si="785"/>
        <v>0.8960000000000008</v>
      </c>
    </row>
    <row r="920" spans="1:28">
      <c r="A920" s="1">
        <v>919</v>
      </c>
      <c r="B920" s="1" t="s">
        <v>2306</v>
      </c>
      <c r="C920" s="2">
        <v>42858</v>
      </c>
      <c r="D920" s="6" t="str">
        <f t="shared" si="780"/>
        <v>May</v>
      </c>
      <c r="E920" s="6" t="str">
        <f t="shared" si="781"/>
        <v>Qtr 2</v>
      </c>
      <c r="F920" s="5">
        <v>43042</v>
      </c>
      <c r="G920" s="1" t="s">
        <v>49</v>
      </c>
      <c r="H920" s="1" t="s">
        <v>2307</v>
      </c>
      <c r="I920" s="1" t="s">
        <v>2308</v>
      </c>
      <c r="J920" s="1" t="str">
        <f ca="1">IFERROR(__xludf.DUMMYFUNCTION("split(I920,"" "")"),"Rob")</f>
        <v>Rob</v>
      </c>
      <c r="K920" s="1" t="str">
        <f ca="1">IFERROR(__xludf.DUMMYFUNCTION("""COMPUTED_VALUE"""),"Williams")</f>
        <v>Williams</v>
      </c>
      <c r="L920" s="1"/>
      <c r="M920" s="1" t="s">
        <v>41</v>
      </c>
      <c r="N920" s="1" t="s">
        <v>30</v>
      </c>
      <c r="O920" s="1" t="s">
        <v>677</v>
      </c>
      <c r="P920" s="1" t="str">
        <f t="shared" si="782"/>
        <v>Dallas</v>
      </c>
      <c r="Q920" s="1" t="s">
        <v>89</v>
      </c>
      <c r="R920" s="1" t="str">
        <f t="shared" si="783"/>
        <v>Texas</v>
      </c>
      <c r="S920" s="1">
        <v>75220</v>
      </c>
      <c r="T920" s="1" t="s">
        <v>90</v>
      </c>
      <c r="U920" s="1" t="s">
        <v>2018</v>
      </c>
      <c r="V920" s="1" t="s">
        <v>46</v>
      </c>
      <c r="W920" s="7">
        <v>149.352</v>
      </c>
      <c r="X920" s="1">
        <v>7</v>
      </c>
      <c r="Y920" s="7">
        <v>148.94999999999999</v>
      </c>
      <c r="Z920" s="7">
        <f t="shared" ref="Z920:AA920" si="938">W920*X920</f>
        <v>1045.4639999999999</v>
      </c>
      <c r="AA920" s="7">
        <f t="shared" si="938"/>
        <v>1042.6499999999999</v>
      </c>
      <c r="AB920" s="7">
        <f t="shared" si="785"/>
        <v>2.8140000000000782</v>
      </c>
    </row>
    <row r="921" spans="1:28">
      <c r="A921" s="1">
        <v>920</v>
      </c>
      <c r="B921" s="1" t="s">
        <v>2306</v>
      </c>
      <c r="C921" s="2">
        <v>42858</v>
      </c>
      <c r="D921" s="6" t="str">
        <f t="shared" si="780"/>
        <v>May</v>
      </c>
      <c r="E921" s="6" t="str">
        <f t="shared" si="781"/>
        <v>Qtr 2</v>
      </c>
      <c r="F921" s="5">
        <v>43042</v>
      </c>
      <c r="G921" s="1" t="s">
        <v>49</v>
      </c>
      <c r="H921" s="1" t="s">
        <v>2307</v>
      </c>
      <c r="I921" s="1" t="s">
        <v>2308</v>
      </c>
      <c r="J921" s="1" t="str">
        <f ca="1">IFERROR(__xludf.DUMMYFUNCTION("split(I921,"" "")"),"Rob")</f>
        <v>Rob</v>
      </c>
      <c r="K921" s="1" t="str">
        <f ca="1">IFERROR(__xludf.DUMMYFUNCTION("""COMPUTED_VALUE"""),"Williams")</f>
        <v>Williams</v>
      </c>
      <c r="L921" s="1"/>
      <c r="M921" s="1" t="s">
        <v>41</v>
      </c>
      <c r="N921" s="1" t="s">
        <v>30</v>
      </c>
      <c r="O921" s="1" t="s">
        <v>677</v>
      </c>
      <c r="P921" s="1" t="str">
        <f t="shared" si="782"/>
        <v>Dallas</v>
      </c>
      <c r="Q921" s="1" t="s">
        <v>89</v>
      </c>
      <c r="R921" s="1" t="str">
        <f t="shared" si="783"/>
        <v>Texas</v>
      </c>
      <c r="S921" s="1">
        <v>75220</v>
      </c>
      <c r="T921" s="1" t="s">
        <v>90</v>
      </c>
      <c r="U921" s="1" t="s">
        <v>2309</v>
      </c>
      <c r="V921" s="1" t="s">
        <v>46</v>
      </c>
      <c r="W921" s="7">
        <v>12.992000000000001</v>
      </c>
      <c r="X921" s="1">
        <v>7</v>
      </c>
      <c r="Y921" s="7">
        <v>12.26</v>
      </c>
      <c r="Z921" s="7">
        <f t="shared" ref="Z921:AA921" si="939">W921*X921</f>
        <v>90.944000000000003</v>
      </c>
      <c r="AA921" s="7">
        <f t="shared" si="939"/>
        <v>85.82</v>
      </c>
      <c r="AB921" s="7">
        <f t="shared" si="785"/>
        <v>5.1240000000000094</v>
      </c>
    </row>
    <row r="922" spans="1:28">
      <c r="A922" s="1">
        <v>921</v>
      </c>
      <c r="B922" s="1" t="s">
        <v>2310</v>
      </c>
      <c r="C922" s="2">
        <v>42136</v>
      </c>
      <c r="D922" s="6" t="str">
        <f t="shared" si="780"/>
        <v>May</v>
      </c>
      <c r="E922" s="6" t="str">
        <f t="shared" si="781"/>
        <v>Qtr 2</v>
      </c>
      <c r="F922" s="5">
        <v>42350</v>
      </c>
      <c r="G922" s="1" t="s">
        <v>49</v>
      </c>
      <c r="H922" s="1" t="s">
        <v>807</v>
      </c>
      <c r="I922" s="1" t="s">
        <v>808</v>
      </c>
      <c r="J922" s="1" t="str">
        <f ca="1">IFERROR(__xludf.DUMMYFUNCTION("split(I922,"" "")"),"Roy")</f>
        <v>Roy</v>
      </c>
      <c r="K922" s="1" t="str">
        <f ca="1">IFERROR(__xludf.DUMMYFUNCTION("""COMPUTED_VALUE"""),"Collins")</f>
        <v>Collins</v>
      </c>
      <c r="L922" s="1"/>
      <c r="M922" s="1" t="s">
        <v>29</v>
      </c>
      <c r="N922" s="1" t="s">
        <v>30</v>
      </c>
      <c r="O922" s="1" t="s">
        <v>2311</v>
      </c>
      <c r="P922" s="1" t="str">
        <f t="shared" si="782"/>
        <v>Alexandria</v>
      </c>
      <c r="Q922" s="1" t="s">
        <v>272</v>
      </c>
      <c r="R922" s="1" t="str">
        <f t="shared" si="783"/>
        <v>Virginia</v>
      </c>
      <c r="S922" s="1">
        <v>22304</v>
      </c>
      <c r="T922" s="1" t="s">
        <v>33</v>
      </c>
      <c r="U922" s="1" t="s">
        <v>1830</v>
      </c>
      <c r="V922" s="1" t="s">
        <v>46</v>
      </c>
      <c r="W922" s="7">
        <v>24.56</v>
      </c>
      <c r="X922" s="1">
        <v>2</v>
      </c>
      <c r="Y922" s="7">
        <v>24.01</v>
      </c>
      <c r="Z922" s="7">
        <f t="shared" ref="Z922:AA922" si="940">W922*X922</f>
        <v>49.12</v>
      </c>
      <c r="AA922" s="7">
        <f t="shared" si="940"/>
        <v>48.02</v>
      </c>
      <c r="AB922" s="7">
        <f t="shared" si="785"/>
        <v>1.0999999999999943</v>
      </c>
    </row>
    <row r="923" spans="1:28">
      <c r="A923" s="1">
        <v>922</v>
      </c>
      <c r="B923" s="1" t="s">
        <v>2312</v>
      </c>
      <c r="C923" s="2">
        <v>42678</v>
      </c>
      <c r="D923" s="6" t="str">
        <f t="shared" si="780"/>
        <v>Nov</v>
      </c>
      <c r="E923" s="6" t="str">
        <f t="shared" si="781"/>
        <v>Qtr 4</v>
      </c>
      <c r="F923" s="5" t="s">
        <v>2313</v>
      </c>
      <c r="G923" s="1" t="s">
        <v>49</v>
      </c>
      <c r="H923" s="1" t="s">
        <v>2314</v>
      </c>
      <c r="I923" s="1" t="s">
        <v>2315</v>
      </c>
      <c r="J923" s="1" t="str">
        <f ca="1">IFERROR(__xludf.DUMMYFUNCTION("split(I923,"" "")"),"Sanjit")</f>
        <v>Sanjit</v>
      </c>
      <c r="K923" s="1" t="str">
        <f ca="1">IFERROR(__xludf.DUMMYFUNCTION("""COMPUTED_VALUE"""),"Engle")</f>
        <v>Engle</v>
      </c>
      <c r="L923" s="1"/>
      <c r="M923" s="1" t="s">
        <v>29</v>
      </c>
      <c r="N923" s="1" t="s">
        <v>30</v>
      </c>
      <c r="O923" s="1" t="s">
        <v>233</v>
      </c>
      <c r="P923" s="1" t="str">
        <f t="shared" si="782"/>
        <v>New York City</v>
      </c>
      <c r="Q923" s="1" t="s">
        <v>234</v>
      </c>
      <c r="R923" s="1" t="str">
        <f t="shared" si="783"/>
        <v>New York</v>
      </c>
      <c r="S923" s="1">
        <v>10009</v>
      </c>
      <c r="T923" s="1" t="s">
        <v>128</v>
      </c>
      <c r="U923" s="1" t="s">
        <v>2316</v>
      </c>
      <c r="V923" s="1" t="s">
        <v>64</v>
      </c>
      <c r="W923" s="7">
        <v>85.14</v>
      </c>
      <c r="X923" s="1">
        <v>1</v>
      </c>
      <c r="Y923" s="7">
        <v>85.04</v>
      </c>
      <c r="Z923" s="7">
        <f t="shared" ref="Z923:AA923" si="941">W923*X923</f>
        <v>85.14</v>
      </c>
      <c r="AA923" s="7">
        <f t="shared" si="941"/>
        <v>85.04</v>
      </c>
      <c r="AB923" s="7">
        <f t="shared" si="785"/>
        <v>9.9999999999994316E-2</v>
      </c>
    </row>
    <row r="924" spans="1:28">
      <c r="A924" s="1">
        <v>923</v>
      </c>
      <c r="B924" s="1" t="s">
        <v>2312</v>
      </c>
      <c r="C924" s="2">
        <v>42678</v>
      </c>
      <c r="D924" s="6" t="str">
        <f t="shared" si="780"/>
        <v>Nov</v>
      </c>
      <c r="E924" s="6" t="str">
        <f t="shared" si="781"/>
        <v>Qtr 4</v>
      </c>
      <c r="F924" s="5" t="s">
        <v>2313</v>
      </c>
      <c r="G924" s="1" t="s">
        <v>49</v>
      </c>
      <c r="H924" s="1" t="s">
        <v>2314</v>
      </c>
      <c r="I924" s="1" t="s">
        <v>2315</v>
      </c>
      <c r="J924" s="1" t="str">
        <f ca="1">IFERROR(__xludf.DUMMYFUNCTION("split(I924,"" "")"),"Sanjit")</f>
        <v>Sanjit</v>
      </c>
      <c r="K924" s="1" t="str">
        <f ca="1">IFERROR(__xludf.DUMMYFUNCTION("""COMPUTED_VALUE"""),"Engle")</f>
        <v>Engle</v>
      </c>
      <c r="L924" s="1"/>
      <c r="M924" s="1" t="s">
        <v>29</v>
      </c>
      <c r="N924" s="1" t="s">
        <v>30</v>
      </c>
      <c r="O924" s="1" t="s">
        <v>233</v>
      </c>
      <c r="P924" s="1" t="str">
        <f t="shared" si="782"/>
        <v>New York City</v>
      </c>
      <c r="Q924" s="1" t="s">
        <v>234</v>
      </c>
      <c r="R924" s="1" t="str">
        <f t="shared" si="783"/>
        <v>New York</v>
      </c>
      <c r="S924" s="1">
        <v>10009</v>
      </c>
      <c r="T924" s="1" t="s">
        <v>128</v>
      </c>
      <c r="U924" s="1" t="s">
        <v>2317</v>
      </c>
      <c r="V924" s="1" t="s">
        <v>64</v>
      </c>
      <c r="W924" s="7">
        <v>21.99</v>
      </c>
      <c r="X924" s="1">
        <v>1</v>
      </c>
      <c r="Y924" s="7">
        <v>21.1</v>
      </c>
      <c r="Z924" s="7">
        <f t="shared" ref="Z924:AA924" si="942">W924*X924</f>
        <v>21.99</v>
      </c>
      <c r="AA924" s="7">
        <f t="shared" si="942"/>
        <v>21.1</v>
      </c>
      <c r="AB924" s="7">
        <f t="shared" si="785"/>
        <v>0.88999999999999702</v>
      </c>
    </row>
    <row r="925" spans="1:28">
      <c r="A925" s="1">
        <v>924</v>
      </c>
      <c r="B925" s="1" t="s">
        <v>2312</v>
      </c>
      <c r="C925" s="2">
        <v>42678</v>
      </c>
      <c r="D925" s="6" t="str">
        <f t="shared" si="780"/>
        <v>Nov</v>
      </c>
      <c r="E925" s="6" t="str">
        <f t="shared" si="781"/>
        <v>Qtr 4</v>
      </c>
      <c r="F925" s="5" t="s">
        <v>2313</v>
      </c>
      <c r="G925" s="1" t="s">
        <v>49</v>
      </c>
      <c r="H925" s="1" t="s">
        <v>2314</v>
      </c>
      <c r="I925" s="1" t="s">
        <v>2315</v>
      </c>
      <c r="J925" s="1" t="str">
        <f ca="1">IFERROR(__xludf.DUMMYFUNCTION("split(I925,"" "")"),"Sanjit")</f>
        <v>Sanjit</v>
      </c>
      <c r="K925" s="1" t="str">
        <f ca="1">IFERROR(__xludf.DUMMYFUNCTION("""COMPUTED_VALUE"""),"Engle")</f>
        <v>Engle</v>
      </c>
      <c r="L925" s="1"/>
      <c r="M925" s="1" t="s">
        <v>29</v>
      </c>
      <c r="N925" s="1" t="s">
        <v>30</v>
      </c>
      <c r="O925" s="1" t="s">
        <v>233</v>
      </c>
      <c r="P925" s="1" t="str">
        <f t="shared" si="782"/>
        <v>New York City</v>
      </c>
      <c r="Q925" s="1" t="s">
        <v>234</v>
      </c>
      <c r="R925" s="1" t="str">
        <f t="shared" si="783"/>
        <v>New York</v>
      </c>
      <c r="S925" s="1">
        <v>10009</v>
      </c>
      <c r="T925" s="1" t="s">
        <v>128</v>
      </c>
      <c r="U925" s="1" t="s">
        <v>2318</v>
      </c>
      <c r="V925" s="1" t="s">
        <v>46</v>
      </c>
      <c r="W925" s="7">
        <v>406.6</v>
      </c>
      <c r="X925" s="1">
        <v>1</v>
      </c>
      <c r="Y925" s="7">
        <v>405.67</v>
      </c>
      <c r="Z925" s="7">
        <f t="shared" ref="Z925:AA925" si="943">W925*X925</f>
        <v>406.6</v>
      </c>
      <c r="AA925" s="7">
        <f t="shared" si="943"/>
        <v>405.67</v>
      </c>
      <c r="AB925" s="7">
        <f t="shared" si="785"/>
        <v>0.93000000000000682</v>
      </c>
    </row>
    <row r="926" spans="1:28">
      <c r="A926" s="1">
        <v>925</v>
      </c>
      <c r="B926" s="1" t="s">
        <v>2319</v>
      </c>
      <c r="C926" s="2">
        <v>42993</v>
      </c>
      <c r="D926" s="6" t="str">
        <f t="shared" si="780"/>
        <v>Sep</v>
      </c>
      <c r="E926" s="6" t="str">
        <f t="shared" si="781"/>
        <v>Qtr 3</v>
      </c>
      <c r="F926" s="5" t="s">
        <v>2320</v>
      </c>
      <c r="G926" s="1" t="s">
        <v>49</v>
      </c>
      <c r="H926" s="1" t="s">
        <v>2321</v>
      </c>
      <c r="I926" s="1" t="s">
        <v>2322</v>
      </c>
      <c r="J926" s="1" t="str">
        <f ca="1">IFERROR(__xludf.DUMMYFUNCTION("split(I926,"" "")"),"Adam")</f>
        <v>Adam</v>
      </c>
      <c r="K926" s="1" t="str">
        <f ca="1">IFERROR(__xludf.DUMMYFUNCTION("""COMPUTED_VALUE"""),"Hart")</f>
        <v>Hart</v>
      </c>
      <c r="L926" s="1"/>
      <c r="M926" s="1" t="s">
        <v>41</v>
      </c>
      <c r="N926" s="1" t="s">
        <v>30</v>
      </c>
      <c r="O926" s="1" t="s">
        <v>233</v>
      </c>
      <c r="P926" s="1" t="str">
        <f t="shared" si="782"/>
        <v>New York City</v>
      </c>
      <c r="Q926" s="1" t="s">
        <v>234</v>
      </c>
      <c r="R926" s="1" t="str">
        <f t="shared" si="783"/>
        <v>New York</v>
      </c>
      <c r="S926" s="1">
        <v>10011</v>
      </c>
      <c r="T926" s="1" t="s">
        <v>128</v>
      </c>
      <c r="U926" s="1" t="s">
        <v>434</v>
      </c>
      <c r="V926" s="1" t="s">
        <v>46</v>
      </c>
      <c r="W926" s="7">
        <v>841.56799999999998</v>
      </c>
      <c r="X926" s="1">
        <v>1</v>
      </c>
      <c r="Y926" s="7">
        <v>841.57</v>
      </c>
      <c r="Z926" s="7">
        <f t="shared" ref="Z926:AA926" si="944">W926*X926</f>
        <v>841.56799999999998</v>
      </c>
      <c r="AA926" s="7">
        <f t="shared" si="944"/>
        <v>841.57</v>
      </c>
      <c r="AB926" s="7">
        <f t="shared" si="785"/>
        <v>-2.0000000000663931E-3</v>
      </c>
    </row>
    <row r="927" spans="1:28">
      <c r="A927" s="1">
        <v>926</v>
      </c>
      <c r="B927" s="1" t="s">
        <v>2323</v>
      </c>
      <c r="C927" s="2">
        <v>42260</v>
      </c>
      <c r="D927" s="6" t="str">
        <f t="shared" si="780"/>
        <v>Sep</v>
      </c>
      <c r="E927" s="6" t="str">
        <f t="shared" si="781"/>
        <v>Qtr 3</v>
      </c>
      <c r="F927" s="5" t="s">
        <v>2324</v>
      </c>
      <c r="G927" s="1" t="s">
        <v>162</v>
      </c>
      <c r="H927" s="1" t="s">
        <v>2325</v>
      </c>
      <c r="I927" s="1" t="s">
        <v>2326</v>
      </c>
      <c r="J927" s="1" t="str">
        <f ca="1">IFERROR(__xludf.DUMMYFUNCTION("split(I927,"" "")"),"Jessica")</f>
        <v>Jessica</v>
      </c>
      <c r="K927" s="1" t="str">
        <f ca="1">IFERROR(__xludf.DUMMYFUNCTION("""COMPUTED_VALUE"""),"Myrick")</f>
        <v>Myrick</v>
      </c>
      <c r="L927" s="1"/>
      <c r="M927" s="1" t="s">
        <v>29</v>
      </c>
      <c r="N927" s="1" t="s">
        <v>30</v>
      </c>
      <c r="O927" s="1" t="s">
        <v>126</v>
      </c>
      <c r="P927" s="1" t="str">
        <f t="shared" si="782"/>
        <v>Philadelphia</v>
      </c>
      <c r="Q927" s="1" t="s">
        <v>127</v>
      </c>
      <c r="R927" s="1" t="str">
        <f t="shared" si="783"/>
        <v>Pennsylvania</v>
      </c>
      <c r="S927" s="1">
        <v>19143</v>
      </c>
      <c r="T927" s="1" t="s">
        <v>128</v>
      </c>
      <c r="U927" s="1" t="s">
        <v>2327</v>
      </c>
      <c r="V927" s="1" t="s">
        <v>46</v>
      </c>
      <c r="W927" s="7">
        <v>15.552</v>
      </c>
      <c r="X927" s="1">
        <v>1</v>
      </c>
      <c r="Y927" s="7">
        <v>14.8</v>
      </c>
      <c r="Z927" s="7">
        <f t="shared" ref="Z927:AA927" si="945">W927*X927</f>
        <v>15.552</v>
      </c>
      <c r="AA927" s="7">
        <f t="shared" si="945"/>
        <v>14.8</v>
      </c>
      <c r="AB927" s="7">
        <f t="shared" si="785"/>
        <v>0.75199999999999889</v>
      </c>
    </row>
    <row r="928" spans="1:28">
      <c r="A928" s="1">
        <v>927</v>
      </c>
      <c r="B928" s="1" t="s">
        <v>2323</v>
      </c>
      <c r="C928" s="2">
        <v>42260</v>
      </c>
      <c r="D928" s="6" t="str">
        <f t="shared" si="780"/>
        <v>Sep</v>
      </c>
      <c r="E928" s="6" t="str">
        <f t="shared" si="781"/>
        <v>Qtr 3</v>
      </c>
      <c r="F928" s="5" t="s">
        <v>2324</v>
      </c>
      <c r="G928" s="1" t="s">
        <v>162</v>
      </c>
      <c r="H928" s="1" t="s">
        <v>2325</v>
      </c>
      <c r="I928" s="1" t="s">
        <v>2326</v>
      </c>
      <c r="J928" s="1" t="str">
        <f ca="1">IFERROR(__xludf.DUMMYFUNCTION("split(I928,"" "")"),"Jessica")</f>
        <v>Jessica</v>
      </c>
      <c r="K928" s="1" t="str">
        <f ca="1">IFERROR(__xludf.DUMMYFUNCTION("""COMPUTED_VALUE"""),"Myrick")</f>
        <v>Myrick</v>
      </c>
      <c r="L928" s="1"/>
      <c r="M928" s="1" t="s">
        <v>29</v>
      </c>
      <c r="N928" s="1" t="s">
        <v>30</v>
      </c>
      <c r="O928" s="1" t="s">
        <v>126</v>
      </c>
      <c r="P928" s="1" t="str">
        <f t="shared" si="782"/>
        <v>Philadelphia</v>
      </c>
      <c r="Q928" s="1" t="s">
        <v>127</v>
      </c>
      <c r="R928" s="1" t="str">
        <f t="shared" si="783"/>
        <v>Pennsylvania</v>
      </c>
      <c r="S928" s="1">
        <v>19143</v>
      </c>
      <c r="T928" s="1" t="s">
        <v>128</v>
      </c>
      <c r="U928" s="1" t="s">
        <v>2328</v>
      </c>
      <c r="V928" s="1" t="s">
        <v>64</v>
      </c>
      <c r="W928" s="7">
        <v>252</v>
      </c>
      <c r="X928" s="1">
        <v>1</v>
      </c>
      <c r="Y928" s="7">
        <v>251.41</v>
      </c>
      <c r="Z928" s="7">
        <f t="shared" ref="Z928:AA928" si="946">W928*X928</f>
        <v>252</v>
      </c>
      <c r="AA928" s="7">
        <f t="shared" si="946"/>
        <v>251.41</v>
      </c>
      <c r="AB928" s="7">
        <f t="shared" si="785"/>
        <v>0.59000000000000341</v>
      </c>
    </row>
    <row r="929" spans="1:28">
      <c r="A929" s="1">
        <v>928</v>
      </c>
      <c r="B929" s="1" t="s">
        <v>2329</v>
      </c>
      <c r="C929" s="2">
        <v>42500</v>
      </c>
      <c r="D929" s="6" t="str">
        <f t="shared" si="780"/>
        <v>May</v>
      </c>
      <c r="E929" s="6" t="str">
        <f t="shared" si="781"/>
        <v>Qtr 2</v>
      </c>
      <c r="F929" s="5">
        <v>42623</v>
      </c>
      <c r="G929" s="1" t="s">
        <v>49</v>
      </c>
      <c r="H929" s="1" t="s">
        <v>2330</v>
      </c>
      <c r="I929" s="1" t="s">
        <v>2331</v>
      </c>
      <c r="J929" s="1" t="str">
        <f ca="1">IFERROR(__xludf.DUMMYFUNCTION("split(I929,"" "")"),"Joel")</f>
        <v>Joel</v>
      </c>
      <c r="K929" s="1" t="str">
        <f ca="1">IFERROR(__xludf.DUMMYFUNCTION("""COMPUTED_VALUE"""),"Jenkins")</f>
        <v>Jenkins</v>
      </c>
      <c r="L929" s="1"/>
      <c r="M929" s="1" t="s">
        <v>87</v>
      </c>
      <c r="N929" s="1" t="s">
        <v>30</v>
      </c>
      <c r="O929" s="1" t="s">
        <v>271</v>
      </c>
      <c r="P929" s="1" t="str">
        <f t="shared" si="782"/>
        <v>Springfield</v>
      </c>
      <c r="Q929" s="1" t="s">
        <v>272</v>
      </c>
      <c r="R929" s="1" t="str">
        <f t="shared" si="783"/>
        <v>Virginia</v>
      </c>
      <c r="S929" s="1">
        <v>22153</v>
      </c>
      <c r="T929" s="1" t="s">
        <v>33</v>
      </c>
      <c r="U929" s="1" t="s">
        <v>1069</v>
      </c>
      <c r="V929" s="1" t="s">
        <v>46</v>
      </c>
      <c r="W929" s="7">
        <v>46.2</v>
      </c>
      <c r="X929" s="1">
        <v>2</v>
      </c>
      <c r="Y929" s="7">
        <v>45.48</v>
      </c>
      <c r="Z929" s="7">
        <f t="shared" ref="Z929:AA929" si="947">W929*X929</f>
        <v>92.4</v>
      </c>
      <c r="AA929" s="7">
        <f t="shared" si="947"/>
        <v>90.96</v>
      </c>
      <c r="AB929" s="7">
        <f t="shared" si="785"/>
        <v>1.4400000000000119</v>
      </c>
    </row>
    <row r="930" spans="1:28">
      <c r="A930" s="1">
        <v>929</v>
      </c>
      <c r="B930" s="1" t="s">
        <v>2329</v>
      </c>
      <c r="C930" s="2">
        <v>42500</v>
      </c>
      <c r="D930" s="6" t="str">
        <f t="shared" si="780"/>
        <v>May</v>
      </c>
      <c r="E930" s="6" t="str">
        <f t="shared" si="781"/>
        <v>Qtr 2</v>
      </c>
      <c r="F930" s="5">
        <v>42623</v>
      </c>
      <c r="G930" s="1" t="s">
        <v>49</v>
      </c>
      <c r="H930" s="1" t="s">
        <v>2330</v>
      </c>
      <c r="I930" s="1" t="s">
        <v>2331</v>
      </c>
      <c r="J930" s="1" t="str">
        <f ca="1">IFERROR(__xludf.DUMMYFUNCTION("split(I930,"" "")"),"Joel")</f>
        <v>Joel</v>
      </c>
      <c r="K930" s="1" t="str">
        <f ca="1">IFERROR(__xludf.DUMMYFUNCTION("""COMPUTED_VALUE"""),"Jenkins")</f>
        <v>Jenkins</v>
      </c>
      <c r="L930" s="1"/>
      <c r="M930" s="1" t="s">
        <v>87</v>
      </c>
      <c r="N930" s="1" t="s">
        <v>30</v>
      </c>
      <c r="O930" s="1" t="s">
        <v>271</v>
      </c>
      <c r="P930" s="1" t="str">
        <f t="shared" si="782"/>
        <v>Springfield</v>
      </c>
      <c r="Q930" s="1" t="s">
        <v>272</v>
      </c>
      <c r="R930" s="1" t="str">
        <f t="shared" si="783"/>
        <v>Virginia</v>
      </c>
      <c r="S930" s="1">
        <v>22153</v>
      </c>
      <c r="T930" s="1" t="s">
        <v>33</v>
      </c>
      <c r="U930" s="1" t="s">
        <v>1083</v>
      </c>
      <c r="V930" s="1" t="s">
        <v>46</v>
      </c>
      <c r="W930" s="7">
        <v>28.84</v>
      </c>
      <c r="X930" s="1">
        <v>2</v>
      </c>
      <c r="Y930" s="7">
        <v>28.67</v>
      </c>
      <c r="Z930" s="7">
        <f t="shared" ref="Z930:AA930" si="948">W930*X930</f>
        <v>57.68</v>
      </c>
      <c r="AA930" s="7">
        <f t="shared" si="948"/>
        <v>57.34</v>
      </c>
      <c r="AB930" s="7">
        <f t="shared" si="785"/>
        <v>0.33999999999999631</v>
      </c>
    </row>
    <row r="931" spans="1:28">
      <c r="A931" s="1">
        <v>930</v>
      </c>
      <c r="B931" s="1" t="s">
        <v>2332</v>
      </c>
      <c r="C931" s="2">
        <v>43204</v>
      </c>
      <c r="D931" s="6" t="str">
        <f t="shared" si="780"/>
        <v>Apr</v>
      </c>
      <c r="E931" s="6" t="str">
        <f t="shared" si="781"/>
        <v>Qtr 2</v>
      </c>
      <c r="F931" s="5" t="s">
        <v>914</v>
      </c>
      <c r="G931" s="1" t="s">
        <v>162</v>
      </c>
      <c r="H931" s="1" t="s">
        <v>1832</v>
      </c>
      <c r="I931" s="1" t="s">
        <v>1833</v>
      </c>
      <c r="J931" s="1" t="str">
        <f ca="1">IFERROR(__xludf.DUMMYFUNCTION("split(I931,"" "")"),"Alan")</f>
        <v>Alan</v>
      </c>
      <c r="K931" s="1" t="str">
        <f ca="1">IFERROR(__xludf.DUMMYFUNCTION("""COMPUTED_VALUE"""),"Barnes")</f>
        <v>Barnes</v>
      </c>
      <c r="L931" s="1"/>
      <c r="M931" s="1" t="s">
        <v>29</v>
      </c>
      <c r="N931" s="1" t="s">
        <v>30</v>
      </c>
      <c r="O931" s="1" t="s">
        <v>2333</v>
      </c>
      <c r="P931" s="1" t="str">
        <f t="shared" si="782"/>
        <v>Toledo</v>
      </c>
      <c r="Q931" s="1" t="s">
        <v>421</v>
      </c>
      <c r="R931" s="1" t="str">
        <f t="shared" si="783"/>
        <v>Ohio</v>
      </c>
      <c r="S931" s="1">
        <v>43615</v>
      </c>
      <c r="T931" s="1" t="s">
        <v>128</v>
      </c>
      <c r="U931" s="1" t="s">
        <v>1539</v>
      </c>
      <c r="V931" s="1" t="s">
        <v>46</v>
      </c>
      <c r="W931" s="7">
        <v>14.592000000000001</v>
      </c>
      <c r="X931" s="1">
        <v>4</v>
      </c>
      <c r="Y931" s="7">
        <v>13.71</v>
      </c>
      <c r="Z931" s="7">
        <f t="shared" ref="Z931:AA931" si="949">W931*X931</f>
        <v>58.368000000000002</v>
      </c>
      <c r="AA931" s="7">
        <f t="shared" si="949"/>
        <v>54.84</v>
      </c>
      <c r="AB931" s="7">
        <f t="shared" si="785"/>
        <v>3.5279999999999987</v>
      </c>
    </row>
    <row r="932" spans="1:28">
      <c r="A932" s="1">
        <v>931</v>
      </c>
      <c r="B932" s="1" t="s">
        <v>2332</v>
      </c>
      <c r="C932" s="2">
        <v>43204</v>
      </c>
      <c r="D932" s="6" t="str">
        <f t="shared" si="780"/>
        <v>Apr</v>
      </c>
      <c r="E932" s="6" t="str">
        <f t="shared" si="781"/>
        <v>Qtr 2</v>
      </c>
      <c r="F932" s="5" t="s">
        <v>914</v>
      </c>
      <c r="G932" s="1" t="s">
        <v>162</v>
      </c>
      <c r="H932" s="1" t="s">
        <v>1832</v>
      </c>
      <c r="I932" s="1" t="s">
        <v>1833</v>
      </c>
      <c r="J932" s="1" t="str">
        <f ca="1">IFERROR(__xludf.DUMMYFUNCTION("split(I932,"" "")"),"Alan")</f>
        <v>Alan</v>
      </c>
      <c r="K932" s="1" t="str">
        <f ca="1">IFERROR(__xludf.DUMMYFUNCTION("""COMPUTED_VALUE"""),"Barnes")</f>
        <v>Barnes</v>
      </c>
      <c r="L932" s="1"/>
      <c r="M932" s="1" t="s">
        <v>29</v>
      </c>
      <c r="N932" s="1" t="s">
        <v>30</v>
      </c>
      <c r="O932" s="1" t="s">
        <v>2333</v>
      </c>
      <c r="P932" s="1" t="str">
        <f t="shared" si="782"/>
        <v>Toledo</v>
      </c>
      <c r="Q932" s="1" t="s">
        <v>421</v>
      </c>
      <c r="R932" s="1" t="str">
        <f t="shared" si="783"/>
        <v>Ohio</v>
      </c>
      <c r="S932" s="1">
        <v>43615</v>
      </c>
      <c r="T932" s="1" t="s">
        <v>128</v>
      </c>
      <c r="U932" s="1" t="s">
        <v>2334</v>
      </c>
      <c r="V932" s="1" t="s">
        <v>46</v>
      </c>
      <c r="W932" s="7">
        <v>89.855999999999995</v>
      </c>
      <c r="X932" s="1">
        <v>4</v>
      </c>
      <c r="Y932" s="7">
        <v>88.89</v>
      </c>
      <c r="Z932" s="7">
        <f t="shared" ref="Z932:AA932" si="950">W932*X932</f>
        <v>359.42399999999998</v>
      </c>
      <c r="AA932" s="7">
        <f t="shared" si="950"/>
        <v>355.56</v>
      </c>
      <c r="AB932" s="7">
        <f t="shared" si="785"/>
        <v>3.8639999999999759</v>
      </c>
    </row>
    <row r="933" spans="1:28">
      <c r="A933" s="1">
        <v>932</v>
      </c>
      <c r="B933" s="1" t="s">
        <v>2332</v>
      </c>
      <c r="C933" s="2">
        <v>43204</v>
      </c>
      <c r="D933" s="6" t="str">
        <f t="shared" si="780"/>
        <v>Apr</v>
      </c>
      <c r="E933" s="6" t="str">
        <f t="shared" si="781"/>
        <v>Qtr 2</v>
      </c>
      <c r="F933" s="5" t="s">
        <v>914</v>
      </c>
      <c r="G933" s="1" t="s">
        <v>162</v>
      </c>
      <c r="H933" s="1" t="s">
        <v>1832</v>
      </c>
      <c r="I933" s="1" t="s">
        <v>1833</v>
      </c>
      <c r="J933" s="1" t="str">
        <f ca="1">IFERROR(__xludf.DUMMYFUNCTION("split(I933,"" "")"),"Alan")</f>
        <v>Alan</v>
      </c>
      <c r="K933" s="1" t="str">
        <f ca="1">IFERROR(__xludf.DUMMYFUNCTION("""COMPUTED_VALUE"""),"Barnes")</f>
        <v>Barnes</v>
      </c>
      <c r="L933" s="1"/>
      <c r="M933" s="1" t="s">
        <v>29</v>
      </c>
      <c r="N933" s="1" t="s">
        <v>30</v>
      </c>
      <c r="O933" s="1" t="s">
        <v>2333</v>
      </c>
      <c r="P933" s="1" t="str">
        <f t="shared" si="782"/>
        <v>Toledo</v>
      </c>
      <c r="Q933" s="1" t="s">
        <v>421</v>
      </c>
      <c r="R933" s="1" t="str">
        <f t="shared" si="783"/>
        <v>Ohio</v>
      </c>
      <c r="S933" s="1">
        <v>43615</v>
      </c>
      <c r="T933" s="1" t="s">
        <v>128</v>
      </c>
      <c r="U933" s="1" t="s">
        <v>1938</v>
      </c>
      <c r="V933" s="1" t="s">
        <v>46</v>
      </c>
      <c r="W933" s="7">
        <v>13.872</v>
      </c>
      <c r="X933" s="1">
        <v>4</v>
      </c>
      <c r="Y933" s="7">
        <v>13.46</v>
      </c>
      <c r="Z933" s="7">
        <f t="shared" ref="Z933:AA933" si="951">W933*X933</f>
        <v>55.488</v>
      </c>
      <c r="AA933" s="7">
        <f t="shared" si="951"/>
        <v>53.84</v>
      </c>
      <c r="AB933" s="7">
        <f t="shared" si="785"/>
        <v>1.6479999999999961</v>
      </c>
    </row>
    <row r="934" spans="1:28">
      <c r="A934" s="1">
        <v>933</v>
      </c>
      <c r="B934" s="1" t="s">
        <v>2335</v>
      </c>
      <c r="C934" s="2">
        <v>43140</v>
      </c>
      <c r="D934" s="6" t="str">
        <f t="shared" si="780"/>
        <v>Feb</v>
      </c>
      <c r="E934" s="6" t="str">
        <f t="shared" si="781"/>
        <v>Qtr 1</v>
      </c>
      <c r="F934" s="5">
        <v>43260</v>
      </c>
      <c r="G934" s="1" t="s">
        <v>49</v>
      </c>
      <c r="H934" s="1" t="s">
        <v>2336</v>
      </c>
      <c r="I934" s="1" t="s">
        <v>2337</v>
      </c>
      <c r="J934" s="1" t="str">
        <f ca="1">IFERROR(__xludf.DUMMYFUNCTION("split(I934,"" "")"),"Ralph")</f>
        <v>Ralph</v>
      </c>
      <c r="K934" s="1" t="str">
        <f ca="1">IFERROR(__xludf.DUMMYFUNCTION("""COMPUTED_VALUE"""),"Kennedy")</f>
        <v>Kennedy</v>
      </c>
      <c r="L934" s="1"/>
      <c r="M934" s="1" t="s">
        <v>29</v>
      </c>
      <c r="N934" s="1" t="s">
        <v>30</v>
      </c>
      <c r="O934" s="1" t="s">
        <v>126</v>
      </c>
      <c r="P934" s="1" t="str">
        <f t="shared" si="782"/>
        <v>Philadelphia</v>
      </c>
      <c r="Q934" s="1" t="s">
        <v>127</v>
      </c>
      <c r="R934" s="1" t="str">
        <f t="shared" si="783"/>
        <v>Pennsylvania</v>
      </c>
      <c r="S934" s="1">
        <v>19140</v>
      </c>
      <c r="T934" s="1" t="s">
        <v>128</v>
      </c>
      <c r="U934" s="1" t="s">
        <v>2338</v>
      </c>
      <c r="V934" s="1" t="s">
        <v>46</v>
      </c>
      <c r="W934" s="7">
        <v>12.192</v>
      </c>
      <c r="X934" s="1">
        <v>1</v>
      </c>
      <c r="Y934" s="7">
        <v>11.44</v>
      </c>
      <c r="Z934" s="7">
        <f t="shared" ref="Z934:AA934" si="952">W934*X934</f>
        <v>12.192</v>
      </c>
      <c r="AA934" s="7">
        <f t="shared" si="952"/>
        <v>11.44</v>
      </c>
      <c r="AB934" s="7">
        <f t="shared" si="785"/>
        <v>0.75200000000000067</v>
      </c>
    </row>
    <row r="935" spans="1:28">
      <c r="A935" s="1">
        <v>934</v>
      </c>
      <c r="B935" s="1" t="s">
        <v>2339</v>
      </c>
      <c r="C935" s="2">
        <v>42906</v>
      </c>
      <c r="D935" s="6" t="str">
        <f t="shared" si="780"/>
        <v>Jun</v>
      </c>
      <c r="E935" s="6" t="str">
        <f t="shared" si="781"/>
        <v>Qtr 2</v>
      </c>
      <c r="F935" s="5" t="s">
        <v>2340</v>
      </c>
      <c r="G935" s="1" t="s">
        <v>49</v>
      </c>
      <c r="H935" s="1" t="s">
        <v>2341</v>
      </c>
      <c r="I935" s="1" t="s">
        <v>2342</v>
      </c>
      <c r="J935" s="1" t="str">
        <f ca="1">IFERROR(__xludf.DUMMYFUNCTION("split(I935,"" "")"),"Catherine")</f>
        <v>Catherine</v>
      </c>
      <c r="K935" s="1" t="str">
        <f ca="1">IFERROR(__xludf.DUMMYFUNCTION("""COMPUTED_VALUE"""),"Glotzbach")</f>
        <v>Glotzbach</v>
      </c>
      <c r="L935" s="1"/>
      <c r="M935" s="1" t="s">
        <v>87</v>
      </c>
      <c r="N935" s="1" t="s">
        <v>30</v>
      </c>
      <c r="O935" s="1" t="s">
        <v>126</v>
      </c>
      <c r="P935" s="1" t="str">
        <f t="shared" si="782"/>
        <v>Philadelphia</v>
      </c>
      <c r="Q935" s="1" t="s">
        <v>127</v>
      </c>
      <c r="R935" s="1" t="str">
        <f t="shared" si="783"/>
        <v>Pennsylvania</v>
      </c>
      <c r="S935" s="1">
        <v>19120</v>
      </c>
      <c r="T935" s="1" t="s">
        <v>128</v>
      </c>
      <c r="U935" s="1" t="s">
        <v>2343</v>
      </c>
      <c r="V935" s="1" t="s">
        <v>46</v>
      </c>
      <c r="W935" s="7">
        <v>45.055999999999997</v>
      </c>
      <c r="X935" s="1">
        <v>1</v>
      </c>
      <c r="Y935" s="7">
        <v>44.63</v>
      </c>
      <c r="Z935" s="7">
        <f t="shared" ref="Z935:AA935" si="953">W935*X935</f>
        <v>45.055999999999997</v>
      </c>
      <c r="AA935" s="7">
        <f t="shared" si="953"/>
        <v>44.63</v>
      </c>
      <c r="AB935" s="7">
        <f t="shared" si="785"/>
        <v>0.42599999999999483</v>
      </c>
    </row>
    <row r="936" spans="1:28">
      <c r="A936" s="1">
        <v>935</v>
      </c>
      <c r="B936" s="1" t="s">
        <v>2339</v>
      </c>
      <c r="C936" s="2">
        <v>42906</v>
      </c>
      <c r="D936" s="6" t="str">
        <f t="shared" si="780"/>
        <v>Jun</v>
      </c>
      <c r="E936" s="6" t="str">
        <f t="shared" si="781"/>
        <v>Qtr 2</v>
      </c>
      <c r="F936" s="5" t="s">
        <v>2340</v>
      </c>
      <c r="G936" s="1" t="s">
        <v>49</v>
      </c>
      <c r="H936" s="1" t="s">
        <v>2341</v>
      </c>
      <c r="I936" s="1" t="s">
        <v>2342</v>
      </c>
      <c r="J936" s="1" t="str">
        <f ca="1">IFERROR(__xludf.DUMMYFUNCTION("split(I936,"" "")"),"Catherine")</f>
        <v>Catherine</v>
      </c>
      <c r="K936" s="1" t="str">
        <f ca="1">IFERROR(__xludf.DUMMYFUNCTION("""COMPUTED_VALUE"""),"Glotzbach")</f>
        <v>Glotzbach</v>
      </c>
      <c r="L936" s="1"/>
      <c r="M936" s="1" t="s">
        <v>87</v>
      </c>
      <c r="N936" s="1" t="s">
        <v>30</v>
      </c>
      <c r="O936" s="1" t="s">
        <v>126</v>
      </c>
      <c r="P936" s="1" t="str">
        <f t="shared" si="782"/>
        <v>Philadelphia</v>
      </c>
      <c r="Q936" s="1" t="s">
        <v>127</v>
      </c>
      <c r="R936" s="1" t="str">
        <f t="shared" si="783"/>
        <v>Pennsylvania</v>
      </c>
      <c r="S936" s="1">
        <v>19120</v>
      </c>
      <c r="T936" s="1" t="s">
        <v>128</v>
      </c>
      <c r="U936" s="1" t="s">
        <v>2344</v>
      </c>
      <c r="V936" s="1" t="s">
        <v>46</v>
      </c>
      <c r="W936" s="7">
        <v>29.718</v>
      </c>
      <c r="X936" s="1">
        <v>1</v>
      </c>
      <c r="Y936" s="7">
        <v>29.25</v>
      </c>
      <c r="Z936" s="7">
        <f t="shared" ref="Z936:AA936" si="954">W936*X936</f>
        <v>29.718</v>
      </c>
      <c r="AA936" s="7">
        <f t="shared" si="954"/>
        <v>29.25</v>
      </c>
      <c r="AB936" s="7">
        <f t="shared" si="785"/>
        <v>0.46799999999999997</v>
      </c>
    </row>
    <row r="937" spans="1:28">
      <c r="A937" s="1">
        <v>936</v>
      </c>
      <c r="B937" s="1" t="s">
        <v>2339</v>
      </c>
      <c r="C937" s="2">
        <v>42906</v>
      </c>
      <c r="D937" s="6" t="str">
        <f t="shared" si="780"/>
        <v>Jun</v>
      </c>
      <c r="E937" s="6" t="str">
        <f t="shared" si="781"/>
        <v>Qtr 2</v>
      </c>
      <c r="F937" s="5" t="s">
        <v>2340</v>
      </c>
      <c r="G937" s="1" t="s">
        <v>49</v>
      </c>
      <c r="H937" s="1" t="s">
        <v>2341</v>
      </c>
      <c r="I937" s="1" t="s">
        <v>2342</v>
      </c>
      <c r="J937" s="1" t="str">
        <f ca="1">IFERROR(__xludf.DUMMYFUNCTION("split(I937,"" "")"),"Catherine")</f>
        <v>Catherine</v>
      </c>
      <c r="K937" s="1" t="str">
        <f ca="1">IFERROR(__xludf.DUMMYFUNCTION("""COMPUTED_VALUE"""),"Glotzbach")</f>
        <v>Glotzbach</v>
      </c>
      <c r="L937" s="1"/>
      <c r="M937" s="1" t="s">
        <v>87</v>
      </c>
      <c r="N937" s="1" t="s">
        <v>30</v>
      </c>
      <c r="O937" s="1" t="s">
        <v>126</v>
      </c>
      <c r="P937" s="1" t="str">
        <f t="shared" si="782"/>
        <v>Philadelphia</v>
      </c>
      <c r="Q937" s="1" t="s">
        <v>127</v>
      </c>
      <c r="R937" s="1" t="str">
        <f t="shared" si="783"/>
        <v>Pennsylvania</v>
      </c>
      <c r="S937" s="1">
        <v>19120</v>
      </c>
      <c r="T937" s="1" t="s">
        <v>128</v>
      </c>
      <c r="U937" s="1" t="s">
        <v>2166</v>
      </c>
      <c r="V937" s="1" t="s">
        <v>46</v>
      </c>
      <c r="W937" s="7">
        <v>15.552</v>
      </c>
      <c r="X937" s="1">
        <v>1</v>
      </c>
      <c r="Y937" s="7">
        <v>14.89</v>
      </c>
      <c r="Z937" s="7">
        <f t="shared" ref="Z937:AA937" si="955">W937*X937</f>
        <v>15.552</v>
      </c>
      <c r="AA937" s="7">
        <f t="shared" si="955"/>
        <v>14.89</v>
      </c>
      <c r="AB937" s="7">
        <f t="shared" si="785"/>
        <v>0.66199999999999903</v>
      </c>
    </row>
    <row r="938" spans="1:28">
      <c r="A938" s="1">
        <v>937</v>
      </c>
      <c r="B938" s="1" t="s">
        <v>2339</v>
      </c>
      <c r="C938" s="2">
        <v>42906</v>
      </c>
      <c r="D938" s="6" t="str">
        <f t="shared" si="780"/>
        <v>Jun</v>
      </c>
      <c r="E938" s="6" t="str">
        <f t="shared" si="781"/>
        <v>Qtr 2</v>
      </c>
      <c r="F938" s="5" t="s">
        <v>2340</v>
      </c>
      <c r="G938" s="1" t="s">
        <v>49</v>
      </c>
      <c r="H938" s="1" t="s">
        <v>2341</v>
      </c>
      <c r="I938" s="1" t="s">
        <v>2342</v>
      </c>
      <c r="J938" s="1" t="str">
        <f ca="1">IFERROR(__xludf.DUMMYFUNCTION("split(I938,"" "")"),"Catherine")</f>
        <v>Catherine</v>
      </c>
      <c r="K938" s="1" t="str">
        <f ca="1">IFERROR(__xludf.DUMMYFUNCTION("""COMPUTED_VALUE"""),"Glotzbach")</f>
        <v>Glotzbach</v>
      </c>
      <c r="L938" s="1"/>
      <c r="M938" s="1" t="s">
        <v>87</v>
      </c>
      <c r="N938" s="1" t="s">
        <v>30</v>
      </c>
      <c r="O938" s="1" t="s">
        <v>126</v>
      </c>
      <c r="P938" s="1" t="str">
        <f t="shared" si="782"/>
        <v>Philadelphia</v>
      </c>
      <c r="Q938" s="1" t="s">
        <v>127</v>
      </c>
      <c r="R938" s="1" t="str">
        <f t="shared" si="783"/>
        <v>Pennsylvania</v>
      </c>
      <c r="S938" s="1">
        <v>19120</v>
      </c>
      <c r="T938" s="1" t="s">
        <v>128</v>
      </c>
      <c r="U938" s="1" t="s">
        <v>496</v>
      </c>
      <c r="V938" s="1" t="s">
        <v>46</v>
      </c>
      <c r="W938" s="7">
        <v>447.69600000000003</v>
      </c>
      <c r="X938" s="1">
        <v>1</v>
      </c>
      <c r="Y938" s="7">
        <v>446.88</v>
      </c>
      <c r="Z938" s="7">
        <f t="shared" ref="Z938:AA938" si="956">W938*X938</f>
        <v>447.69600000000003</v>
      </c>
      <c r="AA938" s="7">
        <f t="shared" si="956"/>
        <v>446.88</v>
      </c>
      <c r="AB938" s="7">
        <f t="shared" si="785"/>
        <v>0.81600000000003092</v>
      </c>
    </row>
    <row r="939" spans="1:28">
      <c r="A939" s="1">
        <v>938</v>
      </c>
      <c r="B939" s="1" t="s">
        <v>2345</v>
      </c>
      <c r="C939" s="2">
        <v>43231</v>
      </c>
      <c r="D939" s="6" t="str">
        <f t="shared" si="780"/>
        <v>May</v>
      </c>
      <c r="E939" s="6" t="str">
        <f t="shared" si="781"/>
        <v>Qtr 2</v>
      </c>
      <c r="F939" s="5">
        <v>43262</v>
      </c>
      <c r="G939" s="1" t="s">
        <v>162</v>
      </c>
      <c r="H939" s="1" t="s">
        <v>186</v>
      </c>
      <c r="I939" s="1" t="s">
        <v>187</v>
      </c>
      <c r="J939" s="1" t="str">
        <f ca="1">IFERROR(__xludf.DUMMYFUNCTION("split(I939,"" "")"),"Ruben")</f>
        <v>Ruben</v>
      </c>
      <c r="K939" s="1" t="str">
        <f ca="1">IFERROR(__xludf.DUMMYFUNCTION("""COMPUTED_VALUE"""),"Ausman")</f>
        <v>Ausman</v>
      </c>
      <c r="L939" s="1"/>
      <c r="M939" s="1" t="s">
        <v>41</v>
      </c>
      <c r="N939" s="1" t="s">
        <v>30</v>
      </c>
      <c r="O939" s="1" t="s">
        <v>2346</v>
      </c>
      <c r="P939" s="1" t="str">
        <f t="shared" si="782"/>
        <v>Farmington</v>
      </c>
      <c r="Q939" s="1" t="s">
        <v>556</v>
      </c>
      <c r="R939" s="1" t="str">
        <f t="shared" si="783"/>
        <v>New Mexico</v>
      </c>
      <c r="S939" s="1">
        <v>87401</v>
      </c>
      <c r="T939" s="1" t="s">
        <v>44</v>
      </c>
      <c r="U939" s="1" t="s">
        <v>1068</v>
      </c>
      <c r="V939" s="1" t="s">
        <v>64</v>
      </c>
      <c r="W939" s="7">
        <v>159.99</v>
      </c>
      <c r="X939" s="1">
        <v>8</v>
      </c>
      <c r="Y939" s="7">
        <v>159.36000000000001</v>
      </c>
      <c r="Z939" s="7">
        <f t="shared" ref="Z939:AA939" si="957">W939*X939</f>
        <v>1279.92</v>
      </c>
      <c r="AA939" s="7">
        <f t="shared" si="957"/>
        <v>1274.8800000000001</v>
      </c>
      <c r="AB939" s="7">
        <f t="shared" si="785"/>
        <v>5.0399999999999636</v>
      </c>
    </row>
    <row r="940" spans="1:28">
      <c r="A940" s="1">
        <v>939</v>
      </c>
      <c r="B940" s="1" t="s">
        <v>2347</v>
      </c>
      <c r="C940" s="2">
        <v>42717</v>
      </c>
      <c r="D940" s="6" t="str">
        <f t="shared" si="780"/>
        <v>Dec</v>
      </c>
      <c r="E940" s="6" t="str">
        <f t="shared" si="781"/>
        <v>Qtr 4</v>
      </c>
      <c r="F940" s="5" t="s">
        <v>2348</v>
      </c>
      <c r="G940" s="1" t="s">
        <v>49</v>
      </c>
      <c r="H940" s="1" t="s">
        <v>2349</v>
      </c>
      <c r="I940" s="1" t="s">
        <v>2350</v>
      </c>
      <c r="J940" s="1" t="str">
        <f ca="1">IFERROR(__xludf.DUMMYFUNCTION("split(I940,"" "")"),"Rachel")</f>
        <v>Rachel</v>
      </c>
      <c r="K940" s="1" t="str">
        <f ca="1">IFERROR(__xludf.DUMMYFUNCTION("""COMPUTED_VALUE"""),"Payne")</f>
        <v>Payne</v>
      </c>
      <c r="L940" s="1"/>
      <c r="M940" s="1" t="s">
        <v>41</v>
      </c>
      <c r="N940" s="1" t="s">
        <v>30</v>
      </c>
      <c r="O940" s="1" t="s">
        <v>2351</v>
      </c>
      <c r="P940" s="1" t="str">
        <f t="shared" si="782"/>
        <v>Riverside</v>
      </c>
      <c r="Q940" s="1" t="s">
        <v>68</v>
      </c>
      <c r="R940" s="1" t="str">
        <f t="shared" si="783"/>
        <v>California</v>
      </c>
      <c r="S940" s="1">
        <v>92503</v>
      </c>
      <c r="T940" s="1" t="s">
        <v>44</v>
      </c>
      <c r="U940" s="1" t="s">
        <v>2352</v>
      </c>
      <c r="V940" s="1" t="s">
        <v>46</v>
      </c>
      <c r="W940" s="7">
        <v>12.96</v>
      </c>
      <c r="X940" s="1">
        <v>9</v>
      </c>
      <c r="Y940" s="7">
        <v>12.37</v>
      </c>
      <c r="Z940" s="7">
        <f t="shared" ref="Z940:AA940" si="958">W940*X940</f>
        <v>116.64000000000001</v>
      </c>
      <c r="AA940" s="7">
        <f t="shared" si="958"/>
        <v>111.33</v>
      </c>
      <c r="AB940" s="7">
        <f t="shared" si="785"/>
        <v>5.3100000000000165</v>
      </c>
    </row>
    <row r="941" spans="1:28">
      <c r="A941" s="1">
        <v>940</v>
      </c>
      <c r="B941" s="1" t="s">
        <v>2347</v>
      </c>
      <c r="C941" s="2">
        <v>42717</v>
      </c>
      <c r="D941" s="6" t="str">
        <f t="shared" si="780"/>
        <v>Dec</v>
      </c>
      <c r="E941" s="6" t="str">
        <f t="shared" si="781"/>
        <v>Qtr 4</v>
      </c>
      <c r="F941" s="5" t="s">
        <v>2348</v>
      </c>
      <c r="G941" s="1" t="s">
        <v>49</v>
      </c>
      <c r="H941" s="1" t="s">
        <v>2349</v>
      </c>
      <c r="I941" s="1" t="s">
        <v>2350</v>
      </c>
      <c r="J941" s="1" t="str">
        <f ca="1">IFERROR(__xludf.DUMMYFUNCTION("split(I941,"" "")"),"Rachel")</f>
        <v>Rachel</v>
      </c>
      <c r="K941" s="1" t="str">
        <f ca="1">IFERROR(__xludf.DUMMYFUNCTION("""COMPUTED_VALUE"""),"Payne")</f>
        <v>Payne</v>
      </c>
      <c r="L941" s="1"/>
      <c r="M941" s="1" t="s">
        <v>41</v>
      </c>
      <c r="N941" s="1" t="s">
        <v>30</v>
      </c>
      <c r="O941" s="1" t="s">
        <v>2351</v>
      </c>
      <c r="P941" s="1" t="str">
        <f t="shared" si="782"/>
        <v>Riverside</v>
      </c>
      <c r="Q941" s="1" t="s">
        <v>68</v>
      </c>
      <c r="R941" s="1" t="str">
        <f t="shared" si="783"/>
        <v>California</v>
      </c>
      <c r="S941" s="1">
        <v>92503</v>
      </c>
      <c r="T941" s="1" t="s">
        <v>44</v>
      </c>
      <c r="U941" s="1" t="s">
        <v>2353</v>
      </c>
      <c r="V941" s="1" t="s">
        <v>46</v>
      </c>
      <c r="W941" s="7">
        <v>134.47999999999999</v>
      </c>
      <c r="X941" s="1">
        <v>9</v>
      </c>
      <c r="Y941" s="7">
        <v>134.18</v>
      </c>
      <c r="Z941" s="7">
        <f t="shared" ref="Z941:AA941" si="959">W941*X941</f>
        <v>1210.32</v>
      </c>
      <c r="AA941" s="7">
        <f t="shared" si="959"/>
        <v>1207.6200000000001</v>
      </c>
      <c r="AB941" s="7">
        <f t="shared" si="785"/>
        <v>2.6999999999998181</v>
      </c>
    </row>
    <row r="942" spans="1:28">
      <c r="A942" s="1">
        <v>941</v>
      </c>
      <c r="B942" s="1" t="s">
        <v>2354</v>
      </c>
      <c r="C942" s="2">
        <v>42905</v>
      </c>
      <c r="D942" s="6" t="str">
        <f t="shared" si="780"/>
        <v>Jun</v>
      </c>
      <c r="E942" s="6" t="str">
        <f t="shared" si="781"/>
        <v>Qtr 2</v>
      </c>
      <c r="F942" s="5" t="s">
        <v>2355</v>
      </c>
      <c r="G942" s="1" t="s">
        <v>162</v>
      </c>
      <c r="H942" s="1" t="s">
        <v>2356</v>
      </c>
      <c r="I942" s="1" t="s">
        <v>2357</v>
      </c>
      <c r="J942" s="1" t="str">
        <f ca="1">IFERROR(__xludf.DUMMYFUNCTION("split(I942,"" "")"),"Karen")</f>
        <v>Karen</v>
      </c>
      <c r="K942" s="1" t="str">
        <f ca="1">IFERROR(__xludf.DUMMYFUNCTION("""COMPUTED_VALUE"""),"Carlisle")</f>
        <v>Carlisle</v>
      </c>
      <c r="L942" s="1"/>
      <c r="M942" s="1" t="s">
        <v>41</v>
      </c>
      <c r="N942" s="1" t="s">
        <v>30</v>
      </c>
      <c r="O942" s="1" t="s">
        <v>110</v>
      </c>
      <c r="P942" s="1" t="str">
        <f t="shared" si="782"/>
        <v>San Francisco</v>
      </c>
      <c r="Q942" s="1" t="s">
        <v>68</v>
      </c>
      <c r="R942" s="1" t="str">
        <f t="shared" si="783"/>
        <v>California</v>
      </c>
      <c r="S942" s="1">
        <v>94110</v>
      </c>
      <c r="T942" s="1" t="s">
        <v>44</v>
      </c>
      <c r="U942" s="1" t="s">
        <v>2358</v>
      </c>
      <c r="V942" s="1" t="s">
        <v>46</v>
      </c>
      <c r="W942" s="7">
        <v>17.12</v>
      </c>
      <c r="X942" s="1">
        <v>9</v>
      </c>
      <c r="Y942" s="7">
        <v>17.11</v>
      </c>
      <c r="Z942" s="7">
        <f t="shared" ref="Z942:AA942" si="960">W942*X942</f>
        <v>154.08000000000001</v>
      </c>
      <c r="AA942" s="7">
        <f t="shared" si="960"/>
        <v>153.99</v>
      </c>
      <c r="AB942" s="7">
        <f t="shared" si="785"/>
        <v>9.0000000000003411E-2</v>
      </c>
    </row>
    <row r="943" spans="1:28">
      <c r="A943" s="1">
        <v>942</v>
      </c>
      <c r="B943" s="1" t="s">
        <v>2359</v>
      </c>
      <c r="C943" s="2">
        <v>43082</v>
      </c>
      <c r="D943" s="6" t="str">
        <f t="shared" si="780"/>
        <v>Dec</v>
      </c>
      <c r="E943" s="6" t="str">
        <f t="shared" si="781"/>
        <v>Qtr 4</v>
      </c>
      <c r="F943" s="5" t="s">
        <v>868</v>
      </c>
      <c r="G943" s="1" t="s">
        <v>49</v>
      </c>
      <c r="H943" s="1" t="s">
        <v>2307</v>
      </c>
      <c r="I943" s="1" t="s">
        <v>2308</v>
      </c>
      <c r="J943" s="1" t="str">
        <f ca="1">IFERROR(__xludf.DUMMYFUNCTION("split(I943,"" "")"),"Rob")</f>
        <v>Rob</v>
      </c>
      <c r="K943" s="1" t="str">
        <f ca="1">IFERROR(__xludf.DUMMYFUNCTION("""COMPUTED_VALUE"""),"Williams")</f>
        <v>Williams</v>
      </c>
      <c r="L943" s="1"/>
      <c r="M943" s="1" t="s">
        <v>41</v>
      </c>
      <c r="N943" s="1" t="s">
        <v>30</v>
      </c>
      <c r="O943" s="1" t="s">
        <v>2360</v>
      </c>
      <c r="P943" s="1" t="str">
        <f t="shared" si="782"/>
        <v>Torrance</v>
      </c>
      <c r="Q943" s="1" t="s">
        <v>68</v>
      </c>
      <c r="R943" s="1" t="str">
        <f t="shared" si="783"/>
        <v>California</v>
      </c>
      <c r="S943" s="1">
        <v>90503</v>
      </c>
      <c r="T943" s="1" t="s">
        <v>44</v>
      </c>
      <c r="U943" s="1" t="s">
        <v>2361</v>
      </c>
      <c r="V943" s="1" t="s">
        <v>46</v>
      </c>
      <c r="W943" s="7">
        <v>6.0960000000000001</v>
      </c>
      <c r="X943" s="1">
        <v>9</v>
      </c>
      <c r="Y943" s="7">
        <v>5.43</v>
      </c>
      <c r="Z943" s="7">
        <f t="shared" ref="Z943:AA943" si="961">W943*X943</f>
        <v>54.864000000000004</v>
      </c>
      <c r="AA943" s="7">
        <f t="shared" si="961"/>
        <v>48.87</v>
      </c>
      <c r="AB943" s="7">
        <f t="shared" si="785"/>
        <v>5.9940000000000069</v>
      </c>
    </row>
    <row r="944" spans="1:28">
      <c r="A944" s="1">
        <v>943</v>
      </c>
      <c r="B944" s="1" t="s">
        <v>2359</v>
      </c>
      <c r="C944" s="2">
        <v>43082</v>
      </c>
      <c r="D944" s="6" t="str">
        <f t="shared" si="780"/>
        <v>Dec</v>
      </c>
      <c r="E944" s="6" t="str">
        <f t="shared" si="781"/>
        <v>Qtr 4</v>
      </c>
      <c r="F944" s="5" t="s">
        <v>868</v>
      </c>
      <c r="G944" s="1" t="s">
        <v>49</v>
      </c>
      <c r="H944" s="1" t="s">
        <v>2307</v>
      </c>
      <c r="I944" s="1" t="s">
        <v>2308</v>
      </c>
      <c r="J944" s="1" t="str">
        <f ca="1">IFERROR(__xludf.DUMMYFUNCTION("split(I944,"" "")"),"Rob")</f>
        <v>Rob</v>
      </c>
      <c r="K944" s="1" t="str">
        <f ca="1">IFERROR(__xludf.DUMMYFUNCTION("""COMPUTED_VALUE"""),"Williams")</f>
        <v>Williams</v>
      </c>
      <c r="L944" s="1"/>
      <c r="M944" s="1" t="s">
        <v>41</v>
      </c>
      <c r="N944" s="1" t="s">
        <v>30</v>
      </c>
      <c r="O944" s="1" t="s">
        <v>2360</v>
      </c>
      <c r="P944" s="1" t="str">
        <f t="shared" si="782"/>
        <v>Torrance</v>
      </c>
      <c r="Q944" s="1" t="s">
        <v>68</v>
      </c>
      <c r="R944" s="1" t="str">
        <f t="shared" si="783"/>
        <v>California</v>
      </c>
      <c r="S944" s="1">
        <v>90503</v>
      </c>
      <c r="T944" s="1" t="s">
        <v>44</v>
      </c>
      <c r="U944" s="1" t="s">
        <v>54</v>
      </c>
      <c r="V944" s="1" t="s">
        <v>35</v>
      </c>
      <c r="W944" s="7">
        <v>1114.2719999999999</v>
      </c>
      <c r="X944" s="1">
        <v>9</v>
      </c>
      <c r="Y944" s="7">
        <v>1113.48</v>
      </c>
      <c r="Z944" s="7">
        <f t="shared" ref="Z944:AA944" si="962">W944*X944</f>
        <v>10028.448</v>
      </c>
      <c r="AA944" s="7">
        <f t="shared" si="962"/>
        <v>10021.32</v>
      </c>
      <c r="AB944" s="7">
        <f t="shared" si="785"/>
        <v>7.1280000000006112</v>
      </c>
    </row>
    <row r="945" spans="1:28">
      <c r="A945" s="1">
        <v>944</v>
      </c>
      <c r="B945" s="1" t="s">
        <v>2362</v>
      </c>
      <c r="C945" s="2">
        <v>42519</v>
      </c>
      <c r="D945" s="6" t="str">
        <f t="shared" si="780"/>
        <v>May</v>
      </c>
      <c r="E945" s="6" t="str">
        <f t="shared" si="781"/>
        <v>Qtr 2</v>
      </c>
      <c r="F945" s="5">
        <v>42435</v>
      </c>
      <c r="G945" s="1" t="s">
        <v>49</v>
      </c>
      <c r="H945" s="1" t="s">
        <v>978</v>
      </c>
      <c r="I945" s="1" t="s">
        <v>979</v>
      </c>
      <c r="J945" s="1" t="str">
        <f ca="1">IFERROR(__xludf.DUMMYFUNCTION("split(I945,"" "")"),"John")</f>
        <v>John</v>
      </c>
      <c r="K945" s="1" t="str">
        <f ca="1">IFERROR(__xludf.DUMMYFUNCTION("""COMPUTED_VALUE"""),"Lucas")</f>
        <v>Lucas</v>
      </c>
      <c r="L945" s="1"/>
      <c r="M945" s="1" t="s">
        <v>29</v>
      </c>
      <c r="N945" s="1" t="s">
        <v>30</v>
      </c>
      <c r="O945" s="1" t="s">
        <v>80</v>
      </c>
      <c r="P945" s="1" t="str">
        <f t="shared" si="782"/>
        <v>Seattle</v>
      </c>
      <c r="Q945" s="1" t="s">
        <v>81</v>
      </c>
      <c r="R945" s="1" t="str">
        <f t="shared" si="783"/>
        <v>Washington</v>
      </c>
      <c r="S945" s="1">
        <v>98105</v>
      </c>
      <c r="T945" s="1" t="s">
        <v>44</v>
      </c>
      <c r="U945" s="1" t="s">
        <v>1612</v>
      </c>
      <c r="V945" s="1" t="s">
        <v>46</v>
      </c>
      <c r="W945" s="7">
        <v>32.4</v>
      </c>
      <c r="X945" s="1">
        <v>9</v>
      </c>
      <c r="Y945" s="7">
        <v>32.32</v>
      </c>
      <c r="Z945" s="7">
        <f t="shared" ref="Z945:AA945" si="963">W945*X945</f>
        <v>291.59999999999997</v>
      </c>
      <c r="AA945" s="7">
        <f t="shared" si="963"/>
        <v>290.88</v>
      </c>
      <c r="AB945" s="7">
        <f t="shared" si="785"/>
        <v>0.71999999999997044</v>
      </c>
    </row>
    <row r="946" spans="1:28">
      <c r="A946" s="1">
        <v>945</v>
      </c>
      <c r="B946" s="1" t="s">
        <v>2362</v>
      </c>
      <c r="C946" s="2">
        <v>42519</v>
      </c>
      <c r="D946" s="6" t="str">
        <f t="shared" si="780"/>
        <v>May</v>
      </c>
      <c r="E946" s="6" t="str">
        <f t="shared" si="781"/>
        <v>Qtr 2</v>
      </c>
      <c r="F946" s="5">
        <v>42435</v>
      </c>
      <c r="G946" s="1" t="s">
        <v>49</v>
      </c>
      <c r="H946" s="1" t="s">
        <v>978</v>
      </c>
      <c r="I946" s="1" t="s">
        <v>979</v>
      </c>
      <c r="J946" s="1" t="str">
        <f ca="1">IFERROR(__xludf.DUMMYFUNCTION("split(I946,"" "")"),"John")</f>
        <v>John</v>
      </c>
      <c r="K946" s="1" t="str">
        <f ca="1">IFERROR(__xludf.DUMMYFUNCTION("""COMPUTED_VALUE"""),"Lucas")</f>
        <v>Lucas</v>
      </c>
      <c r="L946" s="1"/>
      <c r="M946" s="1" t="s">
        <v>29</v>
      </c>
      <c r="N946" s="1" t="s">
        <v>30</v>
      </c>
      <c r="O946" s="1" t="s">
        <v>80</v>
      </c>
      <c r="P946" s="1" t="str">
        <f t="shared" si="782"/>
        <v>Seattle</v>
      </c>
      <c r="Q946" s="1" t="s">
        <v>81</v>
      </c>
      <c r="R946" s="1" t="str">
        <f t="shared" si="783"/>
        <v>Washington</v>
      </c>
      <c r="S946" s="1">
        <v>98105</v>
      </c>
      <c r="T946" s="1" t="s">
        <v>44</v>
      </c>
      <c r="U946" s="1" t="s">
        <v>2363</v>
      </c>
      <c r="V946" s="1" t="s">
        <v>46</v>
      </c>
      <c r="W946" s="7">
        <v>540.57000000000005</v>
      </c>
      <c r="X946" s="1">
        <v>9</v>
      </c>
      <c r="Y946" s="7">
        <v>539.79999999999995</v>
      </c>
      <c r="Z946" s="7">
        <f t="shared" ref="Z946:AA946" si="964">W946*X946</f>
        <v>4865.13</v>
      </c>
      <c r="AA946" s="7">
        <f t="shared" si="964"/>
        <v>4858.2</v>
      </c>
      <c r="AB946" s="7">
        <f t="shared" si="785"/>
        <v>6.930000000000291</v>
      </c>
    </row>
    <row r="947" spans="1:28">
      <c r="A947" s="1">
        <v>946</v>
      </c>
      <c r="B947" s="1" t="s">
        <v>2362</v>
      </c>
      <c r="C947" s="2">
        <v>42519</v>
      </c>
      <c r="D947" s="6" t="str">
        <f t="shared" si="780"/>
        <v>May</v>
      </c>
      <c r="E947" s="6" t="str">
        <f t="shared" si="781"/>
        <v>Qtr 2</v>
      </c>
      <c r="F947" s="5">
        <v>42435</v>
      </c>
      <c r="G947" s="1" t="s">
        <v>49</v>
      </c>
      <c r="H947" s="1" t="s">
        <v>978</v>
      </c>
      <c r="I947" s="1" t="s">
        <v>979</v>
      </c>
      <c r="J947" s="1" t="str">
        <f ca="1">IFERROR(__xludf.DUMMYFUNCTION("split(I947,"" "")"),"John")</f>
        <v>John</v>
      </c>
      <c r="K947" s="1" t="str">
        <f ca="1">IFERROR(__xludf.DUMMYFUNCTION("""COMPUTED_VALUE"""),"Lucas")</f>
        <v>Lucas</v>
      </c>
      <c r="L947" s="1"/>
      <c r="M947" s="1" t="s">
        <v>29</v>
      </c>
      <c r="N947" s="1" t="s">
        <v>30</v>
      </c>
      <c r="O947" s="1" t="s">
        <v>80</v>
      </c>
      <c r="P947" s="1" t="str">
        <f t="shared" si="782"/>
        <v>Seattle</v>
      </c>
      <c r="Q947" s="1" t="s">
        <v>81</v>
      </c>
      <c r="R947" s="1" t="str">
        <f t="shared" si="783"/>
        <v>Washington</v>
      </c>
      <c r="S947" s="1">
        <v>98105</v>
      </c>
      <c r="T947" s="1" t="s">
        <v>44</v>
      </c>
      <c r="U947" s="1" t="s">
        <v>2364</v>
      </c>
      <c r="V947" s="1" t="s">
        <v>46</v>
      </c>
      <c r="W947" s="7">
        <v>167.76</v>
      </c>
      <c r="X947" s="1">
        <v>9</v>
      </c>
      <c r="Y947" s="7">
        <v>167.02</v>
      </c>
      <c r="Z947" s="7">
        <f t="shared" ref="Z947:AA947" si="965">W947*X947</f>
        <v>1509.84</v>
      </c>
      <c r="AA947" s="7">
        <f t="shared" si="965"/>
        <v>1503.18</v>
      </c>
      <c r="AB947" s="7">
        <f t="shared" si="785"/>
        <v>6.6599999999998545</v>
      </c>
    </row>
    <row r="948" spans="1:28">
      <c r="A948" s="1">
        <v>947</v>
      </c>
      <c r="B948" s="1" t="s">
        <v>2365</v>
      </c>
      <c r="C948" s="2">
        <v>42577</v>
      </c>
      <c r="D948" s="6" t="str">
        <f t="shared" si="780"/>
        <v>Jul</v>
      </c>
      <c r="E948" s="6" t="str">
        <f t="shared" si="781"/>
        <v>Qtr 3</v>
      </c>
      <c r="F948" s="5" t="s">
        <v>2366</v>
      </c>
      <c r="G948" s="1" t="s">
        <v>162</v>
      </c>
      <c r="H948" s="1" t="s">
        <v>1552</v>
      </c>
      <c r="I948" s="1" t="s">
        <v>1553</v>
      </c>
      <c r="J948" s="1" t="str">
        <f ca="1">IFERROR(__xludf.DUMMYFUNCTION("split(I948,"" "")"),"Cynthia")</f>
        <v>Cynthia</v>
      </c>
      <c r="K948" s="1" t="str">
        <f ca="1">IFERROR(__xludf.DUMMYFUNCTION("""COMPUTED_VALUE"""),"Arntzen")</f>
        <v>Arntzen</v>
      </c>
      <c r="L948" s="1"/>
      <c r="M948" s="1" t="s">
        <v>29</v>
      </c>
      <c r="N948" s="1" t="s">
        <v>30</v>
      </c>
      <c r="O948" s="1" t="s">
        <v>1484</v>
      </c>
      <c r="P948" s="1" t="str">
        <f t="shared" si="782"/>
        <v>Mesa</v>
      </c>
      <c r="Q948" s="1" t="s">
        <v>265</v>
      </c>
      <c r="R948" s="1" t="str">
        <f t="shared" si="783"/>
        <v>Arizona</v>
      </c>
      <c r="S948" s="1">
        <v>85204</v>
      </c>
      <c r="T948" s="1" t="s">
        <v>44</v>
      </c>
      <c r="U948" s="1" t="s">
        <v>2367</v>
      </c>
      <c r="V948" s="1" t="s">
        <v>35</v>
      </c>
      <c r="W948" s="7">
        <v>393.16500000000002</v>
      </c>
      <c r="X948" s="1">
        <v>8</v>
      </c>
      <c r="Y948" s="7">
        <v>392.86</v>
      </c>
      <c r="Z948" s="7">
        <f t="shared" ref="Z948:AA948" si="966">W948*X948</f>
        <v>3145.32</v>
      </c>
      <c r="AA948" s="7">
        <f t="shared" si="966"/>
        <v>3142.88</v>
      </c>
      <c r="AB948" s="7">
        <f t="shared" si="785"/>
        <v>2.4400000000000546</v>
      </c>
    </row>
    <row r="949" spans="1:28">
      <c r="A949" s="1">
        <v>948</v>
      </c>
      <c r="B949" s="1" t="s">
        <v>2368</v>
      </c>
      <c r="C949" s="2">
        <v>43432</v>
      </c>
      <c r="D949" s="6" t="str">
        <f t="shared" si="780"/>
        <v>Nov</v>
      </c>
      <c r="E949" s="6" t="str">
        <f t="shared" si="781"/>
        <v>Qtr 4</v>
      </c>
      <c r="F949" s="5">
        <v>43143</v>
      </c>
      <c r="G949" s="1" t="s">
        <v>49</v>
      </c>
      <c r="H949" s="1" t="s">
        <v>1230</v>
      </c>
      <c r="I949" s="1" t="s">
        <v>1231</v>
      </c>
      <c r="J949" s="1" t="str">
        <f ca="1">IFERROR(__xludf.DUMMYFUNCTION("split(I949,"" "")"),"Ross")</f>
        <v>Ross</v>
      </c>
      <c r="K949" s="1" t="str">
        <f ca="1">IFERROR(__xludf.DUMMYFUNCTION("""COMPUTED_VALUE"""),"Baird")</f>
        <v>Baird</v>
      </c>
      <c r="L949" s="1"/>
      <c r="M949" s="1" t="s">
        <v>87</v>
      </c>
      <c r="N949" s="1" t="s">
        <v>30</v>
      </c>
      <c r="O949" s="1" t="s">
        <v>126</v>
      </c>
      <c r="P949" s="1" t="str">
        <f t="shared" si="782"/>
        <v>Philadelphia</v>
      </c>
      <c r="Q949" s="1" t="s">
        <v>127</v>
      </c>
      <c r="R949" s="1" t="str">
        <f t="shared" si="783"/>
        <v>Pennsylvania</v>
      </c>
      <c r="S949" s="1">
        <v>19120</v>
      </c>
      <c r="T949" s="1" t="s">
        <v>128</v>
      </c>
      <c r="U949" s="1" t="s">
        <v>2369</v>
      </c>
      <c r="V949" s="1" t="s">
        <v>35</v>
      </c>
      <c r="W949" s="7">
        <v>516.48800000000006</v>
      </c>
      <c r="X949" s="1">
        <v>1</v>
      </c>
      <c r="Y949" s="7">
        <v>516.14</v>
      </c>
      <c r="Z949" s="7">
        <f t="shared" ref="Z949:AA949" si="967">W949*X949</f>
        <v>516.48800000000006</v>
      </c>
      <c r="AA949" s="7">
        <f t="shared" si="967"/>
        <v>516.14</v>
      </c>
      <c r="AB949" s="7">
        <f t="shared" si="785"/>
        <v>0.34800000000007003</v>
      </c>
    </row>
    <row r="950" spans="1:28">
      <c r="A950" s="1">
        <v>949</v>
      </c>
      <c r="B950" s="1" t="s">
        <v>2368</v>
      </c>
      <c r="C950" s="2">
        <v>43432</v>
      </c>
      <c r="D950" s="6" t="str">
        <f t="shared" si="780"/>
        <v>Nov</v>
      </c>
      <c r="E950" s="6" t="str">
        <f t="shared" si="781"/>
        <v>Qtr 4</v>
      </c>
      <c r="F950" s="5">
        <v>43143</v>
      </c>
      <c r="G950" s="1" t="s">
        <v>49</v>
      </c>
      <c r="H950" s="1" t="s">
        <v>1230</v>
      </c>
      <c r="I950" s="1" t="s">
        <v>1231</v>
      </c>
      <c r="J950" s="1" t="str">
        <f ca="1">IFERROR(__xludf.DUMMYFUNCTION("split(I950,"" "")"),"Ross")</f>
        <v>Ross</v>
      </c>
      <c r="K950" s="1" t="str">
        <f ca="1">IFERROR(__xludf.DUMMYFUNCTION("""COMPUTED_VALUE"""),"Baird")</f>
        <v>Baird</v>
      </c>
      <c r="L950" s="1"/>
      <c r="M950" s="1" t="s">
        <v>87</v>
      </c>
      <c r="N950" s="1" t="s">
        <v>30</v>
      </c>
      <c r="O950" s="1" t="s">
        <v>126</v>
      </c>
      <c r="P950" s="1" t="str">
        <f t="shared" si="782"/>
        <v>Philadelphia</v>
      </c>
      <c r="Q950" s="1" t="s">
        <v>127</v>
      </c>
      <c r="R950" s="1" t="str">
        <f t="shared" si="783"/>
        <v>Pennsylvania</v>
      </c>
      <c r="S950" s="1">
        <v>19120</v>
      </c>
      <c r="T950" s="1" t="s">
        <v>128</v>
      </c>
      <c r="U950" s="1" t="s">
        <v>757</v>
      </c>
      <c r="V950" s="1" t="s">
        <v>35</v>
      </c>
      <c r="W950" s="7">
        <v>1007.232</v>
      </c>
      <c r="X950" s="1">
        <v>1</v>
      </c>
      <c r="Y950" s="7">
        <v>1006.41</v>
      </c>
      <c r="Z950" s="7">
        <f t="shared" ref="Z950:AA950" si="968">W950*X950</f>
        <v>1007.232</v>
      </c>
      <c r="AA950" s="7">
        <f t="shared" si="968"/>
        <v>1006.41</v>
      </c>
      <c r="AB950" s="7">
        <f t="shared" si="785"/>
        <v>0.82200000000000273</v>
      </c>
    </row>
    <row r="951" spans="1:28">
      <c r="A951" s="1">
        <v>950</v>
      </c>
      <c r="B951" s="1" t="s">
        <v>2368</v>
      </c>
      <c r="C951" s="2">
        <v>43432</v>
      </c>
      <c r="D951" s="6" t="str">
        <f t="shared" si="780"/>
        <v>Nov</v>
      </c>
      <c r="E951" s="6" t="str">
        <f t="shared" si="781"/>
        <v>Qtr 4</v>
      </c>
      <c r="F951" s="5">
        <v>43143</v>
      </c>
      <c r="G951" s="1" t="s">
        <v>49</v>
      </c>
      <c r="H951" s="1" t="s">
        <v>1230</v>
      </c>
      <c r="I951" s="1" t="s">
        <v>1231</v>
      </c>
      <c r="J951" s="1" t="str">
        <f ca="1">IFERROR(__xludf.DUMMYFUNCTION("split(I951,"" "")"),"Ross")</f>
        <v>Ross</v>
      </c>
      <c r="K951" s="1" t="str">
        <f ca="1">IFERROR(__xludf.DUMMYFUNCTION("""COMPUTED_VALUE"""),"Baird")</f>
        <v>Baird</v>
      </c>
      <c r="L951" s="1"/>
      <c r="M951" s="1" t="s">
        <v>87</v>
      </c>
      <c r="N951" s="1" t="s">
        <v>30</v>
      </c>
      <c r="O951" s="1" t="s">
        <v>126</v>
      </c>
      <c r="P951" s="1" t="str">
        <f t="shared" si="782"/>
        <v>Philadelphia</v>
      </c>
      <c r="Q951" s="1" t="s">
        <v>127</v>
      </c>
      <c r="R951" s="1" t="str">
        <f t="shared" si="783"/>
        <v>Pennsylvania</v>
      </c>
      <c r="S951" s="1">
        <v>19120</v>
      </c>
      <c r="T951" s="1" t="s">
        <v>128</v>
      </c>
      <c r="U951" s="1" t="s">
        <v>2370</v>
      </c>
      <c r="V951" s="1" t="s">
        <v>35</v>
      </c>
      <c r="W951" s="7">
        <v>2065.3200000000002</v>
      </c>
      <c r="X951" s="1">
        <v>1</v>
      </c>
      <c r="Y951" s="7">
        <v>2065.16</v>
      </c>
      <c r="Z951" s="7">
        <f t="shared" ref="Z951:AA951" si="969">W951*X951</f>
        <v>2065.3200000000002</v>
      </c>
      <c r="AA951" s="7">
        <f t="shared" si="969"/>
        <v>2065.16</v>
      </c>
      <c r="AB951" s="7">
        <f t="shared" si="785"/>
        <v>0.16000000000030923</v>
      </c>
    </row>
    <row r="952" spans="1:28">
      <c r="A952" s="1">
        <v>951</v>
      </c>
      <c r="B952" s="1" t="s">
        <v>2368</v>
      </c>
      <c r="C952" s="2">
        <v>43432</v>
      </c>
      <c r="D952" s="6" t="str">
        <f t="shared" si="780"/>
        <v>Nov</v>
      </c>
      <c r="E952" s="6" t="str">
        <f t="shared" si="781"/>
        <v>Qtr 4</v>
      </c>
      <c r="F952" s="5">
        <v>43143</v>
      </c>
      <c r="G952" s="1" t="s">
        <v>49</v>
      </c>
      <c r="H952" s="1" t="s">
        <v>1230</v>
      </c>
      <c r="I952" s="1" t="s">
        <v>1231</v>
      </c>
      <c r="J952" s="1" t="str">
        <f ca="1">IFERROR(__xludf.DUMMYFUNCTION("split(I952,"" "")"),"Ross")</f>
        <v>Ross</v>
      </c>
      <c r="K952" s="1" t="str">
        <f ca="1">IFERROR(__xludf.DUMMYFUNCTION("""COMPUTED_VALUE"""),"Baird")</f>
        <v>Baird</v>
      </c>
      <c r="L952" s="1"/>
      <c r="M952" s="1" t="s">
        <v>87</v>
      </c>
      <c r="N952" s="1" t="s">
        <v>30</v>
      </c>
      <c r="O952" s="1" t="s">
        <v>126</v>
      </c>
      <c r="P952" s="1" t="str">
        <f t="shared" si="782"/>
        <v>Philadelphia</v>
      </c>
      <c r="Q952" s="1" t="s">
        <v>127</v>
      </c>
      <c r="R952" s="1" t="str">
        <f t="shared" si="783"/>
        <v>Pennsylvania</v>
      </c>
      <c r="S952" s="1">
        <v>19120</v>
      </c>
      <c r="T952" s="1" t="s">
        <v>128</v>
      </c>
      <c r="U952" s="1" t="s">
        <v>2371</v>
      </c>
      <c r="V952" s="1" t="s">
        <v>46</v>
      </c>
      <c r="W952" s="7">
        <v>15.552</v>
      </c>
      <c r="X952" s="1">
        <v>1</v>
      </c>
      <c r="Y952" s="7">
        <v>15.27</v>
      </c>
      <c r="Z952" s="7">
        <f t="shared" ref="Z952:AA952" si="970">W952*X952</f>
        <v>15.552</v>
      </c>
      <c r="AA952" s="7">
        <f t="shared" si="970"/>
        <v>15.27</v>
      </c>
      <c r="AB952" s="7">
        <f t="shared" si="785"/>
        <v>0.28200000000000003</v>
      </c>
    </row>
    <row r="953" spans="1:28">
      <c r="A953" s="1">
        <v>952</v>
      </c>
      <c r="B953" s="1" t="s">
        <v>2368</v>
      </c>
      <c r="C953" s="2">
        <v>43432</v>
      </c>
      <c r="D953" s="6" t="str">
        <f t="shared" si="780"/>
        <v>Nov</v>
      </c>
      <c r="E953" s="6" t="str">
        <f t="shared" si="781"/>
        <v>Qtr 4</v>
      </c>
      <c r="F953" s="5">
        <v>43143</v>
      </c>
      <c r="G953" s="1" t="s">
        <v>49</v>
      </c>
      <c r="H953" s="1" t="s">
        <v>1230</v>
      </c>
      <c r="I953" s="1" t="s">
        <v>1231</v>
      </c>
      <c r="J953" s="1" t="str">
        <f ca="1">IFERROR(__xludf.DUMMYFUNCTION("split(I953,"" "")"),"Ross")</f>
        <v>Ross</v>
      </c>
      <c r="K953" s="1" t="str">
        <f ca="1">IFERROR(__xludf.DUMMYFUNCTION("""COMPUTED_VALUE"""),"Baird")</f>
        <v>Baird</v>
      </c>
      <c r="L953" s="1"/>
      <c r="M953" s="1" t="s">
        <v>87</v>
      </c>
      <c r="N953" s="1" t="s">
        <v>30</v>
      </c>
      <c r="O953" s="1" t="s">
        <v>126</v>
      </c>
      <c r="P953" s="1" t="str">
        <f t="shared" si="782"/>
        <v>Philadelphia</v>
      </c>
      <c r="Q953" s="1" t="s">
        <v>127</v>
      </c>
      <c r="R953" s="1" t="str">
        <f t="shared" si="783"/>
        <v>Pennsylvania</v>
      </c>
      <c r="S953" s="1">
        <v>19120</v>
      </c>
      <c r="T953" s="1" t="s">
        <v>128</v>
      </c>
      <c r="U953" s="1" t="s">
        <v>752</v>
      </c>
      <c r="V953" s="1" t="s">
        <v>46</v>
      </c>
      <c r="W953" s="7">
        <v>25.344000000000001</v>
      </c>
      <c r="X953" s="1">
        <v>1</v>
      </c>
      <c r="Y953" s="7">
        <v>24.98</v>
      </c>
      <c r="Z953" s="7">
        <f t="shared" ref="Z953:AA953" si="971">W953*X953</f>
        <v>25.344000000000001</v>
      </c>
      <c r="AA953" s="7">
        <f t="shared" si="971"/>
        <v>24.98</v>
      </c>
      <c r="AB953" s="7">
        <f t="shared" si="785"/>
        <v>0.36400000000000077</v>
      </c>
    </row>
    <row r="954" spans="1:28">
      <c r="A954" s="1">
        <v>953</v>
      </c>
      <c r="B954" s="1" t="s">
        <v>2372</v>
      </c>
      <c r="C954" s="2">
        <v>43163</v>
      </c>
      <c r="D954" s="6" t="str">
        <f t="shared" si="780"/>
        <v>Mar</v>
      </c>
      <c r="E954" s="6" t="str">
        <f t="shared" si="781"/>
        <v>Qtr 1</v>
      </c>
      <c r="F954" s="5">
        <v>43285</v>
      </c>
      <c r="G954" s="1" t="s">
        <v>49</v>
      </c>
      <c r="H954" s="1" t="s">
        <v>2373</v>
      </c>
      <c r="I954" s="1" t="s">
        <v>2374</v>
      </c>
      <c r="J954" s="1" t="str">
        <f ca="1">IFERROR(__xludf.DUMMYFUNCTION("split(I954,"" "")"),"Katherine")</f>
        <v>Katherine</v>
      </c>
      <c r="K954" s="1" t="str">
        <f ca="1">IFERROR(__xludf.DUMMYFUNCTION("""COMPUTED_VALUE"""),"Hughes")</f>
        <v>Hughes</v>
      </c>
      <c r="L954" s="1"/>
      <c r="M954" s="1" t="s">
        <v>29</v>
      </c>
      <c r="N954" s="1" t="s">
        <v>30</v>
      </c>
      <c r="O954" s="1" t="s">
        <v>126</v>
      </c>
      <c r="P954" s="1" t="str">
        <f t="shared" si="782"/>
        <v>Philadelphia</v>
      </c>
      <c r="Q954" s="1" t="s">
        <v>127</v>
      </c>
      <c r="R954" s="1" t="str">
        <f t="shared" si="783"/>
        <v>Pennsylvania</v>
      </c>
      <c r="S954" s="1">
        <v>19143</v>
      </c>
      <c r="T954" s="1" t="s">
        <v>128</v>
      </c>
      <c r="U954" s="1" t="s">
        <v>2375</v>
      </c>
      <c r="V954" s="1" t="s">
        <v>35</v>
      </c>
      <c r="W954" s="7">
        <v>25.472000000000001</v>
      </c>
      <c r="X954" s="1">
        <v>1</v>
      </c>
      <c r="Y954" s="7">
        <v>24.85</v>
      </c>
      <c r="Z954" s="7">
        <f t="shared" ref="Z954:AA954" si="972">W954*X954</f>
        <v>25.472000000000001</v>
      </c>
      <c r="AA954" s="7">
        <f t="shared" si="972"/>
        <v>24.85</v>
      </c>
      <c r="AB954" s="7">
        <f t="shared" si="785"/>
        <v>0.62199999999999989</v>
      </c>
    </row>
    <row r="955" spans="1:28">
      <c r="A955" s="1">
        <v>954</v>
      </c>
      <c r="B955" s="1" t="s">
        <v>2376</v>
      </c>
      <c r="C955" s="2">
        <v>43462</v>
      </c>
      <c r="D955" s="6" t="str">
        <f t="shared" si="780"/>
        <v>Dec</v>
      </c>
      <c r="E955" s="6" t="str">
        <f t="shared" si="781"/>
        <v>Qtr 4</v>
      </c>
      <c r="F955" s="5">
        <v>43466</v>
      </c>
      <c r="G955" s="1" t="s">
        <v>49</v>
      </c>
      <c r="H955" s="1" t="s">
        <v>2377</v>
      </c>
      <c r="I955" s="1" t="s">
        <v>2378</v>
      </c>
      <c r="J955" s="1" t="str">
        <f ca="1">IFERROR(__xludf.DUMMYFUNCTION("split(I955,"" "")"),"Greg")</f>
        <v>Greg</v>
      </c>
      <c r="K955" s="1" t="str">
        <f ca="1">IFERROR(__xludf.DUMMYFUNCTION("""COMPUTED_VALUE"""),"Hansen")</f>
        <v>Hansen</v>
      </c>
      <c r="L955" s="1"/>
      <c r="M955" s="1" t="s">
        <v>29</v>
      </c>
      <c r="N955" s="1" t="s">
        <v>30</v>
      </c>
      <c r="O955" s="1" t="s">
        <v>2379</v>
      </c>
      <c r="P955" s="1" t="str">
        <f t="shared" si="782"/>
        <v>Round Rock</v>
      </c>
      <c r="Q955" s="1" t="s">
        <v>89</v>
      </c>
      <c r="R955" s="1" t="str">
        <f t="shared" si="783"/>
        <v>Texas</v>
      </c>
      <c r="S955" s="1">
        <v>78664</v>
      </c>
      <c r="T955" s="1" t="s">
        <v>90</v>
      </c>
      <c r="U955" s="1" t="s">
        <v>723</v>
      </c>
      <c r="V955" s="1" t="s">
        <v>46</v>
      </c>
      <c r="W955" s="7">
        <v>27.167999999999999</v>
      </c>
      <c r="X955" s="1">
        <v>7</v>
      </c>
      <c r="Y955" s="7">
        <v>27.06</v>
      </c>
      <c r="Z955" s="7">
        <f t="shared" ref="Z955:AA955" si="973">W955*X955</f>
        <v>190.17599999999999</v>
      </c>
      <c r="AA955" s="7">
        <f t="shared" si="973"/>
        <v>189.42</v>
      </c>
      <c r="AB955" s="7">
        <f t="shared" si="785"/>
        <v>0.75600000000000023</v>
      </c>
    </row>
    <row r="956" spans="1:28">
      <c r="A956" s="1">
        <v>955</v>
      </c>
      <c r="B956" s="1" t="s">
        <v>2376</v>
      </c>
      <c r="C956" s="2">
        <v>43462</v>
      </c>
      <c r="D956" s="6" t="str">
        <f t="shared" si="780"/>
        <v>Dec</v>
      </c>
      <c r="E956" s="6" t="str">
        <f t="shared" si="781"/>
        <v>Qtr 4</v>
      </c>
      <c r="F956" s="5">
        <v>43466</v>
      </c>
      <c r="G956" s="1" t="s">
        <v>49</v>
      </c>
      <c r="H956" s="1" t="s">
        <v>2377</v>
      </c>
      <c r="I956" s="1" t="s">
        <v>2378</v>
      </c>
      <c r="J956" s="1" t="str">
        <f ca="1">IFERROR(__xludf.DUMMYFUNCTION("split(I956,"" "")"),"Greg")</f>
        <v>Greg</v>
      </c>
      <c r="K956" s="1" t="str">
        <f ca="1">IFERROR(__xludf.DUMMYFUNCTION("""COMPUTED_VALUE"""),"Hansen")</f>
        <v>Hansen</v>
      </c>
      <c r="L956" s="1"/>
      <c r="M956" s="1" t="s">
        <v>29</v>
      </c>
      <c r="N956" s="1" t="s">
        <v>30</v>
      </c>
      <c r="O956" s="1" t="s">
        <v>2379</v>
      </c>
      <c r="P956" s="1" t="str">
        <f t="shared" si="782"/>
        <v>Round Rock</v>
      </c>
      <c r="Q956" s="1" t="s">
        <v>89</v>
      </c>
      <c r="R956" s="1" t="str">
        <f t="shared" si="783"/>
        <v>Texas</v>
      </c>
      <c r="S956" s="1">
        <v>78664</v>
      </c>
      <c r="T956" s="1" t="s">
        <v>90</v>
      </c>
      <c r="U956" s="1" t="s">
        <v>880</v>
      </c>
      <c r="V956" s="1" t="s">
        <v>35</v>
      </c>
      <c r="W956" s="7">
        <v>78.852800000000002</v>
      </c>
      <c r="X956" s="1">
        <v>7</v>
      </c>
      <c r="Y956" s="7">
        <v>78.510000000000005</v>
      </c>
      <c r="Z956" s="7">
        <f t="shared" ref="Z956:AA956" si="974">W956*X956</f>
        <v>551.96960000000001</v>
      </c>
      <c r="AA956" s="7">
        <f t="shared" si="974"/>
        <v>549.57000000000005</v>
      </c>
      <c r="AB956" s="7">
        <f t="shared" si="785"/>
        <v>2.399599999999964</v>
      </c>
    </row>
    <row r="957" spans="1:28">
      <c r="A957" s="1">
        <v>956</v>
      </c>
      <c r="B957" s="1" t="s">
        <v>2380</v>
      </c>
      <c r="C957" s="2">
        <v>43434</v>
      </c>
      <c r="D957" s="6" t="str">
        <f t="shared" si="780"/>
        <v>Nov</v>
      </c>
      <c r="E957" s="6" t="str">
        <f t="shared" si="781"/>
        <v>Qtr 4</v>
      </c>
      <c r="F957" s="5">
        <v>43202</v>
      </c>
      <c r="G957" s="1" t="s">
        <v>49</v>
      </c>
      <c r="H957" s="1" t="s">
        <v>2381</v>
      </c>
      <c r="I957" s="1" t="s">
        <v>2382</v>
      </c>
      <c r="J957" s="1" t="str">
        <f ca="1">IFERROR(__xludf.DUMMYFUNCTION("split(I957,"" "")"),"Scott")</f>
        <v>Scott</v>
      </c>
      <c r="K957" s="1" t="str">
        <f ca="1">IFERROR(__xludf.DUMMYFUNCTION("""COMPUTED_VALUE"""),"Williamson")</f>
        <v>Williamson</v>
      </c>
      <c r="L957" s="1"/>
      <c r="M957" s="1" t="s">
        <v>29</v>
      </c>
      <c r="N957" s="1" t="s">
        <v>30</v>
      </c>
      <c r="O957" s="1" t="s">
        <v>281</v>
      </c>
      <c r="P957" s="1" t="str">
        <f t="shared" si="782"/>
        <v>Jackson</v>
      </c>
      <c r="Q957" s="1" t="s">
        <v>1211</v>
      </c>
      <c r="R957" s="1" t="str">
        <f t="shared" si="783"/>
        <v>Mississippi</v>
      </c>
      <c r="S957" s="1">
        <v>39212</v>
      </c>
      <c r="T957" s="1" t="s">
        <v>33</v>
      </c>
      <c r="U957" s="1" t="s">
        <v>242</v>
      </c>
      <c r="V957" s="1" t="s">
        <v>46</v>
      </c>
      <c r="W957" s="7">
        <v>173.8</v>
      </c>
      <c r="X957" s="1">
        <v>3</v>
      </c>
      <c r="Y957" s="7">
        <v>173.33</v>
      </c>
      <c r="Z957" s="7">
        <f t="shared" ref="Z957:AA957" si="975">W957*X957</f>
        <v>521.40000000000009</v>
      </c>
      <c r="AA957" s="7">
        <f t="shared" si="975"/>
        <v>519.99</v>
      </c>
      <c r="AB957" s="7">
        <f t="shared" si="785"/>
        <v>1.4100000000000819</v>
      </c>
    </row>
    <row r="958" spans="1:28">
      <c r="A958" s="1">
        <v>957</v>
      </c>
      <c r="B958" s="1" t="s">
        <v>2383</v>
      </c>
      <c r="C958" s="2">
        <v>43235</v>
      </c>
      <c r="D958" s="6" t="str">
        <f t="shared" si="780"/>
        <v>May</v>
      </c>
      <c r="E958" s="6" t="str">
        <f t="shared" si="781"/>
        <v>Qtr 2</v>
      </c>
      <c r="F958" s="5" t="s">
        <v>2384</v>
      </c>
      <c r="G958" s="1" t="s">
        <v>26</v>
      </c>
      <c r="H958" s="1" t="s">
        <v>2385</v>
      </c>
      <c r="I958" s="1" t="s">
        <v>2386</v>
      </c>
      <c r="J958" s="1" t="str">
        <f ca="1">IFERROR(__xludf.DUMMYFUNCTION("split(I958,"" "")"),"Joseph")</f>
        <v>Joseph</v>
      </c>
      <c r="K958" s="1" t="str">
        <f ca="1">IFERROR(__xludf.DUMMYFUNCTION("""COMPUTED_VALUE"""),"Airdo")</f>
        <v>Airdo</v>
      </c>
      <c r="L958" s="1"/>
      <c r="M958" s="1" t="s">
        <v>29</v>
      </c>
      <c r="N958" s="1" t="s">
        <v>30</v>
      </c>
      <c r="O958" s="1" t="s">
        <v>457</v>
      </c>
      <c r="P958" s="1" t="str">
        <f t="shared" si="782"/>
        <v>Phoenix</v>
      </c>
      <c r="Q958" s="1" t="s">
        <v>265</v>
      </c>
      <c r="R958" s="1" t="str">
        <f t="shared" si="783"/>
        <v>Arizona</v>
      </c>
      <c r="S958" s="1">
        <v>85023</v>
      </c>
      <c r="T958" s="1" t="s">
        <v>44</v>
      </c>
      <c r="U958" s="1" t="s">
        <v>2189</v>
      </c>
      <c r="V958" s="1" t="s">
        <v>64</v>
      </c>
      <c r="W958" s="7">
        <v>29.591999999999999</v>
      </c>
      <c r="X958" s="1">
        <v>8</v>
      </c>
      <c r="Y958" s="7">
        <v>28.89</v>
      </c>
      <c r="Z958" s="7">
        <f t="shared" ref="Z958:AA958" si="976">W958*X958</f>
        <v>236.73599999999999</v>
      </c>
      <c r="AA958" s="7">
        <f t="shared" si="976"/>
        <v>231.12</v>
      </c>
      <c r="AB958" s="7">
        <f t="shared" si="785"/>
        <v>5.6159999999999854</v>
      </c>
    </row>
    <row r="959" spans="1:28">
      <c r="A959" s="1">
        <v>958</v>
      </c>
      <c r="B959" s="1" t="s">
        <v>2383</v>
      </c>
      <c r="C959" s="2">
        <v>43235</v>
      </c>
      <c r="D959" s="6" t="str">
        <f t="shared" si="780"/>
        <v>May</v>
      </c>
      <c r="E959" s="6" t="str">
        <f t="shared" si="781"/>
        <v>Qtr 2</v>
      </c>
      <c r="F959" s="5" t="s">
        <v>2384</v>
      </c>
      <c r="G959" s="1" t="s">
        <v>26</v>
      </c>
      <c r="H959" s="1" t="s">
        <v>2385</v>
      </c>
      <c r="I959" s="1" t="s">
        <v>2386</v>
      </c>
      <c r="J959" s="1" t="str">
        <f ca="1">IFERROR(__xludf.DUMMYFUNCTION("split(I959,"" "")"),"Joseph")</f>
        <v>Joseph</v>
      </c>
      <c r="K959" s="1" t="str">
        <f ca="1">IFERROR(__xludf.DUMMYFUNCTION("""COMPUTED_VALUE"""),"Airdo")</f>
        <v>Airdo</v>
      </c>
      <c r="L959" s="1"/>
      <c r="M959" s="1" t="s">
        <v>29</v>
      </c>
      <c r="N959" s="1" t="s">
        <v>30</v>
      </c>
      <c r="O959" s="1" t="s">
        <v>457</v>
      </c>
      <c r="P959" s="1" t="str">
        <f t="shared" si="782"/>
        <v>Phoenix</v>
      </c>
      <c r="Q959" s="1" t="s">
        <v>265</v>
      </c>
      <c r="R959" s="1" t="str">
        <f t="shared" si="783"/>
        <v>Arizona</v>
      </c>
      <c r="S959" s="1">
        <v>85023</v>
      </c>
      <c r="T959" s="1" t="s">
        <v>44</v>
      </c>
      <c r="U959" s="1" t="s">
        <v>2387</v>
      </c>
      <c r="V959" s="1" t="s">
        <v>46</v>
      </c>
      <c r="W959" s="7">
        <v>4.7519999999999998</v>
      </c>
      <c r="X959" s="1">
        <v>8</v>
      </c>
      <c r="Y959" s="7">
        <v>3.8</v>
      </c>
      <c r="Z959" s="7">
        <f t="shared" ref="Z959:AA959" si="977">W959*X959</f>
        <v>38.015999999999998</v>
      </c>
      <c r="AA959" s="7">
        <f t="shared" si="977"/>
        <v>30.4</v>
      </c>
      <c r="AB959" s="7">
        <f t="shared" si="785"/>
        <v>7.6159999999999997</v>
      </c>
    </row>
    <row r="960" spans="1:28">
      <c r="A960" s="1">
        <v>959</v>
      </c>
      <c r="B960" s="1" t="s">
        <v>2383</v>
      </c>
      <c r="C960" s="2">
        <v>43235</v>
      </c>
      <c r="D960" s="6" t="str">
        <f t="shared" si="780"/>
        <v>May</v>
      </c>
      <c r="E960" s="6" t="str">
        <f t="shared" si="781"/>
        <v>Qtr 2</v>
      </c>
      <c r="F960" s="5" t="s">
        <v>2384</v>
      </c>
      <c r="G960" s="1" t="s">
        <v>26</v>
      </c>
      <c r="H960" s="1" t="s">
        <v>2385</v>
      </c>
      <c r="I960" s="1" t="s">
        <v>2386</v>
      </c>
      <c r="J960" s="1" t="str">
        <f ca="1">IFERROR(__xludf.DUMMYFUNCTION("split(I960,"" "")"),"Joseph")</f>
        <v>Joseph</v>
      </c>
      <c r="K960" s="1" t="str">
        <f ca="1">IFERROR(__xludf.DUMMYFUNCTION("""COMPUTED_VALUE"""),"Airdo")</f>
        <v>Airdo</v>
      </c>
      <c r="L960" s="1"/>
      <c r="M960" s="1" t="s">
        <v>29</v>
      </c>
      <c r="N960" s="1" t="s">
        <v>30</v>
      </c>
      <c r="O960" s="1" t="s">
        <v>457</v>
      </c>
      <c r="P960" s="1" t="str">
        <f t="shared" si="782"/>
        <v>Phoenix</v>
      </c>
      <c r="Q960" s="1" t="s">
        <v>265</v>
      </c>
      <c r="R960" s="1" t="str">
        <f t="shared" si="783"/>
        <v>Arizona</v>
      </c>
      <c r="S960" s="1">
        <v>85023</v>
      </c>
      <c r="T960" s="1" t="s">
        <v>44</v>
      </c>
      <c r="U960" s="1" t="s">
        <v>2388</v>
      </c>
      <c r="V960" s="1" t="s">
        <v>46</v>
      </c>
      <c r="W960" s="7">
        <v>15.552</v>
      </c>
      <c r="X960" s="1">
        <v>8</v>
      </c>
      <c r="Y960" s="7">
        <v>15.55</v>
      </c>
      <c r="Z960" s="7">
        <f t="shared" ref="Z960:AA960" si="978">W960*X960</f>
        <v>124.416</v>
      </c>
      <c r="AA960" s="7">
        <f t="shared" si="978"/>
        <v>124.4</v>
      </c>
      <c r="AB960" s="7">
        <f t="shared" si="785"/>
        <v>1.5999999999991132E-2</v>
      </c>
    </row>
    <row r="961" spans="1:28">
      <c r="A961" s="1">
        <v>960</v>
      </c>
      <c r="B961" s="1" t="s">
        <v>2389</v>
      </c>
      <c r="C961" s="2">
        <v>42635</v>
      </c>
      <c r="D961" s="6" t="str">
        <f t="shared" si="780"/>
        <v>Sep</v>
      </c>
      <c r="E961" s="6" t="str">
        <f t="shared" si="781"/>
        <v>Qtr 3</v>
      </c>
      <c r="F961" s="5" t="s">
        <v>1581</v>
      </c>
      <c r="G961" s="1" t="s">
        <v>1050</v>
      </c>
      <c r="H961" s="1" t="s">
        <v>2390</v>
      </c>
      <c r="I961" s="1" t="s">
        <v>2391</v>
      </c>
      <c r="J961" s="1" t="str">
        <f ca="1">IFERROR(__xludf.DUMMYFUNCTION("split(I961,"" "")"),"Daniel")</f>
        <v>Daniel</v>
      </c>
      <c r="K961" s="1" t="str">
        <f ca="1">IFERROR(__xludf.DUMMYFUNCTION("""COMPUTED_VALUE"""),"Lacy")</f>
        <v>Lacy</v>
      </c>
      <c r="L961" s="1"/>
      <c r="M961" s="1" t="s">
        <v>29</v>
      </c>
      <c r="N961" s="1" t="s">
        <v>30</v>
      </c>
      <c r="O961" s="1" t="s">
        <v>1918</v>
      </c>
      <c r="P961" s="1" t="str">
        <f t="shared" si="782"/>
        <v>Oceanside</v>
      </c>
      <c r="Q961" s="1" t="s">
        <v>68</v>
      </c>
      <c r="R961" s="1" t="str">
        <f t="shared" si="783"/>
        <v>California</v>
      </c>
      <c r="S961" s="1">
        <v>92054</v>
      </c>
      <c r="T961" s="1" t="s">
        <v>44</v>
      </c>
      <c r="U961" s="1" t="s">
        <v>2392</v>
      </c>
      <c r="V961" s="1" t="s">
        <v>35</v>
      </c>
      <c r="W961" s="7">
        <v>204.6</v>
      </c>
      <c r="X961" s="1">
        <v>9</v>
      </c>
      <c r="Y961" s="7">
        <v>204.29</v>
      </c>
      <c r="Z961" s="7">
        <f t="shared" ref="Z961:AA961" si="979">W961*X961</f>
        <v>1841.3999999999999</v>
      </c>
      <c r="AA961" s="7">
        <f t="shared" si="979"/>
        <v>1838.61</v>
      </c>
      <c r="AB961" s="7">
        <f t="shared" si="785"/>
        <v>2.7899999999999636</v>
      </c>
    </row>
    <row r="962" spans="1:28">
      <c r="A962" s="1">
        <v>961</v>
      </c>
      <c r="B962" s="1" t="s">
        <v>2393</v>
      </c>
      <c r="C962" s="2">
        <v>43418</v>
      </c>
      <c r="D962" s="6" t="str">
        <f t="shared" si="780"/>
        <v>Nov</v>
      </c>
      <c r="E962" s="6" t="str">
        <f t="shared" si="781"/>
        <v>Qtr 4</v>
      </c>
      <c r="F962" s="5" t="s">
        <v>2394</v>
      </c>
      <c r="G962" s="1" t="s">
        <v>49</v>
      </c>
      <c r="H962" s="1" t="s">
        <v>2395</v>
      </c>
      <c r="I962" s="1" t="s">
        <v>2396</v>
      </c>
      <c r="J962" s="1" t="str">
        <f ca="1">IFERROR(__xludf.DUMMYFUNCTION("split(I962,"" "")"),"Lindsay")</f>
        <v>Lindsay</v>
      </c>
      <c r="K962" s="1" t="str">
        <f ca="1">IFERROR(__xludf.DUMMYFUNCTION("""COMPUTED_VALUE"""),"Williams")</f>
        <v>Williams</v>
      </c>
      <c r="L962" s="1"/>
      <c r="M962" s="1" t="s">
        <v>41</v>
      </c>
      <c r="N962" s="1" t="s">
        <v>30</v>
      </c>
      <c r="O962" s="1" t="s">
        <v>110</v>
      </c>
      <c r="P962" s="1" t="str">
        <f t="shared" si="782"/>
        <v>San Francisco</v>
      </c>
      <c r="Q962" s="1" t="s">
        <v>68</v>
      </c>
      <c r="R962" s="1" t="str">
        <f t="shared" si="783"/>
        <v>California</v>
      </c>
      <c r="S962" s="1">
        <v>94110</v>
      </c>
      <c r="T962" s="1" t="s">
        <v>44</v>
      </c>
      <c r="U962" s="1" t="s">
        <v>773</v>
      </c>
      <c r="V962" s="1" t="s">
        <v>35</v>
      </c>
      <c r="W962" s="7">
        <v>321.56799999999998</v>
      </c>
      <c r="X962" s="1">
        <v>9</v>
      </c>
      <c r="Y962" s="7">
        <v>321.44</v>
      </c>
      <c r="Z962" s="7">
        <f t="shared" ref="Z962:AA962" si="980">W962*X962</f>
        <v>2894.1120000000001</v>
      </c>
      <c r="AA962" s="7">
        <f t="shared" si="980"/>
        <v>2892.96</v>
      </c>
      <c r="AB962" s="7">
        <f t="shared" si="785"/>
        <v>1.1520000000000437</v>
      </c>
    </row>
    <row r="963" spans="1:28">
      <c r="A963" s="1">
        <v>962</v>
      </c>
      <c r="B963" s="1" t="s">
        <v>2397</v>
      </c>
      <c r="C963" s="2">
        <v>42701</v>
      </c>
      <c r="D963" s="6" t="str">
        <f t="shared" si="780"/>
        <v>Nov</v>
      </c>
      <c r="E963" s="6" t="str">
        <f t="shared" si="781"/>
        <v>Qtr 4</v>
      </c>
      <c r="F963" s="5">
        <v>42381</v>
      </c>
      <c r="G963" s="1" t="s">
        <v>49</v>
      </c>
      <c r="H963" s="1" t="s">
        <v>2398</v>
      </c>
      <c r="I963" s="1" t="s">
        <v>2399</v>
      </c>
      <c r="J963" s="1" t="str">
        <f ca="1">IFERROR(__xludf.DUMMYFUNCTION("split(I963,"" "")"),"Thomas")</f>
        <v>Thomas</v>
      </c>
      <c r="K963" s="1" t="str">
        <f ca="1">IFERROR(__xludf.DUMMYFUNCTION("""COMPUTED_VALUE"""),"Brumley")</f>
        <v>Brumley</v>
      </c>
      <c r="L963" s="1"/>
      <c r="M963" s="1" t="s">
        <v>87</v>
      </c>
      <c r="N963" s="1" t="s">
        <v>30</v>
      </c>
      <c r="O963" s="1" t="s">
        <v>1387</v>
      </c>
      <c r="P963" s="1" t="str">
        <f t="shared" si="782"/>
        <v>Fayetteville</v>
      </c>
      <c r="Q963" s="1" t="s">
        <v>1388</v>
      </c>
      <c r="R963" s="1" t="str">
        <f t="shared" si="783"/>
        <v>Arkansas</v>
      </c>
      <c r="S963" s="1">
        <v>72701</v>
      </c>
      <c r="T963" s="1" t="s">
        <v>33</v>
      </c>
      <c r="U963" s="1" t="s">
        <v>2400</v>
      </c>
      <c r="V963" s="1" t="s">
        <v>46</v>
      </c>
      <c r="W963" s="7">
        <v>6.24</v>
      </c>
      <c r="X963" s="1">
        <v>7</v>
      </c>
      <c r="Y963" s="7">
        <v>6.13</v>
      </c>
      <c r="Z963" s="7">
        <f t="shared" ref="Z963:AA963" si="981">W963*X963</f>
        <v>43.68</v>
      </c>
      <c r="AA963" s="7">
        <f t="shared" si="981"/>
        <v>42.91</v>
      </c>
      <c r="AB963" s="7">
        <f t="shared" si="785"/>
        <v>0.77000000000000313</v>
      </c>
    </row>
    <row r="964" spans="1:28">
      <c r="A964" s="1">
        <v>963</v>
      </c>
      <c r="B964" s="1" t="s">
        <v>2401</v>
      </c>
      <c r="C964" s="2">
        <v>42744</v>
      </c>
      <c r="D964" s="6" t="str">
        <f t="shared" si="780"/>
        <v>Jan</v>
      </c>
      <c r="E964" s="6" t="str">
        <f t="shared" si="781"/>
        <v>Qtr 1</v>
      </c>
      <c r="F964" s="5">
        <v>42834</v>
      </c>
      <c r="G964" s="1" t="s">
        <v>162</v>
      </c>
      <c r="H964" s="1" t="s">
        <v>406</v>
      </c>
      <c r="I964" s="1" t="s">
        <v>407</v>
      </c>
      <c r="J964" s="1" t="str">
        <f ca="1">IFERROR(__xludf.DUMMYFUNCTION("split(I964,"" "")"),"Cynthia")</f>
        <v>Cynthia</v>
      </c>
      <c r="K964" s="1" t="str">
        <f ca="1">IFERROR(__xludf.DUMMYFUNCTION("""COMPUTED_VALUE"""),"Voltz")</f>
        <v>Voltz</v>
      </c>
      <c r="L964" s="1"/>
      <c r="M964" s="1" t="s">
        <v>41</v>
      </c>
      <c r="N964" s="1" t="s">
        <v>30</v>
      </c>
      <c r="O964" s="1" t="s">
        <v>110</v>
      </c>
      <c r="P964" s="1" t="str">
        <f t="shared" si="782"/>
        <v>San Francisco</v>
      </c>
      <c r="Q964" s="1" t="s">
        <v>68</v>
      </c>
      <c r="R964" s="1" t="str">
        <f t="shared" si="783"/>
        <v>California</v>
      </c>
      <c r="S964" s="1">
        <v>94110</v>
      </c>
      <c r="T964" s="1" t="s">
        <v>44</v>
      </c>
      <c r="U964" s="1" t="s">
        <v>1466</v>
      </c>
      <c r="V964" s="1" t="s">
        <v>46</v>
      </c>
      <c r="W964" s="7">
        <v>21.88</v>
      </c>
      <c r="X964" s="1">
        <v>9</v>
      </c>
      <c r="Y964" s="7">
        <v>21.28</v>
      </c>
      <c r="Z964" s="7">
        <f t="shared" ref="Z964:AA964" si="982">W964*X964</f>
        <v>196.92</v>
      </c>
      <c r="AA964" s="7">
        <f t="shared" si="982"/>
        <v>191.52</v>
      </c>
      <c r="AB964" s="7">
        <f t="shared" si="785"/>
        <v>5.3999999999999773</v>
      </c>
    </row>
    <row r="965" spans="1:28">
      <c r="A965" s="1">
        <v>964</v>
      </c>
      <c r="B965" s="1" t="s">
        <v>2402</v>
      </c>
      <c r="C965" s="2">
        <v>42269</v>
      </c>
      <c r="D965" s="6" t="str">
        <f t="shared" si="780"/>
        <v>Sep</v>
      </c>
      <c r="E965" s="6" t="str">
        <f t="shared" si="781"/>
        <v>Qtr 3</v>
      </c>
      <c r="F965" s="5" t="s">
        <v>952</v>
      </c>
      <c r="G965" s="1" t="s">
        <v>26</v>
      </c>
      <c r="H965" s="1" t="s">
        <v>2268</v>
      </c>
      <c r="I965" s="1" t="s">
        <v>2269</v>
      </c>
      <c r="J965" s="1" t="str">
        <f ca="1">IFERROR(__xludf.DUMMYFUNCTION("split(I965,"" "")"),"Maribeth")</f>
        <v>Maribeth</v>
      </c>
      <c r="K965" s="1" t="str">
        <f ca="1">IFERROR(__xludf.DUMMYFUNCTION("""COMPUTED_VALUE"""),"Schnelling")</f>
        <v>Schnelling</v>
      </c>
      <c r="L965" s="1"/>
      <c r="M965" s="1" t="s">
        <v>29</v>
      </c>
      <c r="N965" s="1" t="s">
        <v>30</v>
      </c>
      <c r="O965" s="1" t="s">
        <v>2403</v>
      </c>
      <c r="P965" s="1" t="str">
        <f t="shared" si="782"/>
        <v>Boca Raton</v>
      </c>
      <c r="Q965" s="1" t="s">
        <v>194</v>
      </c>
      <c r="R965" s="1" t="str">
        <f t="shared" si="783"/>
        <v>Florida</v>
      </c>
      <c r="S965" s="1">
        <v>33433</v>
      </c>
      <c r="T965" s="1" t="s">
        <v>33</v>
      </c>
      <c r="U965" s="1" t="s">
        <v>2404</v>
      </c>
      <c r="V965" s="1" t="s">
        <v>46</v>
      </c>
      <c r="W965" s="7">
        <v>4.6079999999999997</v>
      </c>
      <c r="X965" s="1">
        <v>3</v>
      </c>
      <c r="Y965" s="7">
        <v>3.7</v>
      </c>
      <c r="Z965" s="7">
        <f t="shared" ref="Z965:AA965" si="983">W965*X965</f>
        <v>13.823999999999998</v>
      </c>
      <c r="AA965" s="7">
        <f t="shared" si="983"/>
        <v>11.100000000000001</v>
      </c>
      <c r="AB965" s="7">
        <f t="shared" si="785"/>
        <v>2.7239999999999966</v>
      </c>
    </row>
    <row r="966" spans="1:28">
      <c r="A966" s="1">
        <v>965</v>
      </c>
      <c r="B966" s="1" t="s">
        <v>2405</v>
      </c>
      <c r="C966" s="2">
        <v>43347</v>
      </c>
      <c r="D966" s="6" t="str">
        <f t="shared" si="780"/>
        <v>Sep</v>
      </c>
      <c r="E966" s="6" t="str">
        <f t="shared" si="781"/>
        <v>Qtr 3</v>
      </c>
      <c r="F966" s="5">
        <v>43408</v>
      </c>
      <c r="G966" s="1" t="s">
        <v>162</v>
      </c>
      <c r="H966" s="1" t="s">
        <v>2406</v>
      </c>
      <c r="I966" s="1" t="s">
        <v>2407</v>
      </c>
      <c r="J966" s="1" t="str">
        <f ca="1">IFERROR(__xludf.DUMMYFUNCTION("split(I966,"" "")"),"Bryan")</f>
        <v>Bryan</v>
      </c>
      <c r="K966" s="1" t="str">
        <f ca="1">IFERROR(__xludf.DUMMYFUNCTION("""COMPUTED_VALUE"""),"Spruell")</f>
        <v>Spruell</v>
      </c>
      <c r="L966" s="1"/>
      <c r="M966" s="1" t="s">
        <v>87</v>
      </c>
      <c r="N966" s="1" t="s">
        <v>30</v>
      </c>
      <c r="O966" s="1" t="s">
        <v>233</v>
      </c>
      <c r="P966" s="1" t="str">
        <f t="shared" si="782"/>
        <v>New York City</v>
      </c>
      <c r="Q966" s="1" t="s">
        <v>234</v>
      </c>
      <c r="R966" s="1" t="str">
        <f t="shared" si="783"/>
        <v>New York</v>
      </c>
      <c r="S966" s="1">
        <v>10011</v>
      </c>
      <c r="T966" s="1" t="s">
        <v>128</v>
      </c>
      <c r="U966" s="1" t="s">
        <v>2408</v>
      </c>
      <c r="V966" s="1" t="s">
        <v>46</v>
      </c>
      <c r="W966" s="7">
        <v>9.82</v>
      </c>
      <c r="X966" s="1">
        <v>1</v>
      </c>
      <c r="Y966" s="7">
        <v>9</v>
      </c>
      <c r="Z966" s="7">
        <f t="shared" ref="Z966:AA966" si="984">W966*X966</f>
        <v>9.82</v>
      </c>
      <c r="AA966" s="7">
        <f t="shared" si="984"/>
        <v>9</v>
      </c>
      <c r="AB966" s="7">
        <f t="shared" si="785"/>
        <v>0.82000000000000028</v>
      </c>
    </row>
    <row r="967" spans="1:28">
      <c r="A967" s="1">
        <v>966</v>
      </c>
      <c r="B967" s="1" t="s">
        <v>2405</v>
      </c>
      <c r="C967" s="2">
        <v>43347</v>
      </c>
      <c r="D967" s="6" t="str">
        <f t="shared" si="780"/>
        <v>Sep</v>
      </c>
      <c r="E967" s="6" t="str">
        <f t="shared" si="781"/>
        <v>Qtr 3</v>
      </c>
      <c r="F967" s="5">
        <v>43408</v>
      </c>
      <c r="G967" s="1" t="s">
        <v>162</v>
      </c>
      <c r="H967" s="1" t="s">
        <v>2406</v>
      </c>
      <c r="I967" s="1" t="s">
        <v>2407</v>
      </c>
      <c r="J967" s="1" t="str">
        <f ca="1">IFERROR(__xludf.DUMMYFUNCTION("split(I967,"" "")"),"Bryan")</f>
        <v>Bryan</v>
      </c>
      <c r="K967" s="1" t="str">
        <f ca="1">IFERROR(__xludf.DUMMYFUNCTION("""COMPUTED_VALUE"""),"Spruell")</f>
        <v>Spruell</v>
      </c>
      <c r="L967" s="1"/>
      <c r="M967" s="1" t="s">
        <v>87</v>
      </c>
      <c r="N967" s="1" t="s">
        <v>30</v>
      </c>
      <c r="O967" s="1" t="s">
        <v>233</v>
      </c>
      <c r="P967" s="1" t="str">
        <f t="shared" si="782"/>
        <v>New York City</v>
      </c>
      <c r="Q967" s="1" t="s">
        <v>234</v>
      </c>
      <c r="R967" s="1" t="str">
        <f t="shared" si="783"/>
        <v>New York</v>
      </c>
      <c r="S967" s="1">
        <v>10011</v>
      </c>
      <c r="T967" s="1" t="s">
        <v>128</v>
      </c>
      <c r="U967" s="1" t="s">
        <v>1185</v>
      </c>
      <c r="V967" s="1" t="s">
        <v>46</v>
      </c>
      <c r="W967" s="7">
        <v>35.97</v>
      </c>
      <c r="X967" s="1">
        <v>1</v>
      </c>
      <c r="Y967" s="7">
        <v>35.61</v>
      </c>
      <c r="Z967" s="7">
        <f t="shared" ref="Z967:AA967" si="985">W967*X967</f>
        <v>35.97</v>
      </c>
      <c r="AA967" s="7">
        <f t="shared" si="985"/>
        <v>35.61</v>
      </c>
      <c r="AB967" s="7">
        <f t="shared" si="785"/>
        <v>0.35999999999999943</v>
      </c>
    </row>
    <row r="968" spans="1:28">
      <c r="A968" s="1">
        <v>967</v>
      </c>
      <c r="B968" s="1" t="s">
        <v>2405</v>
      </c>
      <c r="C968" s="2">
        <v>43347</v>
      </c>
      <c r="D968" s="6" t="str">
        <f t="shared" si="780"/>
        <v>Sep</v>
      </c>
      <c r="E968" s="6" t="str">
        <f t="shared" si="781"/>
        <v>Qtr 3</v>
      </c>
      <c r="F968" s="5">
        <v>43408</v>
      </c>
      <c r="G968" s="1" t="s">
        <v>162</v>
      </c>
      <c r="H968" s="1" t="s">
        <v>2406</v>
      </c>
      <c r="I968" s="1" t="s">
        <v>2407</v>
      </c>
      <c r="J968" s="1" t="str">
        <f ca="1">IFERROR(__xludf.DUMMYFUNCTION("split(I968,"" "")"),"Bryan")</f>
        <v>Bryan</v>
      </c>
      <c r="K968" s="1" t="str">
        <f ca="1">IFERROR(__xludf.DUMMYFUNCTION("""COMPUTED_VALUE"""),"Spruell")</f>
        <v>Spruell</v>
      </c>
      <c r="L968" s="1"/>
      <c r="M968" s="1" t="s">
        <v>87</v>
      </c>
      <c r="N968" s="1" t="s">
        <v>30</v>
      </c>
      <c r="O968" s="1" t="s">
        <v>233</v>
      </c>
      <c r="P968" s="1" t="str">
        <f t="shared" si="782"/>
        <v>New York City</v>
      </c>
      <c r="Q968" s="1" t="s">
        <v>234</v>
      </c>
      <c r="R968" s="1" t="str">
        <f t="shared" si="783"/>
        <v>New York</v>
      </c>
      <c r="S968" s="1">
        <v>10011</v>
      </c>
      <c r="T968" s="1" t="s">
        <v>128</v>
      </c>
      <c r="U968" s="1" t="s">
        <v>2409</v>
      </c>
      <c r="V968" s="1" t="s">
        <v>46</v>
      </c>
      <c r="W968" s="7">
        <v>12.96</v>
      </c>
      <c r="X968" s="1">
        <v>1</v>
      </c>
      <c r="Y968" s="7">
        <v>12.91</v>
      </c>
      <c r="Z968" s="7">
        <f t="shared" ref="Z968:AA968" si="986">W968*X968</f>
        <v>12.96</v>
      </c>
      <c r="AA968" s="7">
        <f t="shared" si="986"/>
        <v>12.91</v>
      </c>
      <c r="AB968" s="7">
        <f t="shared" si="785"/>
        <v>5.0000000000000711E-2</v>
      </c>
    </row>
    <row r="969" spans="1:28">
      <c r="A969" s="1">
        <v>968</v>
      </c>
      <c r="B969" s="1" t="s">
        <v>2405</v>
      </c>
      <c r="C969" s="2">
        <v>43347</v>
      </c>
      <c r="D969" s="6" t="str">
        <f t="shared" si="780"/>
        <v>Sep</v>
      </c>
      <c r="E969" s="6" t="str">
        <f t="shared" si="781"/>
        <v>Qtr 3</v>
      </c>
      <c r="F969" s="5">
        <v>43408</v>
      </c>
      <c r="G969" s="1" t="s">
        <v>162</v>
      </c>
      <c r="H969" s="1" t="s">
        <v>2406</v>
      </c>
      <c r="I969" s="1" t="s">
        <v>2407</v>
      </c>
      <c r="J969" s="1" t="str">
        <f ca="1">IFERROR(__xludf.DUMMYFUNCTION("split(I969,"" "")"),"Bryan")</f>
        <v>Bryan</v>
      </c>
      <c r="K969" s="1" t="str">
        <f ca="1">IFERROR(__xludf.DUMMYFUNCTION("""COMPUTED_VALUE"""),"Spruell")</f>
        <v>Spruell</v>
      </c>
      <c r="L969" s="1"/>
      <c r="M969" s="1" t="s">
        <v>87</v>
      </c>
      <c r="N969" s="1" t="s">
        <v>30</v>
      </c>
      <c r="O969" s="1" t="s">
        <v>233</v>
      </c>
      <c r="P969" s="1" t="str">
        <f t="shared" si="782"/>
        <v>New York City</v>
      </c>
      <c r="Q969" s="1" t="s">
        <v>234</v>
      </c>
      <c r="R969" s="1" t="str">
        <f t="shared" si="783"/>
        <v>New York</v>
      </c>
      <c r="S969" s="1">
        <v>10011</v>
      </c>
      <c r="T969" s="1" t="s">
        <v>128</v>
      </c>
      <c r="U969" s="1" t="s">
        <v>2410</v>
      </c>
      <c r="V969" s="1" t="s">
        <v>46</v>
      </c>
      <c r="W969" s="7">
        <v>191.6</v>
      </c>
      <c r="X969" s="1">
        <v>1</v>
      </c>
      <c r="Y969" s="7">
        <v>191.09</v>
      </c>
      <c r="Z969" s="7">
        <f t="shared" ref="Z969:AA969" si="987">W969*X969</f>
        <v>191.6</v>
      </c>
      <c r="AA969" s="7">
        <f t="shared" si="987"/>
        <v>191.09</v>
      </c>
      <c r="AB969" s="7">
        <f t="shared" si="785"/>
        <v>0.50999999999999091</v>
      </c>
    </row>
    <row r="970" spans="1:28">
      <c r="A970" s="1">
        <v>969</v>
      </c>
      <c r="B970" s="1" t="s">
        <v>2405</v>
      </c>
      <c r="C970" s="2">
        <v>43347</v>
      </c>
      <c r="D970" s="6" t="str">
        <f t="shared" si="780"/>
        <v>Sep</v>
      </c>
      <c r="E970" s="6" t="str">
        <f t="shared" si="781"/>
        <v>Qtr 3</v>
      </c>
      <c r="F970" s="5">
        <v>43408</v>
      </c>
      <c r="G970" s="1" t="s">
        <v>162</v>
      </c>
      <c r="H970" s="1" t="s">
        <v>2406</v>
      </c>
      <c r="I970" s="1" t="s">
        <v>2407</v>
      </c>
      <c r="J970" s="1" t="str">
        <f ca="1">IFERROR(__xludf.DUMMYFUNCTION("split(I970,"" "")"),"Bryan")</f>
        <v>Bryan</v>
      </c>
      <c r="K970" s="1" t="str">
        <f ca="1">IFERROR(__xludf.DUMMYFUNCTION("""COMPUTED_VALUE"""),"Spruell")</f>
        <v>Spruell</v>
      </c>
      <c r="L970" s="1"/>
      <c r="M970" s="1" t="s">
        <v>87</v>
      </c>
      <c r="N970" s="1" t="s">
        <v>30</v>
      </c>
      <c r="O970" s="1" t="s">
        <v>233</v>
      </c>
      <c r="P970" s="1" t="str">
        <f t="shared" si="782"/>
        <v>New York City</v>
      </c>
      <c r="Q970" s="1" t="s">
        <v>234</v>
      </c>
      <c r="R970" s="1" t="str">
        <f t="shared" si="783"/>
        <v>New York</v>
      </c>
      <c r="S970" s="1">
        <v>10011</v>
      </c>
      <c r="T970" s="1" t="s">
        <v>128</v>
      </c>
      <c r="U970" s="1" t="s">
        <v>2404</v>
      </c>
      <c r="V970" s="1" t="s">
        <v>46</v>
      </c>
      <c r="W970" s="7">
        <v>8.64</v>
      </c>
      <c r="X970" s="1">
        <v>1</v>
      </c>
      <c r="Y970" s="7">
        <v>7.67</v>
      </c>
      <c r="Z970" s="7">
        <f t="shared" ref="Z970:AA970" si="988">W970*X970</f>
        <v>8.64</v>
      </c>
      <c r="AA970" s="7">
        <f t="shared" si="988"/>
        <v>7.67</v>
      </c>
      <c r="AB970" s="7">
        <f t="shared" si="785"/>
        <v>0.97000000000000064</v>
      </c>
    </row>
    <row r="971" spans="1:28">
      <c r="A971" s="1">
        <v>970</v>
      </c>
      <c r="B971" s="1" t="s">
        <v>2405</v>
      </c>
      <c r="C971" s="2">
        <v>43347</v>
      </c>
      <c r="D971" s="6" t="str">
        <f t="shared" si="780"/>
        <v>Sep</v>
      </c>
      <c r="E971" s="6" t="str">
        <f t="shared" si="781"/>
        <v>Qtr 3</v>
      </c>
      <c r="F971" s="5">
        <v>43408</v>
      </c>
      <c r="G971" s="1" t="s">
        <v>162</v>
      </c>
      <c r="H971" s="1" t="s">
        <v>2406</v>
      </c>
      <c r="I971" s="1" t="s">
        <v>2407</v>
      </c>
      <c r="J971" s="1" t="str">
        <f ca="1">IFERROR(__xludf.DUMMYFUNCTION("split(I971,"" "")"),"Bryan")</f>
        <v>Bryan</v>
      </c>
      <c r="K971" s="1" t="str">
        <f ca="1">IFERROR(__xludf.DUMMYFUNCTION("""COMPUTED_VALUE"""),"Spruell")</f>
        <v>Spruell</v>
      </c>
      <c r="L971" s="1"/>
      <c r="M971" s="1" t="s">
        <v>87</v>
      </c>
      <c r="N971" s="1" t="s">
        <v>30</v>
      </c>
      <c r="O971" s="1" t="s">
        <v>233</v>
      </c>
      <c r="P971" s="1" t="str">
        <f t="shared" si="782"/>
        <v>New York City</v>
      </c>
      <c r="Q971" s="1" t="s">
        <v>234</v>
      </c>
      <c r="R971" s="1" t="str">
        <f t="shared" si="783"/>
        <v>New York</v>
      </c>
      <c r="S971" s="1">
        <v>10011</v>
      </c>
      <c r="T971" s="1" t="s">
        <v>128</v>
      </c>
      <c r="U971" s="1" t="s">
        <v>2411</v>
      </c>
      <c r="V971" s="1" t="s">
        <v>46</v>
      </c>
      <c r="W971" s="7">
        <v>501.81</v>
      </c>
      <c r="X971" s="1">
        <v>1</v>
      </c>
      <c r="Y971" s="7">
        <v>501.68</v>
      </c>
      <c r="Z971" s="7">
        <f t="shared" ref="Z971:AA971" si="989">W971*X971</f>
        <v>501.81</v>
      </c>
      <c r="AA971" s="7">
        <f t="shared" si="989"/>
        <v>501.68</v>
      </c>
      <c r="AB971" s="7">
        <f t="shared" si="785"/>
        <v>0.12999999999999545</v>
      </c>
    </row>
    <row r="972" spans="1:28">
      <c r="A972" s="1">
        <v>971</v>
      </c>
      <c r="B972" s="1" t="s">
        <v>2412</v>
      </c>
      <c r="C972" s="2">
        <v>42020</v>
      </c>
      <c r="D972" s="6" t="str">
        <f t="shared" si="780"/>
        <v>Jan</v>
      </c>
      <c r="E972" s="6" t="str">
        <f t="shared" si="781"/>
        <v>Qtr 1</v>
      </c>
      <c r="F972" s="5" t="s">
        <v>2413</v>
      </c>
      <c r="G972" s="1" t="s">
        <v>26</v>
      </c>
      <c r="H972" s="1" t="s">
        <v>781</v>
      </c>
      <c r="I972" s="1" t="s">
        <v>782</v>
      </c>
      <c r="J972" s="1" t="str">
        <f ca="1">IFERROR(__xludf.DUMMYFUNCTION("split(I972,"" "")"),"Delfina")</f>
        <v>Delfina</v>
      </c>
      <c r="K972" s="1" t="str">
        <f ca="1">IFERROR(__xludf.DUMMYFUNCTION("""COMPUTED_VALUE"""),"Latchford")</f>
        <v>Latchford</v>
      </c>
      <c r="L972" s="1"/>
      <c r="M972" s="1" t="s">
        <v>29</v>
      </c>
      <c r="N972" s="1" t="s">
        <v>30</v>
      </c>
      <c r="O972" s="1" t="s">
        <v>126</v>
      </c>
      <c r="P972" s="1" t="str">
        <f t="shared" si="782"/>
        <v>Philadelphia</v>
      </c>
      <c r="Q972" s="1" t="s">
        <v>127</v>
      </c>
      <c r="R972" s="1" t="str">
        <f t="shared" si="783"/>
        <v>Pennsylvania</v>
      </c>
      <c r="S972" s="1">
        <v>19134</v>
      </c>
      <c r="T972" s="1" t="s">
        <v>128</v>
      </c>
      <c r="U972" s="1" t="s">
        <v>2414</v>
      </c>
      <c r="V972" s="1" t="s">
        <v>35</v>
      </c>
      <c r="W972" s="7">
        <v>127.104</v>
      </c>
      <c r="X972" s="1">
        <v>1</v>
      </c>
      <c r="Y972" s="7">
        <v>126.74</v>
      </c>
      <c r="Z972" s="7">
        <f t="shared" ref="Z972:AA972" si="990">W972*X972</f>
        <v>127.104</v>
      </c>
      <c r="AA972" s="7">
        <f t="shared" si="990"/>
        <v>126.74</v>
      </c>
      <c r="AB972" s="7">
        <f t="shared" si="785"/>
        <v>0.36400000000000432</v>
      </c>
    </row>
    <row r="973" spans="1:28">
      <c r="A973" s="1">
        <v>972</v>
      </c>
      <c r="B973" s="1" t="s">
        <v>2412</v>
      </c>
      <c r="C973" s="2">
        <v>42020</v>
      </c>
      <c r="D973" s="6" t="str">
        <f t="shared" si="780"/>
        <v>Jan</v>
      </c>
      <c r="E973" s="6" t="str">
        <f t="shared" si="781"/>
        <v>Qtr 1</v>
      </c>
      <c r="F973" s="5" t="s">
        <v>2413</v>
      </c>
      <c r="G973" s="1" t="s">
        <v>26</v>
      </c>
      <c r="H973" s="1" t="s">
        <v>781</v>
      </c>
      <c r="I973" s="1" t="s">
        <v>782</v>
      </c>
      <c r="J973" s="1" t="str">
        <f ca="1">IFERROR(__xludf.DUMMYFUNCTION("split(I973,"" "")"),"Delfina")</f>
        <v>Delfina</v>
      </c>
      <c r="K973" s="1" t="str">
        <f ca="1">IFERROR(__xludf.DUMMYFUNCTION("""COMPUTED_VALUE"""),"Latchford")</f>
        <v>Latchford</v>
      </c>
      <c r="L973" s="1"/>
      <c r="M973" s="1" t="s">
        <v>29</v>
      </c>
      <c r="N973" s="1" t="s">
        <v>30</v>
      </c>
      <c r="O973" s="1" t="s">
        <v>126</v>
      </c>
      <c r="P973" s="1" t="str">
        <f t="shared" si="782"/>
        <v>Philadelphia</v>
      </c>
      <c r="Q973" s="1" t="s">
        <v>127</v>
      </c>
      <c r="R973" s="1" t="str">
        <f t="shared" si="783"/>
        <v>Pennsylvania</v>
      </c>
      <c r="S973" s="1">
        <v>19134</v>
      </c>
      <c r="T973" s="1" t="s">
        <v>128</v>
      </c>
      <c r="U973" s="1" t="s">
        <v>980</v>
      </c>
      <c r="V973" s="1" t="s">
        <v>64</v>
      </c>
      <c r="W973" s="7">
        <v>124.2</v>
      </c>
      <c r="X973" s="1">
        <v>1</v>
      </c>
      <c r="Y973" s="7">
        <v>123.49</v>
      </c>
      <c r="Z973" s="7">
        <f t="shared" ref="Z973:AA973" si="991">W973*X973</f>
        <v>124.2</v>
      </c>
      <c r="AA973" s="7">
        <f t="shared" si="991"/>
        <v>123.49</v>
      </c>
      <c r="AB973" s="7">
        <f t="shared" si="785"/>
        <v>0.71000000000000796</v>
      </c>
    </row>
    <row r="974" spans="1:28">
      <c r="A974" s="1">
        <v>973</v>
      </c>
      <c r="B974" s="1" t="s">
        <v>2412</v>
      </c>
      <c r="C974" s="2">
        <v>42020</v>
      </c>
      <c r="D974" s="6" t="str">
        <f t="shared" si="780"/>
        <v>Jan</v>
      </c>
      <c r="E974" s="6" t="str">
        <f t="shared" si="781"/>
        <v>Qtr 1</v>
      </c>
      <c r="F974" s="5" t="s">
        <v>2413</v>
      </c>
      <c r="G974" s="1" t="s">
        <v>26</v>
      </c>
      <c r="H974" s="1" t="s">
        <v>781</v>
      </c>
      <c r="I974" s="1" t="s">
        <v>782</v>
      </c>
      <c r="J974" s="1" t="str">
        <f ca="1">IFERROR(__xludf.DUMMYFUNCTION("split(I974,"" "")"),"Delfina")</f>
        <v>Delfina</v>
      </c>
      <c r="K974" s="1" t="str">
        <f ca="1">IFERROR(__xludf.DUMMYFUNCTION("""COMPUTED_VALUE"""),"Latchford")</f>
        <v>Latchford</v>
      </c>
      <c r="L974" s="1"/>
      <c r="M974" s="1" t="s">
        <v>29</v>
      </c>
      <c r="N974" s="1" t="s">
        <v>30</v>
      </c>
      <c r="O974" s="1" t="s">
        <v>126</v>
      </c>
      <c r="P974" s="1" t="str">
        <f t="shared" si="782"/>
        <v>Philadelphia</v>
      </c>
      <c r="Q974" s="1" t="s">
        <v>127</v>
      </c>
      <c r="R974" s="1" t="str">
        <f t="shared" si="783"/>
        <v>Pennsylvania</v>
      </c>
      <c r="S974" s="1">
        <v>19134</v>
      </c>
      <c r="T974" s="1" t="s">
        <v>128</v>
      </c>
      <c r="U974" s="1" t="s">
        <v>1844</v>
      </c>
      <c r="V974" s="1" t="s">
        <v>46</v>
      </c>
      <c r="W974" s="7">
        <v>18.588000000000001</v>
      </c>
      <c r="X974" s="1">
        <v>1</v>
      </c>
      <c r="Y974" s="7">
        <v>18.21</v>
      </c>
      <c r="Z974" s="7">
        <f t="shared" ref="Z974:AA974" si="992">W974*X974</f>
        <v>18.588000000000001</v>
      </c>
      <c r="AA974" s="7">
        <f t="shared" si="992"/>
        <v>18.21</v>
      </c>
      <c r="AB974" s="7">
        <f t="shared" si="785"/>
        <v>0.37800000000000011</v>
      </c>
    </row>
    <row r="975" spans="1:28">
      <c r="A975" s="1">
        <v>974</v>
      </c>
      <c r="B975" s="1" t="s">
        <v>2412</v>
      </c>
      <c r="C975" s="2">
        <v>42020</v>
      </c>
      <c r="D975" s="6" t="str">
        <f t="shared" si="780"/>
        <v>Jan</v>
      </c>
      <c r="E975" s="6" t="str">
        <f t="shared" si="781"/>
        <v>Qtr 1</v>
      </c>
      <c r="F975" s="5" t="s">
        <v>2413</v>
      </c>
      <c r="G975" s="1" t="s">
        <v>26</v>
      </c>
      <c r="H975" s="1" t="s">
        <v>781</v>
      </c>
      <c r="I975" s="1" t="s">
        <v>782</v>
      </c>
      <c r="J975" s="1" t="str">
        <f ca="1">IFERROR(__xludf.DUMMYFUNCTION("split(I975,"" "")"),"Delfina")</f>
        <v>Delfina</v>
      </c>
      <c r="K975" s="1" t="str">
        <f ca="1">IFERROR(__xludf.DUMMYFUNCTION("""COMPUTED_VALUE"""),"Latchford")</f>
        <v>Latchford</v>
      </c>
      <c r="L975" s="1"/>
      <c r="M975" s="1" t="s">
        <v>29</v>
      </c>
      <c r="N975" s="1" t="s">
        <v>30</v>
      </c>
      <c r="O975" s="1" t="s">
        <v>126</v>
      </c>
      <c r="P975" s="1" t="str">
        <f t="shared" si="782"/>
        <v>Philadelphia</v>
      </c>
      <c r="Q975" s="1" t="s">
        <v>127</v>
      </c>
      <c r="R975" s="1" t="str">
        <f t="shared" si="783"/>
        <v>Pennsylvania</v>
      </c>
      <c r="S975" s="1">
        <v>19134</v>
      </c>
      <c r="T975" s="1" t="s">
        <v>128</v>
      </c>
      <c r="U975" s="1" t="s">
        <v>974</v>
      </c>
      <c r="V975" s="1" t="s">
        <v>46</v>
      </c>
      <c r="W975" s="7">
        <v>30.071999999999999</v>
      </c>
      <c r="X975" s="1">
        <v>1</v>
      </c>
      <c r="Y975" s="7">
        <v>29.51</v>
      </c>
      <c r="Z975" s="7">
        <f t="shared" ref="Z975:AA975" si="993">W975*X975</f>
        <v>30.071999999999999</v>
      </c>
      <c r="AA975" s="7">
        <f t="shared" si="993"/>
        <v>29.51</v>
      </c>
      <c r="AB975" s="7">
        <f t="shared" si="785"/>
        <v>0.56199999999999761</v>
      </c>
    </row>
    <row r="976" spans="1:28">
      <c r="A976" s="1">
        <v>975</v>
      </c>
      <c r="B976" s="1" t="s">
        <v>2415</v>
      </c>
      <c r="C976" s="2">
        <v>43230</v>
      </c>
      <c r="D976" s="6" t="str">
        <f t="shared" si="780"/>
        <v>May</v>
      </c>
      <c r="E976" s="6" t="str">
        <f t="shared" si="781"/>
        <v>Qtr 2</v>
      </c>
      <c r="F976" s="5">
        <v>43322</v>
      </c>
      <c r="G976" s="1" t="s">
        <v>26</v>
      </c>
      <c r="H976" s="1" t="s">
        <v>1931</v>
      </c>
      <c r="I976" s="1" t="s">
        <v>1932</v>
      </c>
      <c r="J976" s="1" t="str">
        <f ca="1">IFERROR(__xludf.DUMMYFUNCTION("split(I976,"" "")"),"Phillina")</f>
        <v>Phillina</v>
      </c>
      <c r="K976" s="1" t="str">
        <f ca="1">IFERROR(__xludf.DUMMYFUNCTION("""COMPUTED_VALUE"""),"Ober")</f>
        <v>Ober</v>
      </c>
      <c r="L976" s="1"/>
      <c r="M976" s="1" t="s">
        <v>87</v>
      </c>
      <c r="N976" s="1" t="s">
        <v>30</v>
      </c>
      <c r="O976" s="1" t="s">
        <v>233</v>
      </c>
      <c r="P976" s="1" t="str">
        <f t="shared" si="782"/>
        <v>New York City</v>
      </c>
      <c r="Q976" s="1" t="s">
        <v>234</v>
      </c>
      <c r="R976" s="1" t="str">
        <f t="shared" si="783"/>
        <v>New York</v>
      </c>
      <c r="S976" s="1">
        <v>10011</v>
      </c>
      <c r="T976" s="1" t="s">
        <v>128</v>
      </c>
      <c r="U976" s="1" t="s">
        <v>1450</v>
      </c>
      <c r="V976" s="1" t="s">
        <v>64</v>
      </c>
      <c r="W976" s="7">
        <v>160.93</v>
      </c>
      <c r="X976" s="1">
        <v>1</v>
      </c>
      <c r="Y976" s="7">
        <v>160.25</v>
      </c>
      <c r="Z976" s="7">
        <f t="shared" ref="Z976:AA976" si="994">W976*X976</f>
        <v>160.93</v>
      </c>
      <c r="AA976" s="7">
        <f t="shared" si="994"/>
        <v>160.25</v>
      </c>
      <c r="AB976" s="7">
        <f t="shared" si="785"/>
        <v>0.68000000000000682</v>
      </c>
    </row>
    <row r="977" spans="1:28">
      <c r="A977" s="1">
        <v>976</v>
      </c>
      <c r="B977" s="1" t="s">
        <v>2415</v>
      </c>
      <c r="C977" s="2">
        <v>43230</v>
      </c>
      <c r="D977" s="6" t="str">
        <f t="shared" si="780"/>
        <v>May</v>
      </c>
      <c r="E977" s="6" t="str">
        <f t="shared" si="781"/>
        <v>Qtr 2</v>
      </c>
      <c r="F977" s="5">
        <v>43322</v>
      </c>
      <c r="G977" s="1" t="s">
        <v>26</v>
      </c>
      <c r="H977" s="1" t="s">
        <v>1931</v>
      </c>
      <c r="I977" s="1" t="s">
        <v>1932</v>
      </c>
      <c r="J977" s="1" t="str">
        <f ca="1">IFERROR(__xludf.DUMMYFUNCTION("split(I977,"" "")"),"Phillina")</f>
        <v>Phillina</v>
      </c>
      <c r="K977" s="1" t="str">
        <f ca="1">IFERROR(__xludf.DUMMYFUNCTION("""COMPUTED_VALUE"""),"Ober")</f>
        <v>Ober</v>
      </c>
      <c r="L977" s="1"/>
      <c r="M977" s="1" t="s">
        <v>87</v>
      </c>
      <c r="N977" s="1" t="s">
        <v>30</v>
      </c>
      <c r="O977" s="1" t="s">
        <v>233</v>
      </c>
      <c r="P977" s="1" t="str">
        <f t="shared" si="782"/>
        <v>New York City</v>
      </c>
      <c r="Q977" s="1" t="s">
        <v>234</v>
      </c>
      <c r="R977" s="1" t="str">
        <f t="shared" si="783"/>
        <v>New York</v>
      </c>
      <c r="S977" s="1">
        <v>10011</v>
      </c>
      <c r="T977" s="1" t="s">
        <v>128</v>
      </c>
      <c r="U977" s="1" t="s">
        <v>1135</v>
      </c>
      <c r="V977" s="1" t="s">
        <v>46</v>
      </c>
      <c r="W977" s="7">
        <v>75.792000000000002</v>
      </c>
      <c r="X977" s="1">
        <v>1</v>
      </c>
      <c r="Y977" s="7">
        <v>75.599999999999994</v>
      </c>
      <c r="Z977" s="7">
        <f t="shared" ref="Z977:AA977" si="995">W977*X977</f>
        <v>75.792000000000002</v>
      </c>
      <c r="AA977" s="7">
        <f t="shared" si="995"/>
        <v>75.599999999999994</v>
      </c>
      <c r="AB977" s="7">
        <f t="shared" si="785"/>
        <v>0.19200000000000728</v>
      </c>
    </row>
    <row r="978" spans="1:28">
      <c r="A978" s="1">
        <v>977</v>
      </c>
      <c r="B978" s="1" t="s">
        <v>2416</v>
      </c>
      <c r="C978" s="2">
        <v>43350</v>
      </c>
      <c r="D978" s="6" t="str">
        <f t="shared" si="780"/>
        <v>Sep</v>
      </c>
      <c r="E978" s="6" t="str">
        <f t="shared" si="781"/>
        <v>Qtr 3</v>
      </c>
      <c r="F978" s="5" t="s">
        <v>2417</v>
      </c>
      <c r="G978" s="1" t="s">
        <v>49</v>
      </c>
      <c r="H978" s="1" t="s">
        <v>1011</v>
      </c>
      <c r="I978" s="1" t="s">
        <v>1012</v>
      </c>
      <c r="J978" s="1" t="str">
        <f ca="1">IFERROR(__xludf.DUMMYFUNCTION("split(I978,"" "")"),"Tamara")</f>
        <v>Tamara</v>
      </c>
      <c r="K978" s="1" t="str">
        <f ca="1">IFERROR(__xludf.DUMMYFUNCTION("""COMPUTED_VALUE"""),"Dahlen")</f>
        <v>Dahlen</v>
      </c>
      <c r="L978" s="1"/>
      <c r="M978" s="1" t="s">
        <v>29</v>
      </c>
      <c r="N978" s="1" t="s">
        <v>30</v>
      </c>
      <c r="O978" s="1" t="s">
        <v>354</v>
      </c>
      <c r="P978" s="1" t="str">
        <f t="shared" si="782"/>
        <v>Portland</v>
      </c>
      <c r="Q978" s="1" t="s">
        <v>355</v>
      </c>
      <c r="R978" s="1" t="str">
        <f t="shared" si="783"/>
        <v>Oregon</v>
      </c>
      <c r="S978" s="1">
        <v>97206</v>
      </c>
      <c r="T978" s="1" t="s">
        <v>44</v>
      </c>
      <c r="U978" s="1" t="s">
        <v>2418</v>
      </c>
      <c r="V978" s="1" t="s">
        <v>46</v>
      </c>
      <c r="W978" s="7">
        <v>1.08</v>
      </c>
      <c r="X978" s="1">
        <v>9</v>
      </c>
      <c r="Y978" s="7">
        <v>0.62</v>
      </c>
      <c r="Z978" s="7">
        <f t="shared" ref="Z978:AA978" si="996">W978*X978</f>
        <v>9.7200000000000006</v>
      </c>
      <c r="AA978" s="7">
        <f t="shared" si="996"/>
        <v>5.58</v>
      </c>
      <c r="AB978" s="7">
        <f t="shared" si="785"/>
        <v>4.1400000000000006</v>
      </c>
    </row>
    <row r="979" spans="1:28">
      <c r="A979" s="1">
        <v>978</v>
      </c>
      <c r="B979" s="1" t="s">
        <v>2419</v>
      </c>
      <c r="C979" s="2">
        <v>43282</v>
      </c>
      <c r="D979" s="6" t="str">
        <f t="shared" si="780"/>
        <v>Jul</v>
      </c>
      <c r="E979" s="6" t="str">
        <f t="shared" si="781"/>
        <v>Qtr 3</v>
      </c>
      <c r="F979" s="5">
        <v>43374</v>
      </c>
      <c r="G979" s="1" t="s">
        <v>162</v>
      </c>
      <c r="H979" s="1" t="s">
        <v>2091</v>
      </c>
      <c r="I979" s="1" t="s">
        <v>2092</v>
      </c>
      <c r="J979" s="1" t="str">
        <f ca="1">IFERROR(__xludf.DUMMYFUNCTION("split(I979,"" "")"),"Bart")</f>
        <v>Bart</v>
      </c>
      <c r="K979" s="1" t="str">
        <f ca="1">IFERROR(__xludf.DUMMYFUNCTION("""COMPUTED_VALUE"""),"Watters")</f>
        <v>Watters</v>
      </c>
      <c r="L979" s="1"/>
      <c r="M979" s="1" t="s">
        <v>41</v>
      </c>
      <c r="N979" s="1" t="s">
        <v>30</v>
      </c>
      <c r="O979" s="1" t="s">
        <v>728</v>
      </c>
      <c r="P979" s="1" t="str">
        <f t="shared" si="782"/>
        <v>Detroit</v>
      </c>
      <c r="Q979" s="1" t="s">
        <v>209</v>
      </c>
      <c r="R979" s="1" t="str">
        <f t="shared" si="783"/>
        <v>Michigan</v>
      </c>
      <c r="S979" s="1">
        <v>48205</v>
      </c>
      <c r="T979" s="1" t="s">
        <v>90</v>
      </c>
      <c r="U979" s="1" t="s">
        <v>567</v>
      </c>
      <c r="V979" s="1" t="s">
        <v>64</v>
      </c>
      <c r="W979" s="7">
        <v>3059.982</v>
      </c>
      <c r="X979" s="1">
        <v>4</v>
      </c>
      <c r="Y979" s="7">
        <v>3059.46</v>
      </c>
      <c r="Z979" s="7">
        <f t="shared" ref="Z979:AA979" si="997">W979*X979</f>
        <v>12239.928</v>
      </c>
      <c r="AA979" s="7">
        <f t="shared" si="997"/>
        <v>12237.84</v>
      </c>
      <c r="AB979" s="7">
        <f t="shared" si="785"/>
        <v>2.0879999999997381</v>
      </c>
    </row>
    <row r="980" spans="1:28">
      <c r="A980" s="1">
        <v>979</v>
      </c>
      <c r="B980" s="1" t="s">
        <v>2420</v>
      </c>
      <c r="C980" s="2">
        <v>42885</v>
      </c>
      <c r="D980" s="6" t="str">
        <f t="shared" si="780"/>
        <v>May</v>
      </c>
      <c r="E980" s="6" t="str">
        <f t="shared" si="781"/>
        <v>Qtr 2</v>
      </c>
      <c r="F980" s="5" t="s">
        <v>2421</v>
      </c>
      <c r="G980" s="1" t="s">
        <v>162</v>
      </c>
      <c r="H980" s="1" t="s">
        <v>2422</v>
      </c>
      <c r="I980" s="1" t="s">
        <v>2423</v>
      </c>
      <c r="J980" s="1" t="str">
        <f ca="1">IFERROR(__xludf.DUMMYFUNCTION("split(I980,"" "")"),"Robert")</f>
        <v>Robert</v>
      </c>
      <c r="K980" s="1" t="str">
        <f ca="1">IFERROR(__xludf.DUMMYFUNCTION("""COMPUTED_VALUE"""),"Waldorf")</f>
        <v>Waldorf</v>
      </c>
      <c r="L980" s="1"/>
      <c r="M980" s="1" t="s">
        <v>29</v>
      </c>
      <c r="N980" s="1" t="s">
        <v>30</v>
      </c>
      <c r="O980" s="1" t="s">
        <v>438</v>
      </c>
      <c r="P980" s="1" t="str">
        <f t="shared" si="782"/>
        <v>Wilmington</v>
      </c>
      <c r="Q980" s="1" t="s">
        <v>75</v>
      </c>
      <c r="R980" s="1" t="str">
        <f t="shared" si="783"/>
        <v>North Carolina</v>
      </c>
      <c r="S980" s="1">
        <v>28403</v>
      </c>
      <c r="T980" s="1" t="s">
        <v>33</v>
      </c>
      <c r="U980" s="1" t="s">
        <v>1645</v>
      </c>
      <c r="V980" s="1" t="s">
        <v>46</v>
      </c>
      <c r="W980" s="7">
        <v>3.282</v>
      </c>
      <c r="X980" s="1">
        <v>2</v>
      </c>
      <c r="Y980" s="7">
        <v>2.42</v>
      </c>
      <c r="Z980" s="7">
        <f t="shared" ref="Z980:AA980" si="998">W980*X980</f>
        <v>6.5640000000000001</v>
      </c>
      <c r="AA980" s="7">
        <f t="shared" si="998"/>
        <v>4.84</v>
      </c>
      <c r="AB980" s="7">
        <f t="shared" si="785"/>
        <v>1.7240000000000002</v>
      </c>
    </row>
    <row r="981" spans="1:28">
      <c r="A981" s="1">
        <v>980</v>
      </c>
      <c r="B981" s="1" t="s">
        <v>2424</v>
      </c>
      <c r="C981" s="2">
        <v>42625</v>
      </c>
      <c r="D981" s="6" t="str">
        <f t="shared" si="780"/>
        <v>Sep</v>
      </c>
      <c r="E981" s="6" t="str">
        <f t="shared" si="781"/>
        <v>Qtr 3</v>
      </c>
      <c r="F981" s="5">
        <v>42716</v>
      </c>
      <c r="G981" s="1" t="s">
        <v>162</v>
      </c>
      <c r="H981" s="1" t="s">
        <v>292</v>
      </c>
      <c r="I981" s="1" t="s">
        <v>293</v>
      </c>
      <c r="J981" s="1" t="str">
        <f ca="1">IFERROR(__xludf.DUMMYFUNCTION("split(I981,"" "")"),"Ken")</f>
        <v>Ken</v>
      </c>
      <c r="K981" s="1" t="str">
        <f ca="1">IFERROR(__xludf.DUMMYFUNCTION("""COMPUTED_VALUE"""),"Brennan")</f>
        <v>Brennan</v>
      </c>
      <c r="L981" s="1"/>
      <c r="M981" s="1" t="s">
        <v>41</v>
      </c>
      <c r="N981" s="1" t="s">
        <v>30</v>
      </c>
      <c r="O981" s="1" t="s">
        <v>420</v>
      </c>
      <c r="P981" s="1" t="str">
        <f t="shared" si="782"/>
        <v>Columbus</v>
      </c>
      <c r="Q981" s="1" t="s">
        <v>224</v>
      </c>
      <c r="R981" s="1" t="str">
        <f t="shared" si="783"/>
        <v>Indiana</v>
      </c>
      <c r="S981" s="1">
        <v>47201</v>
      </c>
      <c r="T981" s="1" t="s">
        <v>90</v>
      </c>
      <c r="U981" s="1" t="s">
        <v>2425</v>
      </c>
      <c r="V981" s="1" t="s">
        <v>46</v>
      </c>
      <c r="W981" s="7">
        <v>34.020000000000003</v>
      </c>
      <c r="X981" s="1">
        <v>4</v>
      </c>
      <c r="Y981" s="7">
        <v>33.18</v>
      </c>
      <c r="Z981" s="7">
        <f t="shared" ref="Z981:AA981" si="999">W981*X981</f>
        <v>136.08000000000001</v>
      </c>
      <c r="AA981" s="7">
        <f t="shared" si="999"/>
        <v>132.72</v>
      </c>
      <c r="AB981" s="7">
        <f t="shared" si="785"/>
        <v>3.3600000000000136</v>
      </c>
    </row>
    <row r="982" spans="1:28">
      <c r="A982" s="1">
        <v>981</v>
      </c>
      <c r="B982" s="1" t="s">
        <v>2426</v>
      </c>
      <c r="C982" s="2">
        <v>42804</v>
      </c>
      <c r="D982" s="6" t="str">
        <f t="shared" si="780"/>
        <v>Mar</v>
      </c>
      <c r="E982" s="6" t="str">
        <f t="shared" si="781"/>
        <v>Qtr 1</v>
      </c>
      <c r="F982" s="5">
        <v>42957</v>
      </c>
      <c r="G982" s="1" t="s">
        <v>49</v>
      </c>
      <c r="H982" s="1" t="s">
        <v>132</v>
      </c>
      <c r="I982" s="1" t="s">
        <v>133</v>
      </c>
      <c r="J982" s="1" t="str">
        <f ca="1">IFERROR(__xludf.DUMMYFUNCTION("split(I982,"" "")"),"Emily")</f>
        <v>Emily</v>
      </c>
      <c r="K982" s="1" t="str">
        <f ca="1">IFERROR(__xludf.DUMMYFUNCTION("""COMPUTED_VALUE"""),"Burns")</f>
        <v>Burns</v>
      </c>
      <c r="L982" s="1"/>
      <c r="M982" s="1" t="s">
        <v>29</v>
      </c>
      <c r="N982" s="1" t="s">
        <v>30</v>
      </c>
      <c r="O982" s="1" t="s">
        <v>233</v>
      </c>
      <c r="P982" s="1" t="str">
        <f t="shared" si="782"/>
        <v>New York City</v>
      </c>
      <c r="Q982" s="1" t="s">
        <v>234</v>
      </c>
      <c r="R982" s="1" t="str">
        <f t="shared" si="783"/>
        <v>New York</v>
      </c>
      <c r="S982" s="1">
        <v>10035</v>
      </c>
      <c r="T982" s="1" t="s">
        <v>128</v>
      </c>
      <c r="U982" s="1" t="s">
        <v>2031</v>
      </c>
      <c r="V982" s="1" t="s">
        <v>35</v>
      </c>
      <c r="W982" s="7">
        <v>599.29200000000003</v>
      </c>
      <c r="X982" s="1">
        <v>1</v>
      </c>
      <c r="Y982" s="7">
        <v>599.26</v>
      </c>
      <c r="Z982" s="7">
        <f t="shared" ref="Z982:AA982" si="1000">W982*X982</f>
        <v>599.29200000000003</v>
      </c>
      <c r="AA982" s="7">
        <f t="shared" si="1000"/>
        <v>599.26</v>
      </c>
      <c r="AB982" s="7">
        <f t="shared" si="785"/>
        <v>3.2000000000039108E-2</v>
      </c>
    </row>
    <row r="983" spans="1:28">
      <c r="A983" s="1">
        <v>982</v>
      </c>
      <c r="B983" s="1" t="s">
        <v>2427</v>
      </c>
      <c r="C983" s="2">
        <v>42319</v>
      </c>
      <c r="D983" s="6" t="str">
        <f t="shared" si="780"/>
        <v>Nov</v>
      </c>
      <c r="E983" s="6" t="str">
        <f t="shared" si="781"/>
        <v>Qtr 4</v>
      </c>
      <c r="F983" s="5" t="s">
        <v>2428</v>
      </c>
      <c r="G983" s="1" t="s">
        <v>26</v>
      </c>
      <c r="H983" s="1" t="s">
        <v>2429</v>
      </c>
      <c r="I983" s="1" t="s">
        <v>2430</v>
      </c>
      <c r="J983" s="1" t="str">
        <f ca="1">IFERROR(__xludf.DUMMYFUNCTION("split(I983,"" "")"),"Tracy")</f>
        <v>Tracy</v>
      </c>
      <c r="K983" s="1" t="str">
        <f ca="1">IFERROR(__xludf.DUMMYFUNCTION("""COMPUTED_VALUE"""),"Zic")</f>
        <v>Zic</v>
      </c>
      <c r="L983" s="1"/>
      <c r="M983" s="1" t="s">
        <v>29</v>
      </c>
      <c r="N983" s="1" t="s">
        <v>30</v>
      </c>
      <c r="O983" s="1" t="s">
        <v>1199</v>
      </c>
      <c r="P983" s="1" t="str">
        <f t="shared" si="782"/>
        <v>Louisville</v>
      </c>
      <c r="Q983" s="1" t="s">
        <v>386</v>
      </c>
      <c r="R983" s="1" t="str">
        <f t="shared" si="783"/>
        <v>Colorado</v>
      </c>
      <c r="S983" s="1">
        <v>80027</v>
      </c>
      <c r="T983" s="1" t="s">
        <v>44</v>
      </c>
      <c r="U983" s="1" t="s">
        <v>2431</v>
      </c>
      <c r="V983" s="1" t="s">
        <v>46</v>
      </c>
      <c r="W983" s="7">
        <v>3.3919999999999999</v>
      </c>
      <c r="X983" s="1">
        <v>8</v>
      </c>
      <c r="Y983" s="7">
        <v>3.21</v>
      </c>
      <c r="Z983" s="7">
        <f t="shared" ref="Z983:AA983" si="1001">W983*X983</f>
        <v>27.135999999999999</v>
      </c>
      <c r="AA983" s="7">
        <f t="shared" si="1001"/>
        <v>25.68</v>
      </c>
      <c r="AB983" s="7">
        <f t="shared" si="785"/>
        <v>1.4559999999999995</v>
      </c>
    </row>
    <row r="984" spans="1:28">
      <c r="A984" s="1">
        <v>983</v>
      </c>
      <c r="B984" s="1" t="s">
        <v>2427</v>
      </c>
      <c r="C984" s="2">
        <v>42319</v>
      </c>
      <c r="D984" s="6" t="str">
        <f t="shared" si="780"/>
        <v>Nov</v>
      </c>
      <c r="E984" s="6" t="str">
        <f t="shared" si="781"/>
        <v>Qtr 4</v>
      </c>
      <c r="F984" s="5" t="s">
        <v>2428</v>
      </c>
      <c r="G984" s="1" t="s">
        <v>26</v>
      </c>
      <c r="H984" s="1" t="s">
        <v>2429</v>
      </c>
      <c r="I984" s="1" t="s">
        <v>2430</v>
      </c>
      <c r="J984" s="1" t="str">
        <f ca="1">IFERROR(__xludf.DUMMYFUNCTION("split(I984,"" "")"),"Tracy")</f>
        <v>Tracy</v>
      </c>
      <c r="K984" s="1" t="str">
        <f ca="1">IFERROR(__xludf.DUMMYFUNCTION("""COMPUTED_VALUE"""),"Zic")</f>
        <v>Zic</v>
      </c>
      <c r="L984" s="1"/>
      <c r="M984" s="1" t="s">
        <v>29</v>
      </c>
      <c r="N984" s="1" t="s">
        <v>30</v>
      </c>
      <c r="O984" s="1" t="s">
        <v>1199</v>
      </c>
      <c r="P984" s="1" t="str">
        <f t="shared" si="782"/>
        <v>Louisville</v>
      </c>
      <c r="Q984" s="1" t="s">
        <v>386</v>
      </c>
      <c r="R984" s="1" t="str">
        <f t="shared" si="783"/>
        <v>Colorado</v>
      </c>
      <c r="S984" s="1">
        <v>80027</v>
      </c>
      <c r="T984" s="1" t="s">
        <v>44</v>
      </c>
      <c r="U984" s="1" t="s">
        <v>2432</v>
      </c>
      <c r="V984" s="1" t="s">
        <v>64</v>
      </c>
      <c r="W984" s="7">
        <v>559.98400000000004</v>
      </c>
      <c r="X984" s="1">
        <v>8</v>
      </c>
      <c r="Y984" s="7">
        <v>559.5</v>
      </c>
      <c r="Z984" s="7">
        <f t="shared" ref="Z984:AA984" si="1002">W984*X984</f>
        <v>4479.8720000000003</v>
      </c>
      <c r="AA984" s="7">
        <f t="shared" si="1002"/>
        <v>4476</v>
      </c>
      <c r="AB984" s="7">
        <f t="shared" si="785"/>
        <v>3.8720000000002983</v>
      </c>
    </row>
    <row r="985" spans="1:28">
      <c r="A985" s="1">
        <v>984</v>
      </c>
      <c r="B985" s="1" t="s">
        <v>2427</v>
      </c>
      <c r="C985" s="2">
        <v>42319</v>
      </c>
      <c r="D985" s="6" t="str">
        <f t="shared" si="780"/>
        <v>Nov</v>
      </c>
      <c r="E985" s="6" t="str">
        <f t="shared" si="781"/>
        <v>Qtr 4</v>
      </c>
      <c r="F985" s="5" t="s">
        <v>2428</v>
      </c>
      <c r="G985" s="1" t="s">
        <v>26</v>
      </c>
      <c r="H985" s="1" t="s">
        <v>2429</v>
      </c>
      <c r="I985" s="1" t="s">
        <v>2430</v>
      </c>
      <c r="J985" s="1" t="str">
        <f ca="1">IFERROR(__xludf.DUMMYFUNCTION("split(I985,"" "")"),"Tracy")</f>
        <v>Tracy</v>
      </c>
      <c r="K985" s="1" t="str">
        <f ca="1">IFERROR(__xludf.DUMMYFUNCTION("""COMPUTED_VALUE"""),"Zic")</f>
        <v>Zic</v>
      </c>
      <c r="L985" s="1"/>
      <c r="M985" s="1" t="s">
        <v>29</v>
      </c>
      <c r="N985" s="1" t="s">
        <v>30</v>
      </c>
      <c r="O985" s="1" t="s">
        <v>1199</v>
      </c>
      <c r="P985" s="1" t="str">
        <f t="shared" si="782"/>
        <v>Louisville</v>
      </c>
      <c r="Q985" s="1" t="s">
        <v>386</v>
      </c>
      <c r="R985" s="1" t="str">
        <f t="shared" si="783"/>
        <v>Colorado</v>
      </c>
      <c r="S985" s="1">
        <v>80027</v>
      </c>
      <c r="T985" s="1" t="s">
        <v>44</v>
      </c>
      <c r="U985" s="1" t="s">
        <v>2118</v>
      </c>
      <c r="V985" s="1" t="s">
        <v>35</v>
      </c>
      <c r="W985" s="7">
        <v>603.91999999999996</v>
      </c>
      <c r="X985" s="1">
        <v>8</v>
      </c>
      <c r="Y985" s="7">
        <v>603.59</v>
      </c>
      <c r="Z985" s="7">
        <f t="shared" ref="Z985:AA985" si="1003">W985*X985</f>
        <v>4831.3599999999997</v>
      </c>
      <c r="AA985" s="7">
        <f t="shared" si="1003"/>
        <v>4828.72</v>
      </c>
      <c r="AB985" s="7">
        <f t="shared" si="785"/>
        <v>2.6399999999994179</v>
      </c>
    </row>
    <row r="986" spans="1:28">
      <c r="A986" s="1">
        <v>985</v>
      </c>
      <c r="B986" s="1" t="s">
        <v>2433</v>
      </c>
      <c r="C986" s="2">
        <v>43372</v>
      </c>
      <c r="D986" s="6" t="str">
        <f t="shared" si="780"/>
        <v>Sep</v>
      </c>
      <c r="E986" s="6" t="str">
        <f t="shared" si="781"/>
        <v>Qtr 3</v>
      </c>
      <c r="F986" s="5">
        <v>43230</v>
      </c>
      <c r="G986" s="1" t="s">
        <v>49</v>
      </c>
      <c r="H986" s="1" t="s">
        <v>2434</v>
      </c>
      <c r="I986" s="1" t="s">
        <v>2435</v>
      </c>
      <c r="J986" s="1" t="str">
        <f ca="1">IFERROR(__xludf.DUMMYFUNCTION("split(I986,"" "")"),"Ann")</f>
        <v>Ann</v>
      </c>
      <c r="K986" s="1" t="str">
        <f ca="1">IFERROR(__xludf.DUMMYFUNCTION("""COMPUTED_VALUE"""),"Steele")</f>
        <v>Steele</v>
      </c>
      <c r="L986" s="1"/>
      <c r="M986" s="1" t="s">
        <v>87</v>
      </c>
      <c r="N986" s="1" t="s">
        <v>30</v>
      </c>
      <c r="O986" s="1" t="s">
        <v>500</v>
      </c>
      <c r="P986" s="1" t="str">
        <f t="shared" si="782"/>
        <v>Pasadena</v>
      </c>
      <c r="Q986" s="1" t="s">
        <v>89</v>
      </c>
      <c r="R986" s="1" t="str">
        <f t="shared" si="783"/>
        <v>Texas</v>
      </c>
      <c r="S986" s="1">
        <v>77506</v>
      </c>
      <c r="T986" s="1" t="s">
        <v>90</v>
      </c>
      <c r="U986" s="1" t="s">
        <v>2042</v>
      </c>
      <c r="V986" s="1" t="s">
        <v>46</v>
      </c>
      <c r="W986" s="7">
        <v>7.968</v>
      </c>
      <c r="X986" s="1">
        <v>7</v>
      </c>
      <c r="Y986" s="7">
        <v>7.61</v>
      </c>
      <c r="Z986" s="7">
        <f t="shared" ref="Z986:AA986" si="1004">W986*X986</f>
        <v>55.775999999999996</v>
      </c>
      <c r="AA986" s="7">
        <f t="shared" si="1004"/>
        <v>53.27</v>
      </c>
      <c r="AB986" s="7">
        <f t="shared" si="785"/>
        <v>2.5059999999999931</v>
      </c>
    </row>
    <row r="987" spans="1:28">
      <c r="A987" s="1">
        <v>986</v>
      </c>
      <c r="B987" s="1" t="s">
        <v>2433</v>
      </c>
      <c r="C987" s="2">
        <v>43372</v>
      </c>
      <c r="D987" s="6" t="str">
        <f t="shared" si="780"/>
        <v>Sep</v>
      </c>
      <c r="E987" s="6" t="str">
        <f t="shared" si="781"/>
        <v>Qtr 3</v>
      </c>
      <c r="F987" s="5">
        <v>43230</v>
      </c>
      <c r="G987" s="1" t="s">
        <v>49</v>
      </c>
      <c r="H987" s="1" t="s">
        <v>2434</v>
      </c>
      <c r="I987" s="1" t="s">
        <v>2435</v>
      </c>
      <c r="J987" s="1" t="str">
        <f ca="1">IFERROR(__xludf.DUMMYFUNCTION("split(I987,"" "")"),"Ann")</f>
        <v>Ann</v>
      </c>
      <c r="K987" s="1" t="str">
        <f ca="1">IFERROR(__xludf.DUMMYFUNCTION("""COMPUTED_VALUE"""),"Steele")</f>
        <v>Steele</v>
      </c>
      <c r="L987" s="1"/>
      <c r="M987" s="1" t="s">
        <v>87</v>
      </c>
      <c r="N987" s="1" t="s">
        <v>30</v>
      </c>
      <c r="O987" s="1" t="s">
        <v>500</v>
      </c>
      <c r="P987" s="1" t="str">
        <f t="shared" si="782"/>
        <v>Pasadena</v>
      </c>
      <c r="Q987" s="1" t="s">
        <v>89</v>
      </c>
      <c r="R987" s="1" t="str">
        <f t="shared" si="783"/>
        <v>Texas</v>
      </c>
      <c r="S987" s="1">
        <v>77506</v>
      </c>
      <c r="T987" s="1" t="s">
        <v>90</v>
      </c>
      <c r="U987" s="1" t="s">
        <v>2436</v>
      </c>
      <c r="V987" s="1" t="s">
        <v>46</v>
      </c>
      <c r="W987" s="7">
        <v>27.968</v>
      </c>
      <c r="X987" s="1">
        <v>7</v>
      </c>
      <c r="Y987" s="7">
        <v>27.75</v>
      </c>
      <c r="Z987" s="7">
        <f t="shared" ref="Z987:AA987" si="1005">W987*X987</f>
        <v>195.77600000000001</v>
      </c>
      <c r="AA987" s="7">
        <f t="shared" si="1005"/>
        <v>194.25</v>
      </c>
      <c r="AB987" s="7">
        <f t="shared" si="785"/>
        <v>1.5260000000000105</v>
      </c>
    </row>
    <row r="988" spans="1:28">
      <c r="A988" s="1">
        <v>987</v>
      </c>
      <c r="B988" s="1" t="s">
        <v>2433</v>
      </c>
      <c r="C988" s="2">
        <v>43372</v>
      </c>
      <c r="D988" s="6" t="str">
        <f t="shared" si="780"/>
        <v>Sep</v>
      </c>
      <c r="E988" s="6" t="str">
        <f t="shared" si="781"/>
        <v>Qtr 3</v>
      </c>
      <c r="F988" s="5">
        <v>43230</v>
      </c>
      <c r="G988" s="1" t="s">
        <v>49</v>
      </c>
      <c r="H988" s="1" t="s">
        <v>2434</v>
      </c>
      <c r="I988" s="1" t="s">
        <v>2435</v>
      </c>
      <c r="J988" s="1" t="str">
        <f ca="1">IFERROR(__xludf.DUMMYFUNCTION("split(I988,"" "")"),"Ann")</f>
        <v>Ann</v>
      </c>
      <c r="K988" s="1" t="str">
        <f ca="1">IFERROR(__xludf.DUMMYFUNCTION("""COMPUTED_VALUE"""),"Steele")</f>
        <v>Steele</v>
      </c>
      <c r="L988" s="1"/>
      <c r="M988" s="1" t="s">
        <v>87</v>
      </c>
      <c r="N988" s="1" t="s">
        <v>30</v>
      </c>
      <c r="O988" s="1" t="s">
        <v>500</v>
      </c>
      <c r="P988" s="1" t="str">
        <f t="shared" si="782"/>
        <v>Pasadena</v>
      </c>
      <c r="Q988" s="1" t="s">
        <v>89</v>
      </c>
      <c r="R988" s="1" t="str">
        <f t="shared" si="783"/>
        <v>Texas</v>
      </c>
      <c r="S988" s="1">
        <v>77506</v>
      </c>
      <c r="T988" s="1" t="s">
        <v>90</v>
      </c>
      <c r="U988" s="1" t="s">
        <v>2437</v>
      </c>
      <c r="V988" s="1" t="s">
        <v>64</v>
      </c>
      <c r="W988" s="7">
        <v>336.51</v>
      </c>
      <c r="X988" s="1">
        <v>7</v>
      </c>
      <c r="Y988" s="7">
        <v>336.1</v>
      </c>
      <c r="Z988" s="7">
        <f t="shared" ref="Z988:AA988" si="1006">W988*X988</f>
        <v>2355.5699999999997</v>
      </c>
      <c r="AA988" s="7">
        <f t="shared" si="1006"/>
        <v>2352.7000000000003</v>
      </c>
      <c r="AB988" s="7">
        <f t="shared" si="785"/>
        <v>2.8699999999994361</v>
      </c>
    </row>
    <row r="989" spans="1:28">
      <c r="A989" s="1">
        <v>988</v>
      </c>
      <c r="B989" s="1" t="s">
        <v>2438</v>
      </c>
      <c r="C989" s="2">
        <v>42646</v>
      </c>
      <c r="D989" s="6" t="str">
        <f t="shared" si="780"/>
        <v>Oct</v>
      </c>
      <c r="E989" s="6" t="str">
        <f t="shared" si="781"/>
        <v>Qtr 4</v>
      </c>
      <c r="F989" s="5">
        <v>42646</v>
      </c>
      <c r="G989" s="1" t="s">
        <v>1050</v>
      </c>
      <c r="H989" s="1" t="s">
        <v>2439</v>
      </c>
      <c r="I989" s="1" t="s">
        <v>2440</v>
      </c>
      <c r="J989" s="1" t="str">
        <f ca="1">IFERROR(__xludf.DUMMYFUNCTION("split(I989,"" "")"),"Toby")</f>
        <v>Toby</v>
      </c>
      <c r="K989" s="1" t="str">
        <f ca="1">IFERROR(__xludf.DUMMYFUNCTION("""COMPUTED_VALUE"""),"Swindell")</f>
        <v>Swindell</v>
      </c>
      <c r="L989" s="1"/>
      <c r="M989" s="1" t="s">
        <v>29</v>
      </c>
      <c r="N989" s="1" t="s">
        <v>30</v>
      </c>
      <c r="O989" s="1" t="s">
        <v>172</v>
      </c>
      <c r="P989" s="1" t="str">
        <f t="shared" si="782"/>
        <v>Houston</v>
      </c>
      <c r="Q989" s="1" t="s">
        <v>89</v>
      </c>
      <c r="R989" s="1" t="str">
        <f t="shared" si="783"/>
        <v>Texas</v>
      </c>
      <c r="S989" s="1">
        <v>77041</v>
      </c>
      <c r="T989" s="1" t="s">
        <v>90</v>
      </c>
      <c r="U989" s="1" t="s">
        <v>2441</v>
      </c>
      <c r="V989" s="1" t="s">
        <v>46</v>
      </c>
      <c r="W989" s="7">
        <v>1.1120000000000001</v>
      </c>
      <c r="X989" s="1">
        <v>7</v>
      </c>
      <c r="Y989" s="7">
        <v>0.28000000000000003</v>
      </c>
      <c r="Z989" s="7">
        <f t="shared" ref="Z989:AA989" si="1007">W989*X989</f>
        <v>7.7840000000000007</v>
      </c>
      <c r="AA989" s="7">
        <f t="shared" si="1007"/>
        <v>1.9600000000000002</v>
      </c>
      <c r="AB989" s="7">
        <f t="shared" si="785"/>
        <v>5.8240000000000007</v>
      </c>
    </row>
    <row r="990" spans="1:28">
      <c r="A990" s="1">
        <v>989</v>
      </c>
      <c r="B990" s="1" t="s">
        <v>2442</v>
      </c>
      <c r="C990" s="2">
        <v>43241</v>
      </c>
      <c r="D990" s="6" t="str">
        <f t="shared" si="780"/>
        <v>May</v>
      </c>
      <c r="E990" s="6" t="str">
        <f t="shared" si="781"/>
        <v>Qtr 2</v>
      </c>
      <c r="F990" s="5" t="s">
        <v>2443</v>
      </c>
      <c r="G990" s="1" t="s">
        <v>49</v>
      </c>
      <c r="H990" s="1" t="s">
        <v>1338</v>
      </c>
      <c r="I990" s="1" t="s">
        <v>1339</v>
      </c>
      <c r="J990" s="1" t="str">
        <f ca="1">IFERROR(__xludf.DUMMYFUNCTION("split(I990,"" "")"),"John")</f>
        <v>John</v>
      </c>
      <c r="K990" s="1" t="str">
        <f ca="1">IFERROR(__xludf.DUMMYFUNCTION("""COMPUTED_VALUE"""),"Grady")</f>
        <v>Grady</v>
      </c>
      <c r="L990" s="1"/>
      <c r="M990" s="1" t="s">
        <v>41</v>
      </c>
      <c r="N990" s="1" t="s">
        <v>30</v>
      </c>
      <c r="O990" s="1" t="s">
        <v>1272</v>
      </c>
      <c r="P990" s="1" t="str">
        <f t="shared" si="782"/>
        <v>Auburn</v>
      </c>
      <c r="Q990" s="1" t="s">
        <v>234</v>
      </c>
      <c r="R990" s="1" t="str">
        <f t="shared" si="783"/>
        <v>New York</v>
      </c>
      <c r="S990" s="1">
        <v>13021</v>
      </c>
      <c r="T990" s="1" t="s">
        <v>128</v>
      </c>
      <c r="U990" s="1" t="s">
        <v>1829</v>
      </c>
      <c r="V990" s="1" t="s">
        <v>35</v>
      </c>
      <c r="W990" s="7">
        <v>520.04999999999995</v>
      </c>
      <c r="X990" s="1">
        <v>1</v>
      </c>
      <c r="Y990" s="7">
        <v>519.67999999999995</v>
      </c>
      <c r="Z990" s="7">
        <f t="shared" ref="Z990:AA990" si="1008">W990*X990</f>
        <v>520.04999999999995</v>
      </c>
      <c r="AA990" s="7">
        <f t="shared" si="1008"/>
        <v>519.67999999999995</v>
      </c>
      <c r="AB990" s="7">
        <f t="shared" si="785"/>
        <v>0.37000000000000455</v>
      </c>
    </row>
    <row r="991" spans="1:28">
      <c r="A991" s="1">
        <v>990</v>
      </c>
      <c r="B991" s="1" t="s">
        <v>2442</v>
      </c>
      <c r="C991" s="2">
        <v>43241</v>
      </c>
      <c r="D991" s="6" t="str">
        <f t="shared" si="780"/>
        <v>May</v>
      </c>
      <c r="E991" s="6" t="str">
        <f t="shared" si="781"/>
        <v>Qtr 2</v>
      </c>
      <c r="F991" s="5" t="s">
        <v>2443</v>
      </c>
      <c r="G991" s="1" t="s">
        <v>49</v>
      </c>
      <c r="H991" s="1" t="s">
        <v>1338</v>
      </c>
      <c r="I991" s="1" t="s">
        <v>1339</v>
      </c>
      <c r="J991" s="1" t="str">
        <f ca="1">IFERROR(__xludf.DUMMYFUNCTION("split(I991,"" "")"),"John")</f>
        <v>John</v>
      </c>
      <c r="K991" s="1" t="str">
        <f ca="1">IFERROR(__xludf.DUMMYFUNCTION("""COMPUTED_VALUE"""),"Grady")</f>
        <v>Grady</v>
      </c>
      <c r="L991" s="1"/>
      <c r="M991" s="1" t="s">
        <v>41</v>
      </c>
      <c r="N991" s="1" t="s">
        <v>30</v>
      </c>
      <c r="O991" s="1" t="s">
        <v>1272</v>
      </c>
      <c r="P991" s="1" t="str">
        <f t="shared" si="782"/>
        <v>Auburn</v>
      </c>
      <c r="Q991" s="1" t="s">
        <v>234</v>
      </c>
      <c r="R991" s="1" t="str">
        <f t="shared" si="783"/>
        <v>New York</v>
      </c>
      <c r="S991" s="1">
        <v>13021</v>
      </c>
      <c r="T991" s="1" t="s">
        <v>128</v>
      </c>
      <c r="U991" s="1" t="s">
        <v>2444</v>
      </c>
      <c r="V991" s="1" t="s">
        <v>46</v>
      </c>
      <c r="W991" s="7">
        <v>17.97</v>
      </c>
      <c r="X991" s="1">
        <v>1</v>
      </c>
      <c r="Y991" s="7">
        <v>17.52</v>
      </c>
      <c r="Z991" s="7">
        <f t="shared" ref="Z991:AA991" si="1009">W991*X991</f>
        <v>17.97</v>
      </c>
      <c r="AA991" s="7">
        <f t="shared" si="1009"/>
        <v>17.52</v>
      </c>
      <c r="AB991" s="7">
        <f t="shared" si="785"/>
        <v>0.44999999999999929</v>
      </c>
    </row>
    <row r="992" spans="1:28">
      <c r="A992" s="1">
        <v>991</v>
      </c>
      <c r="B992" s="1" t="s">
        <v>2445</v>
      </c>
      <c r="C992" s="2">
        <v>42458</v>
      </c>
      <c r="D992" s="6" t="str">
        <f t="shared" si="780"/>
        <v>Mar</v>
      </c>
      <c r="E992" s="6" t="str">
        <f t="shared" si="781"/>
        <v>Qtr 1</v>
      </c>
      <c r="F992" s="5" t="s">
        <v>2446</v>
      </c>
      <c r="G992" s="1" t="s">
        <v>26</v>
      </c>
      <c r="H992" s="1" t="s">
        <v>2447</v>
      </c>
      <c r="I992" s="1" t="s">
        <v>2448</v>
      </c>
      <c r="J992" s="1" t="str">
        <f ca="1">IFERROR(__xludf.DUMMYFUNCTION("split(I992,"" "")"),"Sara")</f>
        <v>Sara</v>
      </c>
      <c r="K992" s="1" t="str">
        <f ca="1">IFERROR(__xludf.DUMMYFUNCTION("""COMPUTED_VALUE"""),"Luxemburg")</f>
        <v>Luxemburg</v>
      </c>
      <c r="L992" s="1"/>
      <c r="M992" s="1" t="s">
        <v>87</v>
      </c>
      <c r="N992" s="1" t="s">
        <v>30</v>
      </c>
      <c r="O992" s="1" t="s">
        <v>1241</v>
      </c>
      <c r="P992" s="1" t="str">
        <f t="shared" si="782"/>
        <v>Jacksonville</v>
      </c>
      <c r="Q992" s="1" t="s">
        <v>194</v>
      </c>
      <c r="R992" s="1" t="str">
        <f t="shared" si="783"/>
        <v>Florida</v>
      </c>
      <c r="S992" s="1">
        <v>32216</v>
      </c>
      <c r="T992" s="1" t="s">
        <v>33</v>
      </c>
      <c r="U992" s="1" t="s">
        <v>925</v>
      </c>
      <c r="V992" s="1" t="s">
        <v>35</v>
      </c>
      <c r="W992" s="7">
        <v>1166.92</v>
      </c>
      <c r="X992" s="1">
        <v>3</v>
      </c>
      <c r="Y992" s="7">
        <v>1166.52</v>
      </c>
      <c r="Z992" s="7">
        <f t="shared" ref="Z992:AA992" si="1010">W992*X992</f>
        <v>3500.76</v>
      </c>
      <c r="AA992" s="7">
        <f t="shared" si="1010"/>
        <v>3499.56</v>
      </c>
      <c r="AB992" s="7">
        <f t="shared" si="785"/>
        <v>1.2000000000002728</v>
      </c>
    </row>
    <row r="993" spans="1:28">
      <c r="A993" s="1">
        <v>992</v>
      </c>
      <c r="B993" s="1" t="s">
        <v>2449</v>
      </c>
      <c r="C993" s="2">
        <v>42987</v>
      </c>
      <c r="D993" s="6" t="str">
        <f t="shared" si="780"/>
        <v>Sep</v>
      </c>
      <c r="E993" s="6" t="str">
        <f t="shared" si="781"/>
        <v>Qtr 3</v>
      </c>
      <c r="F993" s="5">
        <v>43048</v>
      </c>
      <c r="G993" s="1" t="s">
        <v>162</v>
      </c>
      <c r="H993" s="1" t="s">
        <v>455</v>
      </c>
      <c r="I993" s="1" t="s">
        <v>456</v>
      </c>
      <c r="J993" s="1" t="str">
        <f ca="1">IFERROR(__xludf.DUMMYFUNCTION("split(I993,"" "")"),"Troy")</f>
        <v>Troy</v>
      </c>
      <c r="K993" s="1" t="str">
        <f ca="1">IFERROR(__xludf.DUMMYFUNCTION("""COMPUTED_VALUE"""),"Staebel")</f>
        <v>Staebel</v>
      </c>
      <c r="L993" s="1"/>
      <c r="M993" s="1" t="s">
        <v>29</v>
      </c>
      <c r="N993" s="1" t="s">
        <v>30</v>
      </c>
      <c r="O993" s="1" t="s">
        <v>233</v>
      </c>
      <c r="P993" s="1" t="str">
        <f t="shared" si="782"/>
        <v>New York City</v>
      </c>
      <c r="Q993" s="1" t="s">
        <v>234</v>
      </c>
      <c r="R993" s="1" t="str">
        <f t="shared" si="783"/>
        <v>New York</v>
      </c>
      <c r="S993" s="1">
        <v>10024</v>
      </c>
      <c r="T993" s="1" t="s">
        <v>128</v>
      </c>
      <c r="U993" s="1" t="s">
        <v>1999</v>
      </c>
      <c r="V993" s="1" t="s">
        <v>46</v>
      </c>
      <c r="W993" s="7">
        <v>14.624000000000001</v>
      </c>
      <c r="X993" s="1">
        <v>1</v>
      </c>
      <c r="Y993" s="7">
        <v>14.58</v>
      </c>
      <c r="Z993" s="7">
        <f t="shared" ref="Z993:AA993" si="1011">W993*X993</f>
        <v>14.624000000000001</v>
      </c>
      <c r="AA993" s="7">
        <f t="shared" si="1011"/>
        <v>14.58</v>
      </c>
      <c r="AB993" s="7">
        <f t="shared" si="785"/>
        <v>4.4000000000000483E-2</v>
      </c>
    </row>
    <row r="994" spans="1:28">
      <c r="A994" s="1">
        <v>993</v>
      </c>
      <c r="B994" s="1" t="s">
        <v>2450</v>
      </c>
      <c r="C994" s="2">
        <v>42973</v>
      </c>
      <c r="D994" s="6" t="str">
        <f t="shared" si="780"/>
        <v>Aug</v>
      </c>
      <c r="E994" s="6" t="str">
        <f t="shared" si="781"/>
        <v>Qtr 3</v>
      </c>
      <c r="F994" s="5" t="s">
        <v>2451</v>
      </c>
      <c r="G994" s="1" t="s">
        <v>162</v>
      </c>
      <c r="H994" s="1" t="s">
        <v>1948</v>
      </c>
      <c r="I994" s="1" t="s">
        <v>1949</v>
      </c>
      <c r="J994" s="1" t="str">
        <f ca="1">IFERROR(__xludf.DUMMYFUNCTION("split(I994,"" "")"),"Roland")</f>
        <v>Roland</v>
      </c>
      <c r="K994" s="1" t="str">
        <f ca="1">IFERROR(__xludf.DUMMYFUNCTION("""COMPUTED_VALUE"""),"Fjeld")</f>
        <v>Fjeld</v>
      </c>
      <c r="L994" s="1"/>
      <c r="M994" s="1" t="s">
        <v>29</v>
      </c>
      <c r="N994" s="1" t="s">
        <v>30</v>
      </c>
      <c r="O994" s="1" t="s">
        <v>524</v>
      </c>
      <c r="P994" s="1" t="str">
        <f t="shared" si="782"/>
        <v>San Jose</v>
      </c>
      <c r="Q994" s="1" t="s">
        <v>68</v>
      </c>
      <c r="R994" s="1" t="str">
        <f t="shared" si="783"/>
        <v>California</v>
      </c>
      <c r="S994" s="1">
        <v>95123</v>
      </c>
      <c r="T994" s="1" t="s">
        <v>44</v>
      </c>
      <c r="U994" s="1" t="s">
        <v>877</v>
      </c>
      <c r="V994" s="1" t="s">
        <v>46</v>
      </c>
      <c r="W994" s="7">
        <v>10.23</v>
      </c>
      <c r="X994" s="1">
        <v>9</v>
      </c>
      <c r="Y994" s="7">
        <v>9.92</v>
      </c>
      <c r="Z994" s="7">
        <f t="shared" ref="Z994:AA994" si="1012">W994*X994</f>
        <v>92.070000000000007</v>
      </c>
      <c r="AA994" s="7">
        <f t="shared" si="1012"/>
        <v>89.28</v>
      </c>
      <c r="AB994" s="7">
        <f t="shared" si="785"/>
        <v>2.7900000000000063</v>
      </c>
    </row>
    <row r="995" spans="1:28">
      <c r="A995" s="1">
        <v>994</v>
      </c>
      <c r="B995" s="1" t="s">
        <v>2450</v>
      </c>
      <c r="C995" s="2">
        <v>42973</v>
      </c>
      <c r="D995" s="6" t="str">
        <f t="shared" si="780"/>
        <v>Aug</v>
      </c>
      <c r="E995" s="6" t="str">
        <f t="shared" si="781"/>
        <v>Qtr 3</v>
      </c>
      <c r="F995" s="5" t="s">
        <v>2451</v>
      </c>
      <c r="G995" s="1" t="s">
        <v>162</v>
      </c>
      <c r="H995" s="1" t="s">
        <v>1948</v>
      </c>
      <c r="I995" s="1" t="s">
        <v>1949</v>
      </c>
      <c r="J995" s="1" t="str">
        <f ca="1">IFERROR(__xludf.DUMMYFUNCTION("split(I995,"" "")"),"Roland")</f>
        <v>Roland</v>
      </c>
      <c r="K995" s="1" t="str">
        <f ca="1">IFERROR(__xludf.DUMMYFUNCTION("""COMPUTED_VALUE"""),"Fjeld")</f>
        <v>Fjeld</v>
      </c>
      <c r="L995" s="1"/>
      <c r="M995" s="1" t="s">
        <v>29</v>
      </c>
      <c r="N995" s="1" t="s">
        <v>30</v>
      </c>
      <c r="O995" s="1" t="s">
        <v>524</v>
      </c>
      <c r="P995" s="1" t="str">
        <f t="shared" si="782"/>
        <v>San Jose</v>
      </c>
      <c r="Q995" s="1" t="s">
        <v>68</v>
      </c>
      <c r="R995" s="1" t="str">
        <f t="shared" si="783"/>
        <v>California</v>
      </c>
      <c r="S995" s="1">
        <v>95123</v>
      </c>
      <c r="T995" s="1" t="s">
        <v>44</v>
      </c>
      <c r="U995" s="1" t="s">
        <v>2452</v>
      </c>
      <c r="V995" s="1" t="s">
        <v>46</v>
      </c>
      <c r="W995" s="7">
        <v>154.9</v>
      </c>
      <c r="X995" s="1">
        <v>9</v>
      </c>
      <c r="Y995" s="7">
        <v>154.33000000000001</v>
      </c>
      <c r="Z995" s="7">
        <f t="shared" ref="Z995:AA995" si="1013">W995*X995</f>
        <v>1394.1000000000001</v>
      </c>
      <c r="AA995" s="7">
        <f t="shared" si="1013"/>
        <v>1388.97</v>
      </c>
      <c r="AB995" s="7">
        <f t="shared" si="785"/>
        <v>5.1300000000001091</v>
      </c>
    </row>
    <row r="996" spans="1:28">
      <c r="A996" s="1">
        <v>995</v>
      </c>
      <c r="B996" s="1" t="s">
        <v>2453</v>
      </c>
      <c r="C996" s="2">
        <v>42145</v>
      </c>
      <c r="D996" s="6" t="str">
        <f t="shared" si="780"/>
        <v>May</v>
      </c>
      <c r="E996" s="6" t="str">
        <f t="shared" si="781"/>
        <v>Qtr 2</v>
      </c>
      <c r="F996" s="5" t="s">
        <v>2454</v>
      </c>
      <c r="G996" s="1" t="s">
        <v>49</v>
      </c>
      <c r="H996" s="1" t="s">
        <v>2455</v>
      </c>
      <c r="I996" s="1" t="s">
        <v>2456</v>
      </c>
      <c r="J996" s="1" t="str">
        <f ca="1">IFERROR(__xludf.DUMMYFUNCTION("split(I996,"" "")"),"Mitch")</f>
        <v>Mitch</v>
      </c>
      <c r="K996" s="1" t="str">
        <f ca="1">IFERROR(__xludf.DUMMYFUNCTION("""COMPUTED_VALUE"""),"Willingham")</f>
        <v>Willingham</v>
      </c>
      <c r="L996" s="1"/>
      <c r="M996" s="1" t="s">
        <v>41</v>
      </c>
      <c r="N996" s="1" t="s">
        <v>30</v>
      </c>
      <c r="O996" s="1" t="s">
        <v>2457</v>
      </c>
      <c r="P996" s="1" t="str">
        <f t="shared" si="782"/>
        <v>Virginia Beach</v>
      </c>
      <c r="Q996" s="1" t="s">
        <v>272</v>
      </c>
      <c r="R996" s="1" t="str">
        <f t="shared" si="783"/>
        <v>Virginia</v>
      </c>
      <c r="S996" s="1">
        <v>23464</v>
      </c>
      <c r="T996" s="1" t="s">
        <v>33</v>
      </c>
      <c r="U996" s="1" t="s">
        <v>2458</v>
      </c>
      <c r="V996" s="1" t="s">
        <v>46</v>
      </c>
      <c r="W996" s="7">
        <v>2715.93</v>
      </c>
      <c r="X996" s="1">
        <v>2</v>
      </c>
      <c r="Y996" s="7">
        <v>2715.43</v>
      </c>
      <c r="Z996" s="7">
        <f t="shared" ref="Z996:AA996" si="1014">W996*X996</f>
        <v>5431.86</v>
      </c>
      <c r="AA996" s="7">
        <f t="shared" si="1014"/>
        <v>5430.86</v>
      </c>
      <c r="AB996" s="7">
        <f t="shared" si="785"/>
        <v>1</v>
      </c>
    </row>
    <row r="997" spans="1:28">
      <c r="A997" s="1">
        <v>996</v>
      </c>
      <c r="B997" s="1" t="s">
        <v>2453</v>
      </c>
      <c r="C997" s="2">
        <v>42145</v>
      </c>
      <c r="D997" s="6" t="str">
        <f t="shared" si="780"/>
        <v>May</v>
      </c>
      <c r="E997" s="6" t="str">
        <f t="shared" si="781"/>
        <v>Qtr 2</v>
      </c>
      <c r="F997" s="5" t="s">
        <v>2454</v>
      </c>
      <c r="G997" s="1" t="s">
        <v>49</v>
      </c>
      <c r="H997" s="1" t="s">
        <v>2455</v>
      </c>
      <c r="I997" s="1" t="s">
        <v>2456</v>
      </c>
      <c r="J997" s="1" t="str">
        <f ca="1">IFERROR(__xludf.DUMMYFUNCTION("split(I997,"" "")"),"Mitch")</f>
        <v>Mitch</v>
      </c>
      <c r="K997" s="1" t="str">
        <f ca="1">IFERROR(__xludf.DUMMYFUNCTION("""COMPUTED_VALUE"""),"Willingham")</f>
        <v>Willingham</v>
      </c>
      <c r="L997" s="1"/>
      <c r="M997" s="1" t="s">
        <v>41</v>
      </c>
      <c r="N997" s="1" t="s">
        <v>30</v>
      </c>
      <c r="O997" s="1" t="s">
        <v>2457</v>
      </c>
      <c r="P997" s="1" t="str">
        <f t="shared" si="782"/>
        <v>Virginia Beach</v>
      </c>
      <c r="Q997" s="1" t="s">
        <v>272</v>
      </c>
      <c r="R997" s="1" t="str">
        <f t="shared" si="783"/>
        <v>Virginia</v>
      </c>
      <c r="S997" s="1">
        <v>23464</v>
      </c>
      <c r="T997" s="1" t="s">
        <v>33</v>
      </c>
      <c r="U997" s="1" t="s">
        <v>2037</v>
      </c>
      <c r="V997" s="1" t="s">
        <v>64</v>
      </c>
      <c r="W997" s="7">
        <v>617.97</v>
      </c>
      <c r="X997" s="1">
        <v>2</v>
      </c>
      <c r="Y997" s="7">
        <v>617.11</v>
      </c>
      <c r="Z997" s="7">
        <f t="shared" ref="Z997:AA997" si="1015">W997*X997</f>
        <v>1235.94</v>
      </c>
      <c r="AA997" s="7">
        <f t="shared" si="1015"/>
        <v>1234.22</v>
      </c>
      <c r="AB997" s="7">
        <f t="shared" si="785"/>
        <v>1.7200000000000273</v>
      </c>
    </row>
    <row r="998" spans="1:28">
      <c r="A998" s="1">
        <v>997</v>
      </c>
      <c r="B998" s="1" t="s">
        <v>2459</v>
      </c>
      <c r="C998" s="2">
        <v>42671</v>
      </c>
      <c r="D998" s="6" t="str">
        <f t="shared" si="780"/>
        <v>Oct</v>
      </c>
      <c r="E998" s="6" t="str">
        <f t="shared" si="781"/>
        <v>Qtr 4</v>
      </c>
      <c r="F998" s="5">
        <v>42440</v>
      </c>
      <c r="G998" s="1" t="s">
        <v>49</v>
      </c>
      <c r="H998" s="1" t="s">
        <v>2460</v>
      </c>
      <c r="I998" s="1" t="s">
        <v>2461</v>
      </c>
      <c r="J998" s="1" t="str">
        <f ca="1">IFERROR(__xludf.DUMMYFUNCTION("split(I998,"" "")"),"Rob")</f>
        <v>Rob</v>
      </c>
      <c r="K998" s="1" t="str">
        <f ca="1">IFERROR(__xludf.DUMMYFUNCTION("""COMPUTED_VALUE"""),"Dowd")</f>
        <v>Dowd</v>
      </c>
      <c r="L998" s="1"/>
      <c r="M998" s="1" t="s">
        <v>29</v>
      </c>
      <c r="N998" s="1" t="s">
        <v>30</v>
      </c>
      <c r="O998" s="1" t="s">
        <v>31</v>
      </c>
      <c r="P998" s="1" t="str">
        <f t="shared" si="782"/>
        <v>Henderson</v>
      </c>
      <c r="Q998" s="1" t="s">
        <v>32</v>
      </c>
      <c r="R998" s="1" t="str">
        <f t="shared" si="783"/>
        <v>Kentucky</v>
      </c>
      <c r="S998" s="1">
        <v>42420</v>
      </c>
      <c r="T998" s="1" t="s">
        <v>33</v>
      </c>
      <c r="U998" s="1" t="s">
        <v>2462</v>
      </c>
      <c r="V998" s="1" t="s">
        <v>46</v>
      </c>
      <c r="W998" s="7">
        <v>10.67</v>
      </c>
      <c r="X998" s="1">
        <v>4</v>
      </c>
      <c r="Y998" s="7">
        <v>10</v>
      </c>
      <c r="Z998" s="7">
        <f t="shared" ref="Z998:AA998" si="1016">W998*X998</f>
        <v>42.68</v>
      </c>
      <c r="AA998" s="7">
        <f t="shared" si="1016"/>
        <v>40</v>
      </c>
      <c r="AB998" s="7">
        <f t="shared" si="785"/>
        <v>2.6799999999999997</v>
      </c>
    </row>
    <row r="999" spans="1:28">
      <c r="A999" s="1">
        <v>998</v>
      </c>
      <c r="B999" s="1" t="s">
        <v>2459</v>
      </c>
      <c r="C999" s="2">
        <v>42671</v>
      </c>
      <c r="D999" s="6" t="str">
        <f t="shared" si="780"/>
        <v>Oct</v>
      </c>
      <c r="E999" s="6" t="str">
        <f t="shared" si="781"/>
        <v>Qtr 4</v>
      </c>
      <c r="F999" s="5">
        <v>42440</v>
      </c>
      <c r="G999" s="1" t="s">
        <v>49</v>
      </c>
      <c r="H999" s="1" t="s">
        <v>2460</v>
      </c>
      <c r="I999" s="1" t="s">
        <v>2461</v>
      </c>
      <c r="J999" s="1" t="str">
        <f ca="1">IFERROR(__xludf.DUMMYFUNCTION("split(I999,"" "")"),"Rob")</f>
        <v>Rob</v>
      </c>
      <c r="K999" s="1" t="str">
        <f ca="1">IFERROR(__xludf.DUMMYFUNCTION("""COMPUTED_VALUE"""),"Dowd")</f>
        <v>Dowd</v>
      </c>
      <c r="L999" s="1"/>
      <c r="M999" s="1" t="s">
        <v>29</v>
      </c>
      <c r="N999" s="1" t="s">
        <v>30</v>
      </c>
      <c r="O999" s="1" t="s">
        <v>31</v>
      </c>
      <c r="P999" s="1" t="str">
        <f t="shared" si="782"/>
        <v>Henderson</v>
      </c>
      <c r="Q999" s="1" t="s">
        <v>32</v>
      </c>
      <c r="R999" s="1" t="str">
        <f t="shared" si="783"/>
        <v>Kentucky</v>
      </c>
      <c r="S999" s="1">
        <v>42420</v>
      </c>
      <c r="T999" s="1" t="s">
        <v>33</v>
      </c>
      <c r="U999" s="1" t="s">
        <v>2463</v>
      </c>
      <c r="V999" s="1" t="s">
        <v>46</v>
      </c>
      <c r="W999" s="7">
        <v>36.630000000000003</v>
      </c>
      <c r="X999" s="1">
        <v>4</v>
      </c>
      <c r="Y999" s="7">
        <v>36.44</v>
      </c>
      <c r="Z999" s="7">
        <f t="shared" ref="Z999:AA999" si="1017">W999*X999</f>
        <v>146.52000000000001</v>
      </c>
      <c r="AA999" s="7">
        <f t="shared" si="1017"/>
        <v>145.76</v>
      </c>
      <c r="AB999" s="7">
        <f t="shared" si="785"/>
        <v>0.76000000000001933</v>
      </c>
    </row>
    <row r="1000" spans="1:28">
      <c r="A1000" s="1">
        <v>999</v>
      </c>
      <c r="B1000" s="1" t="s">
        <v>2459</v>
      </c>
      <c r="C1000" s="2">
        <v>42671</v>
      </c>
      <c r="D1000" s="6" t="str">
        <f t="shared" si="780"/>
        <v>Oct</v>
      </c>
      <c r="E1000" s="6" t="str">
        <f t="shared" si="781"/>
        <v>Qtr 4</v>
      </c>
      <c r="F1000" s="5">
        <v>42440</v>
      </c>
      <c r="G1000" s="1" t="s">
        <v>49</v>
      </c>
      <c r="H1000" s="1" t="s">
        <v>2460</v>
      </c>
      <c r="I1000" s="1" t="s">
        <v>2461</v>
      </c>
      <c r="J1000" s="1" t="str">
        <f ca="1">IFERROR(__xludf.DUMMYFUNCTION("split(I1000,"" "")"),"Rob")</f>
        <v>Rob</v>
      </c>
      <c r="K1000" s="1" t="str">
        <f ca="1">IFERROR(__xludf.DUMMYFUNCTION("""COMPUTED_VALUE"""),"Dowd")</f>
        <v>Dowd</v>
      </c>
      <c r="L1000" s="1"/>
      <c r="M1000" s="1" t="s">
        <v>29</v>
      </c>
      <c r="N1000" s="1" t="s">
        <v>30</v>
      </c>
      <c r="O1000" s="1" t="s">
        <v>31</v>
      </c>
      <c r="P1000" s="1" t="str">
        <f t="shared" si="782"/>
        <v>Henderson</v>
      </c>
      <c r="Q1000" s="1" t="s">
        <v>32</v>
      </c>
      <c r="R1000" s="1" t="str">
        <f t="shared" si="783"/>
        <v>Kentucky</v>
      </c>
      <c r="S1000" s="1">
        <v>42420</v>
      </c>
      <c r="T1000" s="1" t="s">
        <v>33</v>
      </c>
      <c r="U1000" s="1" t="s">
        <v>2464</v>
      </c>
      <c r="V1000" s="1" t="s">
        <v>35</v>
      </c>
      <c r="W1000" s="7">
        <v>24.1</v>
      </c>
      <c r="X1000" s="1">
        <v>4</v>
      </c>
      <c r="Y1000" s="7">
        <v>23.4</v>
      </c>
      <c r="Z1000" s="7">
        <f t="shared" ref="Z1000:AA1000" si="1018">W1000*X1000</f>
        <v>96.4</v>
      </c>
      <c r="AA1000" s="7">
        <f t="shared" si="1018"/>
        <v>93.6</v>
      </c>
      <c r="AB1000" s="7">
        <f t="shared" si="785"/>
        <v>2.8000000000000114</v>
      </c>
    </row>
    <row r="1001" spans="1:28">
      <c r="A1001" s="1">
        <v>1000</v>
      </c>
      <c r="B1001" s="1" t="s">
        <v>2459</v>
      </c>
      <c r="C1001" s="2">
        <v>42671</v>
      </c>
      <c r="D1001" s="6" t="str">
        <f t="shared" si="780"/>
        <v>Oct</v>
      </c>
      <c r="E1001" s="6" t="str">
        <f t="shared" si="781"/>
        <v>Qtr 4</v>
      </c>
      <c r="F1001" s="5">
        <v>42440</v>
      </c>
      <c r="G1001" s="1" t="s">
        <v>49</v>
      </c>
      <c r="H1001" s="1" t="s">
        <v>2460</v>
      </c>
      <c r="I1001" s="1" t="s">
        <v>2461</v>
      </c>
      <c r="J1001" s="1" t="str">
        <f ca="1">IFERROR(__xludf.DUMMYFUNCTION("split(I1001,"" "")"),"Rob")</f>
        <v>Rob</v>
      </c>
      <c r="K1001" s="1" t="str">
        <f ca="1">IFERROR(__xludf.DUMMYFUNCTION("""COMPUTED_VALUE"""),"Dowd")</f>
        <v>Dowd</v>
      </c>
      <c r="L1001" s="1"/>
      <c r="M1001" s="1" t="s">
        <v>29</v>
      </c>
      <c r="N1001" s="1" t="s">
        <v>30</v>
      </c>
      <c r="O1001" s="1" t="s">
        <v>31</v>
      </c>
      <c r="P1001" s="1" t="str">
        <f t="shared" si="782"/>
        <v>Henderson</v>
      </c>
      <c r="Q1001" s="1" t="s">
        <v>32</v>
      </c>
      <c r="R1001" s="1" t="str">
        <f t="shared" si="783"/>
        <v>Kentucky</v>
      </c>
      <c r="S1001" s="1">
        <v>42420</v>
      </c>
      <c r="T1001" s="1" t="s">
        <v>33</v>
      </c>
      <c r="U1001" s="1" t="s">
        <v>924</v>
      </c>
      <c r="V1001" s="1" t="s">
        <v>35</v>
      </c>
      <c r="W1001" s="7">
        <v>33.11</v>
      </c>
      <c r="X1001" s="1">
        <v>4</v>
      </c>
      <c r="Y1001" s="7">
        <v>32.61</v>
      </c>
      <c r="Z1001" s="7">
        <f t="shared" ref="Z1001:AA1001" si="1019">W1001*X1001</f>
        <v>132.44</v>
      </c>
      <c r="AA1001" s="7">
        <f t="shared" si="1019"/>
        <v>130.44</v>
      </c>
      <c r="AB1001" s="7">
        <f t="shared" si="785"/>
        <v>2</v>
      </c>
    </row>
    <row r="1002" spans="1:28">
      <c r="A1002" s="1">
        <v>1001</v>
      </c>
      <c r="B1002" s="1" t="s">
        <v>2465</v>
      </c>
      <c r="C1002" s="2">
        <v>43052</v>
      </c>
      <c r="D1002" s="6" t="str">
        <f t="shared" si="780"/>
        <v>Nov</v>
      </c>
      <c r="E1002" s="6" t="str">
        <f t="shared" si="781"/>
        <v>Qtr 4</v>
      </c>
      <c r="F1002" s="5" t="s">
        <v>2466</v>
      </c>
      <c r="G1002" s="1" t="s">
        <v>49</v>
      </c>
      <c r="H1002" s="1" t="s">
        <v>621</v>
      </c>
      <c r="I1002" s="1" t="s">
        <v>622</v>
      </c>
      <c r="J1002" s="1" t="str">
        <f ca="1">IFERROR(__xludf.DUMMYFUNCTION("split(I1002,"" "")"),"Frank")</f>
        <v>Frank</v>
      </c>
      <c r="K1002" s="1" t="str">
        <f ca="1">IFERROR(__xludf.DUMMYFUNCTION("""COMPUTED_VALUE"""),"Merwin")</f>
        <v>Merwin</v>
      </c>
      <c r="L1002" s="1"/>
      <c r="M1002" s="1" t="s">
        <v>87</v>
      </c>
      <c r="N1002" s="1" t="s">
        <v>30</v>
      </c>
      <c r="O1002" s="1" t="s">
        <v>1749</v>
      </c>
      <c r="P1002" s="1" t="str">
        <f t="shared" si="782"/>
        <v>Vancouver</v>
      </c>
      <c r="Q1002" s="1" t="s">
        <v>81</v>
      </c>
      <c r="R1002" s="1" t="str">
        <f t="shared" si="783"/>
        <v>Washington</v>
      </c>
      <c r="S1002" s="1">
        <v>98661</v>
      </c>
      <c r="T1002" s="1" t="s">
        <v>44</v>
      </c>
      <c r="U1002" s="1" t="s">
        <v>2124</v>
      </c>
      <c r="V1002" s="1" t="s">
        <v>46</v>
      </c>
      <c r="W1002" s="7">
        <v>44.02</v>
      </c>
      <c r="X1002" s="1">
        <v>9</v>
      </c>
      <c r="Y1002" s="7">
        <v>43.34</v>
      </c>
      <c r="Z1002" s="7">
        <f t="shared" ref="Z1002:AA1002" si="1020">W1002*X1002</f>
        <v>396.18</v>
      </c>
      <c r="AA1002" s="7">
        <f t="shared" si="1020"/>
        <v>390.06000000000006</v>
      </c>
      <c r="AB1002" s="7">
        <f t="shared" si="785"/>
        <v>6.1199999999999477</v>
      </c>
    </row>
    <row r="1003" spans="1:28">
      <c r="A1003" s="1">
        <v>1002</v>
      </c>
      <c r="B1003" s="1" t="s">
        <v>2467</v>
      </c>
      <c r="C1003" s="2">
        <v>42582</v>
      </c>
      <c r="D1003" s="6" t="str">
        <f t="shared" si="780"/>
        <v>Jul</v>
      </c>
      <c r="E1003" s="6" t="str">
        <f t="shared" si="781"/>
        <v>Qtr 3</v>
      </c>
      <c r="F1003" s="5" t="s">
        <v>837</v>
      </c>
      <c r="G1003" s="1" t="s">
        <v>1050</v>
      </c>
      <c r="H1003" s="1" t="s">
        <v>2044</v>
      </c>
      <c r="I1003" s="1" t="s">
        <v>2045</v>
      </c>
      <c r="J1003" s="1" t="str">
        <f ca="1">IFERROR(__xludf.DUMMYFUNCTION("split(I1003,"" "")"),"Rick")</f>
        <v>Rick</v>
      </c>
      <c r="K1003" s="1" t="str">
        <f ca="1">IFERROR(__xludf.DUMMYFUNCTION("""COMPUTED_VALUE"""),"Hansen")</f>
        <v>Hansen</v>
      </c>
      <c r="L1003" s="1"/>
      <c r="M1003" s="1" t="s">
        <v>29</v>
      </c>
      <c r="N1003" s="1" t="s">
        <v>30</v>
      </c>
      <c r="O1003" s="1" t="s">
        <v>233</v>
      </c>
      <c r="P1003" s="1" t="str">
        <f t="shared" si="782"/>
        <v>New York City</v>
      </c>
      <c r="Q1003" s="1" t="s">
        <v>234</v>
      </c>
      <c r="R1003" s="1" t="str">
        <f t="shared" si="783"/>
        <v>New York</v>
      </c>
      <c r="S1003" s="1">
        <v>10024</v>
      </c>
      <c r="T1003" s="1" t="s">
        <v>128</v>
      </c>
      <c r="U1003" s="1" t="s">
        <v>2468</v>
      </c>
      <c r="V1003" s="1" t="s">
        <v>64</v>
      </c>
      <c r="W1003" s="7">
        <v>2309.65</v>
      </c>
      <c r="X1003" s="1">
        <v>1</v>
      </c>
      <c r="Y1003" s="7">
        <v>2308.89</v>
      </c>
      <c r="Z1003" s="7">
        <f t="shared" ref="Z1003:AA1003" si="1021">W1003*X1003</f>
        <v>2309.65</v>
      </c>
      <c r="AA1003" s="7">
        <f t="shared" si="1021"/>
        <v>2308.89</v>
      </c>
      <c r="AB1003" s="7">
        <f t="shared" si="785"/>
        <v>0.76000000000021828</v>
      </c>
    </row>
    <row r="1004" spans="1:28">
      <c r="A1004" s="1">
        <v>1003</v>
      </c>
      <c r="B1004" s="1" t="s">
        <v>2467</v>
      </c>
      <c r="C1004" s="2">
        <v>42582</v>
      </c>
      <c r="D1004" s="6" t="str">
        <f t="shared" si="780"/>
        <v>Jul</v>
      </c>
      <c r="E1004" s="6" t="str">
        <f t="shared" si="781"/>
        <v>Qtr 3</v>
      </c>
      <c r="F1004" s="5" t="s">
        <v>837</v>
      </c>
      <c r="G1004" s="1" t="s">
        <v>1050</v>
      </c>
      <c r="H1004" s="1" t="s">
        <v>2044</v>
      </c>
      <c r="I1004" s="1" t="s">
        <v>2045</v>
      </c>
      <c r="J1004" s="1" t="str">
        <f ca="1">IFERROR(__xludf.DUMMYFUNCTION("split(I1004,"" "")"),"Rick")</f>
        <v>Rick</v>
      </c>
      <c r="K1004" s="1" t="str">
        <f ca="1">IFERROR(__xludf.DUMMYFUNCTION("""COMPUTED_VALUE"""),"Hansen")</f>
        <v>Hansen</v>
      </c>
      <c r="L1004" s="1"/>
      <c r="M1004" s="1" t="s">
        <v>29</v>
      </c>
      <c r="N1004" s="1" t="s">
        <v>30</v>
      </c>
      <c r="O1004" s="1" t="s">
        <v>233</v>
      </c>
      <c r="P1004" s="1" t="str">
        <f t="shared" si="782"/>
        <v>New York City</v>
      </c>
      <c r="Q1004" s="1" t="s">
        <v>234</v>
      </c>
      <c r="R1004" s="1" t="str">
        <f t="shared" si="783"/>
        <v>New York</v>
      </c>
      <c r="S1004" s="1">
        <v>10024</v>
      </c>
      <c r="T1004" s="1" t="s">
        <v>128</v>
      </c>
      <c r="U1004" s="1" t="s">
        <v>862</v>
      </c>
      <c r="V1004" s="1" t="s">
        <v>35</v>
      </c>
      <c r="W1004" s="7">
        <v>1090.7819999999999</v>
      </c>
      <c r="X1004" s="1">
        <v>1</v>
      </c>
      <c r="Y1004" s="7">
        <v>1090.27</v>
      </c>
      <c r="Z1004" s="7">
        <f t="shared" ref="Z1004:AA1004" si="1022">W1004*X1004</f>
        <v>1090.7819999999999</v>
      </c>
      <c r="AA1004" s="7">
        <f t="shared" si="1022"/>
        <v>1090.27</v>
      </c>
      <c r="AB1004" s="7">
        <f t="shared" si="785"/>
        <v>0.51199999999994361</v>
      </c>
    </row>
    <row r="1005" spans="1:28">
      <c r="A1005" s="1">
        <v>1004</v>
      </c>
      <c r="B1005" s="1" t="s">
        <v>2467</v>
      </c>
      <c r="C1005" s="2">
        <v>42582</v>
      </c>
      <c r="D1005" s="6" t="str">
        <f t="shared" si="780"/>
        <v>Jul</v>
      </c>
      <c r="E1005" s="6" t="str">
        <f t="shared" si="781"/>
        <v>Qtr 3</v>
      </c>
      <c r="F1005" s="5" t="s">
        <v>837</v>
      </c>
      <c r="G1005" s="1" t="s">
        <v>1050</v>
      </c>
      <c r="H1005" s="1" t="s">
        <v>2044</v>
      </c>
      <c r="I1005" s="1" t="s">
        <v>2045</v>
      </c>
      <c r="J1005" s="1" t="str">
        <f ca="1">IFERROR(__xludf.DUMMYFUNCTION("split(I1005,"" "")"),"Rick")</f>
        <v>Rick</v>
      </c>
      <c r="K1005" s="1" t="str">
        <f ca="1">IFERROR(__xludf.DUMMYFUNCTION("""COMPUTED_VALUE"""),"Hansen")</f>
        <v>Hansen</v>
      </c>
      <c r="L1005" s="1"/>
      <c r="M1005" s="1" t="s">
        <v>29</v>
      </c>
      <c r="N1005" s="1" t="s">
        <v>30</v>
      </c>
      <c r="O1005" s="1" t="s">
        <v>233</v>
      </c>
      <c r="P1005" s="1" t="str">
        <f t="shared" si="782"/>
        <v>New York City</v>
      </c>
      <c r="Q1005" s="1" t="s">
        <v>234</v>
      </c>
      <c r="R1005" s="1" t="str">
        <f t="shared" si="783"/>
        <v>New York</v>
      </c>
      <c r="S1005" s="1">
        <v>10024</v>
      </c>
      <c r="T1005" s="1" t="s">
        <v>128</v>
      </c>
      <c r="U1005" s="1" t="s">
        <v>2409</v>
      </c>
      <c r="V1005" s="1" t="s">
        <v>46</v>
      </c>
      <c r="W1005" s="7">
        <v>19.440000000000001</v>
      </c>
      <c r="X1005" s="1">
        <v>1</v>
      </c>
      <c r="Y1005" s="7">
        <v>18.98</v>
      </c>
      <c r="Z1005" s="7">
        <f t="shared" ref="Z1005:AA1005" si="1023">W1005*X1005</f>
        <v>19.440000000000001</v>
      </c>
      <c r="AA1005" s="7">
        <f t="shared" si="1023"/>
        <v>18.98</v>
      </c>
      <c r="AB1005" s="7">
        <f t="shared" si="785"/>
        <v>0.46000000000000085</v>
      </c>
    </row>
    <row r="1006" spans="1:28">
      <c r="A1006" s="1">
        <v>1005</v>
      </c>
      <c r="B1006" s="1" t="s">
        <v>2469</v>
      </c>
      <c r="C1006" s="2">
        <v>42609</v>
      </c>
      <c r="D1006" s="6" t="str">
        <f t="shared" si="780"/>
        <v>Aug</v>
      </c>
      <c r="E1006" s="6" t="str">
        <f t="shared" si="781"/>
        <v>Qtr 3</v>
      </c>
      <c r="F1006" s="5" t="s">
        <v>2470</v>
      </c>
      <c r="G1006" s="1" t="s">
        <v>49</v>
      </c>
      <c r="H1006" s="1" t="s">
        <v>2471</v>
      </c>
      <c r="I1006" s="1" t="s">
        <v>2472</v>
      </c>
      <c r="J1006" s="1" t="str">
        <f ca="1">IFERROR(__xludf.DUMMYFUNCTION("split(I1006,"" "")"),"Ryan")</f>
        <v>Ryan</v>
      </c>
      <c r="K1006" s="1" t="str">
        <f ca="1">IFERROR(__xludf.DUMMYFUNCTION("""COMPUTED_VALUE"""),"Akin")</f>
        <v>Akin</v>
      </c>
      <c r="L1006" s="1"/>
      <c r="M1006" s="1" t="s">
        <v>29</v>
      </c>
      <c r="N1006" s="1" t="s">
        <v>30</v>
      </c>
      <c r="O1006" s="1" t="s">
        <v>2473</v>
      </c>
      <c r="P1006" s="1" t="str">
        <f t="shared" si="782"/>
        <v>Murrieta</v>
      </c>
      <c r="Q1006" s="1" t="s">
        <v>68</v>
      </c>
      <c r="R1006" s="1" t="str">
        <f t="shared" si="783"/>
        <v>California</v>
      </c>
      <c r="S1006" s="1">
        <v>92563</v>
      </c>
      <c r="T1006" s="1" t="s">
        <v>44</v>
      </c>
      <c r="U1006" s="1" t="s">
        <v>2474</v>
      </c>
      <c r="V1006" s="1" t="s">
        <v>46</v>
      </c>
      <c r="W1006" s="7">
        <v>484.65</v>
      </c>
      <c r="X1006" s="1">
        <v>9</v>
      </c>
      <c r="Y1006" s="7">
        <v>484.04</v>
      </c>
      <c r="Z1006" s="7">
        <f t="shared" ref="Z1006:AA1006" si="1024">W1006*X1006</f>
        <v>4361.8499999999995</v>
      </c>
      <c r="AA1006" s="7">
        <f t="shared" si="1024"/>
        <v>4356.3600000000006</v>
      </c>
      <c r="AB1006" s="7">
        <f t="shared" si="785"/>
        <v>5.4899999999988722</v>
      </c>
    </row>
    <row r="1007" spans="1:28">
      <c r="A1007" s="1">
        <v>1006</v>
      </c>
      <c r="B1007" s="1" t="s">
        <v>2475</v>
      </c>
      <c r="C1007" s="2">
        <v>42687</v>
      </c>
      <c r="D1007" s="6" t="str">
        <f t="shared" si="780"/>
        <v>Nov</v>
      </c>
      <c r="E1007" s="6" t="str">
        <f t="shared" si="781"/>
        <v>Qtr 4</v>
      </c>
      <c r="F1007" s="5" t="s">
        <v>382</v>
      </c>
      <c r="G1007" s="1" t="s">
        <v>49</v>
      </c>
      <c r="H1007" s="1" t="s">
        <v>2034</v>
      </c>
      <c r="I1007" s="1" t="s">
        <v>2035</v>
      </c>
      <c r="J1007" s="1" t="str">
        <f ca="1">IFERROR(__xludf.DUMMYFUNCTION("split(I1007,"" "")"),"Joe")</f>
        <v>Joe</v>
      </c>
      <c r="K1007" s="1" t="str">
        <f ca="1">IFERROR(__xludf.DUMMYFUNCTION("""COMPUTED_VALUE"""),"Kamberova")</f>
        <v>Kamberova</v>
      </c>
      <c r="L1007" s="1"/>
      <c r="M1007" s="1" t="s">
        <v>29</v>
      </c>
      <c r="N1007" s="1" t="s">
        <v>30</v>
      </c>
      <c r="O1007" s="1" t="s">
        <v>1241</v>
      </c>
      <c r="P1007" s="1" t="str">
        <f t="shared" si="782"/>
        <v>Jacksonville</v>
      </c>
      <c r="Q1007" s="1" t="s">
        <v>75</v>
      </c>
      <c r="R1007" s="1" t="str">
        <f t="shared" si="783"/>
        <v>North Carolina</v>
      </c>
      <c r="S1007" s="1">
        <v>28540</v>
      </c>
      <c r="T1007" s="1" t="s">
        <v>33</v>
      </c>
      <c r="U1007" s="1" t="s">
        <v>2216</v>
      </c>
      <c r="V1007" s="1" t="s">
        <v>46</v>
      </c>
      <c r="W1007" s="7">
        <v>115.29600000000001</v>
      </c>
      <c r="X1007" s="1">
        <v>2</v>
      </c>
      <c r="Y1007" s="7">
        <v>114.51</v>
      </c>
      <c r="Z1007" s="7">
        <f t="shared" ref="Z1007:AA1007" si="1025">W1007*X1007</f>
        <v>230.59200000000001</v>
      </c>
      <c r="AA1007" s="7">
        <f t="shared" si="1025"/>
        <v>229.02</v>
      </c>
      <c r="AB1007" s="7">
        <f t="shared" si="785"/>
        <v>1.5720000000000027</v>
      </c>
    </row>
    <row r="1008" spans="1:28">
      <c r="A1008" s="1">
        <v>1007</v>
      </c>
      <c r="B1008" s="1" t="s">
        <v>2476</v>
      </c>
      <c r="C1008" s="2">
        <v>42532</v>
      </c>
      <c r="D1008" s="6" t="str">
        <f t="shared" si="780"/>
        <v>Jun</v>
      </c>
      <c r="E1008" s="6" t="str">
        <f t="shared" si="781"/>
        <v>Qtr 2</v>
      </c>
      <c r="F1008" s="5">
        <v>42624</v>
      </c>
      <c r="G1008" s="1" t="s">
        <v>162</v>
      </c>
      <c r="H1008" s="1" t="s">
        <v>2477</v>
      </c>
      <c r="I1008" s="1" t="s">
        <v>2478</v>
      </c>
      <c r="J1008" s="1" t="str">
        <f ca="1">IFERROR(__xludf.DUMMYFUNCTION("split(I1008,"" "")"),"Meg")</f>
        <v>Meg</v>
      </c>
      <c r="K1008" s="1" t="str">
        <f ca="1">IFERROR(__xludf.DUMMYFUNCTION("""COMPUTED_VALUE"""),"Tillman")</f>
        <v>Tillman</v>
      </c>
      <c r="L1008" s="1"/>
      <c r="M1008" s="1" t="s">
        <v>29</v>
      </c>
      <c r="N1008" s="1" t="s">
        <v>30</v>
      </c>
      <c r="O1008" s="1" t="s">
        <v>518</v>
      </c>
      <c r="P1008" s="1" t="str">
        <f t="shared" si="782"/>
        <v>Scottsdale</v>
      </c>
      <c r="Q1008" s="1" t="s">
        <v>265</v>
      </c>
      <c r="R1008" s="1" t="str">
        <f t="shared" si="783"/>
        <v>Arizona</v>
      </c>
      <c r="S1008" s="1">
        <v>85254</v>
      </c>
      <c r="T1008" s="1" t="s">
        <v>44</v>
      </c>
      <c r="U1008" s="1" t="s">
        <v>423</v>
      </c>
      <c r="V1008" s="1" t="s">
        <v>46</v>
      </c>
      <c r="W1008" s="7">
        <v>7.08</v>
      </c>
      <c r="X1008" s="1">
        <v>8</v>
      </c>
      <c r="Y1008" s="7">
        <v>6.22</v>
      </c>
      <c r="Z1008" s="7">
        <f t="shared" ref="Z1008:AA1008" si="1026">W1008*X1008</f>
        <v>56.64</v>
      </c>
      <c r="AA1008" s="7">
        <f t="shared" si="1026"/>
        <v>49.76</v>
      </c>
      <c r="AB1008" s="7">
        <f t="shared" si="785"/>
        <v>6.8800000000000026</v>
      </c>
    </row>
    <row r="1009" spans="1:28">
      <c r="A1009" s="1">
        <v>1008</v>
      </c>
      <c r="B1009" s="1" t="s">
        <v>2476</v>
      </c>
      <c r="C1009" s="2">
        <v>42532</v>
      </c>
      <c r="D1009" s="6" t="str">
        <f t="shared" si="780"/>
        <v>Jun</v>
      </c>
      <c r="E1009" s="6" t="str">
        <f t="shared" si="781"/>
        <v>Qtr 2</v>
      </c>
      <c r="F1009" s="5">
        <v>42624</v>
      </c>
      <c r="G1009" s="1" t="s">
        <v>162</v>
      </c>
      <c r="H1009" s="1" t="s">
        <v>2477</v>
      </c>
      <c r="I1009" s="1" t="s">
        <v>2478</v>
      </c>
      <c r="J1009" s="1" t="str">
        <f ca="1">IFERROR(__xludf.DUMMYFUNCTION("split(I1009,"" "")"),"Meg")</f>
        <v>Meg</v>
      </c>
      <c r="K1009" s="1" t="str">
        <f ca="1">IFERROR(__xludf.DUMMYFUNCTION("""COMPUTED_VALUE"""),"Tillman")</f>
        <v>Tillman</v>
      </c>
      <c r="L1009" s="1"/>
      <c r="M1009" s="1" t="s">
        <v>29</v>
      </c>
      <c r="N1009" s="1" t="s">
        <v>30</v>
      </c>
      <c r="O1009" s="1" t="s">
        <v>518</v>
      </c>
      <c r="P1009" s="1" t="str">
        <f t="shared" si="782"/>
        <v>Scottsdale</v>
      </c>
      <c r="Q1009" s="1" t="s">
        <v>265</v>
      </c>
      <c r="R1009" s="1" t="str">
        <f t="shared" si="783"/>
        <v>Arizona</v>
      </c>
      <c r="S1009" s="1">
        <v>85254</v>
      </c>
      <c r="T1009" s="1" t="s">
        <v>44</v>
      </c>
      <c r="U1009" s="1" t="s">
        <v>2479</v>
      </c>
      <c r="V1009" s="1" t="s">
        <v>46</v>
      </c>
      <c r="W1009" s="7">
        <v>4.4009999999999998</v>
      </c>
      <c r="X1009" s="1">
        <v>8</v>
      </c>
      <c r="Y1009" s="7">
        <v>4.01</v>
      </c>
      <c r="Z1009" s="7">
        <f t="shared" ref="Z1009:AA1009" si="1027">W1009*X1009</f>
        <v>35.207999999999998</v>
      </c>
      <c r="AA1009" s="7">
        <f t="shared" si="1027"/>
        <v>32.08</v>
      </c>
      <c r="AB1009" s="7">
        <f t="shared" si="785"/>
        <v>3.1280000000000001</v>
      </c>
    </row>
    <row r="1010" spans="1:28">
      <c r="A1010" s="1">
        <v>1009</v>
      </c>
      <c r="B1010" s="1" t="s">
        <v>2480</v>
      </c>
      <c r="C1010" s="2">
        <v>43460</v>
      </c>
      <c r="D1010" s="6" t="str">
        <f t="shared" si="780"/>
        <v>Dec</v>
      </c>
      <c r="E1010" s="6" t="str">
        <f t="shared" si="781"/>
        <v>Qtr 4</v>
      </c>
      <c r="F1010" s="5">
        <v>43466</v>
      </c>
      <c r="G1010" s="1" t="s">
        <v>49</v>
      </c>
      <c r="H1010" s="1" t="s">
        <v>969</v>
      </c>
      <c r="I1010" s="1" t="s">
        <v>970</v>
      </c>
      <c r="J1010" s="1" t="str">
        <f ca="1">IFERROR(__xludf.DUMMYFUNCTION("split(I1010,"" "")"),"Patrick")</f>
        <v>Patrick</v>
      </c>
      <c r="K1010" s="1" t="str">
        <f ca="1">IFERROR(__xludf.DUMMYFUNCTION("""COMPUTED_VALUE"""),"O'Brill")</f>
        <v>O'Brill</v>
      </c>
      <c r="L1010" s="1"/>
      <c r="M1010" s="1" t="s">
        <v>29</v>
      </c>
      <c r="N1010" s="1" t="s">
        <v>30</v>
      </c>
      <c r="O1010" s="1" t="s">
        <v>1814</v>
      </c>
      <c r="P1010" s="1" t="str">
        <f t="shared" si="782"/>
        <v>Burlington</v>
      </c>
      <c r="Q1010" s="1" t="s">
        <v>413</v>
      </c>
      <c r="R1010" s="1" t="str">
        <f t="shared" si="783"/>
        <v>Iowa</v>
      </c>
      <c r="S1010" s="1">
        <v>52601</v>
      </c>
      <c r="T1010" s="1" t="s">
        <v>90</v>
      </c>
      <c r="U1010" s="1" t="s">
        <v>1329</v>
      </c>
      <c r="V1010" s="1" t="s">
        <v>46</v>
      </c>
      <c r="W1010" s="7">
        <v>44.75</v>
      </c>
      <c r="X1010" s="1">
        <v>5</v>
      </c>
      <c r="Y1010" s="7">
        <v>44.31</v>
      </c>
      <c r="Z1010" s="7">
        <f t="shared" ref="Z1010:AA1010" si="1028">W1010*X1010</f>
        <v>223.75</v>
      </c>
      <c r="AA1010" s="7">
        <f t="shared" si="1028"/>
        <v>221.55</v>
      </c>
      <c r="AB1010" s="7">
        <f t="shared" si="785"/>
        <v>2.1999999999999886</v>
      </c>
    </row>
    <row r="1011" spans="1:28">
      <c r="A1011" s="1">
        <v>1010</v>
      </c>
      <c r="B1011" s="1" t="s">
        <v>2481</v>
      </c>
      <c r="C1011" s="2">
        <v>43108</v>
      </c>
      <c r="D1011" s="6" t="str">
        <f t="shared" si="780"/>
        <v>Jan</v>
      </c>
      <c r="E1011" s="6" t="str">
        <f t="shared" si="781"/>
        <v>Qtr 1</v>
      </c>
      <c r="F1011" s="5">
        <v>43167</v>
      </c>
      <c r="G1011" s="1" t="s">
        <v>162</v>
      </c>
      <c r="H1011" s="1" t="s">
        <v>1688</v>
      </c>
      <c r="I1011" s="1" t="s">
        <v>1689</v>
      </c>
      <c r="J1011" s="1" t="str">
        <f ca="1">IFERROR(__xludf.DUMMYFUNCTION("split(I1011,"" "")"),"Annie")</f>
        <v>Annie</v>
      </c>
      <c r="K1011" s="1" t="str">
        <f ca="1">IFERROR(__xludf.DUMMYFUNCTION("""COMPUTED_VALUE"""),"Thurman")</f>
        <v>Thurman</v>
      </c>
      <c r="L1011" s="1"/>
      <c r="M1011" s="1" t="s">
        <v>29</v>
      </c>
      <c r="N1011" s="1" t="s">
        <v>30</v>
      </c>
      <c r="O1011" s="1" t="s">
        <v>259</v>
      </c>
      <c r="P1011" s="1" t="str">
        <f t="shared" si="782"/>
        <v>Chicago</v>
      </c>
      <c r="Q1011" s="1" t="s">
        <v>182</v>
      </c>
      <c r="R1011" s="1" t="str">
        <f t="shared" si="783"/>
        <v>Illinois</v>
      </c>
      <c r="S1011" s="1">
        <v>60653</v>
      </c>
      <c r="T1011" s="1" t="s">
        <v>90</v>
      </c>
      <c r="U1011" s="1" t="s">
        <v>572</v>
      </c>
      <c r="V1011" s="1" t="s">
        <v>64</v>
      </c>
      <c r="W1011" s="7">
        <v>95.983999999999995</v>
      </c>
      <c r="X1011" s="1">
        <v>6</v>
      </c>
      <c r="Y1011" s="7">
        <v>95.29</v>
      </c>
      <c r="Z1011" s="7">
        <f t="shared" ref="Z1011:AA1011" si="1029">W1011*X1011</f>
        <v>575.904</v>
      </c>
      <c r="AA1011" s="7">
        <f t="shared" si="1029"/>
        <v>571.74</v>
      </c>
      <c r="AB1011" s="7">
        <f t="shared" si="785"/>
        <v>4.1639999999999873</v>
      </c>
    </row>
    <row r="1012" spans="1:28">
      <c r="A1012" s="1">
        <v>1011</v>
      </c>
      <c r="B1012" s="1" t="s">
        <v>2482</v>
      </c>
      <c r="C1012" s="2">
        <v>42332</v>
      </c>
      <c r="D1012" s="6" t="str">
        <f t="shared" si="780"/>
        <v>Nov</v>
      </c>
      <c r="E1012" s="6" t="str">
        <f t="shared" si="781"/>
        <v>Qtr 4</v>
      </c>
      <c r="F1012" s="5" t="s">
        <v>1109</v>
      </c>
      <c r="G1012" s="1" t="s">
        <v>162</v>
      </c>
      <c r="H1012" s="1" t="s">
        <v>2483</v>
      </c>
      <c r="I1012" s="1" t="s">
        <v>2484</v>
      </c>
      <c r="J1012" s="1" t="str">
        <f ca="1">IFERROR(__xludf.DUMMYFUNCTION("split(I1012,"" "")"),"Vivek")</f>
        <v>Vivek</v>
      </c>
      <c r="K1012" s="1" t="str">
        <f ca="1">IFERROR(__xludf.DUMMYFUNCTION("""COMPUTED_VALUE"""),"Gonzalez")</f>
        <v>Gonzalez</v>
      </c>
      <c r="L1012" s="1"/>
      <c r="M1012" s="1" t="s">
        <v>29</v>
      </c>
      <c r="N1012" s="1" t="s">
        <v>30</v>
      </c>
      <c r="O1012" s="1" t="s">
        <v>778</v>
      </c>
      <c r="P1012" s="1" t="str">
        <f t="shared" si="782"/>
        <v>San Diego</v>
      </c>
      <c r="Q1012" s="1" t="s">
        <v>68</v>
      </c>
      <c r="R1012" s="1" t="str">
        <f t="shared" si="783"/>
        <v>California</v>
      </c>
      <c r="S1012" s="1">
        <v>92037</v>
      </c>
      <c r="T1012" s="1" t="s">
        <v>44</v>
      </c>
      <c r="U1012" s="1" t="s">
        <v>2485</v>
      </c>
      <c r="V1012" s="1" t="s">
        <v>35</v>
      </c>
      <c r="W1012" s="7">
        <v>151.72</v>
      </c>
      <c r="X1012" s="1">
        <v>9</v>
      </c>
      <c r="Y1012" s="7">
        <v>151.56</v>
      </c>
      <c r="Z1012" s="7">
        <f t="shared" ref="Z1012:AA1012" si="1030">W1012*X1012</f>
        <v>1365.48</v>
      </c>
      <c r="AA1012" s="7">
        <f t="shared" si="1030"/>
        <v>1364.04</v>
      </c>
      <c r="AB1012" s="7">
        <f t="shared" si="785"/>
        <v>1.4400000000000546</v>
      </c>
    </row>
    <row r="1013" spans="1:28">
      <c r="A1013" s="1">
        <v>1012</v>
      </c>
      <c r="B1013" s="1" t="s">
        <v>2486</v>
      </c>
      <c r="C1013" s="2">
        <v>43268</v>
      </c>
      <c r="D1013" s="6" t="str">
        <f t="shared" si="780"/>
        <v>Jun</v>
      </c>
      <c r="E1013" s="6" t="str">
        <f t="shared" si="781"/>
        <v>Qtr 2</v>
      </c>
      <c r="F1013" s="5" t="s">
        <v>2116</v>
      </c>
      <c r="G1013" s="1" t="s">
        <v>26</v>
      </c>
      <c r="H1013" s="1" t="s">
        <v>450</v>
      </c>
      <c r="I1013" s="1" t="s">
        <v>451</v>
      </c>
      <c r="J1013" s="1" t="str">
        <f ca="1">IFERROR(__xludf.DUMMYFUNCTION("split(I1013,"" "")"),"Philip")</f>
        <v>Philip</v>
      </c>
      <c r="K1013" s="1" t="str">
        <f ca="1">IFERROR(__xludf.DUMMYFUNCTION("""COMPUTED_VALUE"""),"Fox")</f>
        <v>Fox</v>
      </c>
      <c r="L1013" s="1"/>
      <c r="M1013" s="1" t="s">
        <v>29</v>
      </c>
      <c r="N1013" s="1" t="s">
        <v>30</v>
      </c>
      <c r="O1013" s="1" t="s">
        <v>2487</v>
      </c>
      <c r="P1013" s="1" t="str">
        <f t="shared" si="782"/>
        <v>Olympia</v>
      </c>
      <c r="Q1013" s="1" t="s">
        <v>81</v>
      </c>
      <c r="R1013" s="1" t="str">
        <f t="shared" si="783"/>
        <v>Washington</v>
      </c>
      <c r="S1013" s="1">
        <v>98502</v>
      </c>
      <c r="T1013" s="1" t="s">
        <v>44</v>
      </c>
      <c r="U1013" s="1" t="s">
        <v>150</v>
      </c>
      <c r="V1013" s="1" t="s">
        <v>35</v>
      </c>
      <c r="W1013" s="7">
        <v>155.25</v>
      </c>
      <c r="X1013" s="1">
        <v>9</v>
      </c>
      <c r="Y1013" s="7">
        <v>155.13999999999999</v>
      </c>
      <c r="Z1013" s="7">
        <f t="shared" ref="Z1013:AA1013" si="1031">W1013*X1013</f>
        <v>1397.25</v>
      </c>
      <c r="AA1013" s="7">
        <f t="shared" si="1031"/>
        <v>1396.2599999999998</v>
      </c>
      <c r="AB1013" s="7">
        <f t="shared" si="785"/>
        <v>0.99000000000023647</v>
      </c>
    </row>
    <row r="1014" spans="1:28">
      <c r="A1014" s="1">
        <v>1013</v>
      </c>
      <c r="B1014" s="1" t="s">
        <v>2486</v>
      </c>
      <c r="C1014" s="2">
        <v>43268</v>
      </c>
      <c r="D1014" s="6" t="str">
        <f t="shared" si="780"/>
        <v>Jun</v>
      </c>
      <c r="E1014" s="6" t="str">
        <f t="shared" si="781"/>
        <v>Qtr 2</v>
      </c>
      <c r="F1014" s="5" t="s">
        <v>2116</v>
      </c>
      <c r="G1014" s="1" t="s">
        <v>26</v>
      </c>
      <c r="H1014" s="1" t="s">
        <v>450</v>
      </c>
      <c r="I1014" s="1" t="s">
        <v>451</v>
      </c>
      <c r="J1014" s="1" t="str">
        <f ca="1">IFERROR(__xludf.DUMMYFUNCTION("split(I1014,"" "")"),"Philip")</f>
        <v>Philip</v>
      </c>
      <c r="K1014" s="1" t="str">
        <f ca="1">IFERROR(__xludf.DUMMYFUNCTION("""COMPUTED_VALUE"""),"Fox")</f>
        <v>Fox</v>
      </c>
      <c r="L1014" s="1"/>
      <c r="M1014" s="1" t="s">
        <v>29</v>
      </c>
      <c r="N1014" s="1" t="s">
        <v>30</v>
      </c>
      <c r="O1014" s="1" t="s">
        <v>2487</v>
      </c>
      <c r="P1014" s="1" t="str">
        <f t="shared" si="782"/>
        <v>Olympia</v>
      </c>
      <c r="Q1014" s="1" t="s">
        <v>81</v>
      </c>
      <c r="R1014" s="1" t="str">
        <f t="shared" si="783"/>
        <v>Washington</v>
      </c>
      <c r="S1014" s="1">
        <v>98502</v>
      </c>
      <c r="T1014" s="1" t="s">
        <v>44</v>
      </c>
      <c r="U1014" s="1" t="s">
        <v>2488</v>
      </c>
      <c r="V1014" s="1" t="s">
        <v>46</v>
      </c>
      <c r="W1014" s="7">
        <v>14.03</v>
      </c>
      <c r="X1014" s="1">
        <v>9</v>
      </c>
      <c r="Y1014" s="7">
        <v>13.25</v>
      </c>
      <c r="Z1014" s="7">
        <f t="shared" ref="Z1014:AA1014" si="1032">W1014*X1014</f>
        <v>126.27</v>
      </c>
      <c r="AA1014" s="7">
        <f t="shared" si="1032"/>
        <v>119.25</v>
      </c>
      <c r="AB1014" s="7">
        <f t="shared" si="785"/>
        <v>7.019999999999996</v>
      </c>
    </row>
    <row r="1015" spans="1:28">
      <c r="A1015" s="1">
        <v>1014</v>
      </c>
      <c r="B1015" s="1" t="s">
        <v>2489</v>
      </c>
      <c r="C1015" s="2">
        <v>42725</v>
      </c>
      <c r="D1015" s="6" t="str">
        <f t="shared" si="780"/>
        <v>Dec</v>
      </c>
      <c r="E1015" s="6" t="str">
        <f t="shared" si="781"/>
        <v>Qtr 4</v>
      </c>
      <c r="F1015" s="5" t="s">
        <v>1004</v>
      </c>
      <c r="G1015" s="1" t="s">
        <v>26</v>
      </c>
      <c r="H1015" s="1" t="s">
        <v>2490</v>
      </c>
      <c r="I1015" s="1" t="s">
        <v>2491</v>
      </c>
      <c r="J1015" s="1" t="str">
        <f ca="1">IFERROR(__xludf.DUMMYFUNCTION("split(I1015,"" "")"),"John")</f>
        <v>John</v>
      </c>
      <c r="K1015" s="1" t="str">
        <f ca="1">IFERROR(__xludf.DUMMYFUNCTION("""COMPUTED_VALUE"""),"Stevenson")</f>
        <v>Stevenson</v>
      </c>
      <c r="L1015" s="1"/>
      <c r="M1015" s="1" t="s">
        <v>29</v>
      </c>
      <c r="N1015" s="1" t="s">
        <v>30</v>
      </c>
      <c r="O1015" s="1" t="s">
        <v>80</v>
      </c>
      <c r="P1015" s="1" t="str">
        <f t="shared" si="782"/>
        <v>Seattle</v>
      </c>
      <c r="Q1015" s="1" t="s">
        <v>81</v>
      </c>
      <c r="R1015" s="1" t="str">
        <f t="shared" si="783"/>
        <v>Washington</v>
      </c>
      <c r="S1015" s="1">
        <v>98103</v>
      </c>
      <c r="T1015" s="1" t="s">
        <v>44</v>
      </c>
      <c r="U1015" s="1" t="s">
        <v>730</v>
      </c>
      <c r="V1015" s="1" t="s">
        <v>35</v>
      </c>
      <c r="W1015" s="7">
        <v>1618.37</v>
      </c>
      <c r="X1015" s="1">
        <v>9</v>
      </c>
      <c r="Y1015" s="7">
        <v>1618.18</v>
      </c>
      <c r="Z1015" s="7">
        <f t="shared" ref="Z1015:AA1015" si="1033">W1015*X1015</f>
        <v>14565.329999999998</v>
      </c>
      <c r="AA1015" s="7">
        <f t="shared" si="1033"/>
        <v>14563.62</v>
      </c>
      <c r="AB1015" s="7">
        <f t="shared" si="785"/>
        <v>1.7099999999973079</v>
      </c>
    </row>
    <row r="1016" spans="1:28">
      <c r="A1016" s="1">
        <v>1015</v>
      </c>
      <c r="B1016" s="1" t="s">
        <v>2489</v>
      </c>
      <c r="C1016" s="2">
        <v>42725</v>
      </c>
      <c r="D1016" s="6" t="str">
        <f t="shared" si="780"/>
        <v>Dec</v>
      </c>
      <c r="E1016" s="6" t="str">
        <f t="shared" si="781"/>
        <v>Qtr 4</v>
      </c>
      <c r="F1016" s="5" t="s">
        <v>1004</v>
      </c>
      <c r="G1016" s="1" t="s">
        <v>26</v>
      </c>
      <c r="H1016" s="1" t="s">
        <v>2490</v>
      </c>
      <c r="I1016" s="1" t="s">
        <v>2491</v>
      </c>
      <c r="J1016" s="1" t="str">
        <f ca="1">IFERROR(__xludf.DUMMYFUNCTION("split(I1016,"" "")"),"John")</f>
        <v>John</v>
      </c>
      <c r="K1016" s="1" t="str">
        <f ca="1">IFERROR(__xludf.DUMMYFUNCTION("""COMPUTED_VALUE"""),"Stevenson")</f>
        <v>Stevenson</v>
      </c>
      <c r="L1016" s="1"/>
      <c r="M1016" s="1" t="s">
        <v>29</v>
      </c>
      <c r="N1016" s="1" t="s">
        <v>30</v>
      </c>
      <c r="O1016" s="1" t="s">
        <v>80</v>
      </c>
      <c r="P1016" s="1" t="str">
        <f t="shared" si="782"/>
        <v>Seattle</v>
      </c>
      <c r="Q1016" s="1" t="s">
        <v>81</v>
      </c>
      <c r="R1016" s="1" t="str">
        <f t="shared" si="783"/>
        <v>Washington</v>
      </c>
      <c r="S1016" s="1">
        <v>98103</v>
      </c>
      <c r="T1016" s="1" t="s">
        <v>44</v>
      </c>
      <c r="U1016" s="1" t="s">
        <v>2492</v>
      </c>
      <c r="V1016" s="1" t="s">
        <v>64</v>
      </c>
      <c r="W1016" s="7">
        <v>99.6</v>
      </c>
      <c r="X1016" s="1">
        <v>9</v>
      </c>
      <c r="Y1016" s="7">
        <v>98.63</v>
      </c>
      <c r="Z1016" s="7">
        <f t="shared" ref="Z1016:AA1016" si="1034">W1016*X1016</f>
        <v>896.4</v>
      </c>
      <c r="AA1016" s="7">
        <f t="shared" si="1034"/>
        <v>887.67</v>
      </c>
      <c r="AB1016" s="7">
        <f t="shared" si="785"/>
        <v>8.7300000000000182</v>
      </c>
    </row>
    <row r="1017" spans="1:28">
      <c r="A1017" s="1">
        <v>1016</v>
      </c>
      <c r="B1017" s="1" t="s">
        <v>2493</v>
      </c>
      <c r="C1017" s="2">
        <v>42630</v>
      </c>
      <c r="D1017" s="6" t="str">
        <f t="shared" si="780"/>
        <v>Sep</v>
      </c>
      <c r="E1017" s="6" t="str">
        <f t="shared" si="781"/>
        <v>Qtr 3</v>
      </c>
      <c r="F1017" s="5" t="s">
        <v>2494</v>
      </c>
      <c r="G1017" s="1" t="s">
        <v>26</v>
      </c>
      <c r="H1017" s="1" t="s">
        <v>1683</v>
      </c>
      <c r="I1017" s="1" t="s">
        <v>1684</v>
      </c>
      <c r="J1017" s="1" t="str">
        <f ca="1">IFERROR(__xludf.DUMMYFUNCTION("split(I1017,"" "")"),"Meg")</f>
        <v>Meg</v>
      </c>
      <c r="K1017" s="1" t="str">
        <f ca="1">IFERROR(__xludf.DUMMYFUNCTION("""COMPUTED_VALUE"""),"O'Connel")</f>
        <v>O'Connel</v>
      </c>
      <c r="L1017" s="1"/>
      <c r="M1017" s="1" t="s">
        <v>87</v>
      </c>
      <c r="N1017" s="1" t="s">
        <v>30</v>
      </c>
      <c r="O1017" s="1" t="s">
        <v>42</v>
      </c>
      <c r="P1017" s="1" t="str">
        <f t="shared" si="782"/>
        <v>Los Angeles</v>
      </c>
      <c r="Q1017" s="1" t="s">
        <v>68</v>
      </c>
      <c r="R1017" s="1" t="str">
        <f t="shared" si="783"/>
        <v>California</v>
      </c>
      <c r="S1017" s="1">
        <v>90036</v>
      </c>
      <c r="T1017" s="1" t="s">
        <v>44</v>
      </c>
      <c r="U1017" s="1" t="s">
        <v>866</v>
      </c>
      <c r="V1017" s="1" t="s">
        <v>46</v>
      </c>
      <c r="W1017" s="7">
        <v>32.4</v>
      </c>
      <c r="X1017" s="1">
        <v>9</v>
      </c>
      <c r="Y1017" s="7">
        <v>31.92</v>
      </c>
      <c r="Z1017" s="7">
        <f t="shared" ref="Z1017:AA1017" si="1035">W1017*X1017</f>
        <v>291.59999999999997</v>
      </c>
      <c r="AA1017" s="7">
        <f t="shared" si="1035"/>
        <v>287.28000000000003</v>
      </c>
      <c r="AB1017" s="7">
        <f t="shared" si="785"/>
        <v>4.3199999999999363</v>
      </c>
    </row>
    <row r="1018" spans="1:28">
      <c r="A1018" s="1">
        <v>1017</v>
      </c>
      <c r="B1018" s="1" t="s">
        <v>2495</v>
      </c>
      <c r="C1018" s="2">
        <v>42528</v>
      </c>
      <c r="D1018" s="6" t="str">
        <f t="shared" si="780"/>
        <v>Jun</v>
      </c>
      <c r="E1018" s="6" t="str">
        <f t="shared" si="781"/>
        <v>Qtr 2</v>
      </c>
      <c r="F1018" s="5">
        <v>42650</v>
      </c>
      <c r="G1018" s="1" t="s">
        <v>49</v>
      </c>
      <c r="H1018" s="1" t="s">
        <v>2496</v>
      </c>
      <c r="I1018" s="1" t="s">
        <v>2497</v>
      </c>
      <c r="J1018" s="1" t="str">
        <f ca="1">IFERROR(__xludf.DUMMYFUNCTION("split(I1018,"" "")"),"Kalyca")</f>
        <v>Kalyca</v>
      </c>
      <c r="K1018" s="1" t="str">
        <f ca="1">IFERROR(__xludf.DUMMYFUNCTION("""COMPUTED_VALUE"""),"Meade")</f>
        <v>Meade</v>
      </c>
      <c r="L1018" s="1"/>
      <c r="M1018" s="1" t="s">
        <v>41</v>
      </c>
      <c r="N1018" s="1" t="s">
        <v>30</v>
      </c>
      <c r="O1018" s="1" t="s">
        <v>233</v>
      </c>
      <c r="P1018" s="1" t="str">
        <f t="shared" si="782"/>
        <v>New York City</v>
      </c>
      <c r="Q1018" s="1" t="s">
        <v>234</v>
      </c>
      <c r="R1018" s="1" t="str">
        <f t="shared" si="783"/>
        <v>New York</v>
      </c>
      <c r="S1018" s="1">
        <v>10011</v>
      </c>
      <c r="T1018" s="1" t="s">
        <v>128</v>
      </c>
      <c r="U1018" s="1" t="s">
        <v>2498</v>
      </c>
      <c r="V1018" s="1" t="s">
        <v>35</v>
      </c>
      <c r="W1018" s="7">
        <v>13.96</v>
      </c>
      <c r="X1018" s="1">
        <v>1</v>
      </c>
      <c r="Y1018" s="7">
        <v>13.03</v>
      </c>
      <c r="Z1018" s="7">
        <f t="shared" ref="Z1018:AA1018" si="1036">W1018*X1018</f>
        <v>13.96</v>
      </c>
      <c r="AA1018" s="7">
        <f t="shared" si="1036"/>
        <v>13.03</v>
      </c>
      <c r="AB1018" s="7">
        <f t="shared" si="785"/>
        <v>0.93000000000000149</v>
      </c>
    </row>
    <row r="1019" spans="1:28">
      <c r="A1019" s="1">
        <v>1018</v>
      </c>
      <c r="B1019" s="1" t="s">
        <v>2495</v>
      </c>
      <c r="C1019" s="2">
        <v>42528</v>
      </c>
      <c r="D1019" s="6" t="str">
        <f t="shared" si="780"/>
        <v>Jun</v>
      </c>
      <c r="E1019" s="6" t="str">
        <f t="shared" si="781"/>
        <v>Qtr 2</v>
      </c>
      <c r="F1019" s="5">
        <v>42650</v>
      </c>
      <c r="G1019" s="1" t="s">
        <v>49</v>
      </c>
      <c r="H1019" s="1" t="s">
        <v>2496</v>
      </c>
      <c r="I1019" s="1" t="s">
        <v>2497</v>
      </c>
      <c r="J1019" s="1" t="str">
        <f ca="1">IFERROR(__xludf.DUMMYFUNCTION("split(I1019,"" "")"),"Kalyca")</f>
        <v>Kalyca</v>
      </c>
      <c r="K1019" s="1" t="str">
        <f ca="1">IFERROR(__xludf.DUMMYFUNCTION("""COMPUTED_VALUE"""),"Meade")</f>
        <v>Meade</v>
      </c>
      <c r="L1019" s="1"/>
      <c r="M1019" s="1" t="s">
        <v>41</v>
      </c>
      <c r="N1019" s="1" t="s">
        <v>30</v>
      </c>
      <c r="O1019" s="1" t="s">
        <v>233</v>
      </c>
      <c r="P1019" s="1" t="str">
        <f t="shared" si="782"/>
        <v>New York City</v>
      </c>
      <c r="Q1019" s="1" t="s">
        <v>234</v>
      </c>
      <c r="R1019" s="1" t="str">
        <f t="shared" si="783"/>
        <v>New York</v>
      </c>
      <c r="S1019" s="1">
        <v>10011</v>
      </c>
      <c r="T1019" s="1" t="s">
        <v>128</v>
      </c>
      <c r="U1019" s="1" t="s">
        <v>2194</v>
      </c>
      <c r="V1019" s="1" t="s">
        <v>35</v>
      </c>
      <c r="W1019" s="7">
        <v>155.82</v>
      </c>
      <c r="X1019" s="1">
        <v>1</v>
      </c>
      <c r="Y1019" s="7">
        <v>155.71</v>
      </c>
      <c r="Z1019" s="7">
        <f t="shared" ref="Z1019:AA1019" si="1037">W1019*X1019</f>
        <v>155.82</v>
      </c>
      <c r="AA1019" s="7">
        <f t="shared" si="1037"/>
        <v>155.71</v>
      </c>
      <c r="AB1019" s="7">
        <f t="shared" si="785"/>
        <v>0.10999999999998522</v>
      </c>
    </row>
    <row r="1020" spans="1:28">
      <c r="A1020" s="1">
        <v>1019</v>
      </c>
      <c r="B1020" s="1" t="s">
        <v>2495</v>
      </c>
      <c r="C1020" s="2">
        <v>42528</v>
      </c>
      <c r="D1020" s="6" t="str">
        <f t="shared" si="780"/>
        <v>Jun</v>
      </c>
      <c r="E1020" s="6" t="str">
        <f t="shared" si="781"/>
        <v>Qtr 2</v>
      </c>
      <c r="F1020" s="5">
        <v>42650</v>
      </c>
      <c r="G1020" s="1" t="s">
        <v>49</v>
      </c>
      <c r="H1020" s="1" t="s">
        <v>2496</v>
      </c>
      <c r="I1020" s="1" t="s">
        <v>2497</v>
      </c>
      <c r="J1020" s="1" t="str">
        <f ca="1">IFERROR(__xludf.DUMMYFUNCTION("split(I1020,"" "")"),"Kalyca")</f>
        <v>Kalyca</v>
      </c>
      <c r="K1020" s="1" t="str">
        <f ca="1">IFERROR(__xludf.DUMMYFUNCTION("""COMPUTED_VALUE"""),"Meade")</f>
        <v>Meade</v>
      </c>
      <c r="L1020" s="1"/>
      <c r="M1020" s="1" t="s">
        <v>41</v>
      </c>
      <c r="N1020" s="1" t="s">
        <v>30</v>
      </c>
      <c r="O1020" s="1" t="s">
        <v>233</v>
      </c>
      <c r="P1020" s="1" t="str">
        <f t="shared" si="782"/>
        <v>New York City</v>
      </c>
      <c r="Q1020" s="1" t="s">
        <v>234</v>
      </c>
      <c r="R1020" s="1" t="str">
        <f t="shared" si="783"/>
        <v>New York</v>
      </c>
      <c r="S1020" s="1">
        <v>10011</v>
      </c>
      <c r="T1020" s="1" t="s">
        <v>128</v>
      </c>
      <c r="U1020" s="1" t="s">
        <v>2499</v>
      </c>
      <c r="V1020" s="1" t="s">
        <v>64</v>
      </c>
      <c r="W1020" s="7">
        <v>124.95</v>
      </c>
      <c r="X1020" s="1">
        <v>1</v>
      </c>
      <c r="Y1020" s="7">
        <v>124.66</v>
      </c>
      <c r="Z1020" s="7">
        <f t="shared" ref="Z1020:AA1020" si="1038">W1020*X1020</f>
        <v>124.95</v>
      </c>
      <c r="AA1020" s="7">
        <f t="shared" si="1038"/>
        <v>124.66</v>
      </c>
      <c r="AB1020" s="7">
        <f t="shared" si="785"/>
        <v>0.29000000000000625</v>
      </c>
    </row>
    <row r="1021" spans="1:28">
      <c r="A1021" s="1">
        <v>1020</v>
      </c>
      <c r="B1021" s="1" t="s">
        <v>2495</v>
      </c>
      <c r="C1021" s="2">
        <v>42528</v>
      </c>
      <c r="D1021" s="6" t="str">
        <f t="shared" si="780"/>
        <v>Jun</v>
      </c>
      <c r="E1021" s="6" t="str">
        <f t="shared" si="781"/>
        <v>Qtr 2</v>
      </c>
      <c r="F1021" s="5">
        <v>42650</v>
      </c>
      <c r="G1021" s="1" t="s">
        <v>49</v>
      </c>
      <c r="H1021" s="1" t="s">
        <v>2496</v>
      </c>
      <c r="I1021" s="1" t="s">
        <v>2497</v>
      </c>
      <c r="J1021" s="1" t="str">
        <f ca="1">IFERROR(__xludf.DUMMYFUNCTION("split(I1021,"" "")"),"Kalyca")</f>
        <v>Kalyca</v>
      </c>
      <c r="K1021" s="1" t="str">
        <f ca="1">IFERROR(__xludf.DUMMYFUNCTION("""COMPUTED_VALUE"""),"Meade")</f>
        <v>Meade</v>
      </c>
      <c r="L1021" s="1"/>
      <c r="M1021" s="1" t="s">
        <v>41</v>
      </c>
      <c r="N1021" s="1" t="s">
        <v>30</v>
      </c>
      <c r="O1021" s="1" t="s">
        <v>233</v>
      </c>
      <c r="P1021" s="1" t="str">
        <f t="shared" si="782"/>
        <v>New York City</v>
      </c>
      <c r="Q1021" s="1" t="s">
        <v>234</v>
      </c>
      <c r="R1021" s="1" t="str">
        <f t="shared" si="783"/>
        <v>New York</v>
      </c>
      <c r="S1021" s="1">
        <v>10011</v>
      </c>
      <c r="T1021" s="1" t="s">
        <v>128</v>
      </c>
      <c r="U1021" s="1" t="s">
        <v>2500</v>
      </c>
      <c r="V1021" s="1" t="s">
        <v>46</v>
      </c>
      <c r="W1021" s="7">
        <v>601.65</v>
      </c>
      <c r="X1021" s="1">
        <v>1</v>
      </c>
      <c r="Y1021" s="7">
        <v>601.54999999999995</v>
      </c>
      <c r="Z1021" s="7">
        <f t="shared" ref="Z1021:AA1021" si="1039">W1021*X1021</f>
        <v>601.65</v>
      </c>
      <c r="AA1021" s="7">
        <f t="shared" si="1039"/>
        <v>601.54999999999995</v>
      </c>
      <c r="AB1021" s="7">
        <f t="shared" si="785"/>
        <v>0.10000000000002274</v>
      </c>
    </row>
    <row r="1022" spans="1:28">
      <c r="A1022" s="1">
        <v>1021</v>
      </c>
      <c r="B1022" s="1" t="s">
        <v>2501</v>
      </c>
      <c r="C1022" s="2">
        <v>42487</v>
      </c>
      <c r="D1022" s="6" t="str">
        <f t="shared" ref="D1022:D1276" si="1040">TEXT(C1022,"MMM")</f>
        <v>Apr</v>
      </c>
      <c r="E1022" s="6" t="str">
        <f t="shared" ref="E1022:E1276" si="1041">"Qtr "&amp;INT((MONTH(C1022)+2)/3)</f>
        <v>Qtr 2</v>
      </c>
      <c r="F1022" s="5">
        <v>42434</v>
      </c>
      <c r="G1022" s="1" t="s">
        <v>49</v>
      </c>
      <c r="H1022" s="1" t="s">
        <v>1530</v>
      </c>
      <c r="I1022" s="1" t="s">
        <v>1531</v>
      </c>
      <c r="J1022" s="1" t="str">
        <f ca="1">IFERROR(__xludf.DUMMYFUNCTION("split(I1022,"" "")"),"Greg")</f>
        <v>Greg</v>
      </c>
      <c r="K1022" s="1" t="str">
        <f ca="1">IFERROR(__xludf.DUMMYFUNCTION("""COMPUTED_VALUE"""),"Tran")</f>
        <v>Tran</v>
      </c>
      <c r="L1022" s="1"/>
      <c r="M1022" s="1" t="s">
        <v>29</v>
      </c>
      <c r="N1022" s="1" t="s">
        <v>30</v>
      </c>
      <c r="O1022" s="1" t="s">
        <v>81</v>
      </c>
      <c r="P1022" s="1" t="str">
        <f t="shared" ref="P1022:P1276" si="1042">PROPER(O1022)</f>
        <v>Washington</v>
      </c>
      <c r="Q1022" s="1" t="s">
        <v>2502</v>
      </c>
      <c r="R1022" s="1" t="str">
        <f t="shared" ref="R1022:R1276" si="1043">PROPER(Q1022)</f>
        <v>District Of Columbia</v>
      </c>
      <c r="S1022" s="1">
        <v>20016</v>
      </c>
      <c r="T1022" s="1" t="s">
        <v>128</v>
      </c>
      <c r="U1022" s="1" t="s">
        <v>2503</v>
      </c>
      <c r="V1022" s="1" t="s">
        <v>46</v>
      </c>
      <c r="W1022" s="7">
        <v>22.74</v>
      </c>
      <c r="X1022" s="1">
        <v>2</v>
      </c>
      <c r="Y1022" s="7">
        <v>22.15</v>
      </c>
      <c r="Z1022" s="7">
        <f t="shared" ref="Z1022:AA1022" si="1044">W1022*X1022</f>
        <v>45.48</v>
      </c>
      <c r="AA1022" s="7">
        <f t="shared" si="1044"/>
        <v>44.3</v>
      </c>
      <c r="AB1022" s="7">
        <f t="shared" ref="AB1022:AB1276" si="1045">Z1022-AA1022</f>
        <v>1.1799999999999997</v>
      </c>
    </row>
    <row r="1023" spans="1:28">
      <c r="A1023" s="1">
        <v>1022</v>
      </c>
      <c r="B1023" s="1" t="s">
        <v>2501</v>
      </c>
      <c r="C1023" s="2">
        <v>42487</v>
      </c>
      <c r="D1023" s="6" t="str">
        <f t="shared" si="1040"/>
        <v>Apr</v>
      </c>
      <c r="E1023" s="6" t="str">
        <f t="shared" si="1041"/>
        <v>Qtr 2</v>
      </c>
      <c r="F1023" s="5">
        <v>42434</v>
      </c>
      <c r="G1023" s="1" t="s">
        <v>49</v>
      </c>
      <c r="H1023" s="1" t="s">
        <v>1530</v>
      </c>
      <c r="I1023" s="1" t="s">
        <v>1531</v>
      </c>
      <c r="J1023" s="1" t="str">
        <f ca="1">IFERROR(__xludf.DUMMYFUNCTION("split(I1023,"" "")"),"Greg")</f>
        <v>Greg</v>
      </c>
      <c r="K1023" s="1" t="str">
        <f ca="1">IFERROR(__xludf.DUMMYFUNCTION("""COMPUTED_VALUE"""),"Tran")</f>
        <v>Tran</v>
      </c>
      <c r="L1023" s="1"/>
      <c r="M1023" s="1" t="s">
        <v>29</v>
      </c>
      <c r="N1023" s="1" t="s">
        <v>30</v>
      </c>
      <c r="O1023" s="1" t="s">
        <v>81</v>
      </c>
      <c r="P1023" s="1" t="str">
        <f t="shared" si="1042"/>
        <v>Washington</v>
      </c>
      <c r="Q1023" s="1" t="s">
        <v>2502</v>
      </c>
      <c r="R1023" s="1" t="str">
        <f t="shared" si="1043"/>
        <v>District Of Columbia</v>
      </c>
      <c r="S1023" s="1">
        <v>20016</v>
      </c>
      <c r="T1023" s="1" t="s">
        <v>128</v>
      </c>
      <c r="U1023" s="1" t="s">
        <v>2504</v>
      </c>
      <c r="V1023" s="1" t="s">
        <v>35</v>
      </c>
      <c r="W1023" s="7">
        <v>1267.53</v>
      </c>
      <c r="X1023" s="1">
        <v>2</v>
      </c>
      <c r="Y1023" s="7">
        <v>1267.26</v>
      </c>
      <c r="Z1023" s="7">
        <f t="shared" ref="Z1023:AA1023" si="1046">W1023*X1023</f>
        <v>2535.06</v>
      </c>
      <c r="AA1023" s="7">
        <f t="shared" si="1046"/>
        <v>2534.52</v>
      </c>
      <c r="AB1023" s="7">
        <f t="shared" si="1045"/>
        <v>0.53999999999996362</v>
      </c>
    </row>
    <row r="1024" spans="1:28">
      <c r="A1024" s="1">
        <v>1023</v>
      </c>
      <c r="B1024" s="1" t="s">
        <v>2501</v>
      </c>
      <c r="C1024" s="2">
        <v>42487</v>
      </c>
      <c r="D1024" s="6" t="str">
        <f t="shared" si="1040"/>
        <v>Apr</v>
      </c>
      <c r="E1024" s="6" t="str">
        <f t="shared" si="1041"/>
        <v>Qtr 2</v>
      </c>
      <c r="F1024" s="5">
        <v>42434</v>
      </c>
      <c r="G1024" s="1" t="s">
        <v>49</v>
      </c>
      <c r="H1024" s="1" t="s">
        <v>1530</v>
      </c>
      <c r="I1024" s="1" t="s">
        <v>1531</v>
      </c>
      <c r="J1024" s="1" t="str">
        <f ca="1">IFERROR(__xludf.DUMMYFUNCTION("split(I1024,"" "")"),"Greg")</f>
        <v>Greg</v>
      </c>
      <c r="K1024" s="1" t="str">
        <f ca="1">IFERROR(__xludf.DUMMYFUNCTION("""COMPUTED_VALUE"""),"Tran")</f>
        <v>Tran</v>
      </c>
      <c r="L1024" s="1"/>
      <c r="M1024" s="1" t="s">
        <v>29</v>
      </c>
      <c r="N1024" s="1" t="s">
        <v>30</v>
      </c>
      <c r="O1024" s="1" t="s">
        <v>81</v>
      </c>
      <c r="P1024" s="1" t="str">
        <f t="shared" si="1042"/>
        <v>Washington</v>
      </c>
      <c r="Q1024" s="1" t="s">
        <v>2502</v>
      </c>
      <c r="R1024" s="1" t="str">
        <f t="shared" si="1043"/>
        <v>District Of Columbia</v>
      </c>
      <c r="S1024" s="1">
        <v>20016</v>
      </c>
      <c r="T1024" s="1" t="s">
        <v>128</v>
      </c>
      <c r="U1024" s="1" t="s">
        <v>2505</v>
      </c>
      <c r="V1024" s="1" t="s">
        <v>64</v>
      </c>
      <c r="W1024" s="7">
        <v>1379.92</v>
      </c>
      <c r="X1024" s="1">
        <v>2</v>
      </c>
      <c r="Y1024" s="7">
        <v>1379.42</v>
      </c>
      <c r="Z1024" s="7">
        <f t="shared" ref="Z1024:AA1024" si="1047">W1024*X1024</f>
        <v>2759.84</v>
      </c>
      <c r="AA1024" s="7">
        <f t="shared" si="1047"/>
        <v>2758.84</v>
      </c>
      <c r="AB1024" s="7">
        <f t="shared" si="1045"/>
        <v>1</v>
      </c>
    </row>
    <row r="1025" spans="1:28">
      <c r="A1025" s="1">
        <v>1024</v>
      </c>
      <c r="B1025" s="1" t="s">
        <v>2506</v>
      </c>
      <c r="C1025" s="2">
        <v>42537</v>
      </c>
      <c r="D1025" s="6" t="str">
        <f t="shared" si="1040"/>
        <v>Jun</v>
      </c>
      <c r="E1025" s="6" t="str">
        <f t="shared" si="1041"/>
        <v>Qtr 2</v>
      </c>
      <c r="F1025" s="5" t="s">
        <v>2507</v>
      </c>
      <c r="G1025" s="1" t="s">
        <v>49</v>
      </c>
      <c r="H1025" s="1" t="s">
        <v>1188</v>
      </c>
      <c r="I1025" s="1" t="s">
        <v>1189</v>
      </c>
      <c r="J1025" s="1" t="str">
        <f ca="1">IFERROR(__xludf.DUMMYFUNCTION("split(I1025,"" "")"),"Philip")</f>
        <v>Philip</v>
      </c>
      <c r="K1025" s="1" t="str">
        <f ca="1">IFERROR(__xludf.DUMMYFUNCTION("""COMPUTED_VALUE"""),"Brown")</f>
        <v>Brown</v>
      </c>
      <c r="L1025" s="1"/>
      <c r="M1025" s="1" t="s">
        <v>29</v>
      </c>
      <c r="N1025" s="1" t="s">
        <v>30</v>
      </c>
      <c r="O1025" s="1" t="s">
        <v>126</v>
      </c>
      <c r="P1025" s="1" t="str">
        <f t="shared" si="1042"/>
        <v>Philadelphia</v>
      </c>
      <c r="Q1025" s="1" t="s">
        <v>127</v>
      </c>
      <c r="R1025" s="1" t="str">
        <f t="shared" si="1043"/>
        <v>Pennsylvania</v>
      </c>
      <c r="S1025" s="1">
        <v>19134</v>
      </c>
      <c r="T1025" s="1" t="s">
        <v>128</v>
      </c>
      <c r="U1025" s="1" t="s">
        <v>2508</v>
      </c>
      <c r="V1025" s="1" t="s">
        <v>46</v>
      </c>
      <c r="W1025" s="7">
        <v>6.2080000000000002</v>
      </c>
      <c r="X1025" s="1">
        <v>1</v>
      </c>
      <c r="Y1025" s="7">
        <v>6.04</v>
      </c>
      <c r="Z1025" s="7">
        <f t="shared" ref="Z1025:AA1025" si="1048">W1025*X1025</f>
        <v>6.2080000000000002</v>
      </c>
      <c r="AA1025" s="7">
        <f t="shared" si="1048"/>
        <v>6.04</v>
      </c>
      <c r="AB1025" s="7">
        <f t="shared" si="1045"/>
        <v>0.16800000000000015</v>
      </c>
    </row>
    <row r="1026" spans="1:28">
      <c r="A1026" s="1">
        <v>1025</v>
      </c>
      <c r="B1026" s="1" t="s">
        <v>2509</v>
      </c>
      <c r="C1026" s="2">
        <v>43451</v>
      </c>
      <c r="D1026" s="6" t="str">
        <f t="shared" si="1040"/>
        <v>Dec</v>
      </c>
      <c r="E1026" s="6" t="str">
        <f t="shared" si="1041"/>
        <v>Qtr 4</v>
      </c>
      <c r="F1026" s="5" t="s">
        <v>2510</v>
      </c>
      <c r="G1026" s="1" t="s">
        <v>162</v>
      </c>
      <c r="H1026" s="1" t="s">
        <v>2511</v>
      </c>
      <c r="I1026" s="1" t="s">
        <v>2512</v>
      </c>
      <c r="J1026" s="1" t="str">
        <f ca="1">IFERROR(__xludf.DUMMYFUNCTION("split(I1026,"" "")"),"Hallie")</f>
        <v>Hallie</v>
      </c>
      <c r="K1026" s="1" t="str">
        <f ca="1">IFERROR(__xludf.DUMMYFUNCTION("""COMPUTED_VALUE"""),"Redmond")</f>
        <v>Redmond</v>
      </c>
      <c r="L1026" s="1"/>
      <c r="M1026" s="1" t="s">
        <v>87</v>
      </c>
      <c r="N1026" s="1" t="s">
        <v>30</v>
      </c>
      <c r="O1026" s="1" t="s">
        <v>42</v>
      </c>
      <c r="P1026" s="1" t="str">
        <f t="shared" si="1042"/>
        <v>Los Angeles</v>
      </c>
      <c r="Q1026" s="1" t="s">
        <v>68</v>
      </c>
      <c r="R1026" s="1" t="str">
        <f t="shared" si="1043"/>
        <v>California</v>
      </c>
      <c r="S1026" s="1">
        <v>90045</v>
      </c>
      <c r="T1026" s="1" t="s">
        <v>44</v>
      </c>
      <c r="U1026" s="1" t="s">
        <v>2513</v>
      </c>
      <c r="V1026" s="1" t="s">
        <v>46</v>
      </c>
      <c r="W1026" s="7">
        <v>11.808</v>
      </c>
      <c r="X1026" s="1">
        <v>9</v>
      </c>
      <c r="Y1026" s="7">
        <v>11.56</v>
      </c>
      <c r="Z1026" s="7">
        <f t="shared" ref="Z1026:AA1026" si="1049">W1026*X1026</f>
        <v>106.27199999999999</v>
      </c>
      <c r="AA1026" s="7">
        <f t="shared" si="1049"/>
        <v>104.04</v>
      </c>
      <c r="AB1026" s="7">
        <f t="shared" si="1045"/>
        <v>2.2319999999999851</v>
      </c>
    </row>
    <row r="1027" spans="1:28">
      <c r="A1027" s="1">
        <v>1026</v>
      </c>
      <c r="B1027" s="1" t="s">
        <v>2514</v>
      </c>
      <c r="C1027" s="2">
        <v>43040</v>
      </c>
      <c r="D1027" s="6" t="str">
        <f t="shared" si="1040"/>
        <v>Nov</v>
      </c>
      <c r="E1027" s="6" t="str">
        <f t="shared" si="1041"/>
        <v>Qtr 4</v>
      </c>
      <c r="F1027" s="5" t="s">
        <v>2515</v>
      </c>
      <c r="G1027" s="1" t="s">
        <v>26</v>
      </c>
      <c r="H1027" s="1" t="s">
        <v>2516</v>
      </c>
      <c r="I1027" s="1" t="s">
        <v>2517</v>
      </c>
      <c r="J1027" s="1" t="str">
        <f ca="1">IFERROR(__xludf.DUMMYFUNCTION("split(I1027,"" "")"),"Deanra")</f>
        <v>Deanra</v>
      </c>
      <c r="K1027" s="1" t="str">
        <f ca="1">IFERROR(__xludf.DUMMYFUNCTION("""COMPUTED_VALUE"""),"Eno")</f>
        <v>Eno</v>
      </c>
      <c r="L1027" s="1"/>
      <c r="M1027" s="1" t="s">
        <v>87</v>
      </c>
      <c r="N1027" s="1" t="s">
        <v>30</v>
      </c>
      <c r="O1027" s="1" t="s">
        <v>271</v>
      </c>
      <c r="P1027" s="1" t="str">
        <f t="shared" si="1042"/>
        <v>Springfield</v>
      </c>
      <c r="Q1027" s="1" t="s">
        <v>421</v>
      </c>
      <c r="R1027" s="1" t="str">
        <f t="shared" si="1043"/>
        <v>Ohio</v>
      </c>
      <c r="S1027" s="1">
        <v>45503</v>
      </c>
      <c r="T1027" s="1" t="s">
        <v>128</v>
      </c>
      <c r="U1027" s="1" t="s">
        <v>2518</v>
      </c>
      <c r="V1027" s="1" t="s">
        <v>46</v>
      </c>
      <c r="W1027" s="7">
        <v>15.552</v>
      </c>
      <c r="X1027" s="1">
        <v>4</v>
      </c>
      <c r="Y1027" s="7">
        <v>15.04</v>
      </c>
      <c r="Z1027" s="7">
        <f t="shared" ref="Z1027:AA1027" si="1050">W1027*X1027</f>
        <v>62.207999999999998</v>
      </c>
      <c r="AA1027" s="7">
        <f t="shared" si="1050"/>
        <v>60.16</v>
      </c>
      <c r="AB1027" s="7">
        <f t="shared" si="1045"/>
        <v>2.0480000000000018</v>
      </c>
    </row>
    <row r="1028" spans="1:28">
      <c r="A1028" s="1">
        <v>1027</v>
      </c>
      <c r="B1028" s="1" t="s">
        <v>2514</v>
      </c>
      <c r="C1028" s="2">
        <v>43040</v>
      </c>
      <c r="D1028" s="6" t="str">
        <f t="shared" si="1040"/>
        <v>Nov</v>
      </c>
      <c r="E1028" s="6" t="str">
        <f t="shared" si="1041"/>
        <v>Qtr 4</v>
      </c>
      <c r="F1028" s="5" t="s">
        <v>2515</v>
      </c>
      <c r="G1028" s="1" t="s">
        <v>26</v>
      </c>
      <c r="H1028" s="1" t="s">
        <v>2516</v>
      </c>
      <c r="I1028" s="1" t="s">
        <v>2517</v>
      </c>
      <c r="J1028" s="1" t="str">
        <f ca="1">IFERROR(__xludf.DUMMYFUNCTION("split(I1028,"" "")"),"Deanra")</f>
        <v>Deanra</v>
      </c>
      <c r="K1028" s="1" t="str">
        <f ca="1">IFERROR(__xludf.DUMMYFUNCTION("""COMPUTED_VALUE"""),"Eno")</f>
        <v>Eno</v>
      </c>
      <c r="L1028" s="1"/>
      <c r="M1028" s="1" t="s">
        <v>87</v>
      </c>
      <c r="N1028" s="1" t="s">
        <v>30</v>
      </c>
      <c r="O1028" s="1" t="s">
        <v>271</v>
      </c>
      <c r="P1028" s="1" t="str">
        <f t="shared" si="1042"/>
        <v>Springfield</v>
      </c>
      <c r="Q1028" s="1" t="s">
        <v>421</v>
      </c>
      <c r="R1028" s="1" t="str">
        <f t="shared" si="1043"/>
        <v>Ohio</v>
      </c>
      <c r="S1028" s="1">
        <v>45503</v>
      </c>
      <c r="T1028" s="1" t="s">
        <v>128</v>
      </c>
      <c r="U1028" s="1" t="s">
        <v>2519</v>
      </c>
      <c r="V1028" s="1" t="s">
        <v>46</v>
      </c>
      <c r="W1028" s="7">
        <v>63.311999999999998</v>
      </c>
      <c r="X1028" s="1">
        <v>4</v>
      </c>
      <c r="Y1028" s="7">
        <v>63.23</v>
      </c>
      <c r="Z1028" s="7">
        <f t="shared" ref="Z1028:AA1028" si="1051">W1028*X1028</f>
        <v>253.24799999999999</v>
      </c>
      <c r="AA1028" s="7">
        <f t="shared" si="1051"/>
        <v>252.92</v>
      </c>
      <c r="AB1028" s="7">
        <f t="shared" si="1045"/>
        <v>0.32800000000000296</v>
      </c>
    </row>
    <row r="1029" spans="1:28">
      <c r="A1029" s="1">
        <v>1028</v>
      </c>
      <c r="B1029" s="1" t="s">
        <v>2514</v>
      </c>
      <c r="C1029" s="2">
        <v>43040</v>
      </c>
      <c r="D1029" s="6" t="str">
        <f t="shared" si="1040"/>
        <v>Nov</v>
      </c>
      <c r="E1029" s="6" t="str">
        <f t="shared" si="1041"/>
        <v>Qtr 4</v>
      </c>
      <c r="F1029" s="5" t="s">
        <v>2515</v>
      </c>
      <c r="G1029" s="1" t="s">
        <v>26</v>
      </c>
      <c r="H1029" s="1" t="s">
        <v>2516</v>
      </c>
      <c r="I1029" s="1" t="s">
        <v>2517</v>
      </c>
      <c r="J1029" s="1" t="str">
        <f ca="1">IFERROR(__xludf.DUMMYFUNCTION("split(I1029,"" "")"),"Deanra")</f>
        <v>Deanra</v>
      </c>
      <c r="K1029" s="1" t="str">
        <f ca="1">IFERROR(__xludf.DUMMYFUNCTION("""COMPUTED_VALUE"""),"Eno")</f>
        <v>Eno</v>
      </c>
      <c r="L1029" s="1"/>
      <c r="M1029" s="1" t="s">
        <v>87</v>
      </c>
      <c r="N1029" s="1" t="s">
        <v>30</v>
      </c>
      <c r="O1029" s="1" t="s">
        <v>271</v>
      </c>
      <c r="P1029" s="1" t="str">
        <f t="shared" si="1042"/>
        <v>Springfield</v>
      </c>
      <c r="Q1029" s="1" t="s">
        <v>421</v>
      </c>
      <c r="R1029" s="1" t="str">
        <f t="shared" si="1043"/>
        <v>Ohio</v>
      </c>
      <c r="S1029" s="1">
        <v>45503</v>
      </c>
      <c r="T1029" s="1" t="s">
        <v>128</v>
      </c>
      <c r="U1029" s="1" t="s">
        <v>2520</v>
      </c>
      <c r="V1029" s="1" t="s">
        <v>64</v>
      </c>
      <c r="W1029" s="7">
        <v>15.587999999999999</v>
      </c>
      <c r="X1029" s="1">
        <v>4</v>
      </c>
      <c r="Y1029" s="7">
        <v>15.5</v>
      </c>
      <c r="Z1029" s="7">
        <f t="shared" ref="Z1029:AA1029" si="1052">W1029*X1029</f>
        <v>62.351999999999997</v>
      </c>
      <c r="AA1029" s="7">
        <f t="shared" si="1052"/>
        <v>62</v>
      </c>
      <c r="AB1029" s="7">
        <f t="shared" si="1045"/>
        <v>0.35199999999999676</v>
      </c>
    </row>
    <row r="1030" spans="1:28">
      <c r="A1030" s="1">
        <v>1029</v>
      </c>
      <c r="B1030" s="1" t="s">
        <v>2521</v>
      </c>
      <c r="C1030" s="2">
        <v>42315</v>
      </c>
      <c r="D1030" s="6" t="str">
        <f t="shared" si="1040"/>
        <v>Nov</v>
      </c>
      <c r="E1030" s="6" t="str">
        <f t="shared" si="1041"/>
        <v>Qtr 4</v>
      </c>
      <c r="F1030" s="5" t="s">
        <v>2522</v>
      </c>
      <c r="G1030" s="1" t="s">
        <v>49</v>
      </c>
      <c r="H1030" s="1" t="s">
        <v>1094</v>
      </c>
      <c r="I1030" s="1" t="s">
        <v>1095</v>
      </c>
      <c r="J1030" s="1" t="str">
        <f ca="1">IFERROR(__xludf.DUMMYFUNCTION("split(I1030,"" "")"),"Laura")</f>
        <v>Laura</v>
      </c>
      <c r="K1030" s="1" t="str">
        <f ca="1">IFERROR(__xludf.DUMMYFUNCTION("""COMPUTED_VALUE"""),"Armstrong")</f>
        <v>Armstrong</v>
      </c>
      <c r="L1030" s="1"/>
      <c r="M1030" s="1" t="s">
        <v>41</v>
      </c>
      <c r="N1030" s="1" t="s">
        <v>30</v>
      </c>
      <c r="O1030" s="1" t="s">
        <v>931</v>
      </c>
      <c r="P1030" s="1" t="str">
        <f t="shared" si="1042"/>
        <v>Hackensack</v>
      </c>
      <c r="Q1030" s="1" t="s">
        <v>653</v>
      </c>
      <c r="R1030" s="1" t="str">
        <f t="shared" si="1043"/>
        <v>New Jersey</v>
      </c>
      <c r="S1030" s="1">
        <v>7601</v>
      </c>
      <c r="T1030" s="1" t="s">
        <v>128</v>
      </c>
      <c r="U1030" s="1" t="s">
        <v>864</v>
      </c>
      <c r="V1030" s="1" t="s">
        <v>46</v>
      </c>
      <c r="W1030" s="7">
        <v>177.2</v>
      </c>
      <c r="X1030" s="1">
        <v>7</v>
      </c>
      <c r="Y1030" s="7">
        <v>176.99</v>
      </c>
      <c r="Z1030" s="7">
        <f t="shared" ref="Z1030:AA1030" si="1053">W1030*X1030</f>
        <v>1240.3999999999999</v>
      </c>
      <c r="AA1030" s="7">
        <f t="shared" si="1053"/>
        <v>1238.93</v>
      </c>
      <c r="AB1030" s="7">
        <f t="shared" si="1045"/>
        <v>1.4699999999997999</v>
      </c>
    </row>
    <row r="1031" spans="1:28">
      <c r="A1031" s="1">
        <v>1030</v>
      </c>
      <c r="B1031" s="1" t="s">
        <v>2521</v>
      </c>
      <c r="C1031" s="2">
        <v>42315</v>
      </c>
      <c r="D1031" s="6" t="str">
        <f t="shared" si="1040"/>
        <v>Nov</v>
      </c>
      <c r="E1031" s="6" t="str">
        <f t="shared" si="1041"/>
        <v>Qtr 4</v>
      </c>
      <c r="F1031" s="5" t="s">
        <v>2522</v>
      </c>
      <c r="G1031" s="1" t="s">
        <v>49</v>
      </c>
      <c r="H1031" s="1" t="s">
        <v>1094</v>
      </c>
      <c r="I1031" s="1" t="s">
        <v>1095</v>
      </c>
      <c r="J1031" s="1" t="str">
        <f ca="1">IFERROR(__xludf.DUMMYFUNCTION("split(I1031,"" "")"),"Laura")</f>
        <v>Laura</v>
      </c>
      <c r="K1031" s="1" t="str">
        <f ca="1">IFERROR(__xludf.DUMMYFUNCTION("""COMPUTED_VALUE"""),"Armstrong")</f>
        <v>Armstrong</v>
      </c>
      <c r="L1031" s="1"/>
      <c r="M1031" s="1" t="s">
        <v>41</v>
      </c>
      <c r="N1031" s="1" t="s">
        <v>30</v>
      </c>
      <c r="O1031" s="1" t="s">
        <v>931</v>
      </c>
      <c r="P1031" s="1" t="str">
        <f t="shared" si="1042"/>
        <v>Hackensack</v>
      </c>
      <c r="Q1031" s="1" t="s">
        <v>653</v>
      </c>
      <c r="R1031" s="1" t="str">
        <f t="shared" si="1043"/>
        <v>New Jersey</v>
      </c>
      <c r="S1031" s="1">
        <v>7601</v>
      </c>
      <c r="T1031" s="1" t="s">
        <v>128</v>
      </c>
      <c r="U1031" s="1" t="s">
        <v>2523</v>
      </c>
      <c r="V1031" s="1" t="s">
        <v>64</v>
      </c>
      <c r="W1031" s="7">
        <v>197.97</v>
      </c>
      <c r="X1031" s="1">
        <v>7</v>
      </c>
      <c r="Y1031" s="7">
        <v>197.65</v>
      </c>
      <c r="Z1031" s="7">
        <f t="shared" ref="Z1031:AA1031" si="1054">W1031*X1031</f>
        <v>1385.79</v>
      </c>
      <c r="AA1031" s="7">
        <f t="shared" si="1054"/>
        <v>1383.55</v>
      </c>
      <c r="AB1031" s="7">
        <f t="shared" si="1045"/>
        <v>2.2400000000000091</v>
      </c>
    </row>
    <row r="1032" spans="1:28">
      <c r="A1032" s="1">
        <v>1031</v>
      </c>
      <c r="B1032" s="1" t="s">
        <v>2521</v>
      </c>
      <c r="C1032" s="2">
        <v>42315</v>
      </c>
      <c r="D1032" s="6" t="str">
        <f t="shared" si="1040"/>
        <v>Nov</v>
      </c>
      <c r="E1032" s="6" t="str">
        <f t="shared" si="1041"/>
        <v>Qtr 4</v>
      </c>
      <c r="F1032" s="5" t="s">
        <v>2522</v>
      </c>
      <c r="G1032" s="1" t="s">
        <v>49</v>
      </c>
      <c r="H1032" s="1" t="s">
        <v>1094</v>
      </c>
      <c r="I1032" s="1" t="s">
        <v>1095</v>
      </c>
      <c r="J1032" s="1" t="str">
        <f ca="1">IFERROR(__xludf.DUMMYFUNCTION("split(I1032,"" "")"),"Laura")</f>
        <v>Laura</v>
      </c>
      <c r="K1032" s="1" t="str">
        <f ca="1">IFERROR(__xludf.DUMMYFUNCTION("""COMPUTED_VALUE"""),"Armstrong")</f>
        <v>Armstrong</v>
      </c>
      <c r="L1032" s="1"/>
      <c r="M1032" s="1" t="s">
        <v>41</v>
      </c>
      <c r="N1032" s="1" t="s">
        <v>30</v>
      </c>
      <c r="O1032" s="1" t="s">
        <v>931</v>
      </c>
      <c r="P1032" s="1" t="str">
        <f t="shared" si="1042"/>
        <v>Hackensack</v>
      </c>
      <c r="Q1032" s="1" t="s">
        <v>653</v>
      </c>
      <c r="R1032" s="1" t="str">
        <f t="shared" si="1043"/>
        <v>New Jersey</v>
      </c>
      <c r="S1032" s="1">
        <v>7601</v>
      </c>
      <c r="T1032" s="1" t="s">
        <v>128</v>
      </c>
      <c r="U1032" s="1" t="s">
        <v>1460</v>
      </c>
      <c r="V1032" s="1" t="s">
        <v>35</v>
      </c>
      <c r="W1032" s="7">
        <v>854.94</v>
      </c>
      <c r="X1032" s="1">
        <v>7</v>
      </c>
      <c r="Y1032" s="7">
        <v>854.7</v>
      </c>
      <c r="Z1032" s="7">
        <f t="shared" ref="Z1032:AA1032" si="1055">W1032*X1032</f>
        <v>5984.58</v>
      </c>
      <c r="AA1032" s="7">
        <f t="shared" si="1055"/>
        <v>5982.9000000000005</v>
      </c>
      <c r="AB1032" s="7">
        <f t="shared" si="1045"/>
        <v>1.6799999999993815</v>
      </c>
    </row>
    <row r="1033" spans="1:28">
      <c r="A1033" s="1">
        <v>1032</v>
      </c>
      <c r="B1033" s="1" t="s">
        <v>2521</v>
      </c>
      <c r="C1033" s="2">
        <v>42315</v>
      </c>
      <c r="D1033" s="6" t="str">
        <f t="shared" si="1040"/>
        <v>Nov</v>
      </c>
      <c r="E1033" s="6" t="str">
        <f t="shared" si="1041"/>
        <v>Qtr 4</v>
      </c>
      <c r="F1033" s="5" t="s">
        <v>2522</v>
      </c>
      <c r="G1033" s="1" t="s">
        <v>49</v>
      </c>
      <c r="H1033" s="1" t="s">
        <v>1094</v>
      </c>
      <c r="I1033" s="1" t="s">
        <v>1095</v>
      </c>
      <c r="J1033" s="1" t="str">
        <f ca="1">IFERROR(__xludf.DUMMYFUNCTION("split(I1033,"" "")"),"Laura")</f>
        <v>Laura</v>
      </c>
      <c r="K1033" s="1" t="str">
        <f ca="1">IFERROR(__xludf.DUMMYFUNCTION("""COMPUTED_VALUE"""),"Armstrong")</f>
        <v>Armstrong</v>
      </c>
      <c r="L1033" s="1"/>
      <c r="M1033" s="1" t="s">
        <v>41</v>
      </c>
      <c r="N1033" s="1" t="s">
        <v>30</v>
      </c>
      <c r="O1033" s="1" t="s">
        <v>931</v>
      </c>
      <c r="P1033" s="1" t="str">
        <f t="shared" si="1042"/>
        <v>Hackensack</v>
      </c>
      <c r="Q1033" s="1" t="s">
        <v>653</v>
      </c>
      <c r="R1033" s="1" t="str">
        <f t="shared" si="1043"/>
        <v>New Jersey</v>
      </c>
      <c r="S1033" s="1">
        <v>7601</v>
      </c>
      <c r="T1033" s="1" t="s">
        <v>128</v>
      </c>
      <c r="U1033" s="1" t="s">
        <v>360</v>
      </c>
      <c r="V1033" s="1" t="s">
        <v>35</v>
      </c>
      <c r="W1033" s="7">
        <v>124.11</v>
      </c>
      <c r="X1033" s="1">
        <v>7</v>
      </c>
      <c r="Y1033" s="7">
        <v>123.48</v>
      </c>
      <c r="Z1033" s="7">
        <f t="shared" ref="Z1033:AA1033" si="1056">W1033*X1033</f>
        <v>868.77</v>
      </c>
      <c r="AA1033" s="7">
        <f t="shared" si="1056"/>
        <v>864.36</v>
      </c>
      <c r="AB1033" s="7">
        <f t="shared" si="1045"/>
        <v>4.4099999999999682</v>
      </c>
    </row>
    <row r="1034" spans="1:28">
      <c r="A1034" s="1">
        <v>1033</v>
      </c>
      <c r="B1034" s="1" t="s">
        <v>2521</v>
      </c>
      <c r="C1034" s="2">
        <v>42315</v>
      </c>
      <c r="D1034" s="6" t="str">
        <f t="shared" si="1040"/>
        <v>Nov</v>
      </c>
      <c r="E1034" s="6" t="str">
        <f t="shared" si="1041"/>
        <v>Qtr 4</v>
      </c>
      <c r="F1034" s="5" t="s">
        <v>2522</v>
      </c>
      <c r="G1034" s="1" t="s">
        <v>49</v>
      </c>
      <c r="H1034" s="1" t="s">
        <v>1094</v>
      </c>
      <c r="I1034" s="1" t="s">
        <v>1095</v>
      </c>
      <c r="J1034" s="1" t="str">
        <f ca="1">IFERROR(__xludf.DUMMYFUNCTION("split(I1034,"" "")"),"Laura")</f>
        <v>Laura</v>
      </c>
      <c r="K1034" s="1" t="str">
        <f ca="1">IFERROR(__xludf.DUMMYFUNCTION("""COMPUTED_VALUE"""),"Armstrong")</f>
        <v>Armstrong</v>
      </c>
      <c r="L1034" s="1"/>
      <c r="M1034" s="1" t="s">
        <v>41</v>
      </c>
      <c r="N1034" s="1" t="s">
        <v>30</v>
      </c>
      <c r="O1034" s="1" t="s">
        <v>931</v>
      </c>
      <c r="P1034" s="1" t="str">
        <f t="shared" si="1042"/>
        <v>Hackensack</v>
      </c>
      <c r="Q1034" s="1" t="s">
        <v>653</v>
      </c>
      <c r="R1034" s="1" t="str">
        <f t="shared" si="1043"/>
        <v>New Jersey</v>
      </c>
      <c r="S1034" s="1">
        <v>7601</v>
      </c>
      <c r="T1034" s="1" t="s">
        <v>128</v>
      </c>
      <c r="U1034" s="1" t="s">
        <v>2524</v>
      </c>
      <c r="V1034" s="1" t="s">
        <v>46</v>
      </c>
      <c r="W1034" s="7">
        <v>14.4</v>
      </c>
      <c r="X1034" s="1">
        <v>7</v>
      </c>
      <c r="Y1034" s="7">
        <v>13.61</v>
      </c>
      <c r="Z1034" s="7">
        <f t="shared" ref="Z1034:AA1034" si="1057">W1034*X1034</f>
        <v>100.8</v>
      </c>
      <c r="AA1034" s="7">
        <f t="shared" si="1057"/>
        <v>95.27</v>
      </c>
      <c r="AB1034" s="7">
        <f t="shared" si="1045"/>
        <v>5.5300000000000011</v>
      </c>
    </row>
    <row r="1035" spans="1:28">
      <c r="A1035" s="1">
        <v>1034</v>
      </c>
      <c r="B1035" s="1" t="s">
        <v>2525</v>
      </c>
      <c r="C1035" s="2">
        <v>43059</v>
      </c>
      <c r="D1035" s="6" t="str">
        <f t="shared" si="1040"/>
        <v>Nov</v>
      </c>
      <c r="E1035" s="6" t="str">
        <f t="shared" si="1041"/>
        <v>Qtr 4</v>
      </c>
      <c r="F1035" s="5" t="s">
        <v>2526</v>
      </c>
      <c r="G1035" s="1" t="s">
        <v>162</v>
      </c>
      <c r="H1035" s="1" t="s">
        <v>2527</v>
      </c>
      <c r="I1035" s="1" t="s">
        <v>2528</v>
      </c>
      <c r="J1035" s="1" t="str">
        <f ca="1">IFERROR(__xludf.DUMMYFUNCTION("split(I1035,"" "")"),"Allen")</f>
        <v>Allen</v>
      </c>
      <c r="K1035" s="1" t="str">
        <f ca="1">IFERROR(__xludf.DUMMYFUNCTION("""COMPUTED_VALUE"""),"Goldenen")</f>
        <v>Goldenen</v>
      </c>
      <c r="L1035" s="1"/>
      <c r="M1035" s="1" t="s">
        <v>29</v>
      </c>
      <c r="N1035" s="1" t="s">
        <v>30</v>
      </c>
      <c r="O1035" s="1" t="s">
        <v>829</v>
      </c>
      <c r="P1035" s="1" t="str">
        <f t="shared" si="1042"/>
        <v>Cincinnati</v>
      </c>
      <c r="Q1035" s="1" t="s">
        <v>421</v>
      </c>
      <c r="R1035" s="1" t="str">
        <f t="shared" si="1043"/>
        <v>Ohio</v>
      </c>
      <c r="S1035" s="1">
        <v>45231</v>
      </c>
      <c r="T1035" s="1" t="s">
        <v>128</v>
      </c>
      <c r="U1035" s="1" t="s">
        <v>2529</v>
      </c>
      <c r="V1035" s="1" t="s">
        <v>46</v>
      </c>
      <c r="W1035" s="7">
        <v>15.696</v>
      </c>
      <c r="X1035" s="1">
        <v>4</v>
      </c>
      <c r="Y1035" s="7">
        <v>15.49</v>
      </c>
      <c r="Z1035" s="7">
        <f t="shared" ref="Z1035:AA1035" si="1058">W1035*X1035</f>
        <v>62.783999999999999</v>
      </c>
      <c r="AA1035" s="7">
        <f t="shared" si="1058"/>
        <v>61.96</v>
      </c>
      <c r="AB1035" s="7">
        <f t="shared" si="1045"/>
        <v>0.82399999999999807</v>
      </c>
    </row>
    <row r="1036" spans="1:28">
      <c r="A1036" s="1">
        <v>1035</v>
      </c>
      <c r="B1036" s="1" t="s">
        <v>2525</v>
      </c>
      <c r="C1036" s="2">
        <v>43059</v>
      </c>
      <c r="D1036" s="6" t="str">
        <f t="shared" si="1040"/>
        <v>Nov</v>
      </c>
      <c r="E1036" s="6" t="str">
        <f t="shared" si="1041"/>
        <v>Qtr 4</v>
      </c>
      <c r="F1036" s="5" t="s">
        <v>2526</v>
      </c>
      <c r="G1036" s="1" t="s">
        <v>162</v>
      </c>
      <c r="H1036" s="1" t="s">
        <v>2527</v>
      </c>
      <c r="I1036" s="1" t="s">
        <v>2528</v>
      </c>
      <c r="J1036" s="1" t="str">
        <f ca="1">IFERROR(__xludf.DUMMYFUNCTION("split(I1036,"" "")"),"Allen")</f>
        <v>Allen</v>
      </c>
      <c r="K1036" s="1" t="str">
        <f ca="1">IFERROR(__xludf.DUMMYFUNCTION("""COMPUTED_VALUE"""),"Goldenen")</f>
        <v>Goldenen</v>
      </c>
      <c r="L1036" s="1"/>
      <c r="M1036" s="1" t="s">
        <v>29</v>
      </c>
      <c r="N1036" s="1" t="s">
        <v>30</v>
      </c>
      <c r="O1036" s="1" t="s">
        <v>829</v>
      </c>
      <c r="P1036" s="1" t="str">
        <f t="shared" si="1042"/>
        <v>Cincinnati</v>
      </c>
      <c r="Q1036" s="1" t="s">
        <v>421</v>
      </c>
      <c r="R1036" s="1" t="str">
        <f t="shared" si="1043"/>
        <v>Ohio</v>
      </c>
      <c r="S1036" s="1">
        <v>45231</v>
      </c>
      <c r="T1036" s="1" t="s">
        <v>128</v>
      </c>
      <c r="U1036" s="1" t="s">
        <v>795</v>
      </c>
      <c r="V1036" s="1" t="s">
        <v>46</v>
      </c>
      <c r="W1036" s="7">
        <v>2.6280000000000001</v>
      </c>
      <c r="X1036" s="1">
        <v>4</v>
      </c>
      <c r="Y1036" s="7">
        <v>2.4300000000000002</v>
      </c>
      <c r="Z1036" s="7">
        <f t="shared" ref="Z1036:AA1036" si="1059">W1036*X1036</f>
        <v>10.512</v>
      </c>
      <c r="AA1036" s="7">
        <f t="shared" si="1059"/>
        <v>9.7200000000000006</v>
      </c>
      <c r="AB1036" s="7">
        <f t="shared" si="1045"/>
        <v>0.79199999999999982</v>
      </c>
    </row>
    <row r="1037" spans="1:28">
      <c r="A1037" s="1">
        <v>1036</v>
      </c>
      <c r="B1037" s="1" t="s">
        <v>2525</v>
      </c>
      <c r="C1037" s="2">
        <v>43059</v>
      </c>
      <c r="D1037" s="6" t="str">
        <f t="shared" si="1040"/>
        <v>Nov</v>
      </c>
      <c r="E1037" s="6" t="str">
        <f t="shared" si="1041"/>
        <v>Qtr 4</v>
      </c>
      <c r="F1037" s="5" t="s">
        <v>2526</v>
      </c>
      <c r="G1037" s="1" t="s">
        <v>162</v>
      </c>
      <c r="H1037" s="1" t="s">
        <v>2527</v>
      </c>
      <c r="I1037" s="1" t="s">
        <v>2528</v>
      </c>
      <c r="J1037" s="1" t="str">
        <f ca="1">IFERROR(__xludf.DUMMYFUNCTION("split(I1037,"" "")"),"Allen")</f>
        <v>Allen</v>
      </c>
      <c r="K1037" s="1" t="str">
        <f ca="1">IFERROR(__xludf.DUMMYFUNCTION("""COMPUTED_VALUE"""),"Goldenen")</f>
        <v>Goldenen</v>
      </c>
      <c r="L1037" s="1"/>
      <c r="M1037" s="1" t="s">
        <v>29</v>
      </c>
      <c r="N1037" s="1" t="s">
        <v>30</v>
      </c>
      <c r="O1037" s="1" t="s">
        <v>829</v>
      </c>
      <c r="P1037" s="1" t="str">
        <f t="shared" si="1042"/>
        <v>Cincinnati</v>
      </c>
      <c r="Q1037" s="1" t="s">
        <v>421</v>
      </c>
      <c r="R1037" s="1" t="str">
        <f t="shared" si="1043"/>
        <v>Ohio</v>
      </c>
      <c r="S1037" s="1">
        <v>45231</v>
      </c>
      <c r="T1037" s="1" t="s">
        <v>128</v>
      </c>
      <c r="U1037" s="1" t="s">
        <v>149</v>
      </c>
      <c r="V1037" s="1" t="s">
        <v>46</v>
      </c>
      <c r="W1037" s="7">
        <v>14.427</v>
      </c>
      <c r="X1037" s="1">
        <v>4</v>
      </c>
      <c r="Y1037" s="7">
        <v>13.89</v>
      </c>
      <c r="Z1037" s="7">
        <f t="shared" ref="Z1037:AA1037" si="1060">W1037*X1037</f>
        <v>57.707999999999998</v>
      </c>
      <c r="AA1037" s="7">
        <f t="shared" si="1060"/>
        <v>55.56</v>
      </c>
      <c r="AB1037" s="7">
        <f t="shared" si="1045"/>
        <v>2.1479999999999961</v>
      </c>
    </row>
    <row r="1038" spans="1:28">
      <c r="A1038" s="1">
        <v>1037</v>
      </c>
      <c r="B1038" s="1" t="s">
        <v>2530</v>
      </c>
      <c r="C1038" s="2">
        <v>42847</v>
      </c>
      <c r="D1038" s="6" t="str">
        <f t="shared" si="1040"/>
        <v>Apr</v>
      </c>
      <c r="E1038" s="6" t="str">
        <f t="shared" si="1041"/>
        <v>Qtr 2</v>
      </c>
      <c r="F1038" s="5" t="s">
        <v>2531</v>
      </c>
      <c r="G1038" s="1" t="s">
        <v>49</v>
      </c>
      <c r="H1038" s="1" t="s">
        <v>2246</v>
      </c>
      <c r="I1038" s="1" t="s">
        <v>2247</v>
      </c>
      <c r="J1038" s="1" t="str">
        <f ca="1">IFERROR(__xludf.DUMMYFUNCTION("split(I1038,"" "")"),"Ed")</f>
        <v>Ed</v>
      </c>
      <c r="K1038" s="1" t="str">
        <f ca="1">IFERROR(__xludf.DUMMYFUNCTION("""COMPUTED_VALUE"""),"Ludwig")</f>
        <v>Ludwig</v>
      </c>
      <c r="L1038" s="1"/>
      <c r="M1038" s="1" t="s">
        <v>87</v>
      </c>
      <c r="N1038" s="1" t="s">
        <v>30</v>
      </c>
      <c r="O1038" s="1" t="s">
        <v>2532</v>
      </c>
      <c r="P1038" s="1" t="str">
        <f t="shared" si="1042"/>
        <v>Jefferson City</v>
      </c>
      <c r="Q1038" s="1" t="s">
        <v>495</v>
      </c>
      <c r="R1038" s="1" t="str">
        <f t="shared" si="1043"/>
        <v>Missouri</v>
      </c>
      <c r="S1038" s="1">
        <v>65109</v>
      </c>
      <c r="T1038" s="1" t="s">
        <v>90</v>
      </c>
      <c r="U1038" s="1" t="s">
        <v>2533</v>
      </c>
      <c r="V1038" s="1" t="s">
        <v>35</v>
      </c>
      <c r="W1038" s="7">
        <v>86.62</v>
      </c>
      <c r="X1038" s="1">
        <v>6</v>
      </c>
      <c r="Y1038" s="7">
        <v>86.12</v>
      </c>
      <c r="Z1038" s="7">
        <f t="shared" ref="Z1038:AA1038" si="1061">W1038*X1038</f>
        <v>519.72</v>
      </c>
      <c r="AA1038" s="7">
        <f t="shared" si="1061"/>
        <v>516.72</v>
      </c>
      <c r="AB1038" s="7">
        <f t="shared" si="1045"/>
        <v>3</v>
      </c>
    </row>
    <row r="1039" spans="1:28">
      <c r="A1039" s="1">
        <v>1038</v>
      </c>
      <c r="B1039" s="1" t="s">
        <v>2534</v>
      </c>
      <c r="C1039" s="2">
        <v>42534</v>
      </c>
      <c r="D1039" s="6" t="str">
        <f t="shared" si="1040"/>
        <v>Jun</v>
      </c>
      <c r="E1039" s="6" t="str">
        <f t="shared" si="1041"/>
        <v>Qtr 2</v>
      </c>
      <c r="F1039" s="5" t="s">
        <v>2535</v>
      </c>
      <c r="G1039" s="1" t="s">
        <v>162</v>
      </c>
      <c r="H1039" s="1" t="s">
        <v>2536</v>
      </c>
      <c r="I1039" s="1" t="s">
        <v>2537</v>
      </c>
      <c r="J1039" s="1" t="str">
        <f ca="1">IFERROR(__xludf.DUMMYFUNCTION("split(I1039,"" "")"),"Jennifer")</f>
        <v>Jennifer</v>
      </c>
      <c r="K1039" s="1" t="str">
        <f ca="1">IFERROR(__xludf.DUMMYFUNCTION("""COMPUTED_VALUE"""),"Jackson")</f>
        <v>Jackson</v>
      </c>
      <c r="L1039" s="1"/>
      <c r="M1039" s="1" t="s">
        <v>29</v>
      </c>
      <c r="N1039" s="1" t="s">
        <v>30</v>
      </c>
      <c r="O1039" s="1" t="s">
        <v>42</v>
      </c>
      <c r="P1039" s="1" t="str">
        <f t="shared" si="1042"/>
        <v>Los Angeles</v>
      </c>
      <c r="Q1039" s="1" t="s">
        <v>68</v>
      </c>
      <c r="R1039" s="1" t="str">
        <f t="shared" si="1043"/>
        <v>California</v>
      </c>
      <c r="S1039" s="1">
        <v>90004</v>
      </c>
      <c r="T1039" s="1" t="s">
        <v>44</v>
      </c>
      <c r="U1039" s="1" t="s">
        <v>2538</v>
      </c>
      <c r="V1039" s="1" t="s">
        <v>46</v>
      </c>
      <c r="W1039" s="7">
        <v>36.624000000000002</v>
      </c>
      <c r="X1039" s="1">
        <v>9</v>
      </c>
      <c r="Y1039" s="7">
        <v>35.71</v>
      </c>
      <c r="Z1039" s="7">
        <f t="shared" ref="Z1039:AA1039" si="1062">W1039*X1039</f>
        <v>329.61600000000004</v>
      </c>
      <c r="AA1039" s="7">
        <f t="shared" si="1062"/>
        <v>321.39</v>
      </c>
      <c r="AB1039" s="7">
        <f t="shared" si="1045"/>
        <v>8.2260000000000559</v>
      </c>
    </row>
    <row r="1040" spans="1:28">
      <c r="A1040" s="1">
        <v>1039</v>
      </c>
      <c r="B1040" s="1" t="s">
        <v>2539</v>
      </c>
      <c r="C1040" s="2">
        <v>43424</v>
      </c>
      <c r="D1040" s="6" t="str">
        <f t="shared" si="1040"/>
        <v>Nov</v>
      </c>
      <c r="E1040" s="6" t="str">
        <f t="shared" si="1041"/>
        <v>Qtr 4</v>
      </c>
      <c r="F1040" s="5" t="s">
        <v>2540</v>
      </c>
      <c r="G1040" s="1" t="s">
        <v>162</v>
      </c>
      <c r="H1040" s="1" t="s">
        <v>2541</v>
      </c>
      <c r="I1040" s="1" t="s">
        <v>2542</v>
      </c>
      <c r="J1040" s="1" t="str">
        <f ca="1">IFERROR(__xludf.DUMMYFUNCTION("split(I1040,"" "")"),"Jennifer")</f>
        <v>Jennifer</v>
      </c>
      <c r="K1040" s="1" t="str">
        <f ca="1">IFERROR(__xludf.DUMMYFUNCTION("""COMPUTED_VALUE"""),"Halladay")</f>
        <v>Halladay</v>
      </c>
      <c r="L1040" s="1"/>
      <c r="M1040" s="1" t="s">
        <v>29</v>
      </c>
      <c r="N1040" s="1" t="s">
        <v>30</v>
      </c>
      <c r="O1040" s="1" t="s">
        <v>1814</v>
      </c>
      <c r="P1040" s="1" t="str">
        <f t="shared" si="1042"/>
        <v>Burlington</v>
      </c>
      <c r="Q1040" s="1" t="s">
        <v>75</v>
      </c>
      <c r="R1040" s="1" t="str">
        <f t="shared" si="1043"/>
        <v>North Carolina</v>
      </c>
      <c r="S1040" s="1">
        <v>27217</v>
      </c>
      <c r="T1040" s="1" t="s">
        <v>33</v>
      </c>
      <c r="U1040" s="1" t="s">
        <v>2543</v>
      </c>
      <c r="V1040" s="1" t="s">
        <v>46</v>
      </c>
      <c r="W1040" s="7">
        <v>23.968</v>
      </c>
      <c r="X1040" s="1">
        <v>2</v>
      </c>
      <c r="Y1040" s="7">
        <v>23.57</v>
      </c>
      <c r="Z1040" s="7">
        <f t="shared" ref="Z1040:AA1040" si="1063">W1040*X1040</f>
        <v>47.936</v>
      </c>
      <c r="AA1040" s="7">
        <f t="shared" si="1063"/>
        <v>47.14</v>
      </c>
      <c r="AB1040" s="7">
        <f t="shared" si="1045"/>
        <v>0.79599999999999937</v>
      </c>
    </row>
    <row r="1041" spans="1:28">
      <c r="A1041" s="1">
        <v>1040</v>
      </c>
      <c r="B1041" s="1" t="s">
        <v>2539</v>
      </c>
      <c r="C1041" s="2">
        <v>43424</v>
      </c>
      <c r="D1041" s="6" t="str">
        <f t="shared" si="1040"/>
        <v>Nov</v>
      </c>
      <c r="E1041" s="6" t="str">
        <f t="shared" si="1041"/>
        <v>Qtr 4</v>
      </c>
      <c r="F1041" s="5" t="s">
        <v>2540</v>
      </c>
      <c r="G1041" s="1" t="s">
        <v>162</v>
      </c>
      <c r="H1041" s="1" t="s">
        <v>2541</v>
      </c>
      <c r="I1041" s="1" t="s">
        <v>2542</v>
      </c>
      <c r="J1041" s="1" t="str">
        <f ca="1">IFERROR(__xludf.DUMMYFUNCTION("split(I1041,"" "")"),"Jennifer")</f>
        <v>Jennifer</v>
      </c>
      <c r="K1041" s="1" t="str">
        <f ca="1">IFERROR(__xludf.DUMMYFUNCTION("""COMPUTED_VALUE"""),"Halladay")</f>
        <v>Halladay</v>
      </c>
      <c r="L1041" s="1"/>
      <c r="M1041" s="1" t="s">
        <v>29</v>
      </c>
      <c r="N1041" s="1" t="s">
        <v>30</v>
      </c>
      <c r="O1041" s="1" t="s">
        <v>1814</v>
      </c>
      <c r="P1041" s="1" t="str">
        <f t="shared" si="1042"/>
        <v>Burlington</v>
      </c>
      <c r="Q1041" s="1" t="s">
        <v>75</v>
      </c>
      <c r="R1041" s="1" t="str">
        <f t="shared" si="1043"/>
        <v>North Carolina</v>
      </c>
      <c r="S1041" s="1">
        <v>27217</v>
      </c>
      <c r="T1041" s="1" t="s">
        <v>33</v>
      </c>
      <c r="U1041" s="1" t="s">
        <v>2544</v>
      </c>
      <c r="V1041" s="1" t="s">
        <v>46</v>
      </c>
      <c r="W1041" s="7">
        <v>28.728000000000002</v>
      </c>
      <c r="X1041" s="1">
        <v>2</v>
      </c>
      <c r="Y1041" s="7">
        <v>28.47</v>
      </c>
      <c r="Z1041" s="7">
        <f t="shared" ref="Z1041:AA1041" si="1064">W1041*X1041</f>
        <v>57.456000000000003</v>
      </c>
      <c r="AA1041" s="7">
        <f t="shared" si="1064"/>
        <v>56.94</v>
      </c>
      <c r="AB1041" s="7">
        <f t="shared" si="1045"/>
        <v>0.51600000000000534</v>
      </c>
    </row>
    <row r="1042" spans="1:28">
      <c r="A1042" s="1">
        <v>1041</v>
      </c>
      <c r="B1042" s="1" t="s">
        <v>2545</v>
      </c>
      <c r="C1042" s="2">
        <v>42814</v>
      </c>
      <c r="D1042" s="6" t="str">
        <f t="shared" si="1040"/>
        <v>Mar</v>
      </c>
      <c r="E1042" s="6" t="str">
        <f t="shared" si="1041"/>
        <v>Qtr 1</v>
      </c>
      <c r="F1042" s="5" t="s">
        <v>1606</v>
      </c>
      <c r="G1042" s="1" t="s">
        <v>49</v>
      </c>
      <c r="H1042" s="1" t="s">
        <v>2546</v>
      </c>
      <c r="I1042" s="1" t="s">
        <v>2547</v>
      </c>
      <c r="J1042" s="1" t="str">
        <f ca="1">IFERROR(__xludf.DUMMYFUNCTION("split(I1042,"" "")"),"Robert")</f>
        <v>Robert</v>
      </c>
      <c r="K1042" s="1" t="str">
        <f ca="1">IFERROR(__xludf.DUMMYFUNCTION("""COMPUTED_VALUE"""),"Dilbeck")</f>
        <v>Dilbeck</v>
      </c>
      <c r="L1042" s="1"/>
      <c r="M1042" s="1" t="s">
        <v>87</v>
      </c>
      <c r="N1042" s="1" t="s">
        <v>30</v>
      </c>
      <c r="O1042" s="1" t="s">
        <v>2548</v>
      </c>
      <c r="P1042" s="1" t="str">
        <f t="shared" si="1042"/>
        <v>Saint Peters</v>
      </c>
      <c r="Q1042" s="1" t="s">
        <v>495</v>
      </c>
      <c r="R1042" s="1" t="str">
        <f t="shared" si="1043"/>
        <v>Missouri</v>
      </c>
      <c r="S1042" s="1">
        <v>63376</v>
      </c>
      <c r="T1042" s="1" t="s">
        <v>90</v>
      </c>
      <c r="U1042" s="1" t="s">
        <v>1960</v>
      </c>
      <c r="V1042" s="1" t="s">
        <v>35</v>
      </c>
      <c r="W1042" s="7">
        <v>697.16</v>
      </c>
      <c r="X1042" s="1">
        <v>6</v>
      </c>
      <c r="Y1042" s="7">
        <v>697.14</v>
      </c>
      <c r="Z1042" s="7">
        <f t="shared" ref="Z1042:AA1042" si="1065">W1042*X1042</f>
        <v>4182.96</v>
      </c>
      <c r="AA1042" s="7">
        <f t="shared" si="1065"/>
        <v>4182.84</v>
      </c>
      <c r="AB1042" s="7">
        <f t="shared" si="1045"/>
        <v>0.11999999999989086</v>
      </c>
    </row>
    <row r="1043" spans="1:28">
      <c r="A1043" s="1">
        <v>1042</v>
      </c>
      <c r="B1043" s="1" t="s">
        <v>2549</v>
      </c>
      <c r="C1043" s="2">
        <v>42895</v>
      </c>
      <c r="D1043" s="6" t="str">
        <f t="shared" si="1040"/>
        <v>Jun</v>
      </c>
      <c r="E1043" s="6" t="str">
        <f t="shared" si="1041"/>
        <v>Qtr 2</v>
      </c>
      <c r="F1043" s="5">
        <v>42987</v>
      </c>
      <c r="G1043" s="1" t="s">
        <v>26</v>
      </c>
      <c r="H1043" s="1" t="s">
        <v>2550</v>
      </c>
      <c r="I1043" s="1" t="s">
        <v>2551</v>
      </c>
      <c r="J1043" s="1" t="str">
        <f ca="1">IFERROR(__xludf.DUMMYFUNCTION("split(I1043,"" "")"),"Mary")</f>
        <v>Mary</v>
      </c>
      <c r="K1043" s="1" t="str">
        <f ca="1">IFERROR(__xludf.DUMMYFUNCTION("""COMPUTED_VALUE"""),"O'Rourke")</f>
        <v>O'Rourke</v>
      </c>
      <c r="L1043" s="1"/>
      <c r="M1043" s="1" t="s">
        <v>29</v>
      </c>
      <c r="N1043" s="1" t="s">
        <v>30</v>
      </c>
      <c r="O1043" s="1" t="s">
        <v>233</v>
      </c>
      <c r="P1043" s="1" t="str">
        <f t="shared" si="1042"/>
        <v>New York City</v>
      </c>
      <c r="Q1043" s="1" t="s">
        <v>234</v>
      </c>
      <c r="R1043" s="1" t="str">
        <f t="shared" si="1043"/>
        <v>New York</v>
      </c>
      <c r="S1043" s="1">
        <v>10035</v>
      </c>
      <c r="T1043" s="1" t="s">
        <v>128</v>
      </c>
      <c r="U1043" s="1" t="s">
        <v>2552</v>
      </c>
      <c r="V1043" s="1" t="s">
        <v>64</v>
      </c>
      <c r="W1043" s="7">
        <v>31.86</v>
      </c>
      <c r="X1043" s="1">
        <v>1</v>
      </c>
      <c r="Y1043" s="7">
        <v>31.06</v>
      </c>
      <c r="Z1043" s="7">
        <f t="shared" ref="Z1043:AA1043" si="1066">W1043*X1043</f>
        <v>31.86</v>
      </c>
      <c r="AA1043" s="7">
        <f t="shared" si="1066"/>
        <v>31.06</v>
      </c>
      <c r="AB1043" s="7">
        <f t="shared" si="1045"/>
        <v>0.80000000000000071</v>
      </c>
    </row>
    <row r="1044" spans="1:28">
      <c r="A1044" s="1">
        <v>1043</v>
      </c>
      <c r="B1044" s="1" t="s">
        <v>2549</v>
      </c>
      <c r="C1044" s="2">
        <v>42895</v>
      </c>
      <c r="D1044" s="6" t="str">
        <f t="shared" si="1040"/>
        <v>Jun</v>
      </c>
      <c r="E1044" s="6" t="str">
        <f t="shared" si="1041"/>
        <v>Qtr 2</v>
      </c>
      <c r="F1044" s="5">
        <v>42987</v>
      </c>
      <c r="G1044" s="1" t="s">
        <v>26</v>
      </c>
      <c r="H1044" s="1" t="s">
        <v>2550</v>
      </c>
      <c r="I1044" s="1" t="s">
        <v>2551</v>
      </c>
      <c r="J1044" s="1" t="str">
        <f ca="1">IFERROR(__xludf.DUMMYFUNCTION("split(I1044,"" "")"),"Mary")</f>
        <v>Mary</v>
      </c>
      <c r="K1044" s="1" t="str">
        <f ca="1">IFERROR(__xludf.DUMMYFUNCTION("""COMPUTED_VALUE"""),"O'Rourke")</f>
        <v>O'Rourke</v>
      </c>
      <c r="L1044" s="1"/>
      <c r="M1044" s="1" t="s">
        <v>29</v>
      </c>
      <c r="N1044" s="1" t="s">
        <v>30</v>
      </c>
      <c r="O1044" s="1" t="s">
        <v>233</v>
      </c>
      <c r="P1044" s="1" t="str">
        <f t="shared" si="1042"/>
        <v>New York City</v>
      </c>
      <c r="Q1044" s="1" t="s">
        <v>234</v>
      </c>
      <c r="R1044" s="1" t="str">
        <f t="shared" si="1043"/>
        <v>New York</v>
      </c>
      <c r="S1044" s="1">
        <v>10035</v>
      </c>
      <c r="T1044" s="1" t="s">
        <v>128</v>
      </c>
      <c r="U1044" s="1" t="s">
        <v>2553</v>
      </c>
      <c r="V1044" s="1" t="s">
        <v>35</v>
      </c>
      <c r="W1044" s="7">
        <v>722.35199999999998</v>
      </c>
      <c r="X1044" s="1">
        <v>1</v>
      </c>
      <c r="Y1044" s="7">
        <v>721.86</v>
      </c>
      <c r="Z1044" s="7">
        <f t="shared" ref="Z1044:AA1044" si="1067">W1044*X1044</f>
        <v>722.35199999999998</v>
      </c>
      <c r="AA1044" s="7">
        <f t="shared" si="1067"/>
        <v>721.86</v>
      </c>
      <c r="AB1044" s="7">
        <f t="shared" si="1045"/>
        <v>0.4919999999999618</v>
      </c>
    </row>
    <row r="1045" spans="1:28">
      <c r="A1045" s="1">
        <v>1044</v>
      </c>
      <c r="B1045" s="1" t="s">
        <v>2554</v>
      </c>
      <c r="C1045" s="2">
        <v>43350</v>
      </c>
      <c r="D1045" s="6" t="str">
        <f t="shared" si="1040"/>
        <v>Sep</v>
      </c>
      <c r="E1045" s="6" t="str">
        <f t="shared" si="1041"/>
        <v>Qtr 3</v>
      </c>
      <c r="F1045" s="5">
        <v>43441</v>
      </c>
      <c r="G1045" s="1" t="s">
        <v>162</v>
      </c>
      <c r="H1045" s="1" t="s">
        <v>2555</v>
      </c>
      <c r="I1045" s="1" t="s">
        <v>2556</v>
      </c>
      <c r="J1045" s="1" t="str">
        <f ca="1">IFERROR(__xludf.DUMMYFUNCTION("split(I1045,"" "")"),"Noel")</f>
        <v>Noel</v>
      </c>
      <c r="K1045" s="1" t="str">
        <f ca="1">IFERROR(__xludf.DUMMYFUNCTION("""COMPUTED_VALUE"""),"Staavos")</f>
        <v>Staavos</v>
      </c>
      <c r="L1045" s="1"/>
      <c r="M1045" s="1" t="s">
        <v>41</v>
      </c>
      <c r="N1045" s="1" t="s">
        <v>30</v>
      </c>
      <c r="O1045" s="1" t="s">
        <v>259</v>
      </c>
      <c r="P1045" s="1" t="str">
        <f t="shared" si="1042"/>
        <v>Chicago</v>
      </c>
      <c r="Q1045" s="1" t="s">
        <v>182</v>
      </c>
      <c r="R1045" s="1" t="str">
        <f t="shared" si="1043"/>
        <v>Illinois</v>
      </c>
      <c r="S1045" s="1">
        <v>60610</v>
      </c>
      <c r="T1045" s="1" t="s">
        <v>90</v>
      </c>
      <c r="U1045" s="1" t="s">
        <v>2557</v>
      </c>
      <c r="V1045" s="1" t="s">
        <v>46</v>
      </c>
      <c r="W1045" s="7">
        <v>8.84</v>
      </c>
      <c r="X1045" s="1">
        <v>6</v>
      </c>
      <c r="Y1045" s="7">
        <v>8.27</v>
      </c>
      <c r="Z1045" s="7">
        <f t="shared" ref="Z1045:AA1045" si="1068">W1045*X1045</f>
        <v>53.04</v>
      </c>
      <c r="AA1045" s="7">
        <f t="shared" si="1068"/>
        <v>49.62</v>
      </c>
      <c r="AB1045" s="7">
        <f t="shared" si="1045"/>
        <v>3.4200000000000017</v>
      </c>
    </row>
    <row r="1046" spans="1:28">
      <c r="A1046" s="1">
        <v>1045</v>
      </c>
      <c r="B1046" s="1" t="s">
        <v>2554</v>
      </c>
      <c r="C1046" s="2">
        <v>43350</v>
      </c>
      <c r="D1046" s="6" t="str">
        <f t="shared" si="1040"/>
        <v>Sep</v>
      </c>
      <c r="E1046" s="6" t="str">
        <f t="shared" si="1041"/>
        <v>Qtr 3</v>
      </c>
      <c r="F1046" s="5">
        <v>43441</v>
      </c>
      <c r="G1046" s="1" t="s">
        <v>162</v>
      </c>
      <c r="H1046" s="1" t="s">
        <v>2555</v>
      </c>
      <c r="I1046" s="1" t="s">
        <v>2556</v>
      </c>
      <c r="J1046" s="1" t="str">
        <f ca="1">IFERROR(__xludf.DUMMYFUNCTION("split(I1046,"" "")"),"Noel")</f>
        <v>Noel</v>
      </c>
      <c r="K1046" s="1" t="str">
        <f ca="1">IFERROR(__xludf.DUMMYFUNCTION("""COMPUTED_VALUE"""),"Staavos")</f>
        <v>Staavos</v>
      </c>
      <c r="L1046" s="1"/>
      <c r="M1046" s="1" t="s">
        <v>41</v>
      </c>
      <c r="N1046" s="1" t="s">
        <v>30</v>
      </c>
      <c r="O1046" s="1" t="s">
        <v>259</v>
      </c>
      <c r="P1046" s="1" t="str">
        <f t="shared" si="1042"/>
        <v>Chicago</v>
      </c>
      <c r="Q1046" s="1" t="s">
        <v>182</v>
      </c>
      <c r="R1046" s="1" t="str">
        <f t="shared" si="1043"/>
        <v>Illinois</v>
      </c>
      <c r="S1046" s="1">
        <v>60610</v>
      </c>
      <c r="T1046" s="1" t="s">
        <v>90</v>
      </c>
      <c r="U1046" s="1" t="s">
        <v>2558</v>
      </c>
      <c r="V1046" s="1" t="s">
        <v>46</v>
      </c>
      <c r="W1046" s="7">
        <v>58.463999999999999</v>
      </c>
      <c r="X1046" s="1">
        <v>6</v>
      </c>
      <c r="Y1046" s="7">
        <v>58.24</v>
      </c>
      <c r="Z1046" s="7">
        <f t="shared" ref="Z1046:AA1046" si="1069">W1046*X1046</f>
        <v>350.78399999999999</v>
      </c>
      <c r="AA1046" s="7">
        <f t="shared" si="1069"/>
        <v>349.44</v>
      </c>
      <c r="AB1046" s="7">
        <f t="shared" si="1045"/>
        <v>1.3439999999999941</v>
      </c>
    </row>
    <row r="1047" spans="1:28">
      <c r="A1047" s="1">
        <v>1046</v>
      </c>
      <c r="B1047" s="1" t="s">
        <v>2559</v>
      </c>
      <c r="C1047" s="2">
        <v>43444</v>
      </c>
      <c r="D1047" s="6" t="str">
        <f t="shared" si="1040"/>
        <v>Dec</v>
      </c>
      <c r="E1047" s="6" t="str">
        <f t="shared" si="1041"/>
        <v>Qtr 4</v>
      </c>
      <c r="F1047" s="5" t="s">
        <v>2560</v>
      </c>
      <c r="G1047" s="1" t="s">
        <v>49</v>
      </c>
      <c r="H1047" s="1" t="s">
        <v>170</v>
      </c>
      <c r="I1047" s="1" t="s">
        <v>171</v>
      </c>
      <c r="J1047" s="1" t="str">
        <f ca="1">IFERROR(__xludf.DUMMYFUNCTION("split(I1047,"" "")"),"Steve")</f>
        <v>Steve</v>
      </c>
      <c r="K1047" s="1" t="str">
        <f ca="1">IFERROR(__xludf.DUMMYFUNCTION("""COMPUTED_VALUE"""),"Nguyen")</f>
        <v>Nguyen</v>
      </c>
      <c r="L1047" s="1"/>
      <c r="M1047" s="1" t="s">
        <v>87</v>
      </c>
      <c r="N1047" s="1" t="s">
        <v>30</v>
      </c>
      <c r="O1047" s="1" t="s">
        <v>2561</v>
      </c>
      <c r="P1047" s="1" t="str">
        <f t="shared" si="1042"/>
        <v>Rockford</v>
      </c>
      <c r="Q1047" s="1" t="s">
        <v>182</v>
      </c>
      <c r="R1047" s="1" t="str">
        <f t="shared" si="1043"/>
        <v>Illinois</v>
      </c>
      <c r="S1047" s="1">
        <v>61107</v>
      </c>
      <c r="T1047" s="1" t="s">
        <v>90</v>
      </c>
      <c r="U1047" s="1" t="s">
        <v>2562</v>
      </c>
      <c r="V1047" s="1" t="s">
        <v>35</v>
      </c>
      <c r="W1047" s="7">
        <v>254.60400000000001</v>
      </c>
      <c r="X1047" s="1">
        <v>6</v>
      </c>
      <c r="Y1047" s="7">
        <v>254.22</v>
      </c>
      <c r="Z1047" s="7">
        <f t="shared" ref="Z1047:AA1047" si="1070">W1047*X1047</f>
        <v>1527.624</v>
      </c>
      <c r="AA1047" s="7">
        <f t="shared" si="1070"/>
        <v>1525.32</v>
      </c>
      <c r="AB1047" s="7">
        <f t="shared" si="1045"/>
        <v>2.3040000000000873</v>
      </c>
    </row>
    <row r="1048" spans="1:28">
      <c r="A1048" s="1">
        <v>1047</v>
      </c>
      <c r="B1048" s="1" t="s">
        <v>2563</v>
      </c>
      <c r="C1048" s="2">
        <v>42950</v>
      </c>
      <c r="D1048" s="6" t="str">
        <f t="shared" si="1040"/>
        <v>Aug</v>
      </c>
      <c r="E1048" s="6" t="str">
        <f t="shared" si="1041"/>
        <v>Qtr 3</v>
      </c>
      <c r="F1048" s="5" t="s">
        <v>197</v>
      </c>
      <c r="G1048" s="1" t="s">
        <v>49</v>
      </c>
      <c r="H1048" s="1" t="s">
        <v>1607</v>
      </c>
      <c r="I1048" s="1" t="s">
        <v>1608</v>
      </c>
      <c r="J1048" s="1" t="str">
        <f ca="1">IFERROR(__xludf.DUMMYFUNCTION("split(I1048,"" "")"),"Zuschuss")</f>
        <v>Zuschuss</v>
      </c>
      <c r="K1048" s="1" t="str">
        <f ca="1">IFERROR(__xludf.DUMMYFUNCTION("""COMPUTED_VALUE"""),"Carroll")</f>
        <v>Carroll</v>
      </c>
      <c r="L1048" s="1"/>
      <c r="M1048" s="1" t="s">
        <v>29</v>
      </c>
      <c r="N1048" s="1" t="s">
        <v>30</v>
      </c>
      <c r="O1048" s="1" t="s">
        <v>1156</v>
      </c>
      <c r="P1048" s="1" t="str">
        <f t="shared" si="1042"/>
        <v>Miami</v>
      </c>
      <c r="Q1048" s="1" t="s">
        <v>194</v>
      </c>
      <c r="R1048" s="1" t="str">
        <f t="shared" si="1043"/>
        <v>Florida</v>
      </c>
      <c r="S1048" s="1">
        <v>33142</v>
      </c>
      <c r="T1048" s="1" t="s">
        <v>33</v>
      </c>
      <c r="U1048" s="1" t="s">
        <v>2037</v>
      </c>
      <c r="V1048" s="1" t="s">
        <v>64</v>
      </c>
      <c r="W1048" s="7">
        <v>1363.96</v>
      </c>
      <c r="X1048" s="1">
        <v>3</v>
      </c>
      <c r="Y1048" s="7">
        <v>1363.84</v>
      </c>
      <c r="Z1048" s="7">
        <f t="shared" ref="Z1048:AA1048" si="1071">W1048*X1048</f>
        <v>4091.88</v>
      </c>
      <c r="AA1048" s="7">
        <f t="shared" si="1071"/>
        <v>4091.5199999999995</v>
      </c>
      <c r="AB1048" s="7">
        <f t="shared" si="1045"/>
        <v>0.36000000000058208</v>
      </c>
    </row>
    <row r="1049" spans="1:28">
      <c r="A1049" s="1">
        <v>1048</v>
      </c>
      <c r="B1049" s="1" t="s">
        <v>2563</v>
      </c>
      <c r="C1049" s="2">
        <v>42950</v>
      </c>
      <c r="D1049" s="6" t="str">
        <f t="shared" si="1040"/>
        <v>Aug</v>
      </c>
      <c r="E1049" s="6" t="str">
        <f t="shared" si="1041"/>
        <v>Qtr 3</v>
      </c>
      <c r="F1049" s="5" t="s">
        <v>197</v>
      </c>
      <c r="G1049" s="1" t="s">
        <v>49</v>
      </c>
      <c r="H1049" s="1" t="s">
        <v>1607</v>
      </c>
      <c r="I1049" s="1" t="s">
        <v>1608</v>
      </c>
      <c r="J1049" s="1" t="str">
        <f ca="1">IFERROR(__xludf.DUMMYFUNCTION("split(I1049,"" "")"),"Zuschuss")</f>
        <v>Zuschuss</v>
      </c>
      <c r="K1049" s="1" t="str">
        <f ca="1">IFERROR(__xludf.DUMMYFUNCTION("""COMPUTED_VALUE"""),"Carroll")</f>
        <v>Carroll</v>
      </c>
      <c r="L1049" s="1"/>
      <c r="M1049" s="1" t="s">
        <v>29</v>
      </c>
      <c r="N1049" s="1" t="s">
        <v>30</v>
      </c>
      <c r="O1049" s="1" t="s">
        <v>1156</v>
      </c>
      <c r="P1049" s="1" t="str">
        <f t="shared" si="1042"/>
        <v>Miami</v>
      </c>
      <c r="Q1049" s="1" t="s">
        <v>194</v>
      </c>
      <c r="R1049" s="1" t="str">
        <f t="shared" si="1043"/>
        <v>Florida</v>
      </c>
      <c r="S1049" s="1">
        <v>33142</v>
      </c>
      <c r="T1049" s="1" t="s">
        <v>33</v>
      </c>
      <c r="U1049" s="1" t="s">
        <v>388</v>
      </c>
      <c r="V1049" s="1" t="s">
        <v>35</v>
      </c>
      <c r="W1049" s="7">
        <v>102.36</v>
      </c>
      <c r="X1049" s="1">
        <v>3</v>
      </c>
      <c r="Y1049" s="7">
        <v>101.47</v>
      </c>
      <c r="Z1049" s="7">
        <f t="shared" ref="Z1049:AA1049" si="1072">W1049*X1049</f>
        <v>307.08</v>
      </c>
      <c r="AA1049" s="7">
        <f t="shared" si="1072"/>
        <v>304.40999999999997</v>
      </c>
      <c r="AB1049" s="7">
        <f t="shared" si="1045"/>
        <v>2.6700000000000159</v>
      </c>
    </row>
    <row r="1050" spans="1:28">
      <c r="A1050" s="1">
        <v>1049</v>
      </c>
      <c r="B1050" s="1" t="s">
        <v>2564</v>
      </c>
      <c r="C1050" s="2">
        <v>42151</v>
      </c>
      <c r="D1050" s="6" t="str">
        <f t="shared" si="1040"/>
        <v>May</v>
      </c>
      <c r="E1050" s="6" t="str">
        <f t="shared" si="1041"/>
        <v>Qtr 2</v>
      </c>
      <c r="F1050" s="5">
        <v>42010</v>
      </c>
      <c r="G1050" s="1" t="s">
        <v>26</v>
      </c>
      <c r="H1050" s="1" t="s">
        <v>472</v>
      </c>
      <c r="I1050" s="1" t="s">
        <v>473</v>
      </c>
      <c r="J1050" s="1" t="str">
        <f ca="1">IFERROR(__xludf.DUMMYFUNCTION("split(I1050,"" "")"),"Lena")</f>
        <v>Lena</v>
      </c>
      <c r="K1050" s="1" t="str">
        <f ca="1">IFERROR(__xludf.DUMMYFUNCTION("""COMPUTED_VALUE"""),"Creighton")</f>
        <v>Creighton</v>
      </c>
      <c r="L1050" s="1"/>
      <c r="M1050" s="1" t="s">
        <v>29</v>
      </c>
      <c r="N1050" s="1" t="s">
        <v>30</v>
      </c>
      <c r="O1050" s="1" t="s">
        <v>110</v>
      </c>
      <c r="P1050" s="1" t="str">
        <f t="shared" si="1042"/>
        <v>San Francisco</v>
      </c>
      <c r="Q1050" s="1" t="s">
        <v>68</v>
      </c>
      <c r="R1050" s="1" t="str">
        <f t="shared" si="1043"/>
        <v>California</v>
      </c>
      <c r="S1050" s="1">
        <v>94109</v>
      </c>
      <c r="T1050" s="1" t="s">
        <v>44</v>
      </c>
      <c r="U1050" s="1" t="s">
        <v>176</v>
      </c>
      <c r="V1050" s="1" t="s">
        <v>64</v>
      </c>
      <c r="W1050" s="7">
        <v>1113.5039999999999</v>
      </c>
      <c r="X1050" s="1">
        <v>9</v>
      </c>
      <c r="Y1050" s="7">
        <v>1113.45</v>
      </c>
      <c r="Z1050" s="7">
        <f t="shared" ref="Z1050:AA1050" si="1073">W1050*X1050</f>
        <v>10021.536</v>
      </c>
      <c r="AA1050" s="7">
        <f t="shared" si="1073"/>
        <v>10021.050000000001</v>
      </c>
      <c r="AB1050" s="7">
        <f t="shared" si="1045"/>
        <v>0.48599999999896681</v>
      </c>
    </row>
    <row r="1051" spans="1:28">
      <c r="A1051" s="1">
        <v>1050</v>
      </c>
      <c r="B1051" s="1" t="s">
        <v>2564</v>
      </c>
      <c r="C1051" s="2">
        <v>42151</v>
      </c>
      <c r="D1051" s="6" t="str">
        <f t="shared" si="1040"/>
        <v>May</v>
      </c>
      <c r="E1051" s="6" t="str">
        <f t="shared" si="1041"/>
        <v>Qtr 2</v>
      </c>
      <c r="F1051" s="5">
        <v>42010</v>
      </c>
      <c r="G1051" s="1" t="s">
        <v>26</v>
      </c>
      <c r="H1051" s="1" t="s">
        <v>472</v>
      </c>
      <c r="I1051" s="1" t="s">
        <v>473</v>
      </c>
      <c r="J1051" s="1" t="str">
        <f ca="1">IFERROR(__xludf.DUMMYFUNCTION("split(I1051,"" "")"),"Lena")</f>
        <v>Lena</v>
      </c>
      <c r="K1051" s="1" t="str">
        <f ca="1">IFERROR(__xludf.DUMMYFUNCTION("""COMPUTED_VALUE"""),"Creighton")</f>
        <v>Creighton</v>
      </c>
      <c r="L1051" s="1"/>
      <c r="M1051" s="1" t="s">
        <v>29</v>
      </c>
      <c r="N1051" s="1" t="s">
        <v>30</v>
      </c>
      <c r="O1051" s="1" t="s">
        <v>110</v>
      </c>
      <c r="P1051" s="1" t="str">
        <f t="shared" si="1042"/>
        <v>San Francisco</v>
      </c>
      <c r="Q1051" s="1" t="s">
        <v>68</v>
      </c>
      <c r="R1051" s="1" t="str">
        <f t="shared" si="1043"/>
        <v>California</v>
      </c>
      <c r="S1051" s="1">
        <v>94109</v>
      </c>
      <c r="T1051" s="1" t="s">
        <v>44</v>
      </c>
      <c r="U1051" s="1" t="s">
        <v>1877</v>
      </c>
      <c r="V1051" s="1" t="s">
        <v>64</v>
      </c>
      <c r="W1051" s="7">
        <v>99.99</v>
      </c>
      <c r="X1051" s="1">
        <v>9</v>
      </c>
      <c r="Y1051" s="7">
        <v>99.38</v>
      </c>
      <c r="Z1051" s="7">
        <f t="shared" ref="Z1051:AA1051" si="1074">W1051*X1051</f>
        <v>899.91</v>
      </c>
      <c r="AA1051" s="7">
        <f t="shared" si="1074"/>
        <v>894.42</v>
      </c>
      <c r="AB1051" s="7">
        <f t="shared" si="1045"/>
        <v>5.4900000000000091</v>
      </c>
    </row>
    <row r="1052" spans="1:28">
      <c r="A1052" s="1">
        <v>1051</v>
      </c>
      <c r="B1052" s="1" t="s">
        <v>2565</v>
      </c>
      <c r="C1052" s="2">
        <v>42436</v>
      </c>
      <c r="D1052" s="6" t="str">
        <f t="shared" si="1040"/>
        <v>Mar</v>
      </c>
      <c r="E1052" s="6" t="str">
        <f t="shared" si="1041"/>
        <v>Qtr 1</v>
      </c>
      <c r="F1052" s="5">
        <v>42497</v>
      </c>
      <c r="G1052" s="1" t="s">
        <v>162</v>
      </c>
      <c r="H1052" s="1" t="s">
        <v>2566</v>
      </c>
      <c r="I1052" s="1" t="s">
        <v>2567</v>
      </c>
      <c r="J1052" s="1" t="str">
        <f ca="1">IFERROR(__xludf.DUMMYFUNCTION("split(I1052,"" "")"),"Deirdre")</f>
        <v>Deirdre</v>
      </c>
      <c r="K1052" s="1" t="str">
        <f ca="1">IFERROR(__xludf.DUMMYFUNCTION("""COMPUTED_VALUE"""),"Greer")</f>
        <v>Greer</v>
      </c>
      <c r="L1052" s="1"/>
      <c r="M1052" s="1" t="s">
        <v>41</v>
      </c>
      <c r="N1052" s="1" t="s">
        <v>30</v>
      </c>
      <c r="O1052" s="1" t="s">
        <v>126</v>
      </c>
      <c r="P1052" s="1" t="str">
        <f t="shared" si="1042"/>
        <v>Philadelphia</v>
      </c>
      <c r="Q1052" s="1" t="s">
        <v>127</v>
      </c>
      <c r="R1052" s="1" t="str">
        <f t="shared" si="1043"/>
        <v>Pennsylvania</v>
      </c>
      <c r="S1052" s="1">
        <v>19134</v>
      </c>
      <c r="T1052" s="1" t="s">
        <v>128</v>
      </c>
      <c r="U1052" s="1" t="s">
        <v>2568</v>
      </c>
      <c r="V1052" s="1" t="s">
        <v>35</v>
      </c>
      <c r="W1052" s="7">
        <v>168.464</v>
      </c>
      <c r="X1052" s="1">
        <v>1</v>
      </c>
      <c r="Y1052" s="7">
        <v>168.38</v>
      </c>
      <c r="Z1052" s="7">
        <f t="shared" ref="Z1052:AA1052" si="1075">W1052*X1052</f>
        <v>168.464</v>
      </c>
      <c r="AA1052" s="7">
        <f t="shared" si="1075"/>
        <v>168.38</v>
      </c>
      <c r="AB1052" s="7">
        <f t="shared" si="1045"/>
        <v>8.4000000000003183E-2</v>
      </c>
    </row>
    <row r="1053" spans="1:28">
      <c r="A1053" s="1">
        <v>1052</v>
      </c>
      <c r="B1053" s="1" t="s">
        <v>2565</v>
      </c>
      <c r="C1053" s="2">
        <v>42436</v>
      </c>
      <c r="D1053" s="6" t="str">
        <f t="shared" si="1040"/>
        <v>Mar</v>
      </c>
      <c r="E1053" s="6" t="str">
        <f t="shared" si="1041"/>
        <v>Qtr 1</v>
      </c>
      <c r="F1053" s="5">
        <v>42497</v>
      </c>
      <c r="G1053" s="1" t="s">
        <v>162</v>
      </c>
      <c r="H1053" s="1" t="s">
        <v>2566</v>
      </c>
      <c r="I1053" s="1" t="s">
        <v>2567</v>
      </c>
      <c r="J1053" s="1" t="str">
        <f ca="1">IFERROR(__xludf.DUMMYFUNCTION("split(I1053,"" "")"),"Deirdre")</f>
        <v>Deirdre</v>
      </c>
      <c r="K1053" s="1" t="str">
        <f ca="1">IFERROR(__xludf.DUMMYFUNCTION("""COMPUTED_VALUE"""),"Greer")</f>
        <v>Greer</v>
      </c>
      <c r="L1053" s="1"/>
      <c r="M1053" s="1" t="s">
        <v>41</v>
      </c>
      <c r="N1053" s="1" t="s">
        <v>30</v>
      </c>
      <c r="O1053" s="1" t="s">
        <v>126</v>
      </c>
      <c r="P1053" s="1" t="str">
        <f t="shared" si="1042"/>
        <v>Philadelphia</v>
      </c>
      <c r="Q1053" s="1" t="s">
        <v>127</v>
      </c>
      <c r="R1053" s="1" t="str">
        <f t="shared" si="1043"/>
        <v>Pennsylvania</v>
      </c>
      <c r="S1053" s="1">
        <v>19134</v>
      </c>
      <c r="T1053" s="1" t="s">
        <v>128</v>
      </c>
      <c r="U1053" s="1" t="s">
        <v>2569</v>
      </c>
      <c r="V1053" s="1" t="s">
        <v>46</v>
      </c>
      <c r="W1053" s="7">
        <v>6.72</v>
      </c>
      <c r="X1053" s="1">
        <v>1</v>
      </c>
      <c r="Y1053" s="7">
        <v>6.39</v>
      </c>
      <c r="Z1053" s="7">
        <f t="shared" ref="Z1053:AA1053" si="1076">W1053*X1053</f>
        <v>6.72</v>
      </c>
      <c r="AA1053" s="7">
        <f t="shared" si="1076"/>
        <v>6.39</v>
      </c>
      <c r="AB1053" s="7">
        <f t="shared" si="1045"/>
        <v>0.33000000000000007</v>
      </c>
    </row>
    <row r="1054" spans="1:28">
      <c r="A1054" s="1">
        <v>1053</v>
      </c>
      <c r="B1054" s="1" t="s">
        <v>2565</v>
      </c>
      <c r="C1054" s="2">
        <v>42436</v>
      </c>
      <c r="D1054" s="6" t="str">
        <f t="shared" si="1040"/>
        <v>Mar</v>
      </c>
      <c r="E1054" s="6" t="str">
        <f t="shared" si="1041"/>
        <v>Qtr 1</v>
      </c>
      <c r="F1054" s="5">
        <v>42497</v>
      </c>
      <c r="G1054" s="1" t="s">
        <v>162</v>
      </c>
      <c r="H1054" s="1" t="s">
        <v>2566</v>
      </c>
      <c r="I1054" s="1" t="s">
        <v>2567</v>
      </c>
      <c r="J1054" s="1" t="str">
        <f ca="1">IFERROR(__xludf.DUMMYFUNCTION("split(I1054,"" "")"),"Deirdre")</f>
        <v>Deirdre</v>
      </c>
      <c r="K1054" s="1" t="str">
        <f ca="1">IFERROR(__xludf.DUMMYFUNCTION("""COMPUTED_VALUE"""),"Greer")</f>
        <v>Greer</v>
      </c>
      <c r="L1054" s="1"/>
      <c r="M1054" s="1" t="s">
        <v>41</v>
      </c>
      <c r="N1054" s="1" t="s">
        <v>30</v>
      </c>
      <c r="O1054" s="1" t="s">
        <v>126</v>
      </c>
      <c r="P1054" s="1" t="str">
        <f t="shared" si="1042"/>
        <v>Philadelphia</v>
      </c>
      <c r="Q1054" s="1" t="s">
        <v>127</v>
      </c>
      <c r="R1054" s="1" t="str">
        <f t="shared" si="1043"/>
        <v>Pennsylvania</v>
      </c>
      <c r="S1054" s="1">
        <v>19134</v>
      </c>
      <c r="T1054" s="1" t="s">
        <v>128</v>
      </c>
      <c r="U1054" s="1" t="s">
        <v>2570</v>
      </c>
      <c r="V1054" s="1" t="s">
        <v>35</v>
      </c>
      <c r="W1054" s="7">
        <v>282.88799999999998</v>
      </c>
      <c r="X1054" s="1">
        <v>1</v>
      </c>
      <c r="Y1054" s="7">
        <v>282.12</v>
      </c>
      <c r="Z1054" s="7">
        <f t="shared" ref="Z1054:AA1054" si="1077">W1054*X1054</f>
        <v>282.88799999999998</v>
      </c>
      <c r="AA1054" s="7">
        <f t="shared" si="1077"/>
        <v>282.12</v>
      </c>
      <c r="AB1054" s="7">
        <f t="shared" si="1045"/>
        <v>0.76799999999997226</v>
      </c>
    </row>
    <row r="1055" spans="1:28">
      <c r="A1055" s="1">
        <v>1054</v>
      </c>
      <c r="B1055" s="1" t="s">
        <v>2571</v>
      </c>
      <c r="C1055" s="2">
        <v>42464</v>
      </c>
      <c r="D1055" s="6" t="str">
        <f t="shared" si="1040"/>
        <v>Apr</v>
      </c>
      <c r="E1055" s="6" t="str">
        <f t="shared" si="1041"/>
        <v>Qtr 2</v>
      </c>
      <c r="F1055" s="5">
        <v>42586</v>
      </c>
      <c r="G1055" s="1" t="s">
        <v>49</v>
      </c>
      <c r="H1055" s="1" t="s">
        <v>2572</v>
      </c>
      <c r="I1055" s="1" t="s">
        <v>2573</v>
      </c>
      <c r="J1055" s="1" t="str">
        <f ca="1">IFERROR(__xludf.DUMMYFUNCTION("split(I1055,"" "")"),"Nicole")</f>
        <v>Nicole</v>
      </c>
      <c r="K1055" s="1" t="str">
        <f ca="1">IFERROR(__xludf.DUMMYFUNCTION("""COMPUTED_VALUE"""),"Fjeld")</f>
        <v>Fjeld</v>
      </c>
      <c r="L1055" s="1"/>
      <c r="M1055" s="1" t="s">
        <v>87</v>
      </c>
      <c r="N1055" s="1" t="s">
        <v>30</v>
      </c>
      <c r="O1055" s="1" t="s">
        <v>233</v>
      </c>
      <c r="P1055" s="1" t="str">
        <f t="shared" si="1042"/>
        <v>New York City</v>
      </c>
      <c r="Q1055" s="1" t="s">
        <v>234</v>
      </c>
      <c r="R1055" s="1" t="str">
        <f t="shared" si="1043"/>
        <v>New York</v>
      </c>
      <c r="S1055" s="1">
        <v>10009</v>
      </c>
      <c r="T1055" s="1" t="s">
        <v>128</v>
      </c>
      <c r="U1055" s="1" t="s">
        <v>2574</v>
      </c>
      <c r="V1055" s="1" t="s">
        <v>46</v>
      </c>
      <c r="W1055" s="7">
        <v>11.16</v>
      </c>
      <c r="X1055" s="1">
        <v>1</v>
      </c>
      <c r="Y1055" s="7">
        <v>10.72</v>
      </c>
      <c r="Z1055" s="7">
        <f t="shared" ref="Z1055:AA1055" si="1078">W1055*X1055</f>
        <v>11.16</v>
      </c>
      <c r="AA1055" s="7">
        <f t="shared" si="1078"/>
        <v>10.72</v>
      </c>
      <c r="AB1055" s="7">
        <f t="shared" si="1045"/>
        <v>0.4399999999999995</v>
      </c>
    </row>
    <row r="1056" spans="1:28">
      <c r="A1056" s="1">
        <v>1055</v>
      </c>
      <c r="B1056" s="1" t="s">
        <v>2571</v>
      </c>
      <c r="C1056" s="2">
        <v>42464</v>
      </c>
      <c r="D1056" s="6" t="str">
        <f t="shared" si="1040"/>
        <v>Apr</v>
      </c>
      <c r="E1056" s="6" t="str">
        <f t="shared" si="1041"/>
        <v>Qtr 2</v>
      </c>
      <c r="F1056" s="5">
        <v>42586</v>
      </c>
      <c r="G1056" s="1" t="s">
        <v>49</v>
      </c>
      <c r="H1056" s="1" t="s">
        <v>2572</v>
      </c>
      <c r="I1056" s="1" t="s">
        <v>2573</v>
      </c>
      <c r="J1056" s="1" t="str">
        <f ca="1">IFERROR(__xludf.DUMMYFUNCTION("split(I1056,"" "")"),"Nicole")</f>
        <v>Nicole</v>
      </c>
      <c r="K1056" s="1" t="str">
        <f ca="1">IFERROR(__xludf.DUMMYFUNCTION("""COMPUTED_VALUE"""),"Fjeld")</f>
        <v>Fjeld</v>
      </c>
      <c r="L1056" s="1"/>
      <c r="M1056" s="1" t="s">
        <v>87</v>
      </c>
      <c r="N1056" s="1" t="s">
        <v>30</v>
      </c>
      <c r="O1056" s="1" t="s">
        <v>233</v>
      </c>
      <c r="P1056" s="1" t="str">
        <f t="shared" si="1042"/>
        <v>New York City</v>
      </c>
      <c r="Q1056" s="1" t="s">
        <v>234</v>
      </c>
      <c r="R1056" s="1" t="str">
        <f t="shared" si="1043"/>
        <v>New York</v>
      </c>
      <c r="S1056" s="1">
        <v>10009</v>
      </c>
      <c r="T1056" s="1" t="s">
        <v>128</v>
      </c>
      <c r="U1056" s="1" t="s">
        <v>2575</v>
      </c>
      <c r="V1056" s="1" t="s">
        <v>35</v>
      </c>
      <c r="W1056" s="7">
        <v>108.4</v>
      </c>
      <c r="X1056" s="1">
        <v>1</v>
      </c>
      <c r="Y1056" s="7">
        <v>107.97</v>
      </c>
      <c r="Z1056" s="7">
        <f t="shared" ref="Z1056:AA1056" si="1079">W1056*X1056</f>
        <v>108.4</v>
      </c>
      <c r="AA1056" s="7">
        <f t="shared" si="1079"/>
        <v>107.97</v>
      </c>
      <c r="AB1056" s="7">
        <f t="shared" si="1045"/>
        <v>0.43000000000000682</v>
      </c>
    </row>
    <row r="1057" spans="1:28">
      <c r="A1057" s="1">
        <v>1056</v>
      </c>
      <c r="B1057" s="1" t="s">
        <v>2571</v>
      </c>
      <c r="C1057" s="2">
        <v>42464</v>
      </c>
      <c r="D1057" s="6" t="str">
        <f t="shared" si="1040"/>
        <v>Apr</v>
      </c>
      <c r="E1057" s="6" t="str">
        <f t="shared" si="1041"/>
        <v>Qtr 2</v>
      </c>
      <c r="F1057" s="5">
        <v>42586</v>
      </c>
      <c r="G1057" s="1" t="s">
        <v>49</v>
      </c>
      <c r="H1057" s="1" t="s">
        <v>2572</v>
      </c>
      <c r="I1057" s="1" t="s">
        <v>2573</v>
      </c>
      <c r="J1057" s="1" t="str">
        <f ca="1">IFERROR(__xludf.DUMMYFUNCTION("split(I1057,"" "")"),"Nicole")</f>
        <v>Nicole</v>
      </c>
      <c r="K1057" s="1" t="str">
        <f ca="1">IFERROR(__xludf.DUMMYFUNCTION("""COMPUTED_VALUE"""),"Fjeld")</f>
        <v>Fjeld</v>
      </c>
      <c r="L1057" s="1"/>
      <c r="M1057" s="1" t="s">
        <v>87</v>
      </c>
      <c r="N1057" s="1" t="s">
        <v>30</v>
      </c>
      <c r="O1057" s="1" t="s">
        <v>233</v>
      </c>
      <c r="P1057" s="1" t="str">
        <f t="shared" si="1042"/>
        <v>New York City</v>
      </c>
      <c r="Q1057" s="1" t="s">
        <v>234</v>
      </c>
      <c r="R1057" s="1" t="str">
        <f t="shared" si="1043"/>
        <v>New York</v>
      </c>
      <c r="S1057" s="1">
        <v>10009</v>
      </c>
      <c r="T1057" s="1" t="s">
        <v>128</v>
      </c>
      <c r="U1057" s="1" t="s">
        <v>513</v>
      </c>
      <c r="V1057" s="1" t="s">
        <v>46</v>
      </c>
      <c r="W1057" s="7">
        <v>82.343999999999994</v>
      </c>
      <c r="X1057" s="1">
        <v>1</v>
      </c>
      <c r="Y1057" s="7">
        <v>82.25</v>
      </c>
      <c r="Z1057" s="7">
        <f t="shared" ref="Z1057:AA1057" si="1080">W1057*X1057</f>
        <v>82.343999999999994</v>
      </c>
      <c r="AA1057" s="7">
        <f t="shared" si="1080"/>
        <v>82.25</v>
      </c>
      <c r="AB1057" s="7">
        <f t="shared" si="1045"/>
        <v>9.3999999999994088E-2</v>
      </c>
    </row>
    <row r="1058" spans="1:28">
      <c r="A1058" s="1">
        <v>1057</v>
      </c>
      <c r="B1058" s="1" t="s">
        <v>2571</v>
      </c>
      <c r="C1058" s="2">
        <v>42464</v>
      </c>
      <c r="D1058" s="6" t="str">
        <f t="shared" si="1040"/>
        <v>Apr</v>
      </c>
      <c r="E1058" s="6" t="str">
        <f t="shared" si="1041"/>
        <v>Qtr 2</v>
      </c>
      <c r="F1058" s="5">
        <v>42586</v>
      </c>
      <c r="G1058" s="1" t="s">
        <v>49</v>
      </c>
      <c r="H1058" s="1" t="s">
        <v>2572</v>
      </c>
      <c r="I1058" s="1" t="s">
        <v>2573</v>
      </c>
      <c r="J1058" s="1" t="str">
        <f ca="1">IFERROR(__xludf.DUMMYFUNCTION("split(I1058,"" "")"),"Nicole")</f>
        <v>Nicole</v>
      </c>
      <c r="K1058" s="1" t="str">
        <f ca="1">IFERROR(__xludf.DUMMYFUNCTION("""COMPUTED_VALUE"""),"Fjeld")</f>
        <v>Fjeld</v>
      </c>
      <c r="L1058" s="1"/>
      <c r="M1058" s="1" t="s">
        <v>87</v>
      </c>
      <c r="N1058" s="1" t="s">
        <v>30</v>
      </c>
      <c r="O1058" s="1" t="s">
        <v>233</v>
      </c>
      <c r="P1058" s="1" t="str">
        <f t="shared" si="1042"/>
        <v>New York City</v>
      </c>
      <c r="Q1058" s="1" t="s">
        <v>234</v>
      </c>
      <c r="R1058" s="1" t="str">
        <f t="shared" si="1043"/>
        <v>New York</v>
      </c>
      <c r="S1058" s="1">
        <v>10009</v>
      </c>
      <c r="T1058" s="1" t="s">
        <v>128</v>
      </c>
      <c r="U1058" s="1" t="s">
        <v>2576</v>
      </c>
      <c r="V1058" s="1" t="s">
        <v>46</v>
      </c>
      <c r="W1058" s="7">
        <v>9.0879999999999992</v>
      </c>
      <c r="X1058" s="1">
        <v>1</v>
      </c>
      <c r="Y1058" s="7">
        <v>8.58</v>
      </c>
      <c r="Z1058" s="7">
        <f t="shared" ref="Z1058:AA1058" si="1081">W1058*X1058</f>
        <v>9.0879999999999992</v>
      </c>
      <c r="AA1058" s="7">
        <f t="shared" si="1081"/>
        <v>8.58</v>
      </c>
      <c r="AB1058" s="7">
        <f t="shared" si="1045"/>
        <v>0.50799999999999912</v>
      </c>
    </row>
    <row r="1059" spans="1:28">
      <c r="A1059" s="1">
        <v>1058</v>
      </c>
      <c r="B1059" s="1" t="s">
        <v>2577</v>
      </c>
      <c r="C1059" s="2">
        <v>43385</v>
      </c>
      <c r="D1059" s="6" t="str">
        <f t="shared" si="1040"/>
        <v>Oct</v>
      </c>
      <c r="E1059" s="6" t="str">
        <f t="shared" si="1041"/>
        <v>Qtr 4</v>
      </c>
      <c r="F1059" s="5" t="s">
        <v>2578</v>
      </c>
      <c r="G1059" s="1" t="s">
        <v>49</v>
      </c>
      <c r="H1059" s="1" t="s">
        <v>921</v>
      </c>
      <c r="I1059" s="1" t="s">
        <v>922</v>
      </c>
      <c r="J1059" s="1" t="str">
        <f ca="1">IFERROR(__xludf.DUMMYFUNCTION("split(I1059,"" "")"),"Ben")</f>
        <v>Ben</v>
      </c>
      <c r="K1059" s="1" t="str">
        <f ca="1">IFERROR(__xludf.DUMMYFUNCTION("""COMPUTED_VALUE"""),"Peterman")</f>
        <v>Peterman</v>
      </c>
      <c r="L1059" s="1"/>
      <c r="M1059" s="1" t="s">
        <v>41</v>
      </c>
      <c r="N1059" s="1" t="s">
        <v>30</v>
      </c>
      <c r="O1059" s="1" t="s">
        <v>778</v>
      </c>
      <c r="P1059" s="1" t="str">
        <f t="shared" si="1042"/>
        <v>San Diego</v>
      </c>
      <c r="Q1059" s="1" t="s">
        <v>68</v>
      </c>
      <c r="R1059" s="1" t="str">
        <f t="shared" si="1043"/>
        <v>California</v>
      </c>
      <c r="S1059" s="1">
        <v>92037</v>
      </c>
      <c r="T1059" s="1" t="s">
        <v>44</v>
      </c>
      <c r="U1059" s="1" t="s">
        <v>2579</v>
      </c>
      <c r="V1059" s="1" t="s">
        <v>46</v>
      </c>
      <c r="W1059" s="7">
        <v>19.936</v>
      </c>
      <c r="X1059" s="1">
        <v>9</v>
      </c>
      <c r="Y1059" s="7">
        <v>19.71</v>
      </c>
      <c r="Z1059" s="7">
        <f t="shared" ref="Z1059:AA1059" si="1082">W1059*X1059</f>
        <v>179.42400000000001</v>
      </c>
      <c r="AA1059" s="7">
        <f t="shared" si="1082"/>
        <v>177.39000000000001</v>
      </c>
      <c r="AB1059" s="7">
        <f t="shared" si="1045"/>
        <v>2.0339999999999918</v>
      </c>
    </row>
    <row r="1060" spans="1:28">
      <c r="A1060" s="1">
        <v>1059</v>
      </c>
      <c r="B1060" s="1" t="s">
        <v>2577</v>
      </c>
      <c r="C1060" s="2">
        <v>43385</v>
      </c>
      <c r="D1060" s="6" t="str">
        <f t="shared" si="1040"/>
        <v>Oct</v>
      </c>
      <c r="E1060" s="6" t="str">
        <f t="shared" si="1041"/>
        <v>Qtr 4</v>
      </c>
      <c r="F1060" s="5" t="s">
        <v>2578</v>
      </c>
      <c r="G1060" s="1" t="s">
        <v>49</v>
      </c>
      <c r="H1060" s="1" t="s">
        <v>921</v>
      </c>
      <c r="I1060" s="1" t="s">
        <v>922</v>
      </c>
      <c r="J1060" s="1" t="str">
        <f ca="1">IFERROR(__xludf.DUMMYFUNCTION("split(I1060,"" "")"),"Ben")</f>
        <v>Ben</v>
      </c>
      <c r="K1060" s="1" t="str">
        <f ca="1">IFERROR(__xludf.DUMMYFUNCTION("""COMPUTED_VALUE"""),"Peterman")</f>
        <v>Peterman</v>
      </c>
      <c r="L1060" s="1"/>
      <c r="M1060" s="1" t="s">
        <v>41</v>
      </c>
      <c r="N1060" s="1" t="s">
        <v>30</v>
      </c>
      <c r="O1060" s="1" t="s">
        <v>778</v>
      </c>
      <c r="P1060" s="1" t="str">
        <f t="shared" si="1042"/>
        <v>San Diego</v>
      </c>
      <c r="Q1060" s="1" t="s">
        <v>68</v>
      </c>
      <c r="R1060" s="1" t="str">
        <f t="shared" si="1043"/>
        <v>California</v>
      </c>
      <c r="S1060" s="1">
        <v>92037</v>
      </c>
      <c r="T1060" s="1" t="s">
        <v>44</v>
      </c>
      <c r="U1060" s="1" t="s">
        <v>2580</v>
      </c>
      <c r="V1060" s="1" t="s">
        <v>46</v>
      </c>
      <c r="W1060" s="7">
        <v>65.567999999999998</v>
      </c>
      <c r="X1060" s="1">
        <v>9</v>
      </c>
      <c r="Y1060" s="7">
        <v>65.56</v>
      </c>
      <c r="Z1060" s="7">
        <f t="shared" ref="Z1060:AA1060" si="1083">W1060*X1060</f>
        <v>590.11199999999997</v>
      </c>
      <c r="AA1060" s="7">
        <f t="shared" si="1083"/>
        <v>590.04</v>
      </c>
      <c r="AB1060" s="7">
        <f t="shared" si="1045"/>
        <v>7.2000000000002728E-2</v>
      </c>
    </row>
    <row r="1061" spans="1:28">
      <c r="A1061" s="1">
        <v>1060</v>
      </c>
      <c r="B1061" s="1" t="s">
        <v>2581</v>
      </c>
      <c r="C1061" s="2">
        <v>43063</v>
      </c>
      <c r="D1061" s="6" t="str">
        <f t="shared" si="1040"/>
        <v>Nov</v>
      </c>
      <c r="E1061" s="6" t="str">
        <f t="shared" si="1041"/>
        <v>Qtr 4</v>
      </c>
      <c r="F1061" s="5">
        <v>42747</v>
      </c>
      <c r="G1061" s="1" t="s">
        <v>49</v>
      </c>
      <c r="H1061" s="1" t="s">
        <v>2582</v>
      </c>
      <c r="I1061" s="1" t="s">
        <v>2583</v>
      </c>
      <c r="J1061" s="1" t="str">
        <f ca="1">IFERROR(__xludf.DUMMYFUNCTION("split(I1061,"" "")"),"Matthew")</f>
        <v>Matthew</v>
      </c>
      <c r="K1061" s="1" t="str">
        <f ca="1">IFERROR(__xludf.DUMMYFUNCTION("""COMPUTED_VALUE"""),"Grinstein")</f>
        <v>Grinstein</v>
      </c>
      <c r="L1061" s="1"/>
      <c r="M1061" s="1" t="s">
        <v>87</v>
      </c>
      <c r="N1061" s="1" t="s">
        <v>30</v>
      </c>
      <c r="O1061" s="1" t="s">
        <v>126</v>
      </c>
      <c r="P1061" s="1" t="str">
        <f t="shared" si="1042"/>
        <v>Philadelphia</v>
      </c>
      <c r="Q1061" s="1" t="s">
        <v>127</v>
      </c>
      <c r="R1061" s="1" t="str">
        <f t="shared" si="1043"/>
        <v>Pennsylvania</v>
      </c>
      <c r="S1061" s="1">
        <v>19143</v>
      </c>
      <c r="T1061" s="1" t="s">
        <v>128</v>
      </c>
      <c r="U1061" s="1" t="s">
        <v>2584</v>
      </c>
      <c r="V1061" s="1" t="s">
        <v>46</v>
      </c>
      <c r="W1061" s="7">
        <v>4.4160000000000004</v>
      </c>
      <c r="X1061" s="1">
        <v>1</v>
      </c>
      <c r="Y1061" s="7">
        <v>3.72</v>
      </c>
      <c r="Z1061" s="7">
        <f t="shared" ref="Z1061:AA1061" si="1084">W1061*X1061</f>
        <v>4.4160000000000004</v>
      </c>
      <c r="AA1061" s="7">
        <f t="shared" si="1084"/>
        <v>3.72</v>
      </c>
      <c r="AB1061" s="7">
        <f t="shared" si="1045"/>
        <v>0.69600000000000017</v>
      </c>
    </row>
    <row r="1062" spans="1:28">
      <c r="A1062" s="1">
        <v>1061</v>
      </c>
      <c r="B1062" s="1" t="s">
        <v>2585</v>
      </c>
      <c r="C1062" s="2">
        <v>42452</v>
      </c>
      <c r="D1062" s="6" t="str">
        <f t="shared" si="1040"/>
        <v>Mar</v>
      </c>
      <c r="E1062" s="6" t="str">
        <f t="shared" si="1041"/>
        <v>Qtr 1</v>
      </c>
      <c r="F1062" s="5" t="s">
        <v>2586</v>
      </c>
      <c r="G1062" s="1" t="s">
        <v>49</v>
      </c>
      <c r="H1062" s="1" t="s">
        <v>1046</v>
      </c>
      <c r="I1062" s="1" t="s">
        <v>1047</v>
      </c>
      <c r="J1062" s="1" t="str">
        <f ca="1">IFERROR(__xludf.DUMMYFUNCTION("split(I1062,"" "")"),"Julia")</f>
        <v>Julia</v>
      </c>
      <c r="K1062" s="1" t="str">
        <f ca="1">IFERROR(__xludf.DUMMYFUNCTION("""COMPUTED_VALUE"""),"Dunbar")</f>
        <v>Dunbar</v>
      </c>
      <c r="L1062" s="1"/>
      <c r="M1062" s="1" t="s">
        <v>29</v>
      </c>
      <c r="N1062" s="1" t="s">
        <v>30</v>
      </c>
      <c r="O1062" s="1" t="s">
        <v>172</v>
      </c>
      <c r="P1062" s="1" t="str">
        <f t="shared" si="1042"/>
        <v>Houston</v>
      </c>
      <c r="Q1062" s="1" t="s">
        <v>89</v>
      </c>
      <c r="R1062" s="1" t="str">
        <f t="shared" si="1043"/>
        <v>Texas</v>
      </c>
      <c r="S1062" s="1">
        <v>77095</v>
      </c>
      <c r="T1062" s="1" t="s">
        <v>90</v>
      </c>
      <c r="U1062" s="1" t="s">
        <v>1256</v>
      </c>
      <c r="V1062" s="1" t="s">
        <v>35</v>
      </c>
      <c r="W1062" s="7">
        <v>107.77200000000001</v>
      </c>
      <c r="X1062" s="1">
        <v>7</v>
      </c>
      <c r="Y1062" s="7">
        <v>107.11</v>
      </c>
      <c r="Z1062" s="7">
        <f t="shared" ref="Z1062:AA1062" si="1085">W1062*X1062</f>
        <v>754.404</v>
      </c>
      <c r="AA1062" s="7">
        <f t="shared" si="1085"/>
        <v>749.77</v>
      </c>
      <c r="AB1062" s="7">
        <f t="shared" si="1045"/>
        <v>4.6340000000000146</v>
      </c>
    </row>
    <row r="1063" spans="1:28">
      <c r="A1063" s="1">
        <v>1062</v>
      </c>
      <c r="B1063" s="1" t="s">
        <v>2587</v>
      </c>
      <c r="C1063" s="2">
        <v>42476</v>
      </c>
      <c r="D1063" s="6" t="str">
        <f t="shared" si="1040"/>
        <v>Apr</v>
      </c>
      <c r="E1063" s="6" t="str">
        <f t="shared" si="1041"/>
        <v>Qtr 2</v>
      </c>
      <c r="F1063" s="5" t="s">
        <v>2588</v>
      </c>
      <c r="G1063" s="1" t="s">
        <v>49</v>
      </c>
      <c r="H1063" s="1" t="s">
        <v>2589</v>
      </c>
      <c r="I1063" s="1" t="s">
        <v>2590</v>
      </c>
      <c r="J1063" s="1" t="str">
        <f ca="1">IFERROR(__xludf.DUMMYFUNCTION("split(I1063,"" "")"),"Theresa")</f>
        <v>Theresa</v>
      </c>
      <c r="K1063" s="1" t="str">
        <f ca="1">IFERROR(__xludf.DUMMYFUNCTION("""COMPUTED_VALUE"""),"Swint")</f>
        <v>Swint</v>
      </c>
      <c r="L1063" s="1"/>
      <c r="M1063" s="1" t="s">
        <v>41</v>
      </c>
      <c r="N1063" s="1" t="s">
        <v>30</v>
      </c>
      <c r="O1063" s="1" t="s">
        <v>2333</v>
      </c>
      <c r="P1063" s="1" t="str">
        <f t="shared" si="1042"/>
        <v>Toledo</v>
      </c>
      <c r="Q1063" s="1" t="s">
        <v>421</v>
      </c>
      <c r="R1063" s="1" t="str">
        <f t="shared" si="1043"/>
        <v>Ohio</v>
      </c>
      <c r="S1063" s="1">
        <v>43615</v>
      </c>
      <c r="T1063" s="1" t="s">
        <v>128</v>
      </c>
      <c r="U1063" s="1" t="s">
        <v>1744</v>
      </c>
      <c r="V1063" s="1" t="s">
        <v>46</v>
      </c>
      <c r="W1063" s="7">
        <v>45.216000000000001</v>
      </c>
      <c r="X1063" s="1">
        <v>4</v>
      </c>
      <c r="Y1063" s="7">
        <v>44.86</v>
      </c>
      <c r="Z1063" s="7">
        <f t="shared" ref="Z1063:AA1063" si="1086">W1063*X1063</f>
        <v>180.864</v>
      </c>
      <c r="AA1063" s="7">
        <f t="shared" si="1086"/>
        <v>179.44</v>
      </c>
      <c r="AB1063" s="7">
        <f t="shared" si="1045"/>
        <v>1.4240000000000066</v>
      </c>
    </row>
    <row r="1064" spans="1:28">
      <c r="A1064" s="1">
        <v>1063</v>
      </c>
      <c r="B1064" s="1" t="s">
        <v>2587</v>
      </c>
      <c r="C1064" s="2">
        <v>42476</v>
      </c>
      <c r="D1064" s="6" t="str">
        <f t="shared" si="1040"/>
        <v>Apr</v>
      </c>
      <c r="E1064" s="6" t="str">
        <f t="shared" si="1041"/>
        <v>Qtr 2</v>
      </c>
      <c r="F1064" s="5" t="s">
        <v>2588</v>
      </c>
      <c r="G1064" s="1" t="s">
        <v>49</v>
      </c>
      <c r="H1064" s="1" t="s">
        <v>2589</v>
      </c>
      <c r="I1064" s="1" t="s">
        <v>2590</v>
      </c>
      <c r="J1064" s="1" t="str">
        <f ca="1">IFERROR(__xludf.DUMMYFUNCTION("split(I1064,"" "")"),"Theresa")</f>
        <v>Theresa</v>
      </c>
      <c r="K1064" s="1" t="str">
        <f ca="1">IFERROR(__xludf.DUMMYFUNCTION("""COMPUTED_VALUE"""),"Swint")</f>
        <v>Swint</v>
      </c>
      <c r="L1064" s="1"/>
      <c r="M1064" s="1" t="s">
        <v>41</v>
      </c>
      <c r="N1064" s="1" t="s">
        <v>30</v>
      </c>
      <c r="O1064" s="1" t="s">
        <v>2333</v>
      </c>
      <c r="P1064" s="1" t="str">
        <f t="shared" si="1042"/>
        <v>Toledo</v>
      </c>
      <c r="Q1064" s="1" t="s">
        <v>421</v>
      </c>
      <c r="R1064" s="1" t="str">
        <f t="shared" si="1043"/>
        <v>Ohio</v>
      </c>
      <c r="S1064" s="1">
        <v>43615</v>
      </c>
      <c r="T1064" s="1" t="s">
        <v>128</v>
      </c>
      <c r="U1064" s="1" t="s">
        <v>2591</v>
      </c>
      <c r="V1064" s="1" t="s">
        <v>46</v>
      </c>
      <c r="W1064" s="7">
        <v>10.416</v>
      </c>
      <c r="X1064" s="1">
        <v>4</v>
      </c>
      <c r="Y1064" s="7">
        <v>10.07</v>
      </c>
      <c r="Z1064" s="7">
        <f t="shared" ref="Z1064:AA1064" si="1087">W1064*X1064</f>
        <v>41.664000000000001</v>
      </c>
      <c r="AA1064" s="7">
        <f t="shared" si="1087"/>
        <v>40.28</v>
      </c>
      <c r="AB1064" s="7">
        <f t="shared" si="1045"/>
        <v>1.3840000000000003</v>
      </c>
    </row>
    <row r="1065" spans="1:28">
      <c r="A1065" s="1">
        <v>1064</v>
      </c>
      <c r="B1065" s="1" t="s">
        <v>2587</v>
      </c>
      <c r="C1065" s="2">
        <v>42476</v>
      </c>
      <c r="D1065" s="6" t="str">
        <f t="shared" si="1040"/>
        <v>Apr</v>
      </c>
      <c r="E1065" s="6" t="str">
        <f t="shared" si="1041"/>
        <v>Qtr 2</v>
      </c>
      <c r="F1065" s="5" t="s">
        <v>2588</v>
      </c>
      <c r="G1065" s="1" t="s">
        <v>49</v>
      </c>
      <c r="H1065" s="1" t="s">
        <v>2589</v>
      </c>
      <c r="I1065" s="1" t="s">
        <v>2590</v>
      </c>
      <c r="J1065" s="1" t="str">
        <f ca="1">IFERROR(__xludf.DUMMYFUNCTION("split(I1065,"" "")"),"Theresa")</f>
        <v>Theresa</v>
      </c>
      <c r="K1065" s="1" t="str">
        <f ca="1">IFERROR(__xludf.DUMMYFUNCTION("""COMPUTED_VALUE"""),"Swint")</f>
        <v>Swint</v>
      </c>
      <c r="L1065" s="1"/>
      <c r="M1065" s="1" t="s">
        <v>41</v>
      </c>
      <c r="N1065" s="1" t="s">
        <v>30</v>
      </c>
      <c r="O1065" s="1" t="s">
        <v>2333</v>
      </c>
      <c r="P1065" s="1" t="str">
        <f t="shared" si="1042"/>
        <v>Toledo</v>
      </c>
      <c r="Q1065" s="1" t="s">
        <v>421</v>
      </c>
      <c r="R1065" s="1" t="str">
        <f t="shared" si="1043"/>
        <v>Ohio</v>
      </c>
      <c r="S1065" s="1">
        <v>43615</v>
      </c>
      <c r="T1065" s="1" t="s">
        <v>128</v>
      </c>
      <c r="U1065" s="1" t="s">
        <v>1112</v>
      </c>
      <c r="V1065" s="1" t="s">
        <v>46</v>
      </c>
      <c r="W1065" s="7">
        <v>7.8719999999999999</v>
      </c>
      <c r="X1065" s="1">
        <v>4</v>
      </c>
      <c r="Y1065" s="7">
        <v>6.89</v>
      </c>
      <c r="Z1065" s="7">
        <f t="shared" ref="Z1065:AA1065" si="1088">W1065*X1065</f>
        <v>31.488</v>
      </c>
      <c r="AA1065" s="7">
        <f t="shared" si="1088"/>
        <v>27.56</v>
      </c>
      <c r="AB1065" s="7">
        <f t="shared" si="1045"/>
        <v>3.9280000000000008</v>
      </c>
    </row>
    <row r="1066" spans="1:28">
      <c r="A1066" s="1">
        <v>1065</v>
      </c>
      <c r="B1066" s="1" t="s">
        <v>2587</v>
      </c>
      <c r="C1066" s="2">
        <v>42476</v>
      </c>
      <c r="D1066" s="6" t="str">
        <f t="shared" si="1040"/>
        <v>Apr</v>
      </c>
      <c r="E1066" s="6" t="str">
        <f t="shared" si="1041"/>
        <v>Qtr 2</v>
      </c>
      <c r="F1066" s="5" t="s">
        <v>2588</v>
      </c>
      <c r="G1066" s="1" t="s">
        <v>49</v>
      </c>
      <c r="H1066" s="1" t="s">
        <v>2589</v>
      </c>
      <c r="I1066" s="1" t="s">
        <v>2590</v>
      </c>
      <c r="J1066" s="1" t="str">
        <f ca="1">IFERROR(__xludf.DUMMYFUNCTION("split(I1066,"" "")"),"Theresa")</f>
        <v>Theresa</v>
      </c>
      <c r="K1066" s="1" t="str">
        <f ca="1">IFERROR(__xludf.DUMMYFUNCTION("""COMPUTED_VALUE"""),"Swint")</f>
        <v>Swint</v>
      </c>
      <c r="L1066" s="1"/>
      <c r="M1066" s="1" t="s">
        <v>41</v>
      </c>
      <c r="N1066" s="1" t="s">
        <v>30</v>
      </c>
      <c r="O1066" s="1" t="s">
        <v>2333</v>
      </c>
      <c r="P1066" s="1" t="str">
        <f t="shared" si="1042"/>
        <v>Toledo</v>
      </c>
      <c r="Q1066" s="1" t="s">
        <v>421</v>
      </c>
      <c r="R1066" s="1" t="str">
        <f t="shared" si="1043"/>
        <v>Ohio</v>
      </c>
      <c r="S1066" s="1">
        <v>43615</v>
      </c>
      <c r="T1066" s="1" t="s">
        <v>128</v>
      </c>
      <c r="U1066" s="1" t="s">
        <v>2592</v>
      </c>
      <c r="V1066" s="1" t="s">
        <v>64</v>
      </c>
      <c r="W1066" s="7">
        <v>118.782</v>
      </c>
      <c r="X1066" s="1">
        <v>4</v>
      </c>
      <c r="Y1066" s="7">
        <v>117.94</v>
      </c>
      <c r="Z1066" s="7">
        <f t="shared" ref="Z1066:AA1066" si="1089">W1066*X1066</f>
        <v>475.12799999999999</v>
      </c>
      <c r="AA1066" s="7">
        <f t="shared" si="1089"/>
        <v>471.76</v>
      </c>
      <c r="AB1066" s="7">
        <f t="shared" si="1045"/>
        <v>3.367999999999995</v>
      </c>
    </row>
    <row r="1067" spans="1:28">
      <c r="A1067" s="1">
        <v>1066</v>
      </c>
      <c r="B1067" s="1" t="s">
        <v>2587</v>
      </c>
      <c r="C1067" s="2">
        <v>42476</v>
      </c>
      <c r="D1067" s="6" t="str">
        <f t="shared" si="1040"/>
        <v>Apr</v>
      </c>
      <c r="E1067" s="6" t="str">
        <f t="shared" si="1041"/>
        <v>Qtr 2</v>
      </c>
      <c r="F1067" s="5" t="s">
        <v>2588</v>
      </c>
      <c r="G1067" s="1" t="s">
        <v>49</v>
      </c>
      <c r="H1067" s="1" t="s">
        <v>2589</v>
      </c>
      <c r="I1067" s="1" t="s">
        <v>2590</v>
      </c>
      <c r="J1067" s="1" t="str">
        <f ca="1">IFERROR(__xludf.DUMMYFUNCTION("split(I1067,"" "")"),"Theresa")</f>
        <v>Theresa</v>
      </c>
      <c r="K1067" s="1" t="str">
        <f ca="1">IFERROR(__xludf.DUMMYFUNCTION("""COMPUTED_VALUE"""),"Swint")</f>
        <v>Swint</v>
      </c>
      <c r="L1067" s="1"/>
      <c r="M1067" s="1" t="s">
        <v>41</v>
      </c>
      <c r="N1067" s="1" t="s">
        <v>30</v>
      </c>
      <c r="O1067" s="1" t="s">
        <v>2333</v>
      </c>
      <c r="P1067" s="1" t="str">
        <f t="shared" si="1042"/>
        <v>Toledo</v>
      </c>
      <c r="Q1067" s="1" t="s">
        <v>421</v>
      </c>
      <c r="R1067" s="1" t="str">
        <f t="shared" si="1043"/>
        <v>Ohio</v>
      </c>
      <c r="S1067" s="1">
        <v>43615</v>
      </c>
      <c r="T1067" s="1" t="s">
        <v>128</v>
      </c>
      <c r="U1067" s="1" t="s">
        <v>2593</v>
      </c>
      <c r="V1067" s="1" t="s">
        <v>46</v>
      </c>
      <c r="W1067" s="7">
        <v>1.448</v>
      </c>
      <c r="X1067" s="1">
        <v>4</v>
      </c>
      <c r="Y1067" s="7">
        <v>1.02</v>
      </c>
      <c r="Z1067" s="7">
        <f t="shared" ref="Z1067:AA1067" si="1090">W1067*X1067</f>
        <v>5.7919999999999998</v>
      </c>
      <c r="AA1067" s="7">
        <f t="shared" si="1090"/>
        <v>4.08</v>
      </c>
      <c r="AB1067" s="7">
        <f t="shared" si="1045"/>
        <v>1.7119999999999997</v>
      </c>
    </row>
    <row r="1068" spans="1:28">
      <c r="A1068" s="1">
        <v>1067</v>
      </c>
      <c r="B1068" s="1" t="s">
        <v>2587</v>
      </c>
      <c r="C1068" s="2">
        <v>42476</v>
      </c>
      <c r="D1068" s="6" t="str">
        <f t="shared" si="1040"/>
        <v>Apr</v>
      </c>
      <c r="E1068" s="6" t="str">
        <f t="shared" si="1041"/>
        <v>Qtr 2</v>
      </c>
      <c r="F1068" s="5" t="s">
        <v>2588</v>
      </c>
      <c r="G1068" s="1" t="s">
        <v>49</v>
      </c>
      <c r="H1068" s="1" t="s">
        <v>2589</v>
      </c>
      <c r="I1068" s="1" t="s">
        <v>2590</v>
      </c>
      <c r="J1068" s="1" t="str">
        <f ca="1">IFERROR(__xludf.DUMMYFUNCTION("split(I1068,"" "")"),"Theresa")</f>
        <v>Theresa</v>
      </c>
      <c r="K1068" s="1" t="str">
        <f ca="1">IFERROR(__xludf.DUMMYFUNCTION("""COMPUTED_VALUE"""),"Swint")</f>
        <v>Swint</v>
      </c>
      <c r="L1068" s="1"/>
      <c r="M1068" s="1" t="s">
        <v>41</v>
      </c>
      <c r="N1068" s="1" t="s">
        <v>30</v>
      </c>
      <c r="O1068" s="1" t="s">
        <v>2333</v>
      </c>
      <c r="P1068" s="1" t="str">
        <f t="shared" si="1042"/>
        <v>Toledo</v>
      </c>
      <c r="Q1068" s="1" t="s">
        <v>421</v>
      </c>
      <c r="R1068" s="1" t="str">
        <f t="shared" si="1043"/>
        <v>Ohio</v>
      </c>
      <c r="S1068" s="1">
        <v>43615</v>
      </c>
      <c r="T1068" s="1" t="s">
        <v>128</v>
      </c>
      <c r="U1068" s="1" t="s">
        <v>2594</v>
      </c>
      <c r="V1068" s="1" t="s">
        <v>46</v>
      </c>
      <c r="W1068" s="7">
        <v>55.47</v>
      </c>
      <c r="X1068" s="1">
        <v>4</v>
      </c>
      <c r="Y1068" s="7">
        <v>55.24</v>
      </c>
      <c r="Z1068" s="7">
        <f t="shared" ref="Z1068:AA1068" si="1091">W1068*X1068</f>
        <v>221.88</v>
      </c>
      <c r="AA1068" s="7">
        <f t="shared" si="1091"/>
        <v>220.96</v>
      </c>
      <c r="AB1068" s="7">
        <f t="shared" si="1045"/>
        <v>0.91999999999998749</v>
      </c>
    </row>
    <row r="1069" spans="1:28">
      <c r="A1069" s="1">
        <v>1068</v>
      </c>
      <c r="B1069" s="1" t="s">
        <v>2595</v>
      </c>
      <c r="C1069" s="2">
        <v>42745</v>
      </c>
      <c r="D1069" s="6" t="str">
        <f t="shared" si="1040"/>
        <v>Jan</v>
      </c>
      <c r="E1069" s="6" t="str">
        <f t="shared" si="1041"/>
        <v>Qtr 1</v>
      </c>
      <c r="F1069" s="5">
        <v>42776</v>
      </c>
      <c r="G1069" s="1" t="s">
        <v>162</v>
      </c>
      <c r="H1069" s="1" t="s">
        <v>2596</v>
      </c>
      <c r="I1069" s="1" t="s">
        <v>2597</v>
      </c>
      <c r="J1069" s="1" t="str">
        <f ca="1">IFERROR(__xludf.DUMMYFUNCTION("split(I1069,"" "")"),"Brian")</f>
        <v>Brian</v>
      </c>
      <c r="K1069" s="1" t="str">
        <f ca="1">IFERROR(__xludf.DUMMYFUNCTION("""COMPUTED_VALUE"""),"DeCherney")</f>
        <v>DeCherney</v>
      </c>
      <c r="L1069" s="1"/>
      <c r="M1069" s="1" t="s">
        <v>29</v>
      </c>
      <c r="N1069" s="1" t="s">
        <v>30</v>
      </c>
      <c r="O1069" s="1" t="s">
        <v>110</v>
      </c>
      <c r="P1069" s="1" t="str">
        <f t="shared" si="1042"/>
        <v>San Francisco</v>
      </c>
      <c r="Q1069" s="1" t="s">
        <v>68</v>
      </c>
      <c r="R1069" s="1" t="str">
        <f t="shared" si="1043"/>
        <v>California</v>
      </c>
      <c r="S1069" s="1">
        <v>94122</v>
      </c>
      <c r="T1069" s="1" t="s">
        <v>44</v>
      </c>
      <c r="U1069" s="1" t="s">
        <v>260</v>
      </c>
      <c r="V1069" s="1" t="s">
        <v>35</v>
      </c>
      <c r="W1069" s="7">
        <v>194.84800000000001</v>
      </c>
      <c r="X1069" s="1">
        <v>9</v>
      </c>
      <c r="Y1069" s="7">
        <v>194.79</v>
      </c>
      <c r="Z1069" s="7">
        <f t="shared" ref="Z1069:AA1069" si="1092">W1069*X1069</f>
        <v>1753.6320000000001</v>
      </c>
      <c r="AA1069" s="7">
        <f t="shared" si="1092"/>
        <v>1753.11</v>
      </c>
      <c r="AB1069" s="7">
        <f t="shared" si="1045"/>
        <v>0.52200000000016189</v>
      </c>
    </row>
    <row r="1070" spans="1:28">
      <c r="A1070" s="1">
        <v>1069</v>
      </c>
      <c r="B1070" s="1" t="s">
        <v>2598</v>
      </c>
      <c r="C1070" s="2">
        <v>43371</v>
      </c>
      <c r="D1070" s="6" t="str">
        <f t="shared" si="1040"/>
        <v>Sep</v>
      </c>
      <c r="E1070" s="6" t="str">
        <f t="shared" si="1041"/>
        <v>Qtr 3</v>
      </c>
      <c r="F1070" s="5" t="s">
        <v>2599</v>
      </c>
      <c r="G1070" s="1" t="s">
        <v>26</v>
      </c>
      <c r="H1070" s="1" t="s">
        <v>2600</v>
      </c>
      <c r="I1070" s="1" t="s">
        <v>2601</v>
      </c>
      <c r="J1070" s="1" t="str">
        <f ca="1">IFERROR(__xludf.DUMMYFUNCTION("split(I1070,"" "")"),"Charles")</f>
        <v>Charles</v>
      </c>
      <c r="K1070" s="1" t="str">
        <f ca="1">IFERROR(__xludf.DUMMYFUNCTION("""COMPUTED_VALUE"""),"McCrossin")</f>
        <v>McCrossin</v>
      </c>
      <c r="L1070" s="1"/>
      <c r="M1070" s="1" t="s">
        <v>29</v>
      </c>
      <c r="N1070" s="1" t="s">
        <v>30</v>
      </c>
      <c r="O1070" s="1" t="s">
        <v>2602</v>
      </c>
      <c r="P1070" s="1" t="str">
        <f t="shared" si="1042"/>
        <v>Brownsville</v>
      </c>
      <c r="Q1070" s="1" t="s">
        <v>89</v>
      </c>
      <c r="R1070" s="1" t="str">
        <f t="shared" si="1043"/>
        <v>Texas</v>
      </c>
      <c r="S1070" s="1">
        <v>78521</v>
      </c>
      <c r="T1070" s="1" t="s">
        <v>90</v>
      </c>
      <c r="U1070" s="1" t="s">
        <v>1521</v>
      </c>
      <c r="V1070" s="1" t="s">
        <v>46</v>
      </c>
      <c r="W1070" s="7">
        <v>1.744</v>
      </c>
      <c r="X1070" s="1">
        <v>7</v>
      </c>
      <c r="Y1070" s="7">
        <v>0.85</v>
      </c>
      <c r="Z1070" s="7">
        <f t="shared" ref="Z1070:AA1070" si="1093">W1070*X1070</f>
        <v>12.208</v>
      </c>
      <c r="AA1070" s="7">
        <f t="shared" si="1093"/>
        <v>5.95</v>
      </c>
      <c r="AB1070" s="7">
        <f t="shared" si="1045"/>
        <v>6.258</v>
      </c>
    </row>
    <row r="1071" spans="1:28">
      <c r="A1071" s="1">
        <v>1070</v>
      </c>
      <c r="B1071" s="1" t="s">
        <v>2603</v>
      </c>
      <c r="C1071" s="2">
        <v>42576</v>
      </c>
      <c r="D1071" s="6" t="str">
        <f t="shared" si="1040"/>
        <v>Jul</v>
      </c>
      <c r="E1071" s="6" t="str">
        <f t="shared" si="1041"/>
        <v>Qtr 3</v>
      </c>
      <c r="F1071" s="5" t="s">
        <v>2604</v>
      </c>
      <c r="G1071" s="1" t="s">
        <v>49</v>
      </c>
      <c r="H1071" s="1" t="s">
        <v>1230</v>
      </c>
      <c r="I1071" s="1" t="s">
        <v>1231</v>
      </c>
      <c r="J1071" s="1" t="str">
        <f ca="1">IFERROR(__xludf.DUMMYFUNCTION("split(I1071,"" "")"),"Ross")</f>
        <v>Ross</v>
      </c>
      <c r="K1071" s="1" t="str">
        <f ca="1">IFERROR(__xludf.DUMMYFUNCTION("""COMPUTED_VALUE"""),"Baird")</f>
        <v>Baird</v>
      </c>
      <c r="L1071" s="1"/>
      <c r="M1071" s="1" t="s">
        <v>87</v>
      </c>
      <c r="N1071" s="1" t="s">
        <v>30</v>
      </c>
      <c r="O1071" s="1" t="s">
        <v>126</v>
      </c>
      <c r="P1071" s="1" t="str">
        <f t="shared" si="1042"/>
        <v>Philadelphia</v>
      </c>
      <c r="Q1071" s="1" t="s">
        <v>127</v>
      </c>
      <c r="R1071" s="1" t="str">
        <f t="shared" si="1043"/>
        <v>Pennsylvania</v>
      </c>
      <c r="S1071" s="1">
        <v>19143</v>
      </c>
      <c r="T1071" s="1" t="s">
        <v>128</v>
      </c>
      <c r="U1071" s="1" t="s">
        <v>975</v>
      </c>
      <c r="V1071" s="1" t="s">
        <v>46</v>
      </c>
      <c r="W1071" s="7">
        <v>25.175999999999998</v>
      </c>
      <c r="X1071" s="1">
        <v>1</v>
      </c>
      <c r="Y1071" s="7">
        <v>24.35</v>
      </c>
      <c r="Z1071" s="7">
        <f t="shared" ref="Z1071:AA1071" si="1094">W1071*X1071</f>
        <v>25.175999999999998</v>
      </c>
      <c r="AA1071" s="7">
        <f t="shared" si="1094"/>
        <v>24.35</v>
      </c>
      <c r="AB1071" s="7">
        <f t="shared" si="1045"/>
        <v>0.82599999999999696</v>
      </c>
    </row>
    <row r="1072" spans="1:28">
      <c r="A1072" s="1">
        <v>1071</v>
      </c>
      <c r="B1072" s="1" t="s">
        <v>2605</v>
      </c>
      <c r="C1072" s="2">
        <v>42694</v>
      </c>
      <c r="D1072" s="6" t="str">
        <f t="shared" si="1040"/>
        <v>Nov</v>
      </c>
      <c r="E1072" s="6" t="str">
        <f t="shared" si="1041"/>
        <v>Qtr 4</v>
      </c>
      <c r="F1072" s="5" t="s">
        <v>84</v>
      </c>
      <c r="G1072" s="1" t="s">
        <v>49</v>
      </c>
      <c r="H1072" s="1" t="s">
        <v>2606</v>
      </c>
      <c r="I1072" s="1" t="s">
        <v>2607</v>
      </c>
      <c r="J1072" s="1" t="str">
        <f ca="1">IFERROR(__xludf.DUMMYFUNCTION("split(I1072,"" "")"),"Skye")</f>
        <v>Skye</v>
      </c>
      <c r="K1072" s="1" t="str">
        <f ca="1">IFERROR(__xludf.DUMMYFUNCTION("""COMPUTED_VALUE"""),"Norling")</f>
        <v>Norling</v>
      </c>
      <c r="L1072" s="1"/>
      <c r="M1072" s="1" t="s">
        <v>87</v>
      </c>
      <c r="N1072" s="1" t="s">
        <v>30</v>
      </c>
      <c r="O1072" s="1" t="s">
        <v>42</v>
      </c>
      <c r="P1072" s="1" t="str">
        <f t="shared" si="1042"/>
        <v>Los Angeles</v>
      </c>
      <c r="Q1072" s="1" t="s">
        <v>68</v>
      </c>
      <c r="R1072" s="1" t="str">
        <f t="shared" si="1043"/>
        <v>California</v>
      </c>
      <c r="S1072" s="1">
        <v>90008</v>
      </c>
      <c r="T1072" s="1" t="s">
        <v>44</v>
      </c>
      <c r="U1072" s="1" t="s">
        <v>1042</v>
      </c>
      <c r="V1072" s="1" t="s">
        <v>46</v>
      </c>
      <c r="W1072" s="7">
        <v>19.46</v>
      </c>
      <c r="X1072" s="1">
        <v>9</v>
      </c>
      <c r="Y1072" s="7">
        <v>18.899999999999999</v>
      </c>
      <c r="Z1072" s="7">
        <f t="shared" ref="Z1072:AA1072" si="1095">W1072*X1072</f>
        <v>175.14000000000001</v>
      </c>
      <c r="AA1072" s="7">
        <f t="shared" si="1095"/>
        <v>170.1</v>
      </c>
      <c r="AB1072" s="7">
        <f t="shared" si="1045"/>
        <v>5.0400000000000205</v>
      </c>
    </row>
    <row r="1073" spans="1:28">
      <c r="A1073" s="1">
        <v>1072</v>
      </c>
      <c r="B1073" s="1" t="s">
        <v>2608</v>
      </c>
      <c r="C1073" s="2">
        <v>42853</v>
      </c>
      <c r="D1073" s="6" t="str">
        <f t="shared" si="1040"/>
        <v>Apr</v>
      </c>
      <c r="E1073" s="6" t="str">
        <f t="shared" si="1041"/>
        <v>Qtr 2</v>
      </c>
      <c r="F1073" s="5">
        <v>42771</v>
      </c>
      <c r="G1073" s="1" t="s">
        <v>49</v>
      </c>
      <c r="H1073" s="1" t="s">
        <v>2609</v>
      </c>
      <c r="I1073" s="1" t="s">
        <v>2610</v>
      </c>
      <c r="J1073" s="1" t="str">
        <f ca="1">IFERROR(__xludf.DUMMYFUNCTION("split(I1073,"" "")"),"Erica")</f>
        <v>Erica</v>
      </c>
      <c r="K1073" s="1" t="str">
        <f ca="1">IFERROR(__xludf.DUMMYFUNCTION("""COMPUTED_VALUE"""),"Hernandez")</f>
        <v>Hernandez</v>
      </c>
      <c r="L1073" s="1"/>
      <c r="M1073" s="1" t="s">
        <v>87</v>
      </c>
      <c r="N1073" s="1" t="s">
        <v>30</v>
      </c>
      <c r="O1073" s="1" t="s">
        <v>670</v>
      </c>
      <c r="P1073" s="1" t="str">
        <f t="shared" si="1042"/>
        <v>Denver</v>
      </c>
      <c r="Q1073" s="1" t="s">
        <v>386</v>
      </c>
      <c r="R1073" s="1" t="str">
        <f t="shared" si="1043"/>
        <v>Colorado</v>
      </c>
      <c r="S1073" s="1">
        <v>80219</v>
      </c>
      <c r="T1073" s="1" t="s">
        <v>44</v>
      </c>
      <c r="U1073" s="1" t="s">
        <v>1019</v>
      </c>
      <c r="V1073" s="1" t="s">
        <v>46</v>
      </c>
      <c r="W1073" s="7">
        <v>29.472000000000001</v>
      </c>
      <c r="X1073" s="1">
        <v>8</v>
      </c>
      <c r="Y1073" s="7">
        <v>28.52</v>
      </c>
      <c r="Z1073" s="7">
        <f t="shared" ref="Z1073:AA1073" si="1096">W1073*X1073</f>
        <v>235.77600000000001</v>
      </c>
      <c r="AA1073" s="7">
        <f t="shared" si="1096"/>
        <v>228.16</v>
      </c>
      <c r="AB1073" s="7">
        <f t="shared" si="1045"/>
        <v>7.6160000000000139</v>
      </c>
    </row>
    <row r="1074" spans="1:28">
      <c r="A1074" s="1">
        <v>1073</v>
      </c>
      <c r="B1074" s="1" t="s">
        <v>2611</v>
      </c>
      <c r="C1074" s="2">
        <v>43418</v>
      </c>
      <c r="D1074" s="6" t="str">
        <f t="shared" si="1040"/>
        <v>Nov</v>
      </c>
      <c r="E1074" s="6" t="str">
        <f t="shared" si="1041"/>
        <v>Qtr 4</v>
      </c>
      <c r="F1074" s="5" t="s">
        <v>2394</v>
      </c>
      <c r="G1074" s="1" t="s">
        <v>49</v>
      </c>
      <c r="H1074" s="1" t="s">
        <v>2612</v>
      </c>
      <c r="I1074" s="1" t="s">
        <v>2613</v>
      </c>
      <c r="J1074" s="1" t="str">
        <f ca="1">IFERROR(__xludf.DUMMYFUNCTION("split(I1074,"" "")"),"Frank")</f>
        <v>Frank</v>
      </c>
      <c r="K1074" s="1" t="str">
        <f ca="1">IFERROR(__xludf.DUMMYFUNCTION("""COMPUTED_VALUE"""),"Olsen")</f>
        <v>Olsen</v>
      </c>
      <c r="L1074" s="1"/>
      <c r="M1074" s="1" t="s">
        <v>29</v>
      </c>
      <c r="N1074" s="1" t="s">
        <v>30</v>
      </c>
      <c r="O1074" s="1" t="s">
        <v>233</v>
      </c>
      <c r="P1074" s="1" t="str">
        <f t="shared" si="1042"/>
        <v>New York City</v>
      </c>
      <c r="Q1074" s="1" t="s">
        <v>234</v>
      </c>
      <c r="R1074" s="1" t="str">
        <f t="shared" si="1043"/>
        <v>New York</v>
      </c>
      <c r="S1074" s="1">
        <v>10035</v>
      </c>
      <c r="T1074" s="1" t="s">
        <v>128</v>
      </c>
      <c r="U1074" s="1" t="s">
        <v>2614</v>
      </c>
      <c r="V1074" s="1" t="s">
        <v>46</v>
      </c>
      <c r="W1074" s="7">
        <v>8.64</v>
      </c>
      <c r="X1074" s="1">
        <v>1</v>
      </c>
      <c r="Y1074" s="7">
        <v>7.76</v>
      </c>
      <c r="Z1074" s="7">
        <f t="shared" ref="Z1074:AA1074" si="1097">W1074*X1074</f>
        <v>8.64</v>
      </c>
      <c r="AA1074" s="7">
        <f t="shared" si="1097"/>
        <v>7.76</v>
      </c>
      <c r="AB1074" s="7">
        <f t="shared" si="1045"/>
        <v>0.88000000000000078</v>
      </c>
    </row>
    <row r="1075" spans="1:28">
      <c r="A1075" s="1">
        <v>1074</v>
      </c>
      <c r="B1075" s="1" t="s">
        <v>2615</v>
      </c>
      <c r="C1075" s="2">
        <v>43080</v>
      </c>
      <c r="D1075" s="6" t="str">
        <f t="shared" si="1040"/>
        <v>Dec</v>
      </c>
      <c r="E1075" s="6" t="str">
        <f t="shared" si="1041"/>
        <v>Qtr 4</v>
      </c>
      <c r="F1075" s="5" t="s">
        <v>2616</v>
      </c>
      <c r="G1075" s="1" t="s">
        <v>49</v>
      </c>
      <c r="H1075" s="1" t="s">
        <v>2617</v>
      </c>
      <c r="I1075" s="1" t="s">
        <v>2618</v>
      </c>
      <c r="J1075" s="1" t="str">
        <f ca="1">IFERROR(__xludf.DUMMYFUNCTION("split(I1075,"" "")"),"Maurice")</f>
        <v>Maurice</v>
      </c>
      <c r="K1075" s="1" t="str">
        <f ca="1">IFERROR(__xludf.DUMMYFUNCTION("""COMPUTED_VALUE"""),"Satty")</f>
        <v>Satty</v>
      </c>
      <c r="L1075" s="1"/>
      <c r="M1075" s="1" t="s">
        <v>29</v>
      </c>
      <c r="N1075" s="1" t="s">
        <v>30</v>
      </c>
      <c r="O1075" s="1" t="s">
        <v>1484</v>
      </c>
      <c r="P1075" s="1" t="str">
        <f t="shared" si="1042"/>
        <v>Mesa</v>
      </c>
      <c r="Q1075" s="1" t="s">
        <v>265</v>
      </c>
      <c r="R1075" s="1" t="str">
        <f t="shared" si="1043"/>
        <v>Arizona</v>
      </c>
      <c r="S1075" s="1">
        <v>85204</v>
      </c>
      <c r="T1075" s="1" t="s">
        <v>44</v>
      </c>
      <c r="U1075" s="1" t="s">
        <v>2619</v>
      </c>
      <c r="V1075" s="1" t="s">
        <v>46</v>
      </c>
      <c r="W1075" s="7">
        <v>6.27</v>
      </c>
      <c r="X1075" s="1">
        <v>8</v>
      </c>
      <c r="Y1075" s="7">
        <v>5.54</v>
      </c>
      <c r="Z1075" s="7">
        <f t="shared" ref="Z1075:AA1075" si="1098">W1075*X1075</f>
        <v>50.16</v>
      </c>
      <c r="AA1075" s="7">
        <f t="shared" si="1098"/>
        <v>44.32</v>
      </c>
      <c r="AB1075" s="7">
        <f t="shared" si="1045"/>
        <v>5.8399999999999963</v>
      </c>
    </row>
    <row r="1076" spans="1:28">
      <c r="A1076" s="1">
        <v>1075</v>
      </c>
      <c r="B1076" s="1" t="s">
        <v>2615</v>
      </c>
      <c r="C1076" s="2">
        <v>43080</v>
      </c>
      <c r="D1076" s="6" t="str">
        <f t="shared" si="1040"/>
        <v>Dec</v>
      </c>
      <c r="E1076" s="6" t="str">
        <f t="shared" si="1041"/>
        <v>Qtr 4</v>
      </c>
      <c r="F1076" s="5" t="s">
        <v>2616</v>
      </c>
      <c r="G1076" s="1" t="s">
        <v>49</v>
      </c>
      <c r="H1076" s="1" t="s">
        <v>2617</v>
      </c>
      <c r="I1076" s="1" t="s">
        <v>2618</v>
      </c>
      <c r="J1076" s="1" t="str">
        <f ca="1">IFERROR(__xludf.DUMMYFUNCTION("split(I1076,"" "")"),"Maurice")</f>
        <v>Maurice</v>
      </c>
      <c r="K1076" s="1" t="str">
        <f ca="1">IFERROR(__xludf.DUMMYFUNCTION("""COMPUTED_VALUE"""),"Satty")</f>
        <v>Satty</v>
      </c>
      <c r="L1076" s="1"/>
      <c r="M1076" s="1" t="s">
        <v>29</v>
      </c>
      <c r="N1076" s="1" t="s">
        <v>30</v>
      </c>
      <c r="O1076" s="1" t="s">
        <v>1484</v>
      </c>
      <c r="P1076" s="1" t="str">
        <f t="shared" si="1042"/>
        <v>Mesa</v>
      </c>
      <c r="Q1076" s="1" t="s">
        <v>265</v>
      </c>
      <c r="R1076" s="1" t="str">
        <f t="shared" si="1043"/>
        <v>Arizona</v>
      </c>
      <c r="S1076" s="1">
        <v>85204</v>
      </c>
      <c r="T1076" s="1" t="s">
        <v>44</v>
      </c>
      <c r="U1076" s="1" t="s">
        <v>857</v>
      </c>
      <c r="V1076" s="1" t="s">
        <v>46</v>
      </c>
      <c r="W1076" s="7">
        <v>4.3680000000000003</v>
      </c>
      <c r="X1076" s="1">
        <v>8</v>
      </c>
      <c r="Y1076" s="7">
        <v>4.12</v>
      </c>
      <c r="Z1076" s="7">
        <f t="shared" ref="Z1076:AA1076" si="1099">W1076*X1076</f>
        <v>34.944000000000003</v>
      </c>
      <c r="AA1076" s="7">
        <f t="shared" si="1099"/>
        <v>32.96</v>
      </c>
      <c r="AB1076" s="7">
        <f t="shared" si="1045"/>
        <v>1.9840000000000018</v>
      </c>
    </row>
    <row r="1077" spans="1:28">
      <c r="A1077" s="1">
        <v>1076</v>
      </c>
      <c r="B1077" s="1" t="s">
        <v>2615</v>
      </c>
      <c r="C1077" s="2">
        <v>43080</v>
      </c>
      <c r="D1077" s="6" t="str">
        <f t="shared" si="1040"/>
        <v>Dec</v>
      </c>
      <c r="E1077" s="6" t="str">
        <f t="shared" si="1041"/>
        <v>Qtr 4</v>
      </c>
      <c r="F1077" s="5" t="s">
        <v>2616</v>
      </c>
      <c r="G1077" s="1" t="s">
        <v>49</v>
      </c>
      <c r="H1077" s="1" t="s">
        <v>2617</v>
      </c>
      <c r="I1077" s="1" t="s">
        <v>2618</v>
      </c>
      <c r="J1077" s="1" t="str">
        <f ca="1">IFERROR(__xludf.DUMMYFUNCTION("split(I1077,"" "")"),"Maurice")</f>
        <v>Maurice</v>
      </c>
      <c r="K1077" s="1" t="str">
        <f ca="1">IFERROR(__xludf.DUMMYFUNCTION("""COMPUTED_VALUE"""),"Satty")</f>
        <v>Satty</v>
      </c>
      <c r="L1077" s="1"/>
      <c r="M1077" s="1" t="s">
        <v>29</v>
      </c>
      <c r="N1077" s="1" t="s">
        <v>30</v>
      </c>
      <c r="O1077" s="1" t="s">
        <v>1484</v>
      </c>
      <c r="P1077" s="1" t="str">
        <f t="shared" si="1042"/>
        <v>Mesa</v>
      </c>
      <c r="Q1077" s="1" t="s">
        <v>265</v>
      </c>
      <c r="R1077" s="1" t="str">
        <f t="shared" si="1043"/>
        <v>Arizona</v>
      </c>
      <c r="S1077" s="1">
        <v>85204</v>
      </c>
      <c r="T1077" s="1" t="s">
        <v>44</v>
      </c>
      <c r="U1077" s="1" t="s">
        <v>2620</v>
      </c>
      <c r="V1077" s="1" t="s">
        <v>64</v>
      </c>
      <c r="W1077" s="7">
        <v>31.984000000000002</v>
      </c>
      <c r="X1077" s="1">
        <v>8</v>
      </c>
      <c r="Y1077" s="7">
        <v>31.32</v>
      </c>
      <c r="Z1077" s="7">
        <f t="shared" ref="Z1077:AA1077" si="1100">W1077*X1077</f>
        <v>255.87200000000001</v>
      </c>
      <c r="AA1077" s="7">
        <f t="shared" si="1100"/>
        <v>250.56</v>
      </c>
      <c r="AB1077" s="7">
        <f t="shared" si="1045"/>
        <v>5.3120000000000118</v>
      </c>
    </row>
    <row r="1078" spans="1:28">
      <c r="A1078" s="1">
        <v>1077</v>
      </c>
      <c r="B1078" s="1" t="s">
        <v>2621</v>
      </c>
      <c r="C1078" s="2">
        <v>43007</v>
      </c>
      <c r="D1078" s="6" t="str">
        <f t="shared" si="1040"/>
        <v>Sep</v>
      </c>
      <c r="E1078" s="6" t="str">
        <f t="shared" si="1041"/>
        <v>Qtr 3</v>
      </c>
      <c r="F1078" s="5" t="s">
        <v>2622</v>
      </c>
      <c r="G1078" s="1" t="s">
        <v>162</v>
      </c>
      <c r="H1078" s="1" t="s">
        <v>2623</v>
      </c>
      <c r="I1078" s="1" t="s">
        <v>2624</v>
      </c>
      <c r="J1078" s="1" t="str">
        <f ca="1">IFERROR(__xludf.DUMMYFUNCTION("split(I1078,"" "")"),"Chad")</f>
        <v>Chad</v>
      </c>
      <c r="K1078" s="1" t="str">
        <f ca="1">IFERROR(__xludf.DUMMYFUNCTION("""COMPUTED_VALUE"""),"Cunningham")</f>
        <v>Cunningham</v>
      </c>
      <c r="L1078" s="1"/>
      <c r="M1078" s="1" t="s">
        <v>87</v>
      </c>
      <c r="N1078" s="1" t="s">
        <v>30</v>
      </c>
      <c r="O1078" s="1" t="s">
        <v>420</v>
      </c>
      <c r="P1078" s="1" t="str">
        <f t="shared" si="1042"/>
        <v>Columbus</v>
      </c>
      <c r="Q1078" s="1" t="s">
        <v>224</v>
      </c>
      <c r="R1078" s="1" t="str">
        <f t="shared" si="1043"/>
        <v>Indiana</v>
      </c>
      <c r="S1078" s="1">
        <v>47201</v>
      </c>
      <c r="T1078" s="1" t="s">
        <v>90</v>
      </c>
      <c r="U1078" s="1" t="s">
        <v>2625</v>
      </c>
      <c r="V1078" s="1" t="s">
        <v>46</v>
      </c>
      <c r="W1078" s="7">
        <v>40.880000000000003</v>
      </c>
      <c r="X1078" s="1">
        <v>4</v>
      </c>
      <c r="Y1078" s="7">
        <v>40.83</v>
      </c>
      <c r="Z1078" s="7">
        <f t="shared" ref="Z1078:AA1078" si="1101">W1078*X1078</f>
        <v>163.52000000000001</v>
      </c>
      <c r="AA1078" s="7">
        <f t="shared" si="1101"/>
        <v>163.32</v>
      </c>
      <c r="AB1078" s="7">
        <f t="shared" si="1045"/>
        <v>0.20000000000001705</v>
      </c>
    </row>
    <row r="1079" spans="1:28">
      <c r="A1079" s="1">
        <v>1078</v>
      </c>
      <c r="B1079" s="1" t="s">
        <v>2626</v>
      </c>
      <c r="C1079" s="2">
        <v>43366</v>
      </c>
      <c r="D1079" s="6" t="str">
        <f t="shared" si="1040"/>
        <v>Sep</v>
      </c>
      <c r="E1079" s="6" t="str">
        <f t="shared" si="1041"/>
        <v>Qtr 3</v>
      </c>
      <c r="F1079" s="5" t="s">
        <v>2627</v>
      </c>
      <c r="G1079" s="1" t="s">
        <v>26</v>
      </c>
      <c r="H1079" s="1" t="s">
        <v>2628</v>
      </c>
      <c r="I1079" s="1" t="s">
        <v>2629</v>
      </c>
      <c r="J1079" s="1" t="str">
        <f ca="1">IFERROR(__xludf.DUMMYFUNCTION("split(I1079,"" "")"),"Don")</f>
        <v>Don</v>
      </c>
      <c r="K1079" s="1" t="str">
        <f ca="1">IFERROR(__xludf.DUMMYFUNCTION("""COMPUTED_VALUE"""),"Weiss")</f>
        <v>Weiss</v>
      </c>
      <c r="L1079" s="1"/>
      <c r="M1079" s="1" t="s">
        <v>29</v>
      </c>
      <c r="N1079" s="1" t="s">
        <v>30</v>
      </c>
      <c r="O1079" s="1" t="s">
        <v>80</v>
      </c>
      <c r="P1079" s="1" t="str">
        <f t="shared" si="1042"/>
        <v>Seattle</v>
      </c>
      <c r="Q1079" s="1" t="s">
        <v>81</v>
      </c>
      <c r="R1079" s="1" t="str">
        <f t="shared" si="1043"/>
        <v>Washington</v>
      </c>
      <c r="S1079" s="1">
        <v>98105</v>
      </c>
      <c r="T1079" s="1" t="s">
        <v>44</v>
      </c>
      <c r="U1079" s="1" t="s">
        <v>2630</v>
      </c>
      <c r="V1079" s="1" t="s">
        <v>46</v>
      </c>
      <c r="W1079" s="7">
        <v>119.96</v>
      </c>
      <c r="X1079" s="1">
        <v>9</v>
      </c>
      <c r="Y1079" s="7">
        <v>119.86</v>
      </c>
      <c r="Z1079" s="7">
        <f t="shared" ref="Z1079:AA1079" si="1102">W1079*X1079</f>
        <v>1079.6399999999999</v>
      </c>
      <c r="AA1079" s="7">
        <f t="shared" si="1102"/>
        <v>1078.74</v>
      </c>
      <c r="AB1079" s="7">
        <f t="shared" si="1045"/>
        <v>0.89999999999986358</v>
      </c>
    </row>
    <row r="1080" spans="1:28">
      <c r="A1080" s="1">
        <v>1079</v>
      </c>
      <c r="B1080" s="1" t="s">
        <v>2626</v>
      </c>
      <c r="C1080" s="2">
        <v>43366</v>
      </c>
      <c r="D1080" s="6" t="str">
        <f t="shared" si="1040"/>
        <v>Sep</v>
      </c>
      <c r="E1080" s="6" t="str">
        <f t="shared" si="1041"/>
        <v>Qtr 3</v>
      </c>
      <c r="F1080" s="5" t="s">
        <v>2627</v>
      </c>
      <c r="G1080" s="1" t="s">
        <v>26</v>
      </c>
      <c r="H1080" s="1" t="s">
        <v>2628</v>
      </c>
      <c r="I1080" s="1" t="s">
        <v>2629</v>
      </c>
      <c r="J1080" s="1" t="str">
        <f ca="1">IFERROR(__xludf.DUMMYFUNCTION("split(I1080,"" "")"),"Don")</f>
        <v>Don</v>
      </c>
      <c r="K1080" s="1" t="str">
        <f ca="1">IFERROR(__xludf.DUMMYFUNCTION("""COMPUTED_VALUE"""),"Weiss")</f>
        <v>Weiss</v>
      </c>
      <c r="L1080" s="1"/>
      <c r="M1080" s="1" t="s">
        <v>29</v>
      </c>
      <c r="N1080" s="1" t="s">
        <v>30</v>
      </c>
      <c r="O1080" s="1" t="s">
        <v>80</v>
      </c>
      <c r="P1080" s="1" t="str">
        <f t="shared" si="1042"/>
        <v>Seattle</v>
      </c>
      <c r="Q1080" s="1" t="s">
        <v>81</v>
      </c>
      <c r="R1080" s="1" t="str">
        <f t="shared" si="1043"/>
        <v>Washington</v>
      </c>
      <c r="S1080" s="1">
        <v>98105</v>
      </c>
      <c r="T1080" s="1" t="s">
        <v>44</v>
      </c>
      <c r="U1080" s="1" t="s">
        <v>1485</v>
      </c>
      <c r="V1080" s="1" t="s">
        <v>46</v>
      </c>
      <c r="W1080" s="7">
        <v>31.44</v>
      </c>
      <c r="X1080" s="1">
        <v>9</v>
      </c>
      <c r="Y1080" s="7">
        <v>30.57</v>
      </c>
      <c r="Z1080" s="7">
        <f t="shared" ref="Z1080:AA1080" si="1103">W1080*X1080</f>
        <v>282.96000000000004</v>
      </c>
      <c r="AA1080" s="7">
        <f t="shared" si="1103"/>
        <v>275.13</v>
      </c>
      <c r="AB1080" s="7">
        <f t="shared" si="1045"/>
        <v>7.8300000000000409</v>
      </c>
    </row>
    <row r="1081" spans="1:28">
      <c r="A1081" s="1">
        <v>1080</v>
      </c>
      <c r="B1081" s="1" t="s">
        <v>2626</v>
      </c>
      <c r="C1081" s="2">
        <v>43366</v>
      </c>
      <c r="D1081" s="6" t="str">
        <f t="shared" si="1040"/>
        <v>Sep</v>
      </c>
      <c r="E1081" s="6" t="str">
        <f t="shared" si="1041"/>
        <v>Qtr 3</v>
      </c>
      <c r="F1081" s="5" t="s">
        <v>2627</v>
      </c>
      <c r="G1081" s="1" t="s">
        <v>26</v>
      </c>
      <c r="H1081" s="1" t="s">
        <v>2628</v>
      </c>
      <c r="I1081" s="1" t="s">
        <v>2629</v>
      </c>
      <c r="J1081" s="1" t="str">
        <f ca="1">IFERROR(__xludf.DUMMYFUNCTION("split(I1081,"" "")"),"Don")</f>
        <v>Don</v>
      </c>
      <c r="K1081" s="1" t="str">
        <f ca="1">IFERROR(__xludf.DUMMYFUNCTION("""COMPUTED_VALUE"""),"Weiss")</f>
        <v>Weiss</v>
      </c>
      <c r="L1081" s="1"/>
      <c r="M1081" s="1" t="s">
        <v>29</v>
      </c>
      <c r="N1081" s="1" t="s">
        <v>30</v>
      </c>
      <c r="O1081" s="1" t="s">
        <v>80</v>
      </c>
      <c r="P1081" s="1" t="str">
        <f t="shared" si="1042"/>
        <v>Seattle</v>
      </c>
      <c r="Q1081" s="1" t="s">
        <v>81</v>
      </c>
      <c r="R1081" s="1" t="str">
        <f t="shared" si="1043"/>
        <v>Washington</v>
      </c>
      <c r="S1081" s="1">
        <v>98105</v>
      </c>
      <c r="T1081" s="1" t="s">
        <v>44</v>
      </c>
      <c r="U1081" s="1" t="s">
        <v>1518</v>
      </c>
      <c r="V1081" s="1" t="s">
        <v>46</v>
      </c>
      <c r="W1081" s="7">
        <v>6.88</v>
      </c>
      <c r="X1081" s="1">
        <v>9</v>
      </c>
      <c r="Y1081" s="7">
        <v>6.42</v>
      </c>
      <c r="Z1081" s="7">
        <f t="shared" ref="Z1081:AA1081" si="1104">W1081*X1081</f>
        <v>61.92</v>
      </c>
      <c r="AA1081" s="7">
        <f t="shared" si="1104"/>
        <v>57.78</v>
      </c>
      <c r="AB1081" s="7">
        <f t="shared" si="1045"/>
        <v>4.1400000000000006</v>
      </c>
    </row>
    <row r="1082" spans="1:28">
      <c r="A1082" s="1">
        <v>1081</v>
      </c>
      <c r="B1082" s="1" t="s">
        <v>2631</v>
      </c>
      <c r="C1082" s="2">
        <v>42703</v>
      </c>
      <c r="D1082" s="6" t="str">
        <f t="shared" si="1040"/>
        <v>Nov</v>
      </c>
      <c r="E1082" s="6" t="str">
        <f t="shared" si="1041"/>
        <v>Qtr 4</v>
      </c>
      <c r="F1082" s="5">
        <v>42472</v>
      </c>
      <c r="G1082" s="1" t="s">
        <v>49</v>
      </c>
      <c r="H1082" s="1" t="s">
        <v>2632</v>
      </c>
      <c r="I1082" s="1" t="s">
        <v>2633</v>
      </c>
      <c r="J1082" s="1" t="str">
        <f ca="1">IFERROR(__xludf.DUMMYFUNCTION("split(I1082,"" "")"),"Bill")</f>
        <v>Bill</v>
      </c>
      <c r="K1082" s="1" t="str">
        <f ca="1">IFERROR(__xludf.DUMMYFUNCTION("""COMPUTED_VALUE"""),"Tyler")</f>
        <v>Tyler</v>
      </c>
      <c r="L1082" s="1"/>
      <c r="M1082" s="1" t="s">
        <v>41</v>
      </c>
      <c r="N1082" s="1" t="s">
        <v>30</v>
      </c>
      <c r="O1082" s="1" t="s">
        <v>728</v>
      </c>
      <c r="P1082" s="1" t="str">
        <f t="shared" si="1042"/>
        <v>Detroit</v>
      </c>
      <c r="Q1082" s="1" t="s">
        <v>209</v>
      </c>
      <c r="R1082" s="1" t="str">
        <f t="shared" si="1043"/>
        <v>Michigan</v>
      </c>
      <c r="S1082" s="1">
        <v>48227</v>
      </c>
      <c r="T1082" s="1" t="s">
        <v>90</v>
      </c>
      <c r="U1082" s="1" t="s">
        <v>2634</v>
      </c>
      <c r="V1082" s="1" t="s">
        <v>46</v>
      </c>
      <c r="W1082" s="7">
        <v>19.920000000000002</v>
      </c>
      <c r="X1082" s="1">
        <v>4</v>
      </c>
      <c r="Y1082" s="7">
        <v>19.09</v>
      </c>
      <c r="Z1082" s="7">
        <f t="shared" ref="Z1082:AA1082" si="1105">W1082*X1082</f>
        <v>79.680000000000007</v>
      </c>
      <c r="AA1082" s="7">
        <f t="shared" si="1105"/>
        <v>76.36</v>
      </c>
      <c r="AB1082" s="7">
        <f t="shared" si="1045"/>
        <v>3.3200000000000074</v>
      </c>
    </row>
    <row r="1083" spans="1:28">
      <c r="A1083" s="1">
        <v>1082</v>
      </c>
      <c r="B1083" s="1" t="s">
        <v>2631</v>
      </c>
      <c r="C1083" s="2">
        <v>42703</v>
      </c>
      <c r="D1083" s="6" t="str">
        <f t="shared" si="1040"/>
        <v>Nov</v>
      </c>
      <c r="E1083" s="6" t="str">
        <f t="shared" si="1041"/>
        <v>Qtr 4</v>
      </c>
      <c r="F1083" s="5">
        <v>42472</v>
      </c>
      <c r="G1083" s="1" t="s">
        <v>49</v>
      </c>
      <c r="H1083" s="1" t="s">
        <v>2632</v>
      </c>
      <c r="I1083" s="1" t="s">
        <v>2633</v>
      </c>
      <c r="J1083" s="1" t="str">
        <f ca="1">IFERROR(__xludf.DUMMYFUNCTION("split(I1083,"" "")"),"Bill")</f>
        <v>Bill</v>
      </c>
      <c r="K1083" s="1" t="str">
        <f ca="1">IFERROR(__xludf.DUMMYFUNCTION("""COMPUTED_VALUE"""),"Tyler")</f>
        <v>Tyler</v>
      </c>
      <c r="L1083" s="1"/>
      <c r="M1083" s="1" t="s">
        <v>41</v>
      </c>
      <c r="N1083" s="1" t="s">
        <v>30</v>
      </c>
      <c r="O1083" s="1" t="s">
        <v>728</v>
      </c>
      <c r="P1083" s="1" t="str">
        <f t="shared" si="1042"/>
        <v>Detroit</v>
      </c>
      <c r="Q1083" s="1" t="s">
        <v>209</v>
      </c>
      <c r="R1083" s="1" t="str">
        <f t="shared" si="1043"/>
        <v>Michigan</v>
      </c>
      <c r="S1083" s="1">
        <v>48227</v>
      </c>
      <c r="T1083" s="1" t="s">
        <v>90</v>
      </c>
      <c r="U1083" s="1" t="s">
        <v>2635</v>
      </c>
      <c r="V1083" s="1" t="s">
        <v>35</v>
      </c>
      <c r="W1083" s="7">
        <v>1106.9100000000001</v>
      </c>
      <c r="X1083" s="1">
        <v>4</v>
      </c>
      <c r="Y1083" s="7">
        <v>1106.48</v>
      </c>
      <c r="Z1083" s="7">
        <f t="shared" ref="Z1083:AA1083" si="1106">W1083*X1083</f>
        <v>4427.6400000000003</v>
      </c>
      <c r="AA1083" s="7">
        <f t="shared" si="1106"/>
        <v>4425.92</v>
      </c>
      <c r="AB1083" s="7">
        <f t="shared" si="1045"/>
        <v>1.7200000000002547</v>
      </c>
    </row>
    <row r="1084" spans="1:28">
      <c r="A1084" s="1">
        <v>1083</v>
      </c>
      <c r="B1084" s="1" t="s">
        <v>2636</v>
      </c>
      <c r="C1084" s="2">
        <v>42738</v>
      </c>
      <c r="D1084" s="6" t="str">
        <f t="shared" si="1040"/>
        <v>Jan</v>
      </c>
      <c r="E1084" s="6" t="str">
        <f t="shared" si="1041"/>
        <v>Qtr 1</v>
      </c>
      <c r="F1084" s="5">
        <v>42858</v>
      </c>
      <c r="G1084" s="1" t="s">
        <v>49</v>
      </c>
      <c r="H1084" s="1" t="s">
        <v>269</v>
      </c>
      <c r="I1084" s="1" t="s">
        <v>270</v>
      </c>
      <c r="J1084" s="1" t="str">
        <f ca="1">IFERROR(__xludf.DUMMYFUNCTION("split(I1084,"" "")"),"Karen")</f>
        <v>Karen</v>
      </c>
      <c r="K1084" s="1" t="str">
        <f ca="1">IFERROR(__xludf.DUMMYFUNCTION("""COMPUTED_VALUE"""),"Daniels")</f>
        <v>Daniels</v>
      </c>
      <c r="L1084" s="1"/>
      <c r="M1084" s="1" t="s">
        <v>29</v>
      </c>
      <c r="N1084" s="1" t="s">
        <v>30</v>
      </c>
      <c r="O1084" s="1" t="s">
        <v>2637</v>
      </c>
      <c r="P1084" s="1" t="str">
        <f t="shared" si="1042"/>
        <v>Yonkers</v>
      </c>
      <c r="Q1084" s="1" t="s">
        <v>234</v>
      </c>
      <c r="R1084" s="1" t="str">
        <f t="shared" si="1043"/>
        <v>New York</v>
      </c>
      <c r="S1084" s="1">
        <v>10701</v>
      </c>
      <c r="T1084" s="1" t="s">
        <v>128</v>
      </c>
      <c r="U1084" s="1" t="s">
        <v>1960</v>
      </c>
      <c r="V1084" s="1" t="s">
        <v>35</v>
      </c>
      <c r="W1084" s="7">
        <v>836.59199999999998</v>
      </c>
      <c r="X1084" s="1">
        <v>1</v>
      </c>
      <c r="Y1084" s="7">
        <v>836.24</v>
      </c>
      <c r="Z1084" s="7">
        <f t="shared" ref="Z1084:AA1084" si="1107">W1084*X1084</f>
        <v>836.59199999999998</v>
      </c>
      <c r="AA1084" s="7">
        <f t="shared" si="1107"/>
        <v>836.24</v>
      </c>
      <c r="AB1084" s="7">
        <f t="shared" si="1045"/>
        <v>0.35199999999997544</v>
      </c>
    </row>
    <row r="1085" spans="1:28">
      <c r="A1085" s="1">
        <v>1084</v>
      </c>
      <c r="B1085" s="1" t="s">
        <v>2636</v>
      </c>
      <c r="C1085" s="2">
        <v>42738</v>
      </c>
      <c r="D1085" s="6" t="str">
        <f t="shared" si="1040"/>
        <v>Jan</v>
      </c>
      <c r="E1085" s="6" t="str">
        <f t="shared" si="1041"/>
        <v>Qtr 1</v>
      </c>
      <c r="F1085" s="5">
        <v>42858</v>
      </c>
      <c r="G1085" s="1" t="s">
        <v>49</v>
      </c>
      <c r="H1085" s="1" t="s">
        <v>269</v>
      </c>
      <c r="I1085" s="1" t="s">
        <v>270</v>
      </c>
      <c r="J1085" s="1" t="str">
        <f ca="1">IFERROR(__xludf.DUMMYFUNCTION("split(I1085,"" "")"),"Karen")</f>
        <v>Karen</v>
      </c>
      <c r="K1085" s="1" t="str">
        <f ca="1">IFERROR(__xludf.DUMMYFUNCTION("""COMPUTED_VALUE"""),"Daniels")</f>
        <v>Daniels</v>
      </c>
      <c r="L1085" s="1"/>
      <c r="M1085" s="1" t="s">
        <v>29</v>
      </c>
      <c r="N1085" s="1" t="s">
        <v>30</v>
      </c>
      <c r="O1085" s="1" t="s">
        <v>2637</v>
      </c>
      <c r="P1085" s="1" t="str">
        <f t="shared" si="1042"/>
        <v>Yonkers</v>
      </c>
      <c r="Q1085" s="1" t="s">
        <v>234</v>
      </c>
      <c r="R1085" s="1" t="str">
        <f t="shared" si="1043"/>
        <v>New York</v>
      </c>
      <c r="S1085" s="1">
        <v>10701</v>
      </c>
      <c r="T1085" s="1" t="s">
        <v>128</v>
      </c>
      <c r="U1085" s="1" t="s">
        <v>2638</v>
      </c>
      <c r="V1085" s="1" t="s">
        <v>46</v>
      </c>
      <c r="W1085" s="7">
        <v>26.38</v>
      </c>
      <c r="X1085" s="1">
        <v>1</v>
      </c>
      <c r="Y1085" s="7">
        <v>26.13</v>
      </c>
      <c r="Z1085" s="7">
        <f t="shared" ref="Z1085:AA1085" si="1108">W1085*X1085</f>
        <v>26.38</v>
      </c>
      <c r="AA1085" s="7">
        <f t="shared" si="1108"/>
        <v>26.13</v>
      </c>
      <c r="AB1085" s="7">
        <f t="shared" si="1045"/>
        <v>0.25</v>
      </c>
    </row>
    <row r="1086" spans="1:28">
      <c r="A1086" s="1">
        <v>1085</v>
      </c>
      <c r="B1086" s="1" t="s">
        <v>2636</v>
      </c>
      <c r="C1086" s="2">
        <v>42738</v>
      </c>
      <c r="D1086" s="6" t="str">
        <f t="shared" si="1040"/>
        <v>Jan</v>
      </c>
      <c r="E1086" s="6" t="str">
        <f t="shared" si="1041"/>
        <v>Qtr 1</v>
      </c>
      <c r="F1086" s="5">
        <v>42858</v>
      </c>
      <c r="G1086" s="1" t="s">
        <v>49</v>
      </c>
      <c r="H1086" s="1" t="s">
        <v>269</v>
      </c>
      <c r="I1086" s="1" t="s">
        <v>270</v>
      </c>
      <c r="J1086" s="1" t="str">
        <f ca="1">IFERROR(__xludf.DUMMYFUNCTION("split(I1086,"" "")"),"Karen")</f>
        <v>Karen</v>
      </c>
      <c r="K1086" s="1" t="str">
        <f ca="1">IFERROR(__xludf.DUMMYFUNCTION("""COMPUTED_VALUE"""),"Daniels")</f>
        <v>Daniels</v>
      </c>
      <c r="L1086" s="1"/>
      <c r="M1086" s="1" t="s">
        <v>29</v>
      </c>
      <c r="N1086" s="1" t="s">
        <v>30</v>
      </c>
      <c r="O1086" s="1" t="s">
        <v>2637</v>
      </c>
      <c r="P1086" s="1" t="str">
        <f t="shared" si="1042"/>
        <v>Yonkers</v>
      </c>
      <c r="Q1086" s="1" t="s">
        <v>234</v>
      </c>
      <c r="R1086" s="1" t="str">
        <f t="shared" si="1043"/>
        <v>New York</v>
      </c>
      <c r="S1086" s="1">
        <v>10701</v>
      </c>
      <c r="T1086" s="1" t="s">
        <v>128</v>
      </c>
      <c r="U1086" s="1" t="s">
        <v>835</v>
      </c>
      <c r="V1086" s="1" t="s">
        <v>46</v>
      </c>
      <c r="W1086" s="7">
        <v>362.92</v>
      </c>
      <c r="X1086" s="1">
        <v>1</v>
      </c>
      <c r="Y1086" s="7">
        <v>362.29</v>
      </c>
      <c r="Z1086" s="7">
        <f t="shared" ref="Z1086:AA1086" si="1109">W1086*X1086</f>
        <v>362.92</v>
      </c>
      <c r="AA1086" s="7">
        <f t="shared" si="1109"/>
        <v>362.29</v>
      </c>
      <c r="AB1086" s="7">
        <f t="shared" si="1045"/>
        <v>0.62999999999999545</v>
      </c>
    </row>
    <row r="1087" spans="1:28">
      <c r="A1087" s="1">
        <v>1086</v>
      </c>
      <c r="B1087" s="1" t="s">
        <v>2636</v>
      </c>
      <c r="C1087" s="2">
        <v>42738</v>
      </c>
      <c r="D1087" s="6" t="str">
        <f t="shared" si="1040"/>
        <v>Jan</v>
      </c>
      <c r="E1087" s="6" t="str">
        <f t="shared" si="1041"/>
        <v>Qtr 1</v>
      </c>
      <c r="F1087" s="5">
        <v>42858</v>
      </c>
      <c r="G1087" s="1" t="s">
        <v>49</v>
      </c>
      <c r="H1087" s="1" t="s">
        <v>269</v>
      </c>
      <c r="I1087" s="1" t="s">
        <v>270</v>
      </c>
      <c r="J1087" s="1" t="str">
        <f ca="1">IFERROR(__xludf.DUMMYFUNCTION("split(I1087,"" "")"),"Karen")</f>
        <v>Karen</v>
      </c>
      <c r="K1087" s="1" t="str">
        <f ca="1">IFERROR(__xludf.DUMMYFUNCTION("""COMPUTED_VALUE"""),"Daniels")</f>
        <v>Daniels</v>
      </c>
      <c r="L1087" s="1"/>
      <c r="M1087" s="1" t="s">
        <v>29</v>
      </c>
      <c r="N1087" s="1" t="s">
        <v>30</v>
      </c>
      <c r="O1087" s="1" t="s">
        <v>2637</v>
      </c>
      <c r="P1087" s="1" t="str">
        <f t="shared" si="1042"/>
        <v>Yonkers</v>
      </c>
      <c r="Q1087" s="1" t="s">
        <v>234</v>
      </c>
      <c r="R1087" s="1" t="str">
        <f t="shared" si="1043"/>
        <v>New York</v>
      </c>
      <c r="S1087" s="1">
        <v>10701</v>
      </c>
      <c r="T1087" s="1" t="s">
        <v>128</v>
      </c>
      <c r="U1087" s="1" t="s">
        <v>2639</v>
      </c>
      <c r="V1087" s="1" t="s">
        <v>64</v>
      </c>
      <c r="W1087" s="7">
        <v>4899.93</v>
      </c>
      <c r="X1087" s="1">
        <v>1</v>
      </c>
      <c r="Y1087" s="7">
        <v>4899.4799999999996</v>
      </c>
      <c r="Z1087" s="7">
        <f t="shared" ref="Z1087:AA1087" si="1110">W1087*X1087</f>
        <v>4899.93</v>
      </c>
      <c r="AA1087" s="7">
        <f t="shared" si="1110"/>
        <v>4899.4799999999996</v>
      </c>
      <c r="AB1087" s="7">
        <f t="shared" si="1045"/>
        <v>0.4500000000007276</v>
      </c>
    </row>
    <row r="1088" spans="1:28">
      <c r="A1088" s="1">
        <v>1087</v>
      </c>
      <c r="B1088" s="1" t="s">
        <v>2640</v>
      </c>
      <c r="C1088" s="2">
        <v>43077</v>
      </c>
      <c r="D1088" s="6" t="str">
        <f t="shared" si="1040"/>
        <v>Dec</v>
      </c>
      <c r="E1088" s="6" t="str">
        <f t="shared" si="1041"/>
        <v>Qtr 4</v>
      </c>
      <c r="F1088" s="5">
        <v>43077</v>
      </c>
      <c r="G1088" s="1" t="s">
        <v>1050</v>
      </c>
      <c r="H1088" s="1" t="s">
        <v>383</v>
      </c>
      <c r="I1088" s="1" t="s">
        <v>384</v>
      </c>
      <c r="J1088" s="1" t="str">
        <f ca="1">IFERROR(__xludf.DUMMYFUNCTION("split(I1088,"" "")"),"Lena")</f>
        <v>Lena</v>
      </c>
      <c r="K1088" s="1" t="str">
        <f ca="1">IFERROR(__xludf.DUMMYFUNCTION("""COMPUTED_VALUE"""),"Cacioppo")</f>
        <v>Cacioppo</v>
      </c>
      <c r="L1088" s="1"/>
      <c r="M1088" s="1" t="s">
        <v>29</v>
      </c>
      <c r="N1088" s="1" t="s">
        <v>30</v>
      </c>
      <c r="O1088" s="1" t="s">
        <v>1122</v>
      </c>
      <c r="P1088" s="1" t="str">
        <f t="shared" si="1042"/>
        <v>Des Moines</v>
      </c>
      <c r="Q1088" s="1" t="s">
        <v>413</v>
      </c>
      <c r="R1088" s="1" t="str">
        <f t="shared" si="1043"/>
        <v>Iowa</v>
      </c>
      <c r="S1088" s="1">
        <v>50315</v>
      </c>
      <c r="T1088" s="1" t="s">
        <v>90</v>
      </c>
      <c r="U1088" s="1" t="s">
        <v>2641</v>
      </c>
      <c r="V1088" s="1" t="s">
        <v>46</v>
      </c>
      <c r="W1088" s="7">
        <v>6.48</v>
      </c>
      <c r="X1088" s="1">
        <v>5</v>
      </c>
      <c r="Y1088" s="7">
        <v>6.48</v>
      </c>
      <c r="Z1088" s="7">
        <f t="shared" ref="Z1088:AA1088" si="1111">W1088*X1088</f>
        <v>32.400000000000006</v>
      </c>
      <c r="AA1088" s="7">
        <f t="shared" si="1111"/>
        <v>32.400000000000006</v>
      </c>
      <c r="AB1088" s="7">
        <f t="shared" si="1045"/>
        <v>0</v>
      </c>
    </row>
    <row r="1089" spans="1:28">
      <c r="A1089" s="1">
        <v>1088</v>
      </c>
      <c r="B1089" s="1" t="s">
        <v>2642</v>
      </c>
      <c r="C1089" s="2">
        <v>42962</v>
      </c>
      <c r="D1089" s="6" t="str">
        <f t="shared" si="1040"/>
        <v>Aug</v>
      </c>
      <c r="E1089" s="6" t="str">
        <f t="shared" si="1041"/>
        <v>Qtr 3</v>
      </c>
      <c r="F1089" s="5" t="s">
        <v>2643</v>
      </c>
      <c r="G1089" s="1" t="s">
        <v>26</v>
      </c>
      <c r="H1089" s="1" t="s">
        <v>2644</v>
      </c>
      <c r="I1089" s="1" t="s">
        <v>2645</v>
      </c>
      <c r="J1089" s="1" t="str">
        <f ca="1">IFERROR(__xludf.DUMMYFUNCTION("split(I1089,"" "")"),"Craig")</f>
        <v>Craig</v>
      </c>
      <c r="K1089" s="1" t="str">
        <f ca="1">IFERROR(__xludf.DUMMYFUNCTION("""COMPUTED_VALUE"""),"Yedwab")</f>
        <v>Yedwab</v>
      </c>
      <c r="L1089" s="1"/>
      <c r="M1089" s="1" t="s">
        <v>41</v>
      </c>
      <c r="N1089" s="1" t="s">
        <v>30</v>
      </c>
      <c r="O1089" s="1" t="s">
        <v>2646</v>
      </c>
      <c r="P1089" s="1" t="str">
        <f t="shared" si="1042"/>
        <v>Oakland</v>
      </c>
      <c r="Q1089" s="1" t="s">
        <v>68</v>
      </c>
      <c r="R1089" s="1" t="str">
        <f t="shared" si="1043"/>
        <v>California</v>
      </c>
      <c r="S1089" s="1">
        <v>94601</v>
      </c>
      <c r="T1089" s="1" t="s">
        <v>44</v>
      </c>
      <c r="U1089" s="1" t="s">
        <v>611</v>
      </c>
      <c r="V1089" s="1" t="s">
        <v>64</v>
      </c>
      <c r="W1089" s="7">
        <v>71.975999999999999</v>
      </c>
      <c r="X1089" s="1">
        <v>9</v>
      </c>
      <c r="Y1089" s="7">
        <v>71.17</v>
      </c>
      <c r="Z1089" s="7">
        <f t="shared" ref="Z1089:AA1089" si="1112">W1089*X1089</f>
        <v>647.78399999999999</v>
      </c>
      <c r="AA1089" s="7">
        <f t="shared" si="1112"/>
        <v>640.53</v>
      </c>
      <c r="AB1089" s="7">
        <f t="shared" si="1045"/>
        <v>7.2540000000000191</v>
      </c>
    </row>
    <row r="1090" spans="1:28">
      <c r="A1090" s="1">
        <v>1089</v>
      </c>
      <c r="B1090" s="1" t="s">
        <v>2642</v>
      </c>
      <c r="C1090" s="2">
        <v>42962</v>
      </c>
      <c r="D1090" s="6" t="str">
        <f t="shared" si="1040"/>
        <v>Aug</v>
      </c>
      <c r="E1090" s="6" t="str">
        <f t="shared" si="1041"/>
        <v>Qtr 3</v>
      </c>
      <c r="F1090" s="5" t="s">
        <v>2643</v>
      </c>
      <c r="G1090" s="1" t="s">
        <v>26</v>
      </c>
      <c r="H1090" s="1" t="s">
        <v>2644</v>
      </c>
      <c r="I1090" s="1" t="s">
        <v>2645</v>
      </c>
      <c r="J1090" s="1" t="str">
        <f ca="1">IFERROR(__xludf.DUMMYFUNCTION("split(I1090,"" "")"),"Craig")</f>
        <v>Craig</v>
      </c>
      <c r="K1090" s="1" t="str">
        <f ca="1">IFERROR(__xludf.DUMMYFUNCTION("""COMPUTED_VALUE"""),"Yedwab")</f>
        <v>Yedwab</v>
      </c>
      <c r="L1090" s="1"/>
      <c r="M1090" s="1" t="s">
        <v>41</v>
      </c>
      <c r="N1090" s="1" t="s">
        <v>30</v>
      </c>
      <c r="O1090" s="1" t="s">
        <v>2646</v>
      </c>
      <c r="P1090" s="1" t="str">
        <f t="shared" si="1042"/>
        <v>Oakland</v>
      </c>
      <c r="Q1090" s="1" t="s">
        <v>68</v>
      </c>
      <c r="R1090" s="1" t="str">
        <f t="shared" si="1043"/>
        <v>California</v>
      </c>
      <c r="S1090" s="1">
        <v>94601</v>
      </c>
      <c r="T1090" s="1" t="s">
        <v>44</v>
      </c>
      <c r="U1090" s="1" t="s">
        <v>2647</v>
      </c>
      <c r="V1090" s="1" t="s">
        <v>46</v>
      </c>
      <c r="W1090" s="7">
        <v>3.15</v>
      </c>
      <c r="X1090" s="1">
        <v>9</v>
      </c>
      <c r="Y1090" s="7">
        <v>2.16</v>
      </c>
      <c r="Z1090" s="7">
        <f t="shared" ref="Z1090:AA1090" si="1113">W1090*X1090</f>
        <v>28.349999999999998</v>
      </c>
      <c r="AA1090" s="7">
        <f t="shared" si="1113"/>
        <v>19.440000000000001</v>
      </c>
      <c r="AB1090" s="7">
        <f t="shared" si="1045"/>
        <v>8.9099999999999966</v>
      </c>
    </row>
    <row r="1091" spans="1:28">
      <c r="A1091" s="1">
        <v>1090</v>
      </c>
      <c r="B1091" s="1" t="s">
        <v>2648</v>
      </c>
      <c r="C1091" s="2">
        <v>43196</v>
      </c>
      <c r="D1091" s="6" t="str">
        <f t="shared" si="1040"/>
        <v>Apr</v>
      </c>
      <c r="E1091" s="6" t="str">
        <f t="shared" si="1041"/>
        <v>Qtr 2</v>
      </c>
      <c r="F1091" s="5">
        <v>43379</v>
      </c>
      <c r="G1091" s="1" t="s">
        <v>49</v>
      </c>
      <c r="H1091" s="1" t="s">
        <v>2395</v>
      </c>
      <c r="I1091" s="1" t="s">
        <v>2396</v>
      </c>
      <c r="J1091" s="1" t="str">
        <f ca="1">IFERROR(__xludf.DUMMYFUNCTION("split(I1091,"" "")"),"Lindsay")</f>
        <v>Lindsay</v>
      </c>
      <c r="K1091" s="1" t="str">
        <f ca="1">IFERROR(__xludf.DUMMYFUNCTION("""COMPUTED_VALUE"""),"Williams")</f>
        <v>Williams</v>
      </c>
      <c r="L1091" s="1"/>
      <c r="M1091" s="1" t="s">
        <v>41</v>
      </c>
      <c r="N1091" s="1" t="s">
        <v>30</v>
      </c>
      <c r="O1091" s="1" t="s">
        <v>608</v>
      </c>
      <c r="P1091" s="1" t="str">
        <f t="shared" si="1042"/>
        <v>Monroe</v>
      </c>
      <c r="Q1091" s="1" t="s">
        <v>75</v>
      </c>
      <c r="R1091" s="1" t="str">
        <f t="shared" si="1043"/>
        <v>North Carolina</v>
      </c>
      <c r="S1091" s="1">
        <v>28110</v>
      </c>
      <c r="T1091" s="1" t="s">
        <v>33</v>
      </c>
      <c r="U1091" s="1" t="s">
        <v>967</v>
      </c>
      <c r="V1091" s="1" t="s">
        <v>35</v>
      </c>
      <c r="W1091" s="7">
        <v>31.984000000000002</v>
      </c>
      <c r="X1091" s="1">
        <v>2</v>
      </c>
      <c r="Y1091" s="7">
        <v>31.25</v>
      </c>
      <c r="Z1091" s="7">
        <f t="shared" ref="Z1091:AA1091" si="1114">W1091*X1091</f>
        <v>63.968000000000004</v>
      </c>
      <c r="AA1091" s="7">
        <f t="shared" si="1114"/>
        <v>62.5</v>
      </c>
      <c r="AB1091" s="7">
        <f t="shared" si="1045"/>
        <v>1.4680000000000035</v>
      </c>
    </row>
    <row r="1092" spans="1:28">
      <c r="A1092" s="1">
        <v>1091</v>
      </c>
      <c r="B1092" s="1" t="s">
        <v>2648</v>
      </c>
      <c r="C1092" s="2">
        <v>43196</v>
      </c>
      <c r="D1092" s="6" t="str">
        <f t="shared" si="1040"/>
        <v>Apr</v>
      </c>
      <c r="E1092" s="6" t="str">
        <f t="shared" si="1041"/>
        <v>Qtr 2</v>
      </c>
      <c r="F1092" s="5">
        <v>43379</v>
      </c>
      <c r="G1092" s="1" t="s">
        <v>49</v>
      </c>
      <c r="H1092" s="1" t="s">
        <v>2395</v>
      </c>
      <c r="I1092" s="1" t="s">
        <v>2396</v>
      </c>
      <c r="J1092" s="1" t="str">
        <f ca="1">IFERROR(__xludf.DUMMYFUNCTION("split(I1092,"" "")"),"Lindsay")</f>
        <v>Lindsay</v>
      </c>
      <c r="K1092" s="1" t="str">
        <f ca="1">IFERROR(__xludf.DUMMYFUNCTION("""COMPUTED_VALUE"""),"Williams")</f>
        <v>Williams</v>
      </c>
      <c r="L1092" s="1"/>
      <c r="M1092" s="1" t="s">
        <v>41</v>
      </c>
      <c r="N1092" s="1" t="s">
        <v>30</v>
      </c>
      <c r="O1092" s="1" t="s">
        <v>608</v>
      </c>
      <c r="P1092" s="1" t="str">
        <f t="shared" si="1042"/>
        <v>Monroe</v>
      </c>
      <c r="Q1092" s="1" t="s">
        <v>75</v>
      </c>
      <c r="R1092" s="1" t="str">
        <f t="shared" si="1043"/>
        <v>North Carolina</v>
      </c>
      <c r="S1092" s="1">
        <v>28110</v>
      </c>
      <c r="T1092" s="1" t="s">
        <v>33</v>
      </c>
      <c r="U1092" s="1" t="s">
        <v>2649</v>
      </c>
      <c r="V1092" s="1" t="s">
        <v>64</v>
      </c>
      <c r="W1092" s="7">
        <v>71.983999999999995</v>
      </c>
      <c r="X1092" s="1">
        <v>2</v>
      </c>
      <c r="Y1092" s="7">
        <v>71.13</v>
      </c>
      <c r="Z1092" s="7">
        <f t="shared" ref="Z1092:AA1092" si="1115">W1092*X1092</f>
        <v>143.96799999999999</v>
      </c>
      <c r="AA1092" s="7">
        <f t="shared" si="1115"/>
        <v>142.26</v>
      </c>
      <c r="AB1092" s="7">
        <f t="shared" si="1045"/>
        <v>1.7079999999999984</v>
      </c>
    </row>
    <row r="1093" spans="1:28">
      <c r="A1093" s="1">
        <v>1092</v>
      </c>
      <c r="B1093" s="1" t="s">
        <v>2650</v>
      </c>
      <c r="C1093" s="2">
        <v>42533</v>
      </c>
      <c r="D1093" s="6" t="str">
        <f t="shared" si="1040"/>
        <v>Jun</v>
      </c>
      <c r="E1093" s="6" t="str">
        <f t="shared" si="1041"/>
        <v>Qtr 2</v>
      </c>
      <c r="F1093" s="5" t="s">
        <v>2651</v>
      </c>
      <c r="G1093" s="1" t="s">
        <v>49</v>
      </c>
      <c r="H1093" s="1" t="s">
        <v>1826</v>
      </c>
      <c r="I1093" s="1" t="s">
        <v>1827</v>
      </c>
      <c r="J1093" s="1" t="str">
        <f ca="1">IFERROR(__xludf.DUMMYFUNCTION("split(I1093,"" "")"),"Naresj")</f>
        <v>Naresj</v>
      </c>
      <c r="K1093" s="1" t="str">
        <f ca="1">IFERROR(__xludf.DUMMYFUNCTION("""COMPUTED_VALUE"""),"Patel")</f>
        <v>Patel</v>
      </c>
      <c r="L1093" s="1"/>
      <c r="M1093" s="1" t="s">
        <v>29</v>
      </c>
      <c r="N1093" s="1" t="s">
        <v>30</v>
      </c>
      <c r="O1093" s="1" t="s">
        <v>778</v>
      </c>
      <c r="P1093" s="1" t="str">
        <f t="shared" si="1042"/>
        <v>San Diego</v>
      </c>
      <c r="Q1093" s="1" t="s">
        <v>68</v>
      </c>
      <c r="R1093" s="1" t="str">
        <f t="shared" si="1043"/>
        <v>California</v>
      </c>
      <c r="S1093" s="1">
        <v>92105</v>
      </c>
      <c r="T1093" s="1" t="s">
        <v>44</v>
      </c>
      <c r="U1093" s="1" t="s">
        <v>2652</v>
      </c>
      <c r="V1093" s="1" t="s">
        <v>46</v>
      </c>
      <c r="W1093" s="7">
        <v>120.15</v>
      </c>
      <c r="X1093" s="1">
        <v>9</v>
      </c>
      <c r="Y1093" s="7">
        <v>119.85</v>
      </c>
      <c r="Z1093" s="7">
        <f t="shared" ref="Z1093:AA1093" si="1116">W1093*X1093</f>
        <v>1081.3500000000001</v>
      </c>
      <c r="AA1093" s="7">
        <f t="shared" si="1116"/>
        <v>1078.6499999999999</v>
      </c>
      <c r="AB1093" s="7">
        <f t="shared" si="1045"/>
        <v>2.7000000000002728</v>
      </c>
    </row>
    <row r="1094" spans="1:28">
      <c r="A1094" s="1">
        <v>1093</v>
      </c>
      <c r="B1094" s="1" t="s">
        <v>2650</v>
      </c>
      <c r="C1094" s="2">
        <v>42533</v>
      </c>
      <c r="D1094" s="6" t="str">
        <f t="shared" si="1040"/>
        <v>Jun</v>
      </c>
      <c r="E1094" s="6" t="str">
        <f t="shared" si="1041"/>
        <v>Qtr 2</v>
      </c>
      <c r="F1094" s="5" t="s">
        <v>2651</v>
      </c>
      <c r="G1094" s="1" t="s">
        <v>49</v>
      </c>
      <c r="H1094" s="1" t="s">
        <v>1826</v>
      </c>
      <c r="I1094" s="1" t="s">
        <v>1827</v>
      </c>
      <c r="J1094" s="1" t="str">
        <f ca="1">IFERROR(__xludf.DUMMYFUNCTION("split(I1094,"" "")"),"Naresj")</f>
        <v>Naresj</v>
      </c>
      <c r="K1094" s="1" t="str">
        <f ca="1">IFERROR(__xludf.DUMMYFUNCTION("""COMPUTED_VALUE"""),"Patel")</f>
        <v>Patel</v>
      </c>
      <c r="L1094" s="1"/>
      <c r="M1094" s="1" t="s">
        <v>29</v>
      </c>
      <c r="N1094" s="1" t="s">
        <v>30</v>
      </c>
      <c r="O1094" s="1" t="s">
        <v>778</v>
      </c>
      <c r="P1094" s="1" t="str">
        <f t="shared" si="1042"/>
        <v>San Diego</v>
      </c>
      <c r="Q1094" s="1" t="s">
        <v>68</v>
      </c>
      <c r="R1094" s="1" t="str">
        <f t="shared" si="1043"/>
        <v>California</v>
      </c>
      <c r="S1094" s="1">
        <v>92105</v>
      </c>
      <c r="T1094" s="1" t="s">
        <v>44</v>
      </c>
      <c r="U1094" s="1" t="s">
        <v>2653</v>
      </c>
      <c r="V1094" s="1" t="s">
        <v>64</v>
      </c>
      <c r="W1094" s="7">
        <v>219.184</v>
      </c>
      <c r="X1094" s="1">
        <v>9</v>
      </c>
      <c r="Y1094" s="7">
        <v>218.69</v>
      </c>
      <c r="Z1094" s="7">
        <f t="shared" ref="Z1094:AA1094" si="1117">W1094*X1094</f>
        <v>1972.6559999999999</v>
      </c>
      <c r="AA1094" s="7">
        <f t="shared" si="1117"/>
        <v>1968.21</v>
      </c>
      <c r="AB1094" s="7">
        <f t="shared" si="1045"/>
        <v>4.4459999999999127</v>
      </c>
    </row>
    <row r="1095" spans="1:28">
      <c r="A1095" s="1">
        <v>1094</v>
      </c>
      <c r="B1095" s="1" t="s">
        <v>2654</v>
      </c>
      <c r="C1095" s="2">
        <v>42731</v>
      </c>
      <c r="D1095" s="6" t="str">
        <f t="shared" si="1040"/>
        <v>Dec</v>
      </c>
      <c r="E1095" s="6" t="str">
        <f t="shared" si="1041"/>
        <v>Qtr 4</v>
      </c>
      <c r="F1095" s="5" t="s">
        <v>169</v>
      </c>
      <c r="G1095" s="1" t="s">
        <v>49</v>
      </c>
      <c r="H1095" s="1" t="s">
        <v>2655</v>
      </c>
      <c r="I1095" s="1" t="s">
        <v>2656</v>
      </c>
      <c r="J1095" s="1" t="str">
        <f ca="1">IFERROR(__xludf.DUMMYFUNCTION("split(I1095,"" "")"),"Brad")</f>
        <v>Brad</v>
      </c>
      <c r="K1095" s="1" t="str">
        <f ca="1">IFERROR(__xludf.DUMMYFUNCTION("""COMPUTED_VALUE"""),"Thomas")</f>
        <v>Thomas</v>
      </c>
      <c r="L1095" s="1"/>
      <c r="M1095" s="1" t="s">
        <v>87</v>
      </c>
      <c r="N1095" s="1" t="s">
        <v>30</v>
      </c>
      <c r="O1095" s="1" t="s">
        <v>2657</v>
      </c>
      <c r="P1095" s="1" t="str">
        <f t="shared" si="1042"/>
        <v>Clinton</v>
      </c>
      <c r="Q1095" s="1" t="s">
        <v>2248</v>
      </c>
      <c r="R1095" s="1" t="str">
        <f t="shared" si="1043"/>
        <v>Maryland</v>
      </c>
      <c r="S1095" s="1">
        <v>20735</v>
      </c>
      <c r="T1095" s="1" t="s">
        <v>128</v>
      </c>
      <c r="U1095" s="1" t="s">
        <v>2658</v>
      </c>
      <c r="V1095" s="1" t="s">
        <v>46</v>
      </c>
      <c r="W1095" s="7">
        <v>28.9</v>
      </c>
      <c r="X1095" s="1">
        <v>2</v>
      </c>
      <c r="Y1095" s="7">
        <v>27.9</v>
      </c>
      <c r="Z1095" s="7">
        <f t="shared" ref="Z1095:AA1095" si="1118">W1095*X1095</f>
        <v>57.8</v>
      </c>
      <c r="AA1095" s="7">
        <f t="shared" si="1118"/>
        <v>55.8</v>
      </c>
      <c r="AB1095" s="7">
        <f t="shared" si="1045"/>
        <v>2</v>
      </c>
    </row>
    <row r="1096" spans="1:28">
      <c r="A1096" s="1">
        <v>1095</v>
      </c>
      <c r="B1096" s="1" t="s">
        <v>2654</v>
      </c>
      <c r="C1096" s="2">
        <v>42731</v>
      </c>
      <c r="D1096" s="6" t="str">
        <f t="shared" si="1040"/>
        <v>Dec</v>
      </c>
      <c r="E1096" s="6" t="str">
        <f t="shared" si="1041"/>
        <v>Qtr 4</v>
      </c>
      <c r="F1096" s="5" t="s">
        <v>169</v>
      </c>
      <c r="G1096" s="1" t="s">
        <v>49</v>
      </c>
      <c r="H1096" s="1" t="s">
        <v>2655</v>
      </c>
      <c r="I1096" s="1" t="s">
        <v>2656</v>
      </c>
      <c r="J1096" s="1" t="str">
        <f ca="1">IFERROR(__xludf.DUMMYFUNCTION("split(I1096,"" "")"),"Brad")</f>
        <v>Brad</v>
      </c>
      <c r="K1096" s="1" t="str">
        <f ca="1">IFERROR(__xludf.DUMMYFUNCTION("""COMPUTED_VALUE"""),"Thomas")</f>
        <v>Thomas</v>
      </c>
      <c r="L1096" s="1"/>
      <c r="M1096" s="1" t="s">
        <v>87</v>
      </c>
      <c r="N1096" s="1" t="s">
        <v>30</v>
      </c>
      <c r="O1096" s="1" t="s">
        <v>2657</v>
      </c>
      <c r="P1096" s="1" t="str">
        <f t="shared" si="1042"/>
        <v>Clinton</v>
      </c>
      <c r="Q1096" s="1" t="s">
        <v>2248</v>
      </c>
      <c r="R1096" s="1" t="str">
        <f t="shared" si="1043"/>
        <v>Maryland</v>
      </c>
      <c r="S1096" s="1">
        <v>20735</v>
      </c>
      <c r="T1096" s="1" t="s">
        <v>128</v>
      </c>
      <c r="U1096" s="1" t="s">
        <v>571</v>
      </c>
      <c r="V1096" s="1" t="s">
        <v>46</v>
      </c>
      <c r="W1096" s="7">
        <v>355.96</v>
      </c>
      <c r="X1096" s="1">
        <v>2</v>
      </c>
      <c r="Y1096" s="7">
        <v>355.72</v>
      </c>
      <c r="Z1096" s="7">
        <f t="shared" ref="Z1096:AA1096" si="1119">W1096*X1096</f>
        <v>711.92</v>
      </c>
      <c r="AA1096" s="7">
        <f t="shared" si="1119"/>
        <v>711.44</v>
      </c>
      <c r="AB1096" s="7">
        <f t="shared" si="1045"/>
        <v>0.4799999999999045</v>
      </c>
    </row>
    <row r="1097" spans="1:28">
      <c r="A1097" s="1">
        <v>1096</v>
      </c>
      <c r="B1097" s="1" t="s">
        <v>2659</v>
      </c>
      <c r="C1097" s="2">
        <v>43121</v>
      </c>
      <c r="D1097" s="6" t="str">
        <f t="shared" si="1040"/>
        <v>Jan</v>
      </c>
      <c r="E1097" s="6" t="str">
        <f t="shared" si="1041"/>
        <v>Qtr 1</v>
      </c>
      <c r="F1097" s="5" t="s">
        <v>2660</v>
      </c>
      <c r="G1097" s="1" t="s">
        <v>49</v>
      </c>
      <c r="H1097" s="1" t="s">
        <v>2661</v>
      </c>
      <c r="I1097" s="1" t="s">
        <v>2662</v>
      </c>
      <c r="J1097" s="1" t="str">
        <f ca="1">IFERROR(__xludf.DUMMYFUNCTION("split(I1097,"" "")"),"Penelope")</f>
        <v>Penelope</v>
      </c>
      <c r="K1097" s="1" t="str">
        <f ca="1">IFERROR(__xludf.DUMMYFUNCTION("""COMPUTED_VALUE"""),"Sewall")</f>
        <v>Sewall</v>
      </c>
      <c r="L1097" s="1"/>
      <c r="M1097" s="1" t="s">
        <v>87</v>
      </c>
      <c r="N1097" s="1" t="s">
        <v>30</v>
      </c>
      <c r="O1097" s="1" t="s">
        <v>394</v>
      </c>
      <c r="P1097" s="1" t="str">
        <f t="shared" si="1042"/>
        <v>Charlotte</v>
      </c>
      <c r="Q1097" s="1" t="s">
        <v>75</v>
      </c>
      <c r="R1097" s="1" t="str">
        <f t="shared" si="1043"/>
        <v>North Carolina</v>
      </c>
      <c r="S1097" s="1">
        <v>28205</v>
      </c>
      <c r="T1097" s="1" t="s">
        <v>33</v>
      </c>
      <c r="U1097" s="1" t="s">
        <v>2663</v>
      </c>
      <c r="V1097" s="1" t="s">
        <v>46</v>
      </c>
      <c r="W1097" s="7">
        <v>348.20800000000003</v>
      </c>
      <c r="X1097" s="1">
        <v>2</v>
      </c>
      <c r="Y1097" s="7">
        <v>347.79</v>
      </c>
      <c r="Z1097" s="7">
        <f t="shared" ref="Z1097:AA1097" si="1120">W1097*X1097</f>
        <v>696.41600000000005</v>
      </c>
      <c r="AA1097" s="7">
        <f t="shared" si="1120"/>
        <v>695.58</v>
      </c>
      <c r="AB1097" s="7">
        <f t="shared" si="1045"/>
        <v>0.83600000000001273</v>
      </c>
    </row>
    <row r="1098" spans="1:28">
      <c r="A1098" s="1">
        <v>1097</v>
      </c>
      <c r="B1098" s="1" t="s">
        <v>2659</v>
      </c>
      <c r="C1098" s="2">
        <v>43121</v>
      </c>
      <c r="D1098" s="6" t="str">
        <f t="shared" si="1040"/>
        <v>Jan</v>
      </c>
      <c r="E1098" s="6" t="str">
        <f t="shared" si="1041"/>
        <v>Qtr 1</v>
      </c>
      <c r="F1098" s="5" t="s">
        <v>2660</v>
      </c>
      <c r="G1098" s="1" t="s">
        <v>49</v>
      </c>
      <c r="H1098" s="1" t="s">
        <v>2661</v>
      </c>
      <c r="I1098" s="1" t="s">
        <v>2662</v>
      </c>
      <c r="J1098" s="1" t="str">
        <f ca="1">IFERROR(__xludf.DUMMYFUNCTION("split(I1098,"" "")"),"Penelope")</f>
        <v>Penelope</v>
      </c>
      <c r="K1098" s="1" t="str">
        <f ca="1">IFERROR(__xludf.DUMMYFUNCTION("""COMPUTED_VALUE"""),"Sewall")</f>
        <v>Sewall</v>
      </c>
      <c r="L1098" s="1"/>
      <c r="M1098" s="1" t="s">
        <v>87</v>
      </c>
      <c r="N1098" s="1" t="s">
        <v>30</v>
      </c>
      <c r="O1098" s="1" t="s">
        <v>394</v>
      </c>
      <c r="P1098" s="1" t="str">
        <f t="shared" si="1042"/>
        <v>Charlotte</v>
      </c>
      <c r="Q1098" s="1" t="s">
        <v>75</v>
      </c>
      <c r="R1098" s="1" t="str">
        <f t="shared" si="1043"/>
        <v>North Carolina</v>
      </c>
      <c r="S1098" s="1">
        <v>28205</v>
      </c>
      <c r="T1098" s="1" t="s">
        <v>33</v>
      </c>
      <c r="U1098" s="1" t="s">
        <v>2664</v>
      </c>
      <c r="V1098" s="1" t="s">
        <v>46</v>
      </c>
      <c r="W1098" s="7">
        <v>35.783999999999999</v>
      </c>
      <c r="X1098" s="1">
        <v>2</v>
      </c>
      <c r="Y1098" s="7">
        <v>35.78</v>
      </c>
      <c r="Z1098" s="7">
        <f t="shared" ref="Z1098:AA1098" si="1121">W1098*X1098</f>
        <v>71.567999999999998</v>
      </c>
      <c r="AA1098" s="7">
        <f t="shared" si="1121"/>
        <v>71.56</v>
      </c>
      <c r="AB1098" s="7">
        <f t="shared" si="1045"/>
        <v>7.9999999999955662E-3</v>
      </c>
    </row>
    <row r="1099" spans="1:28">
      <c r="A1099" s="1">
        <v>1098</v>
      </c>
      <c r="B1099" s="1" t="s">
        <v>2665</v>
      </c>
      <c r="C1099" s="2">
        <v>42180</v>
      </c>
      <c r="D1099" s="6" t="str">
        <f t="shared" si="1040"/>
        <v>Jun</v>
      </c>
      <c r="E1099" s="6" t="str">
        <f t="shared" si="1041"/>
        <v>Qtr 2</v>
      </c>
      <c r="F1099" s="5" t="s">
        <v>2666</v>
      </c>
      <c r="G1099" s="1" t="s">
        <v>162</v>
      </c>
      <c r="H1099" s="1" t="s">
        <v>2555</v>
      </c>
      <c r="I1099" s="1" t="s">
        <v>2556</v>
      </c>
      <c r="J1099" s="1" t="str">
        <f ca="1">IFERROR(__xludf.DUMMYFUNCTION("split(I1099,"" "")"),"Noel")</f>
        <v>Noel</v>
      </c>
      <c r="K1099" s="1" t="str">
        <f ca="1">IFERROR(__xludf.DUMMYFUNCTION("""COMPUTED_VALUE"""),"Staavos")</f>
        <v>Staavos</v>
      </c>
      <c r="L1099" s="1"/>
      <c r="M1099" s="1" t="s">
        <v>41</v>
      </c>
      <c r="N1099" s="1" t="s">
        <v>30</v>
      </c>
      <c r="O1099" s="1" t="s">
        <v>42</v>
      </c>
      <c r="P1099" s="1" t="str">
        <f t="shared" si="1042"/>
        <v>Los Angeles</v>
      </c>
      <c r="Q1099" s="1" t="s">
        <v>68</v>
      </c>
      <c r="R1099" s="1" t="str">
        <f t="shared" si="1043"/>
        <v>California</v>
      </c>
      <c r="S1099" s="1">
        <v>90049</v>
      </c>
      <c r="T1099" s="1" t="s">
        <v>44</v>
      </c>
      <c r="U1099" s="1" t="s">
        <v>2667</v>
      </c>
      <c r="V1099" s="1" t="s">
        <v>35</v>
      </c>
      <c r="W1099" s="7">
        <v>447.84</v>
      </c>
      <c r="X1099" s="1">
        <v>9</v>
      </c>
      <c r="Y1099" s="7">
        <v>447.43</v>
      </c>
      <c r="Z1099" s="7">
        <f t="shared" ref="Z1099:AA1099" si="1122">W1099*X1099</f>
        <v>4030.56</v>
      </c>
      <c r="AA1099" s="7">
        <f t="shared" si="1122"/>
        <v>4026.87</v>
      </c>
      <c r="AB1099" s="7">
        <f t="shared" si="1045"/>
        <v>3.6900000000000546</v>
      </c>
    </row>
    <row r="1100" spans="1:28">
      <c r="A1100" s="1">
        <v>1099</v>
      </c>
      <c r="B1100" s="1" t="s">
        <v>2668</v>
      </c>
      <c r="C1100" s="2">
        <v>42900</v>
      </c>
      <c r="D1100" s="6" t="str">
        <f t="shared" si="1040"/>
        <v>Jun</v>
      </c>
      <c r="E1100" s="6" t="str">
        <f t="shared" si="1041"/>
        <v>Qtr 2</v>
      </c>
      <c r="F1100" s="5" t="s">
        <v>2669</v>
      </c>
      <c r="G1100" s="1" t="s">
        <v>162</v>
      </c>
      <c r="H1100" s="1" t="s">
        <v>2670</v>
      </c>
      <c r="I1100" s="1" t="s">
        <v>2671</v>
      </c>
      <c r="J1100" s="1" t="str">
        <f ca="1">IFERROR(__xludf.DUMMYFUNCTION("split(I1100,"" "")"),"Paul")</f>
        <v>Paul</v>
      </c>
      <c r="K1100" s="1" t="str">
        <f ca="1">IFERROR(__xludf.DUMMYFUNCTION("""COMPUTED_VALUE"""),"Van")</f>
        <v>Van</v>
      </c>
      <c r="L1100" s="1" t="str">
        <f ca="1">IFERROR(__xludf.DUMMYFUNCTION("""COMPUTED_VALUE"""),"Hugh")</f>
        <v>Hugh</v>
      </c>
      <c r="M1100" s="1" t="s">
        <v>87</v>
      </c>
      <c r="N1100" s="1" t="s">
        <v>30</v>
      </c>
      <c r="O1100" s="1" t="s">
        <v>110</v>
      </c>
      <c r="P1100" s="1" t="str">
        <f t="shared" si="1042"/>
        <v>San Francisco</v>
      </c>
      <c r="Q1100" s="1" t="s">
        <v>68</v>
      </c>
      <c r="R1100" s="1" t="str">
        <f t="shared" si="1043"/>
        <v>California</v>
      </c>
      <c r="S1100" s="1">
        <v>94122</v>
      </c>
      <c r="T1100" s="1" t="s">
        <v>44</v>
      </c>
      <c r="U1100" s="1" t="s">
        <v>2672</v>
      </c>
      <c r="V1100" s="1" t="s">
        <v>46</v>
      </c>
      <c r="W1100" s="7">
        <v>7.04</v>
      </c>
      <c r="X1100" s="1">
        <v>9</v>
      </c>
      <c r="Y1100" s="7">
        <v>6.24</v>
      </c>
      <c r="Z1100" s="7">
        <f t="shared" ref="Z1100:AA1100" si="1123">W1100*X1100</f>
        <v>63.36</v>
      </c>
      <c r="AA1100" s="7">
        <f t="shared" si="1123"/>
        <v>56.160000000000004</v>
      </c>
      <c r="AB1100" s="7">
        <f t="shared" si="1045"/>
        <v>7.1999999999999957</v>
      </c>
    </row>
    <row r="1101" spans="1:28">
      <c r="A1101" s="1">
        <v>1100</v>
      </c>
      <c r="B1101" s="1" t="s">
        <v>2668</v>
      </c>
      <c r="C1101" s="2">
        <v>42900</v>
      </c>
      <c r="D1101" s="6" t="str">
        <f t="shared" si="1040"/>
        <v>Jun</v>
      </c>
      <c r="E1101" s="6" t="str">
        <f t="shared" si="1041"/>
        <v>Qtr 2</v>
      </c>
      <c r="F1101" s="5" t="s">
        <v>2669</v>
      </c>
      <c r="G1101" s="1" t="s">
        <v>162</v>
      </c>
      <c r="H1101" s="1" t="s">
        <v>2670</v>
      </c>
      <c r="I1101" s="1" t="s">
        <v>2671</v>
      </c>
      <c r="J1101" s="1" t="str">
        <f ca="1">IFERROR(__xludf.DUMMYFUNCTION("split(I1101,"" "")"),"Paul")</f>
        <v>Paul</v>
      </c>
      <c r="K1101" s="1" t="str">
        <f ca="1">IFERROR(__xludf.DUMMYFUNCTION("""COMPUTED_VALUE"""),"Van")</f>
        <v>Van</v>
      </c>
      <c r="L1101" s="1" t="str">
        <f ca="1">IFERROR(__xludf.DUMMYFUNCTION("""COMPUTED_VALUE"""),"Hugh")</f>
        <v>Hugh</v>
      </c>
      <c r="M1101" s="1" t="s">
        <v>87</v>
      </c>
      <c r="N1101" s="1" t="s">
        <v>30</v>
      </c>
      <c r="O1101" s="1" t="s">
        <v>110</v>
      </c>
      <c r="P1101" s="1" t="str">
        <f t="shared" si="1042"/>
        <v>San Francisco</v>
      </c>
      <c r="Q1101" s="1" t="s">
        <v>68</v>
      </c>
      <c r="R1101" s="1" t="str">
        <f t="shared" si="1043"/>
        <v>California</v>
      </c>
      <c r="S1101" s="1">
        <v>94122</v>
      </c>
      <c r="T1101" s="1" t="s">
        <v>44</v>
      </c>
      <c r="U1101" s="1" t="s">
        <v>1268</v>
      </c>
      <c r="V1101" s="1" t="s">
        <v>35</v>
      </c>
      <c r="W1101" s="7">
        <v>8.73</v>
      </c>
      <c r="X1101" s="1">
        <v>9</v>
      </c>
      <c r="Y1101" s="7">
        <v>7.75</v>
      </c>
      <c r="Z1101" s="7">
        <f t="shared" ref="Z1101:AA1101" si="1124">W1101*X1101</f>
        <v>78.570000000000007</v>
      </c>
      <c r="AA1101" s="7">
        <f t="shared" si="1124"/>
        <v>69.75</v>
      </c>
      <c r="AB1101" s="7">
        <f t="shared" si="1045"/>
        <v>8.8200000000000074</v>
      </c>
    </row>
    <row r="1102" spans="1:28">
      <c r="A1102" s="1">
        <v>1101</v>
      </c>
      <c r="B1102" s="1" t="s">
        <v>2668</v>
      </c>
      <c r="C1102" s="2">
        <v>42900</v>
      </c>
      <c r="D1102" s="6" t="str">
        <f t="shared" si="1040"/>
        <v>Jun</v>
      </c>
      <c r="E1102" s="6" t="str">
        <f t="shared" si="1041"/>
        <v>Qtr 2</v>
      </c>
      <c r="F1102" s="5" t="s">
        <v>2669</v>
      </c>
      <c r="G1102" s="1" t="s">
        <v>162</v>
      </c>
      <c r="H1102" s="1" t="s">
        <v>2670</v>
      </c>
      <c r="I1102" s="1" t="s">
        <v>2671</v>
      </c>
      <c r="J1102" s="1" t="str">
        <f ca="1">IFERROR(__xludf.DUMMYFUNCTION("split(I1102,"" "")"),"Paul")</f>
        <v>Paul</v>
      </c>
      <c r="K1102" s="1" t="str">
        <f ca="1">IFERROR(__xludf.DUMMYFUNCTION("""COMPUTED_VALUE"""),"Van")</f>
        <v>Van</v>
      </c>
      <c r="L1102" s="1" t="str">
        <f ca="1">IFERROR(__xludf.DUMMYFUNCTION("""COMPUTED_VALUE"""),"Hugh")</f>
        <v>Hugh</v>
      </c>
      <c r="M1102" s="1" t="s">
        <v>87</v>
      </c>
      <c r="N1102" s="1" t="s">
        <v>30</v>
      </c>
      <c r="O1102" s="1" t="s">
        <v>110</v>
      </c>
      <c r="P1102" s="1" t="str">
        <f t="shared" si="1042"/>
        <v>San Francisco</v>
      </c>
      <c r="Q1102" s="1" t="s">
        <v>68</v>
      </c>
      <c r="R1102" s="1" t="str">
        <f t="shared" si="1043"/>
        <v>California</v>
      </c>
      <c r="S1102" s="1">
        <v>94122</v>
      </c>
      <c r="T1102" s="1" t="s">
        <v>44</v>
      </c>
      <c r="U1102" s="1" t="s">
        <v>2673</v>
      </c>
      <c r="V1102" s="1" t="s">
        <v>64</v>
      </c>
      <c r="W1102" s="7">
        <v>29.29</v>
      </c>
      <c r="X1102" s="1">
        <v>9</v>
      </c>
      <c r="Y1102" s="7">
        <v>29.09</v>
      </c>
      <c r="Z1102" s="7">
        <f t="shared" ref="Z1102:AA1102" si="1125">W1102*X1102</f>
        <v>263.61</v>
      </c>
      <c r="AA1102" s="7">
        <f t="shared" si="1125"/>
        <v>261.81</v>
      </c>
      <c r="AB1102" s="7">
        <f t="shared" si="1045"/>
        <v>1.8000000000000114</v>
      </c>
    </row>
    <row r="1103" spans="1:28">
      <c r="A1103" s="1">
        <v>1102</v>
      </c>
      <c r="B1103" s="1" t="s">
        <v>2668</v>
      </c>
      <c r="C1103" s="2">
        <v>42900</v>
      </c>
      <c r="D1103" s="6" t="str">
        <f t="shared" si="1040"/>
        <v>Jun</v>
      </c>
      <c r="E1103" s="6" t="str">
        <f t="shared" si="1041"/>
        <v>Qtr 2</v>
      </c>
      <c r="F1103" s="5" t="s">
        <v>2669</v>
      </c>
      <c r="G1103" s="1" t="s">
        <v>162</v>
      </c>
      <c r="H1103" s="1" t="s">
        <v>2670</v>
      </c>
      <c r="I1103" s="1" t="s">
        <v>2671</v>
      </c>
      <c r="J1103" s="1" t="str">
        <f ca="1">IFERROR(__xludf.DUMMYFUNCTION("split(I1103,"" "")"),"Paul")</f>
        <v>Paul</v>
      </c>
      <c r="K1103" s="1" t="str">
        <f ca="1">IFERROR(__xludf.DUMMYFUNCTION("""COMPUTED_VALUE"""),"Van")</f>
        <v>Van</v>
      </c>
      <c r="L1103" s="1" t="str">
        <f ca="1">IFERROR(__xludf.DUMMYFUNCTION("""COMPUTED_VALUE"""),"Hugh")</f>
        <v>Hugh</v>
      </c>
      <c r="M1103" s="1" t="s">
        <v>87</v>
      </c>
      <c r="N1103" s="1" t="s">
        <v>30</v>
      </c>
      <c r="O1103" s="1" t="s">
        <v>110</v>
      </c>
      <c r="P1103" s="1" t="str">
        <f t="shared" si="1042"/>
        <v>San Francisco</v>
      </c>
      <c r="Q1103" s="1" t="s">
        <v>68</v>
      </c>
      <c r="R1103" s="1" t="str">
        <f t="shared" si="1043"/>
        <v>California</v>
      </c>
      <c r="S1103" s="1">
        <v>94122</v>
      </c>
      <c r="T1103" s="1" t="s">
        <v>44</v>
      </c>
      <c r="U1103" s="1" t="s">
        <v>2674</v>
      </c>
      <c r="V1103" s="1" t="s">
        <v>46</v>
      </c>
      <c r="W1103" s="7">
        <v>8.64</v>
      </c>
      <c r="X1103" s="1">
        <v>9</v>
      </c>
      <c r="Y1103" s="7">
        <v>7.79</v>
      </c>
      <c r="Z1103" s="7">
        <f t="shared" ref="Z1103:AA1103" si="1126">W1103*X1103</f>
        <v>77.760000000000005</v>
      </c>
      <c r="AA1103" s="7">
        <f t="shared" si="1126"/>
        <v>70.11</v>
      </c>
      <c r="AB1103" s="7">
        <f t="shared" si="1045"/>
        <v>7.6500000000000057</v>
      </c>
    </row>
    <row r="1104" spans="1:28">
      <c r="A1104" s="1">
        <v>1103</v>
      </c>
      <c r="B1104" s="1" t="s">
        <v>2675</v>
      </c>
      <c r="C1104" s="2">
        <v>43211</v>
      </c>
      <c r="D1104" s="6" t="str">
        <f t="shared" si="1040"/>
        <v>Apr</v>
      </c>
      <c r="E1104" s="6" t="str">
        <f t="shared" si="1041"/>
        <v>Qtr 2</v>
      </c>
      <c r="F1104" s="5" t="s">
        <v>2676</v>
      </c>
      <c r="G1104" s="1" t="s">
        <v>49</v>
      </c>
      <c r="H1104" s="1" t="s">
        <v>1782</v>
      </c>
      <c r="I1104" s="1" t="s">
        <v>1783</v>
      </c>
      <c r="J1104" s="1" t="str">
        <f ca="1">IFERROR(__xludf.DUMMYFUNCTION("split(I1104,"" "")"),"Resi")</f>
        <v>Resi</v>
      </c>
      <c r="K1104" s="1" t="str">
        <f ca="1">IFERROR(__xludf.DUMMYFUNCTION("""COMPUTED_VALUE"""),"Pölking")</f>
        <v>Pölking</v>
      </c>
      <c r="L1104" s="1"/>
      <c r="M1104" s="1" t="s">
        <v>29</v>
      </c>
      <c r="N1104" s="1" t="s">
        <v>30</v>
      </c>
      <c r="O1104" s="1" t="s">
        <v>172</v>
      </c>
      <c r="P1104" s="1" t="str">
        <f t="shared" si="1042"/>
        <v>Houston</v>
      </c>
      <c r="Q1104" s="1" t="s">
        <v>89</v>
      </c>
      <c r="R1104" s="1" t="str">
        <f t="shared" si="1043"/>
        <v>Texas</v>
      </c>
      <c r="S1104" s="1">
        <v>77041</v>
      </c>
      <c r="T1104" s="1" t="s">
        <v>90</v>
      </c>
      <c r="U1104" s="1" t="s">
        <v>988</v>
      </c>
      <c r="V1104" s="1" t="s">
        <v>46</v>
      </c>
      <c r="W1104" s="7">
        <v>2.694</v>
      </c>
      <c r="X1104" s="1">
        <v>7</v>
      </c>
      <c r="Y1104" s="7">
        <v>2.64</v>
      </c>
      <c r="Z1104" s="7">
        <f t="shared" ref="Z1104:AA1104" si="1127">W1104*X1104</f>
        <v>18.858000000000001</v>
      </c>
      <c r="AA1104" s="7">
        <f t="shared" si="1127"/>
        <v>18.48</v>
      </c>
      <c r="AB1104" s="7">
        <f t="shared" si="1045"/>
        <v>0.37800000000000011</v>
      </c>
    </row>
    <row r="1105" spans="1:28">
      <c r="A1105" s="1">
        <v>1104</v>
      </c>
      <c r="B1105" s="1" t="s">
        <v>2675</v>
      </c>
      <c r="C1105" s="2">
        <v>43211</v>
      </c>
      <c r="D1105" s="6" t="str">
        <f t="shared" si="1040"/>
        <v>Apr</v>
      </c>
      <c r="E1105" s="6" t="str">
        <f t="shared" si="1041"/>
        <v>Qtr 2</v>
      </c>
      <c r="F1105" s="5" t="s">
        <v>2676</v>
      </c>
      <c r="G1105" s="1" t="s">
        <v>49</v>
      </c>
      <c r="H1105" s="1" t="s">
        <v>1782</v>
      </c>
      <c r="I1105" s="1" t="s">
        <v>1783</v>
      </c>
      <c r="J1105" s="1" t="str">
        <f ca="1">IFERROR(__xludf.DUMMYFUNCTION("split(I1105,"" "")"),"Resi")</f>
        <v>Resi</v>
      </c>
      <c r="K1105" s="1" t="str">
        <f ca="1">IFERROR(__xludf.DUMMYFUNCTION("""COMPUTED_VALUE"""),"Pölking")</f>
        <v>Pölking</v>
      </c>
      <c r="L1105" s="1"/>
      <c r="M1105" s="1" t="s">
        <v>29</v>
      </c>
      <c r="N1105" s="1" t="s">
        <v>30</v>
      </c>
      <c r="O1105" s="1" t="s">
        <v>172</v>
      </c>
      <c r="P1105" s="1" t="str">
        <f t="shared" si="1042"/>
        <v>Houston</v>
      </c>
      <c r="Q1105" s="1" t="s">
        <v>89</v>
      </c>
      <c r="R1105" s="1" t="str">
        <f t="shared" si="1043"/>
        <v>Texas</v>
      </c>
      <c r="S1105" s="1">
        <v>77041</v>
      </c>
      <c r="T1105" s="1" t="s">
        <v>90</v>
      </c>
      <c r="U1105" s="1" t="s">
        <v>2479</v>
      </c>
      <c r="V1105" s="1" t="s">
        <v>46</v>
      </c>
      <c r="W1105" s="7">
        <v>2.9340000000000002</v>
      </c>
      <c r="X1105" s="1">
        <v>7</v>
      </c>
      <c r="Y1105" s="7">
        <v>2.77</v>
      </c>
      <c r="Z1105" s="7">
        <f t="shared" ref="Z1105:AA1105" si="1128">W1105*X1105</f>
        <v>20.538</v>
      </c>
      <c r="AA1105" s="7">
        <f t="shared" si="1128"/>
        <v>19.39</v>
      </c>
      <c r="AB1105" s="7">
        <f t="shared" si="1045"/>
        <v>1.1479999999999997</v>
      </c>
    </row>
    <row r="1106" spans="1:28">
      <c r="A1106" s="1">
        <v>1105</v>
      </c>
      <c r="B1106" s="1" t="s">
        <v>2677</v>
      </c>
      <c r="C1106" s="2">
        <v>43029</v>
      </c>
      <c r="D1106" s="6" t="str">
        <f t="shared" si="1040"/>
        <v>Oct</v>
      </c>
      <c r="E1106" s="6" t="str">
        <f t="shared" si="1041"/>
        <v>Qtr 4</v>
      </c>
      <c r="F1106" s="5" t="s">
        <v>2678</v>
      </c>
      <c r="G1106" s="1" t="s">
        <v>49</v>
      </c>
      <c r="H1106" s="1" t="s">
        <v>2679</v>
      </c>
      <c r="I1106" s="1" t="s">
        <v>2680</v>
      </c>
      <c r="J1106" s="1" t="str">
        <f ca="1">IFERROR(__xludf.DUMMYFUNCTION("split(I1106,"" "")"),"Neoma")</f>
        <v>Neoma</v>
      </c>
      <c r="K1106" s="1" t="str">
        <f ca="1">IFERROR(__xludf.DUMMYFUNCTION("""COMPUTED_VALUE"""),"Murray")</f>
        <v>Murray</v>
      </c>
      <c r="L1106" s="1"/>
      <c r="M1106" s="1" t="s">
        <v>29</v>
      </c>
      <c r="N1106" s="1" t="s">
        <v>30</v>
      </c>
      <c r="O1106" s="1" t="s">
        <v>2351</v>
      </c>
      <c r="P1106" s="1" t="str">
        <f t="shared" si="1042"/>
        <v>Riverside</v>
      </c>
      <c r="Q1106" s="1" t="s">
        <v>68</v>
      </c>
      <c r="R1106" s="1" t="str">
        <f t="shared" si="1043"/>
        <v>California</v>
      </c>
      <c r="S1106" s="1">
        <v>92503</v>
      </c>
      <c r="T1106" s="1" t="s">
        <v>44</v>
      </c>
      <c r="U1106" s="1" t="s">
        <v>2681</v>
      </c>
      <c r="V1106" s="1" t="s">
        <v>46</v>
      </c>
      <c r="W1106" s="7">
        <v>22.92</v>
      </c>
      <c r="X1106" s="1">
        <v>9</v>
      </c>
      <c r="Y1106" s="7">
        <v>22.08</v>
      </c>
      <c r="Z1106" s="7">
        <f t="shared" ref="Z1106:AA1106" si="1129">W1106*X1106</f>
        <v>206.28000000000003</v>
      </c>
      <c r="AA1106" s="7">
        <f t="shared" si="1129"/>
        <v>198.71999999999997</v>
      </c>
      <c r="AB1106" s="7">
        <f t="shared" si="1045"/>
        <v>7.5600000000000591</v>
      </c>
    </row>
    <row r="1107" spans="1:28">
      <c r="A1107" s="1">
        <v>1106</v>
      </c>
      <c r="B1107" s="1" t="s">
        <v>2682</v>
      </c>
      <c r="C1107" s="2">
        <v>43058</v>
      </c>
      <c r="D1107" s="6" t="str">
        <f t="shared" si="1040"/>
        <v>Nov</v>
      </c>
      <c r="E1107" s="6" t="str">
        <f t="shared" si="1041"/>
        <v>Qtr 4</v>
      </c>
      <c r="F1107" s="5" t="s">
        <v>536</v>
      </c>
      <c r="G1107" s="1" t="s">
        <v>49</v>
      </c>
      <c r="H1107" s="1" t="s">
        <v>137</v>
      </c>
      <c r="I1107" s="1" t="s">
        <v>138</v>
      </c>
      <c r="J1107" s="1" t="str">
        <f ca="1">IFERROR(__xludf.DUMMYFUNCTION("split(I1107,"" "")"),"Eric")</f>
        <v>Eric</v>
      </c>
      <c r="K1107" s="1" t="str">
        <f ca="1">IFERROR(__xludf.DUMMYFUNCTION("""COMPUTED_VALUE"""),"Hoffmann")</f>
        <v>Hoffmann</v>
      </c>
      <c r="L1107" s="1"/>
      <c r="M1107" s="1" t="s">
        <v>29</v>
      </c>
      <c r="N1107" s="1" t="s">
        <v>30</v>
      </c>
      <c r="O1107" s="1" t="s">
        <v>172</v>
      </c>
      <c r="P1107" s="1" t="str">
        <f t="shared" si="1042"/>
        <v>Houston</v>
      </c>
      <c r="Q1107" s="1" t="s">
        <v>89</v>
      </c>
      <c r="R1107" s="1" t="str">
        <f t="shared" si="1043"/>
        <v>Texas</v>
      </c>
      <c r="S1107" s="1">
        <v>77041</v>
      </c>
      <c r="T1107" s="1" t="s">
        <v>90</v>
      </c>
      <c r="U1107" s="1" t="s">
        <v>693</v>
      </c>
      <c r="V1107" s="1" t="s">
        <v>46</v>
      </c>
      <c r="W1107" s="7">
        <v>100.70399999999999</v>
      </c>
      <c r="X1107" s="1">
        <v>7</v>
      </c>
      <c r="Y1107" s="7">
        <v>100.68</v>
      </c>
      <c r="Z1107" s="7">
        <f t="shared" ref="Z1107:AA1107" si="1130">W1107*X1107</f>
        <v>704.928</v>
      </c>
      <c r="AA1107" s="7">
        <f t="shared" si="1130"/>
        <v>704.76</v>
      </c>
      <c r="AB1107" s="7">
        <f t="shared" si="1045"/>
        <v>0.16800000000000637</v>
      </c>
    </row>
    <row r="1108" spans="1:28">
      <c r="A1108" s="1">
        <v>1107</v>
      </c>
      <c r="B1108" s="1" t="s">
        <v>2682</v>
      </c>
      <c r="C1108" s="2">
        <v>43058</v>
      </c>
      <c r="D1108" s="6" t="str">
        <f t="shared" si="1040"/>
        <v>Nov</v>
      </c>
      <c r="E1108" s="6" t="str">
        <f t="shared" si="1041"/>
        <v>Qtr 4</v>
      </c>
      <c r="F1108" s="5" t="s">
        <v>536</v>
      </c>
      <c r="G1108" s="1" t="s">
        <v>49</v>
      </c>
      <c r="H1108" s="1" t="s">
        <v>137</v>
      </c>
      <c r="I1108" s="1" t="s">
        <v>138</v>
      </c>
      <c r="J1108" s="1" t="str">
        <f ca="1">IFERROR(__xludf.DUMMYFUNCTION("split(I1108,"" "")"),"Eric")</f>
        <v>Eric</v>
      </c>
      <c r="K1108" s="1" t="str">
        <f ca="1">IFERROR(__xludf.DUMMYFUNCTION("""COMPUTED_VALUE"""),"Hoffmann")</f>
        <v>Hoffmann</v>
      </c>
      <c r="L1108" s="1"/>
      <c r="M1108" s="1" t="s">
        <v>29</v>
      </c>
      <c r="N1108" s="1" t="s">
        <v>30</v>
      </c>
      <c r="O1108" s="1" t="s">
        <v>172</v>
      </c>
      <c r="P1108" s="1" t="str">
        <f t="shared" si="1042"/>
        <v>Houston</v>
      </c>
      <c r="Q1108" s="1" t="s">
        <v>89</v>
      </c>
      <c r="R1108" s="1" t="str">
        <f t="shared" si="1043"/>
        <v>Texas</v>
      </c>
      <c r="S1108" s="1">
        <v>77041</v>
      </c>
      <c r="T1108" s="1" t="s">
        <v>90</v>
      </c>
      <c r="U1108" s="1" t="s">
        <v>1268</v>
      </c>
      <c r="V1108" s="1" t="s">
        <v>35</v>
      </c>
      <c r="W1108" s="7">
        <v>2.3279999999999998</v>
      </c>
      <c r="X1108" s="1">
        <v>7</v>
      </c>
      <c r="Y1108" s="7">
        <v>2.3199999999999998</v>
      </c>
      <c r="Z1108" s="7">
        <f t="shared" ref="Z1108:AA1108" si="1131">W1108*X1108</f>
        <v>16.295999999999999</v>
      </c>
      <c r="AA1108" s="7">
        <f t="shared" si="1131"/>
        <v>16.239999999999998</v>
      </c>
      <c r="AB1108" s="7">
        <f t="shared" si="1045"/>
        <v>5.6000000000000938E-2</v>
      </c>
    </row>
    <row r="1109" spans="1:28">
      <c r="A1109" s="1">
        <v>1108</v>
      </c>
      <c r="B1109" s="1" t="s">
        <v>2682</v>
      </c>
      <c r="C1109" s="2">
        <v>43058</v>
      </c>
      <c r="D1109" s="6" t="str">
        <f t="shared" si="1040"/>
        <v>Nov</v>
      </c>
      <c r="E1109" s="6" t="str">
        <f t="shared" si="1041"/>
        <v>Qtr 4</v>
      </c>
      <c r="F1109" s="5" t="s">
        <v>536</v>
      </c>
      <c r="G1109" s="1" t="s">
        <v>49</v>
      </c>
      <c r="H1109" s="1" t="s">
        <v>137</v>
      </c>
      <c r="I1109" s="1" t="s">
        <v>138</v>
      </c>
      <c r="J1109" s="1" t="str">
        <f ca="1">IFERROR(__xludf.DUMMYFUNCTION("split(I1109,"" "")"),"Eric")</f>
        <v>Eric</v>
      </c>
      <c r="K1109" s="1" t="str">
        <f ca="1">IFERROR(__xludf.DUMMYFUNCTION("""COMPUTED_VALUE"""),"Hoffmann")</f>
        <v>Hoffmann</v>
      </c>
      <c r="L1109" s="1"/>
      <c r="M1109" s="1" t="s">
        <v>29</v>
      </c>
      <c r="N1109" s="1" t="s">
        <v>30</v>
      </c>
      <c r="O1109" s="1" t="s">
        <v>172</v>
      </c>
      <c r="P1109" s="1" t="str">
        <f t="shared" si="1042"/>
        <v>Houston</v>
      </c>
      <c r="Q1109" s="1" t="s">
        <v>89</v>
      </c>
      <c r="R1109" s="1" t="str">
        <f t="shared" si="1043"/>
        <v>Texas</v>
      </c>
      <c r="S1109" s="1">
        <v>77041</v>
      </c>
      <c r="T1109" s="1" t="s">
        <v>90</v>
      </c>
      <c r="U1109" s="1" t="s">
        <v>2683</v>
      </c>
      <c r="V1109" s="1" t="s">
        <v>46</v>
      </c>
      <c r="W1109" s="7">
        <v>10.78</v>
      </c>
      <c r="X1109" s="1">
        <v>7</v>
      </c>
      <c r="Y1109" s="7">
        <v>9.9</v>
      </c>
      <c r="Z1109" s="7">
        <f t="shared" ref="Z1109:AA1109" si="1132">W1109*X1109</f>
        <v>75.459999999999994</v>
      </c>
      <c r="AA1109" s="7">
        <f t="shared" si="1132"/>
        <v>69.3</v>
      </c>
      <c r="AB1109" s="7">
        <f t="shared" si="1045"/>
        <v>6.1599999999999966</v>
      </c>
    </row>
    <row r="1110" spans="1:28">
      <c r="A1110" s="1">
        <v>1109</v>
      </c>
      <c r="B1110" s="1" t="s">
        <v>2682</v>
      </c>
      <c r="C1110" s="2">
        <v>43058</v>
      </c>
      <c r="D1110" s="6" t="str">
        <f t="shared" si="1040"/>
        <v>Nov</v>
      </c>
      <c r="E1110" s="6" t="str">
        <f t="shared" si="1041"/>
        <v>Qtr 4</v>
      </c>
      <c r="F1110" s="5" t="s">
        <v>536</v>
      </c>
      <c r="G1110" s="1" t="s">
        <v>49</v>
      </c>
      <c r="H1110" s="1" t="s">
        <v>137</v>
      </c>
      <c r="I1110" s="1" t="s">
        <v>138</v>
      </c>
      <c r="J1110" s="1" t="str">
        <f ca="1">IFERROR(__xludf.DUMMYFUNCTION("split(I1110,"" "")"),"Eric")</f>
        <v>Eric</v>
      </c>
      <c r="K1110" s="1" t="str">
        <f ca="1">IFERROR(__xludf.DUMMYFUNCTION("""COMPUTED_VALUE"""),"Hoffmann")</f>
        <v>Hoffmann</v>
      </c>
      <c r="L1110" s="1"/>
      <c r="M1110" s="1" t="s">
        <v>29</v>
      </c>
      <c r="N1110" s="1" t="s">
        <v>30</v>
      </c>
      <c r="O1110" s="1" t="s">
        <v>172</v>
      </c>
      <c r="P1110" s="1" t="str">
        <f t="shared" si="1042"/>
        <v>Houston</v>
      </c>
      <c r="Q1110" s="1" t="s">
        <v>89</v>
      </c>
      <c r="R1110" s="1" t="str">
        <f t="shared" si="1043"/>
        <v>Texas</v>
      </c>
      <c r="S1110" s="1">
        <v>77041</v>
      </c>
      <c r="T1110" s="1" t="s">
        <v>90</v>
      </c>
      <c r="U1110" s="1" t="s">
        <v>2684</v>
      </c>
      <c r="V1110" s="1" t="s">
        <v>46</v>
      </c>
      <c r="W1110" s="7">
        <v>58.368000000000002</v>
      </c>
      <c r="X1110" s="1">
        <v>7</v>
      </c>
      <c r="Y1110" s="7">
        <v>57.92</v>
      </c>
      <c r="Z1110" s="7">
        <f t="shared" ref="Z1110:AA1110" si="1133">W1110*X1110</f>
        <v>408.57600000000002</v>
      </c>
      <c r="AA1110" s="7">
        <f t="shared" si="1133"/>
        <v>405.44</v>
      </c>
      <c r="AB1110" s="7">
        <f t="shared" si="1045"/>
        <v>3.1360000000000241</v>
      </c>
    </row>
    <row r="1111" spans="1:28">
      <c r="A1111" s="1">
        <v>1110</v>
      </c>
      <c r="B1111" s="1" t="s">
        <v>2682</v>
      </c>
      <c r="C1111" s="2">
        <v>43058</v>
      </c>
      <c r="D1111" s="6" t="str">
        <f t="shared" si="1040"/>
        <v>Nov</v>
      </c>
      <c r="E1111" s="6" t="str">
        <f t="shared" si="1041"/>
        <v>Qtr 4</v>
      </c>
      <c r="F1111" s="5" t="s">
        <v>536</v>
      </c>
      <c r="G1111" s="1" t="s">
        <v>49</v>
      </c>
      <c r="H1111" s="1" t="s">
        <v>137</v>
      </c>
      <c r="I1111" s="1" t="s">
        <v>138</v>
      </c>
      <c r="J1111" s="1" t="str">
        <f ca="1">IFERROR(__xludf.DUMMYFUNCTION("split(I1111,"" "")"),"Eric")</f>
        <v>Eric</v>
      </c>
      <c r="K1111" s="1" t="str">
        <f ca="1">IFERROR(__xludf.DUMMYFUNCTION("""COMPUTED_VALUE"""),"Hoffmann")</f>
        <v>Hoffmann</v>
      </c>
      <c r="L1111" s="1"/>
      <c r="M1111" s="1" t="s">
        <v>29</v>
      </c>
      <c r="N1111" s="1" t="s">
        <v>30</v>
      </c>
      <c r="O1111" s="1" t="s">
        <v>172</v>
      </c>
      <c r="P1111" s="1" t="str">
        <f t="shared" si="1042"/>
        <v>Houston</v>
      </c>
      <c r="Q1111" s="1" t="s">
        <v>89</v>
      </c>
      <c r="R1111" s="1" t="str">
        <f t="shared" si="1043"/>
        <v>Texas</v>
      </c>
      <c r="S1111" s="1">
        <v>77041</v>
      </c>
      <c r="T1111" s="1" t="s">
        <v>90</v>
      </c>
      <c r="U1111" s="1" t="s">
        <v>2685</v>
      </c>
      <c r="V1111" s="1" t="s">
        <v>46</v>
      </c>
      <c r="W1111" s="7">
        <v>40.968000000000004</v>
      </c>
      <c r="X1111" s="1">
        <v>7</v>
      </c>
      <c r="Y1111" s="7">
        <v>40.93</v>
      </c>
      <c r="Z1111" s="7">
        <f t="shared" ref="Z1111:AA1111" si="1134">W1111*X1111</f>
        <v>286.77600000000001</v>
      </c>
      <c r="AA1111" s="7">
        <f t="shared" si="1134"/>
        <v>286.51</v>
      </c>
      <c r="AB1111" s="7">
        <f t="shared" si="1045"/>
        <v>0.26600000000001955</v>
      </c>
    </row>
    <row r="1112" spans="1:28">
      <c r="A1112" s="1">
        <v>1111</v>
      </c>
      <c r="B1112" s="1" t="s">
        <v>2682</v>
      </c>
      <c r="C1112" s="2">
        <v>43058</v>
      </c>
      <c r="D1112" s="6" t="str">
        <f t="shared" si="1040"/>
        <v>Nov</v>
      </c>
      <c r="E1112" s="6" t="str">
        <f t="shared" si="1041"/>
        <v>Qtr 4</v>
      </c>
      <c r="F1112" s="5" t="s">
        <v>536</v>
      </c>
      <c r="G1112" s="1" t="s">
        <v>49</v>
      </c>
      <c r="H1112" s="1" t="s">
        <v>137</v>
      </c>
      <c r="I1112" s="1" t="s">
        <v>138</v>
      </c>
      <c r="J1112" s="1" t="str">
        <f ca="1">IFERROR(__xludf.DUMMYFUNCTION("split(I1112,"" "")"),"Eric")</f>
        <v>Eric</v>
      </c>
      <c r="K1112" s="1" t="str">
        <f ca="1">IFERROR(__xludf.DUMMYFUNCTION("""COMPUTED_VALUE"""),"Hoffmann")</f>
        <v>Hoffmann</v>
      </c>
      <c r="L1112" s="1"/>
      <c r="M1112" s="1" t="s">
        <v>29</v>
      </c>
      <c r="N1112" s="1" t="s">
        <v>30</v>
      </c>
      <c r="O1112" s="1" t="s">
        <v>172</v>
      </c>
      <c r="P1112" s="1" t="str">
        <f t="shared" si="1042"/>
        <v>Houston</v>
      </c>
      <c r="Q1112" s="1" t="s">
        <v>89</v>
      </c>
      <c r="R1112" s="1" t="str">
        <f t="shared" si="1043"/>
        <v>Texas</v>
      </c>
      <c r="S1112" s="1">
        <v>77041</v>
      </c>
      <c r="T1112" s="1" t="s">
        <v>90</v>
      </c>
      <c r="U1112" s="1" t="s">
        <v>2686</v>
      </c>
      <c r="V1112" s="1" t="s">
        <v>64</v>
      </c>
      <c r="W1112" s="7">
        <v>71.959999999999994</v>
      </c>
      <c r="X1112" s="1">
        <v>7</v>
      </c>
      <c r="Y1112" s="7">
        <v>71.290000000000006</v>
      </c>
      <c r="Z1112" s="7">
        <f t="shared" ref="Z1112:AA1112" si="1135">W1112*X1112</f>
        <v>503.71999999999997</v>
      </c>
      <c r="AA1112" s="7">
        <f t="shared" si="1135"/>
        <v>499.03000000000003</v>
      </c>
      <c r="AB1112" s="7">
        <f t="shared" si="1045"/>
        <v>4.6899999999999409</v>
      </c>
    </row>
    <row r="1113" spans="1:28">
      <c r="A1113" s="1">
        <v>1112</v>
      </c>
      <c r="B1113" s="1" t="s">
        <v>2682</v>
      </c>
      <c r="C1113" s="2">
        <v>43058</v>
      </c>
      <c r="D1113" s="6" t="str">
        <f t="shared" si="1040"/>
        <v>Nov</v>
      </c>
      <c r="E1113" s="6" t="str">
        <f t="shared" si="1041"/>
        <v>Qtr 4</v>
      </c>
      <c r="F1113" s="5" t="s">
        <v>536</v>
      </c>
      <c r="G1113" s="1" t="s">
        <v>49</v>
      </c>
      <c r="H1113" s="1" t="s">
        <v>137</v>
      </c>
      <c r="I1113" s="1" t="s">
        <v>138</v>
      </c>
      <c r="J1113" s="1" t="str">
        <f ca="1">IFERROR(__xludf.DUMMYFUNCTION("split(I1113,"" "")"),"Eric")</f>
        <v>Eric</v>
      </c>
      <c r="K1113" s="1" t="str">
        <f ca="1">IFERROR(__xludf.DUMMYFUNCTION("""COMPUTED_VALUE"""),"Hoffmann")</f>
        <v>Hoffmann</v>
      </c>
      <c r="L1113" s="1"/>
      <c r="M1113" s="1" t="s">
        <v>29</v>
      </c>
      <c r="N1113" s="1" t="s">
        <v>30</v>
      </c>
      <c r="O1113" s="1" t="s">
        <v>172</v>
      </c>
      <c r="P1113" s="1" t="str">
        <f t="shared" si="1042"/>
        <v>Houston</v>
      </c>
      <c r="Q1113" s="1" t="s">
        <v>89</v>
      </c>
      <c r="R1113" s="1" t="str">
        <f t="shared" si="1043"/>
        <v>Texas</v>
      </c>
      <c r="S1113" s="1">
        <v>77041</v>
      </c>
      <c r="T1113" s="1" t="s">
        <v>90</v>
      </c>
      <c r="U1113" s="1" t="s">
        <v>2687</v>
      </c>
      <c r="V1113" s="1" t="s">
        <v>46</v>
      </c>
      <c r="W1113" s="7">
        <v>10.368</v>
      </c>
      <c r="X1113" s="1">
        <v>7</v>
      </c>
      <c r="Y1113" s="7">
        <v>9.6</v>
      </c>
      <c r="Z1113" s="7">
        <f t="shared" ref="Z1113:AA1113" si="1136">W1113*X1113</f>
        <v>72.576000000000008</v>
      </c>
      <c r="AA1113" s="7">
        <f t="shared" si="1136"/>
        <v>67.2</v>
      </c>
      <c r="AB1113" s="7">
        <f t="shared" si="1045"/>
        <v>5.3760000000000048</v>
      </c>
    </row>
    <row r="1114" spans="1:28">
      <c r="A1114" s="1">
        <v>1113</v>
      </c>
      <c r="B1114" s="1" t="s">
        <v>2682</v>
      </c>
      <c r="C1114" s="2">
        <v>43058</v>
      </c>
      <c r="D1114" s="6" t="str">
        <f t="shared" si="1040"/>
        <v>Nov</v>
      </c>
      <c r="E1114" s="6" t="str">
        <f t="shared" si="1041"/>
        <v>Qtr 4</v>
      </c>
      <c r="F1114" s="5" t="s">
        <v>536</v>
      </c>
      <c r="G1114" s="1" t="s">
        <v>49</v>
      </c>
      <c r="H1114" s="1" t="s">
        <v>137</v>
      </c>
      <c r="I1114" s="1" t="s">
        <v>138</v>
      </c>
      <c r="J1114" s="1" t="str">
        <f ca="1">IFERROR(__xludf.DUMMYFUNCTION("split(I1114,"" "")"),"Eric")</f>
        <v>Eric</v>
      </c>
      <c r="K1114" s="1" t="str">
        <f ca="1">IFERROR(__xludf.DUMMYFUNCTION("""COMPUTED_VALUE"""),"Hoffmann")</f>
        <v>Hoffmann</v>
      </c>
      <c r="L1114" s="1"/>
      <c r="M1114" s="1" t="s">
        <v>29</v>
      </c>
      <c r="N1114" s="1" t="s">
        <v>30</v>
      </c>
      <c r="O1114" s="1" t="s">
        <v>172</v>
      </c>
      <c r="P1114" s="1" t="str">
        <f t="shared" si="1042"/>
        <v>Houston</v>
      </c>
      <c r="Q1114" s="1" t="s">
        <v>89</v>
      </c>
      <c r="R1114" s="1" t="str">
        <f t="shared" si="1043"/>
        <v>Texas</v>
      </c>
      <c r="S1114" s="1">
        <v>77041</v>
      </c>
      <c r="T1114" s="1" t="s">
        <v>90</v>
      </c>
      <c r="U1114" s="1" t="s">
        <v>376</v>
      </c>
      <c r="V1114" s="1" t="s">
        <v>46</v>
      </c>
      <c r="W1114" s="7">
        <v>1.1919999999999999</v>
      </c>
      <c r="X1114" s="1">
        <v>7</v>
      </c>
      <c r="Y1114" s="7">
        <v>1.1000000000000001</v>
      </c>
      <c r="Z1114" s="7">
        <f t="shared" ref="Z1114:AA1114" si="1137">W1114*X1114</f>
        <v>8.3439999999999994</v>
      </c>
      <c r="AA1114" s="7">
        <f t="shared" si="1137"/>
        <v>7.7000000000000011</v>
      </c>
      <c r="AB1114" s="7">
        <f t="shared" si="1045"/>
        <v>0.64399999999999835</v>
      </c>
    </row>
    <row r="1115" spans="1:28">
      <c r="A1115" s="1">
        <v>1114</v>
      </c>
      <c r="B1115" s="1" t="s">
        <v>2688</v>
      </c>
      <c r="C1115" s="2">
        <v>43452</v>
      </c>
      <c r="D1115" s="6" t="str">
        <f t="shared" si="1040"/>
        <v>Dec</v>
      </c>
      <c r="E1115" s="6" t="str">
        <f t="shared" si="1041"/>
        <v>Qtr 4</v>
      </c>
      <c r="F1115" s="5" t="s">
        <v>2229</v>
      </c>
      <c r="G1115" s="1" t="s">
        <v>26</v>
      </c>
      <c r="H1115" s="1" t="s">
        <v>1081</v>
      </c>
      <c r="I1115" s="1" t="s">
        <v>1082</v>
      </c>
      <c r="J1115" s="1" t="str">
        <f ca="1">IFERROR(__xludf.DUMMYFUNCTION("split(I1115,"" "")"),"Russell")</f>
        <v>Russell</v>
      </c>
      <c r="K1115" s="1" t="str">
        <f ca="1">IFERROR(__xludf.DUMMYFUNCTION("""COMPUTED_VALUE"""),"Applegate")</f>
        <v>Applegate</v>
      </c>
      <c r="L1115" s="1"/>
      <c r="M1115" s="1" t="s">
        <v>29</v>
      </c>
      <c r="N1115" s="1" t="s">
        <v>30</v>
      </c>
      <c r="O1115" s="1" t="s">
        <v>2689</v>
      </c>
      <c r="P1115" s="1" t="str">
        <f t="shared" si="1042"/>
        <v>Encinitas</v>
      </c>
      <c r="Q1115" s="1" t="s">
        <v>68</v>
      </c>
      <c r="R1115" s="1" t="str">
        <f t="shared" si="1043"/>
        <v>California</v>
      </c>
      <c r="S1115" s="1">
        <v>92024</v>
      </c>
      <c r="T1115" s="1" t="s">
        <v>44</v>
      </c>
      <c r="U1115" s="1" t="s">
        <v>2261</v>
      </c>
      <c r="V1115" s="1" t="s">
        <v>46</v>
      </c>
      <c r="W1115" s="7">
        <v>46.671999999999997</v>
      </c>
      <c r="X1115" s="1">
        <v>9</v>
      </c>
      <c r="Y1115" s="7">
        <v>46.01</v>
      </c>
      <c r="Z1115" s="7">
        <f t="shared" ref="Z1115:AA1115" si="1138">W1115*X1115</f>
        <v>420.048</v>
      </c>
      <c r="AA1115" s="7">
        <f t="shared" si="1138"/>
        <v>414.09</v>
      </c>
      <c r="AB1115" s="7">
        <f t="shared" si="1045"/>
        <v>5.9580000000000268</v>
      </c>
    </row>
    <row r="1116" spans="1:28">
      <c r="A1116" s="1">
        <v>1115</v>
      </c>
      <c r="B1116" s="1" t="s">
        <v>2688</v>
      </c>
      <c r="C1116" s="2">
        <v>43452</v>
      </c>
      <c r="D1116" s="6" t="str">
        <f t="shared" si="1040"/>
        <v>Dec</v>
      </c>
      <c r="E1116" s="6" t="str">
        <f t="shared" si="1041"/>
        <v>Qtr 4</v>
      </c>
      <c r="F1116" s="5" t="s">
        <v>2229</v>
      </c>
      <c r="G1116" s="1" t="s">
        <v>26</v>
      </c>
      <c r="H1116" s="1" t="s">
        <v>1081</v>
      </c>
      <c r="I1116" s="1" t="s">
        <v>1082</v>
      </c>
      <c r="J1116" s="1" t="str">
        <f ca="1">IFERROR(__xludf.DUMMYFUNCTION("split(I1116,"" "")"),"Russell")</f>
        <v>Russell</v>
      </c>
      <c r="K1116" s="1" t="str">
        <f ca="1">IFERROR(__xludf.DUMMYFUNCTION("""COMPUTED_VALUE"""),"Applegate")</f>
        <v>Applegate</v>
      </c>
      <c r="L1116" s="1"/>
      <c r="M1116" s="1" t="s">
        <v>29</v>
      </c>
      <c r="N1116" s="1" t="s">
        <v>30</v>
      </c>
      <c r="O1116" s="1" t="s">
        <v>2689</v>
      </c>
      <c r="P1116" s="1" t="str">
        <f t="shared" si="1042"/>
        <v>Encinitas</v>
      </c>
      <c r="Q1116" s="1" t="s">
        <v>68</v>
      </c>
      <c r="R1116" s="1" t="str">
        <f t="shared" si="1043"/>
        <v>California</v>
      </c>
      <c r="S1116" s="1">
        <v>92024</v>
      </c>
      <c r="T1116" s="1" t="s">
        <v>44</v>
      </c>
      <c r="U1116" s="1" t="s">
        <v>2690</v>
      </c>
      <c r="V1116" s="1" t="s">
        <v>35</v>
      </c>
      <c r="W1116" s="7">
        <v>119.833</v>
      </c>
      <c r="X1116" s="1">
        <v>9</v>
      </c>
      <c r="Y1116" s="7">
        <v>119.49</v>
      </c>
      <c r="Z1116" s="7">
        <f t="shared" ref="Z1116:AA1116" si="1139">W1116*X1116</f>
        <v>1078.4970000000001</v>
      </c>
      <c r="AA1116" s="7">
        <f t="shared" si="1139"/>
        <v>1075.4099999999999</v>
      </c>
      <c r="AB1116" s="7">
        <f t="shared" si="1045"/>
        <v>3.0870000000002165</v>
      </c>
    </row>
    <row r="1117" spans="1:28">
      <c r="A1117" s="1">
        <v>1116</v>
      </c>
      <c r="B1117" s="1" t="s">
        <v>2688</v>
      </c>
      <c r="C1117" s="2">
        <v>43452</v>
      </c>
      <c r="D1117" s="6" t="str">
        <f t="shared" si="1040"/>
        <v>Dec</v>
      </c>
      <c r="E1117" s="6" t="str">
        <f t="shared" si="1041"/>
        <v>Qtr 4</v>
      </c>
      <c r="F1117" s="5" t="s">
        <v>2229</v>
      </c>
      <c r="G1117" s="1" t="s">
        <v>26</v>
      </c>
      <c r="H1117" s="1" t="s">
        <v>1081</v>
      </c>
      <c r="I1117" s="1" t="s">
        <v>1082</v>
      </c>
      <c r="J1117" s="1" t="str">
        <f ca="1">IFERROR(__xludf.DUMMYFUNCTION("split(I1117,"" "")"),"Russell")</f>
        <v>Russell</v>
      </c>
      <c r="K1117" s="1" t="str">
        <f ca="1">IFERROR(__xludf.DUMMYFUNCTION("""COMPUTED_VALUE"""),"Applegate")</f>
        <v>Applegate</v>
      </c>
      <c r="L1117" s="1"/>
      <c r="M1117" s="1" t="s">
        <v>29</v>
      </c>
      <c r="N1117" s="1" t="s">
        <v>30</v>
      </c>
      <c r="O1117" s="1" t="s">
        <v>2689</v>
      </c>
      <c r="P1117" s="1" t="str">
        <f t="shared" si="1042"/>
        <v>Encinitas</v>
      </c>
      <c r="Q1117" s="1" t="s">
        <v>68</v>
      </c>
      <c r="R1117" s="1" t="str">
        <f t="shared" si="1043"/>
        <v>California</v>
      </c>
      <c r="S1117" s="1">
        <v>92024</v>
      </c>
      <c r="T1117" s="1" t="s">
        <v>44</v>
      </c>
      <c r="U1117" s="1" t="s">
        <v>1925</v>
      </c>
      <c r="V1117" s="1" t="s">
        <v>64</v>
      </c>
      <c r="W1117" s="7">
        <v>119.98</v>
      </c>
      <c r="X1117" s="1">
        <v>9</v>
      </c>
      <c r="Y1117" s="7">
        <v>119.77</v>
      </c>
      <c r="Z1117" s="7">
        <f t="shared" ref="Z1117:AA1117" si="1140">W1117*X1117</f>
        <v>1079.82</v>
      </c>
      <c r="AA1117" s="7">
        <f t="shared" si="1140"/>
        <v>1077.93</v>
      </c>
      <c r="AB1117" s="7">
        <f t="shared" si="1045"/>
        <v>1.8899999999998727</v>
      </c>
    </row>
    <row r="1118" spans="1:28">
      <c r="A1118" s="1">
        <v>1117</v>
      </c>
      <c r="B1118" s="1" t="s">
        <v>2691</v>
      </c>
      <c r="C1118" s="2">
        <v>42938</v>
      </c>
      <c r="D1118" s="6" t="str">
        <f t="shared" si="1040"/>
        <v>Jul</v>
      </c>
      <c r="E1118" s="6" t="str">
        <f t="shared" si="1041"/>
        <v>Qtr 3</v>
      </c>
      <c r="F1118" s="5" t="s">
        <v>2692</v>
      </c>
      <c r="G1118" s="1" t="s">
        <v>26</v>
      </c>
      <c r="H1118" s="1" t="s">
        <v>2693</v>
      </c>
      <c r="I1118" s="1" t="s">
        <v>2694</v>
      </c>
      <c r="J1118" s="1" t="str">
        <f ca="1">IFERROR(__xludf.DUMMYFUNCTION("split(I1118,"" "")"),"Dionis")</f>
        <v>Dionis</v>
      </c>
      <c r="K1118" s="1" t="str">
        <f ca="1">IFERROR(__xludf.DUMMYFUNCTION("""COMPUTED_VALUE"""),"Lloyd")</f>
        <v>Lloyd</v>
      </c>
      <c r="L1118" s="1"/>
      <c r="M1118" s="1" t="s">
        <v>41</v>
      </c>
      <c r="N1118" s="1" t="s">
        <v>30</v>
      </c>
      <c r="O1118" s="1" t="s">
        <v>110</v>
      </c>
      <c r="P1118" s="1" t="str">
        <f t="shared" si="1042"/>
        <v>San Francisco</v>
      </c>
      <c r="Q1118" s="1" t="s">
        <v>68</v>
      </c>
      <c r="R1118" s="1" t="str">
        <f t="shared" si="1043"/>
        <v>California</v>
      </c>
      <c r="S1118" s="1">
        <v>94110</v>
      </c>
      <c r="T1118" s="1" t="s">
        <v>44</v>
      </c>
      <c r="U1118" s="1" t="s">
        <v>1173</v>
      </c>
      <c r="V1118" s="1" t="s">
        <v>46</v>
      </c>
      <c r="W1118" s="7">
        <v>6.3</v>
      </c>
      <c r="X1118" s="1">
        <v>9</v>
      </c>
      <c r="Y1118" s="7">
        <v>6.14</v>
      </c>
      <c r="Z1118" s="7">
        <f t="shared" ref="Z1118:AA1118" si="1141">W1118*X1118</f>
        <v>56.699999999999996</v>
      </c>
      <c r="AA1118" s="7">
        <f t="shared" si="1141"/>
        <v>55.26</v>
      </c>
      <c r="AB1118" s="7">
        <f t="shared" si="1045"/>
        <v>1.4399999999999977</v>
      </c>
    </row>
    <row r="1119" spans="1:28">
      <c r="A1119" s="1">
        <v>1118</v>
      </c>
      <c r="B1119" s="1" t="s">
        <v>2695</v>
      </c>
      <c r="C1119" s="2">
        <v>42469</v>
      </c>
      <c r="D1119" s="6" t="str">
        <f t="shared" si="1040"/>
        <v>Apr</v>
      </c>
      <c r="E1119" s="6" t="str">
        <f t="shared" si="1041"/>
        <v>Qtr 2</v>
      </c>
      <c r="F1119" s="5">
        <v>42591</v>
      </c>
      <c r="G1119" s="1" t="s">
        <v>49</v>
      </c>
      <c r="H1119" s="1" t="s">
        <v>2696</v>
      </c>
      <c r="I1119" s="1" t="s">
        <v>2697</v>
      </c>
      <c r="J1119" s="1" t="str">
        <f ca="1">IFERROR(__xludf.DUMMYFUNCTION("split(I1119,"" "")"),"Christine")</f>
        <v>Christine</v>
      </c>
      <c r="K1119" s="1" t="str">
        <f ca="1">IFERROR(__xludf.DUMMYFUNCTION("""COMPUTED_VALUE"""),"Sundaresam")</f>
        <v>Sundaresam</v>
      </c>
      <c r="L1119" s="1"/>
      <c r="M1119" s="1" t="s">
        <v>29</v>
      </c>
      <c r="N1119" s="1" t="s">
        <v>30</v>
      </c>
      <c r="O1119" s="1" t="s">
        <v>2698</v>
      </c>
      <c r="P1119" s="1" t="str">
        <f t="shared" si="1042"/>
        <v>Roswell</v>
      </c>
      <c r="Q1119" s="1" t="s">
        <v>1035</v>
      </c>
      <c r="R1119" s="1" t="str">
        <f t="shared" si="1043"/>
        <v>Georgia</v>
      </c>
      <c r="S1119" s="1">
        <v>30076</v>
      </c>
      <c r="T1119" s="1" t="s">
        <v>33</v>
      </c>
      <c r="U1119" s="1" t="s">
        <v>1019</v>
      </c>
      <c r="V1119" s="1" t="s">
        <v>46</v>
      </c>
      <c r="W1119" s="7">
        <v>279.89999999999998</v>
      </c>
      <c r="X1119" s="1">
        <v>3</v>
      </c>
      <c r="Y1119" s="7">
        <v>279.45</v>
      </c>
      <c r="Z1119" s="7">
        <f t="shared" ref="Z1119:AA1119" si="1142">W1119*X1119</f>
        <v>839.69999999999993</v>
      </c>
      <c r="AA1119" s="7">
        <f t="shared" si="1142"/>
        <v>838.34999999999991</v>
      </c>
      <c r="AB1119" s="7">
        <f t="shared" si="1045"/>
        <v>1.3500000000000227</v>
      </c>
    </row>
    <row r="1120" spans="1:28">
      <c r="A1120" s="1">
        <v>1119</v>
      </c>
      <c r="B1120" s="1" t="s">
        <v>2695</v>
      </c>
      <c r="C1120" s="2">
        <v>42469</v>
      </c>
      <c r="D1120" s="6" t="str">
        <f t="shared" si="1040"/>
        <v>Apr</v>
      </c>
      <c r="E1120" s="6" t="str">
        <f t="shared" si="1041"/>
        <v>Qtr 2</v>
      </c>
      <c r="F1120" s="5">
        <v>42591</v>
      </c>
      <c r="G1120" s="1" t="s">
        <v>49</v>
      </c>
      <c r="H1120" s="1" t="s">
        <v>2696</v>
      </c>
      <c r="I1120" s="1" t="s">
        <v>2697</v>
      </c>
      <c r="J1120" s="1" t="str">
        <f ca="1">IFERROR(__xludf.DUMMYFUNCTION("split(I1120,"" "")"),"Christine")</f>
        <v>Christine</v>
      </c>
      <c r="K1120" s="1" t="str">
        <f ca="1">IFERROR(__xludf.DUMMYFUNCTION("""COMPUTED_VALUE"""),"Sundaresam")</f>
        <v>Sundaresam</v>
      </c>
      <c r="L1120" s="1"/>
      <c r="M1120" s="1" t="s">
        <v>29</v>
      </c>
      <c r="N1120" s="1" t="s">
        <v>30</v>
      </c>
      <c r="O1120" s="1" t="s">
        <v>2698</v>
      </c>
      <c r="P1120" s="1" t="str">
        <f t="shared" si="1042"/>
        <v>Roswell</v>
      </c>
      <c r="Q1120" s="1" t="s">
        <v>1035</v>
      </c>
      <c r="R1120" s="1" t="str">
        <f t="shared" si="1043"/>
        <v>Georgia</v>
      </c>
      <c r="S1120" s="1">
        <v>30076</v>
      </c>
      <c r="T1120" s="1" t="s">
        <v>33</v>
      </c>
      <c r="U1120" s="1" t="s">
        <v>2219</v>
      </c>
      <c r="V1120" s="1" t="s">
        <v>64</v>
      </c>
      <c r="W1120" s="7">
        <v>619.95000000000005</v>
      </c>
      <c r="X1120" s="1">
        <v>3</v>
      </c>
      <c r="Y1120" s="7">
        <v>619.12</v>
      </c>
      <c r="Z1120" s="7">
        <f t="shared" ref="Z1120:AA1120" si="1143">W1120*X1120</f>
        <v>1859.8500000000001</v>
      </c>
      <c r="AA1120" s="7">
        <f t="shared" si="1143"/>
        <v>1857.3600000000001</v>
      </c>
      <c r="AB1120" s="7">
        <f t="shared" si="1045"/>
        <v>2.4900000000000091</v>
      </c>
    </row>
    <row r="1121" spans="1:28">
      <c r="A1121" s="1">
        <v>1120</v>
      </c>
      <c r="B1121" s="1" t="s">
        <v>2695</v>
      </c>
      <c r="C1121" s="2">
        <v>42469</v>
      </c>
      <c r="D1121" s="6" t="str">
        <f t="shared" si="1040"/>
        <v>Apr</v>
      </c>
      <c r="E1121" s="6" t="str">
        <f t="shared" si="1041"/>
        <v>Qtr 2</v>
      </c>
      <c r="F1121" s="5">
        <v>42591</v>
      </c>
      <c r="G1121" s="1" t="s">
        <v>49</v>
      </c>
      <c r="H1121" s="1" t="s">
        <v>2696</v>
      </c>
      <c r="I1121" s="1" t="s">
        <v>2697</v>
      </c>
      <c r="J1121" s="1" t="str">
        <f ca="1">IFERROR(__xludf.DUMMYFUNCTION("split(I1121,"" "")"),"Christine")</f>
        <v>Christine</v>
      </c>
      <c r="K1121" s="1" t="str">
        <f ca="1">IFERROR(__xludf.DUMMYFUNCTION("""COMPUTED_VALUE"""),"Sundaresam")</f>
        <v>Sundaresam</v>
      </c>
      <c r="L1121" s="1"/>
      <c r="M1121" s="1" t="s">
        <v>29</v>
      </c>
      <c r="N1121" s="1" t="s">
        <v>30</v>
      </c>
      <c r="O1121" s="1" t="s">
        <v>2698</v>
      </c>
      <c r="P1121" s="1" t="str">
        <f t="shared" si="1042"/>
        <v>Roswell</v>
      </c>
      <c r="Q1121" s="1" t="s">
        <v>1035</v>
      </c>
      <c r="R1121" s="1" t="str">
        <f t="shared" si="1043"/>
        <v>Georgia</v>
      </c>
      <c r="S1121" s="1">
        <v>30076</v>
      </c>
      <c r="T1121" s="1" t="s">
        <v>33</v>
      </c>
      <c r="U1121" s="1" t="s">
        <v>2699</v>
      </c>
      <c r="V1121" s="1" t="s">
        <v>46</v>
      </c>
      <c r="W1121" s="7">
        <v>4.3600000000000003</v>
      </c>
      <c r="X1121" s="1">
        <v>3</v>
      </c>
      <c r="Y1121" s="7">
        <v>3.73</v>
      </c>
      <c r="Z1121" s="7">
        <f t="shared" ref="Z1121:AA1121" si="1144">W1121*X1121</f>
        <v>13.080000000000002</v>
      </c>
      <c r="AA1121" s="7">
        <f t="shared" si="1144"/>
        <v>11.19</v>
      </c>
      <c r="AB1121" s="7">
        <f t="shared" si="1045"/>
        <v>1.8900000000000023</v>
      </c>
    </row>
    <row r="1122" spans="1:28">
      <c r="A1122" s="1">
        <v>1121</v>
      </c>
      <c r="B1122" s="1" t="s">
        <v>2695</v>
      </c>
      <c r="C1122" s="2">
        <v>42469</v>
      </c>
      <c r="D1122" s="6" t="str">
        <f t="shared" si="1040"/>
        <v>Apr</v>
      </c>
      <c r="E1122" s="6" t="str">
        <f t="shared" si="1041"/>
        <v>Qtr 2</v>
      </c>
      <c r="F1122" s="5">
        <v>42591</v>
      </c>
      <c r="G1122" s="1" t="s">
        <v>49</v>
      </c>
      <c r="H1122" s="1" t="s">
        <v>2696</v>
      </c>
      <c r="I1122" s="1" t="s">
        <v>2697</v>
      </c>
      <c r="J1122" s="1" t="str">
        <f ca="1">IFERROR(__xludf.DUMMYFUNCTION("split(I1122,"" "")"),"Christine")</f>
        <v>Christine</v>
      </c>
      <c r="K1122" s="1" t="str">
        <f ca="1">IFERROR(__xludf.DUMMYFUNCTION("""COMPUTED_VALUE"""),"Sundaresam")</f>
        <v>Sundaresam</v>
      </c>
      <c r="L1122" s="1"/>
      <c r="M1122" s="1" t="s">
        <v>29</v>
      </c>
      <c r="N1122" s="1" t="s">
        <v>30</v>
      </c>
      <c r="O1122" s="1" t="s">
        <v>2698</v>
      </c>
      <c r="P1122" s="1" t="str">
        <f t="shared" si="1042"/>
        <v>Roswell</v>
      </c>
      <c r="Q1122" s="1" t="s">
        <v>1035</v>
      </c>
      <c r="R1122" s="1" t="str">
        <f t="shared" si="1043"/>
        <v>Georgia</v>
      </c>
      <c r="S1122" s="1">
        <v>30076</v>
      </c>
      <c r="T1122" s="1" t="s">
        <v>33</v>
      </c>
      <c r="U1122" s="1" t="s">
        <v>2114</v>
      </c>
      <c r="V1122" s="1" t="s">
        <v>46</v>
      </c>
      <c r="W1122" s="7">
        <v>15.28</v>
      </c>
      <c r="X1122" s="1">
        <v>3</v>
      </c>
      <c r="Y1122" s="7">
        <v>14.37</v>
      </c>
      <c r="Z1122" s="7">
        <f t="shared" ref="Z1122:AA1122" si="1145">W1122*X1122</f>
        <v>45.839999999999996</v>
      </c>
      <c r="AA1122" s="7">
        <f t="shared" si="1145"/>
        <v>43.11</v>
      </c>
      <c r="AB1122" s="7">
        <f t="shared" si="1045"/>
        <v>2.7299999999999969</v>
      </c>
    </row>
    <row r="1123" spans="1:28">
      <c r="A1123" s="1">
        <v>1122</v>
      </c>
      <c r="B1123" s="1" t="s">
        <v>2700</v>
      </c>
      <c r="C1123" s="2">
        <v>42024</v>
      </c>
      <c r="D1123" s="6" t="str">
        <f t="shared" si="1040"/>
        <v>Jan</v>
      </c>
      <c r="E1123" s="6" t="str">
        <f t="shared" si="1041"/>
        <v>Qtr 1</v>
      </c>
      <c r="F1123" s="5" t="s">
        <v>2701</v>
      </c>
      <c r="G1123" s="1" t="s">
        <v>49</v>
      </c>
      <c r="H1123" s="1" t="s">
        <v>2263</v>
      </c>
      <c r="I1123" s="1" t="s">
        <v>2264</v>
      </c>
      <c r="J1123" s="1" t="str">
        <f ca="1">IFERROR(__xludf.DUMMYFUNCTION("split(I1123,"" "")"),"Hunter")</f>
        <v>Hunter</v>
      </c>
      <c r="K1123" s="1" t="str">
        <f ca="1">IFERROR(__xludf.DUMMYFUNCTION("""COMPUTED_VALUE"""),"Lopez")</f>
        <v>Lopez</v>
      </c>
      <c r="L1123" s="1"/>
      <c r="M1123" s="1" t="s">
        <v>29</v>
      </c>
      <c r="N1123" s="1" t="s">
        <v>30</v>
      </c>
      <c r="O1123" s="1" t="s">
        <v>2702</v>
      </c>
      <c r="P1123" s="1" t="str">
        <f t="shared" si="1042"/>
        <v>Jonesboro</v>
      </c>
      <c r="Q1123" s="1" t="s">
        <v>1388</v>
      </c>
      <c r="R1123" s="1" t="str">
        <f t="shared" si="1043"/>
        <v>Arkansas</v>
      </c>
      <c r="S1123" s="1">
        <v>72401</v>
      </c>
      <c r="T1123" s="1" t="s">
        <v>33</v>
      </c>
      <c r="U1123" s="1" t="s">
        <v>2703</v>
      </c>
      <c r="V1123" s="1" t="s">
        <v>64</v>
      </c>
      <c r="W1123" s="7">
        <v>699.93</v>
      </c>
      <c r="X1123" s="1">
        <v>7</v>
      </c>
      <c r="Y1123" s="7">
        <v>699.67</v>
      </c>
      <c r="Z1123" s="7">
        <f t="shared" ref="Z1123:AA1123" si="1146">W1123*X1123</f>
        <v>4899.5099999999993</v>
      </c>
      <c r="AA1123" s="7">
        <f t="shared" si="1146"/>
        <v>4897.6899999999996</v>
      </c>
      <c r="AB1123" s="7">
        <f t="shared" si="1045"/>
        <v>1.819999999999709</v>
      </c>
    </row>
    <row r="1124" spans="1:28">
      <c r="A1124" s="1">
        <v>1123</v>
      </c>
      <c r="B1124" s="1" t="s">
        <v>2700</v>
      </c>
      <c r="C1124" s="2">
        <v>42024</v>
      </c>
      <c r="D1124" s="6" t="str">
        <f t="shared" si="1040"/>
        <v>Jan</v>
      </c>
      <c r="E1124" s="6" t="str">
        <f t="shared" si="1041"/>
        <v>Qtr 1</v>
      </c>
      <c r="F1124" s="5" t="s">
        <v>2701</v>
      </c>
      <c r="G1124" s="1" t="s">
        <v>49</v>
      </c>
      <c r="H1124" s="1" t="s">
        <v>2263</v>
      </c>
      <c r="I1124" s="1" t="s">
        <v>2264</v>
      </c>
      <c r="J1124" s="1" t="str">
        <f ca="1">IFERROR(__xludf.DUMMYFUNCTION("split(I1124,"" "")"),"Hunter")</f>
        <v>Hunter</v>
      </c>
      <c r="K1124" s="1" t="str">
        <f ca="1">IFERROR(__xludf.DUMMYFUNCTION("""COMPUTED_VALUE"""),"Lopez")</f>
        <v>Lopez</v>
      </c>
      <c r="L1124" s="1"/>
      <c r="M1124" s="1" t="s">
        <v>29</v>
      </c>
      <c r="N1124" s="1" t="s">
        <v>30</v>
      </c>
      <c r="O1124" s="1" t="s">
        <v>2702</v>
      </c>
      <c r="P1124" s="1" t="str">
        <f t="shared" si="1042"/>
        <v>Jonesboro</v>
      </c>
      <c r="Q1124" s="1" t="s">
        <v>1388</v>
      </c>
      <c r="R1124" s="1" t="str">
        <f t="shared" si="1043"/>
        <v>Arkansas</v>
      </c>
      <c r="S1124" s="1">
        <v>72401</v>
      </c>
      <c r="T1124" s="1" t="s">
        <v>33</v>
      </c>
      <c r="U1124" s="1" t="s">
        <v>2704</v>
      </c>
      <c r="V1124" s="1" t="s">
        <v>46</v>
      </c>
      <c r="W1124" s="7">
        <v>22.96</v>
      </c>
      <c r="X1124" s="1">
        <v>7</v>
      </c>
      <c r="Y1124" s="7">
        <v>22.2</v>
      </c>
      <c r="Z1124" s="7">
        <f t="shared" ref="Z1124:AA1124" si="1147">W1124*X1124</f>
        <v>160.72</v>
      </c>
      <c r="AA1124" s="7">
        <f t="shared" si="1147"/>
        <v>155.4</v>
      </c>
      <c r="AB1124" s="7">
        <f t="shared" si="1045"/>
        <v>5.3199999999999932</v>
      </c>
    </row>
    <row r="1125" spans="1:28">
      <c r="A1125" s="1">
        <v>1124</v>
      </c>
      <c r="B1125" s="1" t="s">
        <v>2700</v>
      </c>
      <c r="C1125" s="2">
        <v>42024</v>
      </c>
      <c r="D1125" s="6" t="str">
        <f t="shared" si="1040"/>
        <v>Jan</v>
      </c>
      <c r="E1125" s="6" t="str">
        <f t="shared" si="1041"/>
        <v>Qtr 1</v>
      </c>
      <c r="F1125" s="5" t="s">
        <v>2701</v>
      </c>
      <c r="G1125" s="1" t="s">
        <v>49</v>
      </c>
      <c r="H1125" s="1" t="s">
        <v>2263</v>
      </c>
      <c r="I1125" s="1" t="s">
        <v>2264</v>
      </c>
      <c r="J1125" s="1" t="str">
        <f ca="1">IFERROR(__xludf.DUMMYFUNCTION("split(I1125,"" "")"),"Hunter")</f>
        <v>Hunter</v>
      </c>
      <c r="K1125" s="1" t="str">
        <f ca="1">IFERROR(__xludf.DUMMYFUNCTION("""COMPUTED_VALUE"""),"Lopez")</f>
        <v>Lopez</v>
      </c>
      <c r="L1125" s="1"/>
      <c r="M1125" s="1" t="s">
        <v>29</v>
      </c>
      <c r="N1125" s="1" t="s">
        <v>30</v>
      </c>
      <c r="O1125" s="1" t="s">
        <v>2702</v>
      </c>
      <c r="P1125" s="1" t="str">
        <f t="shared" si="1042"/>
        <v>Jonesboro</v>
      </c>
      <c r="Q1125" s="1" t="s">
        <v>1388</v>
      </c>
      <c r="R1125" s="1" t="str">
        <f t="shared" si="1043"/>
        <v>Arkansas</v>
      </c>
      <c r="S1125" s="1">
        <v>72401</v>
      </c>
      <c r="T1125" s="1" t="s">
        <v>33</v>
      </c>
      <c r="U1125" s="1" t="s">
        <v>298</v>
      </c>
      <c r="V1125" s="1" t="s">
        <v>35</v>
      </c>
      <c r="W1125" s="7">
        <v>38.6</v>
      </c>
      <c r="X1125" s="1">
        <v>7</v>
      </c>
      <c r="Y1125" s="7">
        <v>38.22</v>
      </c>
      <c r="Z1125" s="7">
        <f t="shared" ref="Z1125:AA1125" si="1148">W1125*X1125</f>
        <v>270.2</v>
      </c>
      <c r="AA1125" s="7">
        <f t="shared" si="1148"/>
        <v>267.53999999999996</v>
      </c>
      <c r="AB1125" s="7">
        <f t="shared" si="1045"/>
        <v>2.660000000000025</v>
      </c>
    </row>
    <row r="1126" spans="1:28">
      <c r="A1126" s="1">
        <v>1125</v>
      </c>
      <c r="B1126" s="1" t="s">
        <v>2700</v>
      </c>
      <c r="C1126" s="2">
        <v>42024</v>
      </c>
      <c r="D1126" s="6" t="str">
        <f t="shared" si="1040"/>
        <v>Jan</v>
      </c>
      <c r="E1126" s="6" t="str">
        <f t="shared" si="1041"/>
        <v>Qtr 1</v>
      </c>
      <c r="F1126" s="5" t="s">
        <v>2701</v>
      </c>
      <c r="G1126" s="1" t="s">
        <v>49</v>
      </c>
      <c r="H1126" s="1" t="s">
        <v>2263</v>
      </c>
      <c r="I1126" s="1" t="s">
        <v>2264</v>
      </c>
      <c r="J1126" s="1" t="str">
        <f ca="1">IFERROR(__xludf.DUMMYFUNCTION("split(I1126,"" "")"),"Hunter")</f>
        <v>Hunter</v>
      </c>
      <c r="K1126" s="1" t="str">
        <f ca="1">IFERROR(__xludf.DUMMYFUNCTION("""COMPUTED_VALUE"""),"Lopez")</f>
        <v>Lopez</v>
      </c>
      <c r="L1126" s="1"/>
      <c r="M1126" s="1" t="s">
        <v>29</v>
      </c>
      <c r="N1126" s="1" t="s">
        <v>30</v>
      </c>
      <c r="O1126" s="1" t="s">
        <v>2702</v>
      </c>
      <c r="P1126" s="1" t="str">
        <f t="shared" si="1042"/>
        <v>Jonesboro</v>
      </c>
      <c r="Q1126" s="1" t="s">
        <v>1388</v>
      </c>
      <c r="R1126" s="1" t="str">
        <f t="shared" si="1043"/>
        <v>Arkansas</v>
      </c>
      <c r="S1126" s="1">
        <v>72401</v>
      </c>
      <c r="T1126" s="1" t="s">
        <v>33</v>
      </c>
      <c r="U1126" s="1" t="s">
        <v>1428</v>
      </c>
      <c r="V1126" s="1" t="s">
        <v>46</v>
      </c>
      <c r="W1126" s="7">
        <v>6.63</v>
      </c>
      <c r="X1126" s="1">
        <v>7</v>
      </c>
      <c r="Y1126" s="7">
        <v>6.15</v>
      </c>
      <c r="Z1126" s="7">
        <f t="shared" ref="Z1126:AA1126" si="1149">W1126*X1126</f>
        <v>46.41</v>
      </c>
      <c r="AA1126" s="7">
        <f t="shared" si="1149"/>
        <v>43.050000000000004</v>
      </c>
      <c r="AB1126" s="7">
        <f t="shared" si="1045"/>
        <v>3.3599999999999923</v>
      </c>
    </row>
    <row r="1127" spans="1:28">
      <c r="A1127" s="1">
        <v>1126</v>
      </c>
      <c r="B1127" s="1" t="s">
        <v>2700</v>
      </c>
      <c r="C1127" s="2">
        <v>42024</v>
      </c>
      <c r="D1127" s="6" t="str">
        <f t="shared" si="1040"/>
        <v>Jan</v>
      </c>
      <c r="E1127" s="6" t="str">
        <f t="shared" si="1041"/>
        <v>Qtr 1</v>
      </c>
      <c r="F1127" s="5" t="s">
        <v>2701</v>
      </c>
      <c r="G1127" s="1" t="s">
        <v>49</v>
      </c>
      <c r="H1127" s="1" t="s">
        <v>2263</v>
      </c>
      <c r="I1127" s="1" t="s">
        <v>2264</v>
      </c>
      <c r="J1127" s="1" t="str">
        <f ca="1">IFERROR(__xludf.DUMMYFUNCTION("split(I1127,"" "")"),"Hunter")</f>
        <v>Hunter</v>
      </c>
      <c r="K1127" s="1" t="str">
        <f ca="1">IFERROR(__xludf.DUMMYFUNCTION("""COMPUTED_VALUE"""),"Lopez")</f>
        <v>Lopez</v>
      </c>
      <c r="L1127" s="1"/>
      <c r="M1127" s="1" t="s">
        <v>29</v>
      </c>
      <c r="N1127" s="1" t="s">
        <v>30</v>
      </c>
      <c r="O1127" s="1" t="s">
        <v>2702</v>
      </c>
      <c r="P1127" s="1" t="str">
        <f t="shared" si="1042"/>
        <v>Jonesboro</v>
      </c>
      <c r="Q1127" s="1" t="s">
        <v>1388</v>
      </c>
      <c r="R1127" s="1" t="str">
        <f t="shared" si="1043"/>
        <v>Arkansas</v>
      </c>
      <c r="S1127" s="1">
        <v>72401</v>
      </c>
      <c r="T1127" s="1" t="s">
        <v>33</v>
      </c>
      <c r="U1127" s="1" t="s">
        <v>2705</v>
      </c>
      <c r="V1127" s="1" t="s">
        <v>46</v>
      </c>
      <c r="W1127" s="7">
        <v>23.34</v>
      </c>
      <c r="X1127" s="1">
        <v>7</v>
      </c>
      <c r="Y1127" s="7">
        <v>22.41</v>
      </c>
      <c r="Z1127" s="7">
        <f t="shared" ref="Z1127:AA1127" si="1150">W1127*X1127</f>
        <v>163.38</v>
      </c>
      <c r="AA1127" s="7">
        <f t="shared" si="1150"/>
        <v>156.87</v>
      </c>
      <c r="AB1127" s="7">
        <f t="shared" si="1045"/>
        <v>6.5099999999999909</v>
      </c>
    </row>
    <row r="1128" spans="1:28">
      <c r="A1128" s="1">
        <v>1127</v>
      </c>
      <c r="B1128" s="1" t="s">
        <v>2700</v>
      </c>
      <c r="C1128" s="2">
        <v>42024</v>
      </c>
      <c r="D1128" s="6" t="str">
        <f t="shared" si="1040"/>
        <v>Jan</v>
      </c>
      <c r="E1128" s="6" t="str">
        <f t="shared" si="1041"/>
        <v>Qtr 1</v>
      </c>
      <c r="F1128" s="5" t="s">
        <v>2701</v>
      </c>
      <c r="G1128" s="1" t="s">
        <v>49</v>
      </c>
      <c r="H1128" s="1" t="s">
        <v>2263</v>
      </c>
      <c r="I1128" s="1" t="s">
        <v>2264</v>
      </c>
      <c r="J1128" s="1" t="str">
        <f ca="1">IFERROR(__xludf.DUMMYFUNCTION("split(I1128,"" "")"),"Hunter")</f>
        <v>Hunter</v>
      </c>
      <c r="K1128" s="1" t="str">
        <f ca="1">IFERROR(__xludf.DUMMYFUNCTION("""COMPUTED_VALUE"""),"Lopez")</f>
        <v>Lopez</v>
      </c>
      <c r="L1128" s="1"/>
      <c r="M1128" s="1" t="s">
        <v>29</v>
      </c>
      <c r="N1128" s="1" t="s">
        <v>30</v>
      </c>
      <c r="O1128" s="1" t="s">
        <v>2702</v>
      </c>
      <c r="P1128" s="1" t="str">
        <f t="shared" si="1042"/>
        <v>Jonesboro</v>
      </c>
      <c r="Q1128" s="1" t="s">
        <v>1388</v>
      </c>
      <c r="R1128" s="1" t="str">
        <f t="shared" si="1043"/>
        <v>Arkansas</v>
      </c>
      <c r="S1128" s="1">
        <v>72401</v>
      </c>
      <c r="T1128" s="1" t="s">
        <v>33</v>
      </c>
      <c r="U1128" s="1" t="s">
        <v>1293</v>
      </c>
      <c r="V1128" s="1" t="s">
        <v>35</v>
      </c>
      <c r="W1128" s="7">
        <v>1067.94</v>
      </c>
      <c r="X1128" s="1">
        <v>7</v>
      </c>
      <c r="Y1128" s="7">
        <v>1067.08</v>
      </c>
      <c r="Z1128" s="7">
        <f t="shared" ref="Z1128:AA1128" si="1151">W1128*X1128</f>
        <v>7475.58</v>
      </c>
      <c r="AA1128" s="7">
        <f t="shared" si="1151"/>
        <v>7469.5599999999995</v>
      </c>
      <c r="AB1128" s="7">
        <f t="shared" si="1045"/>
        <v>6.0200000000004366</v>
      </c>
    </row>
    <row r="1129" spans="1:28">
      <c r="A1129" s="1">
        <v>1128</v>
      </c>
      <c r="B1129" s="1" t="s">
        <v>2706</v>
      </c>
      <c r="C1129" s="2">
        <v>42403</v>
      </c>
      <c r="D1129" s="6" t="str">
        <f t="shared" si="1040"/>
        <v>Feb</v>
      </c>
      <c r="E1129" s="6" t="str">
        <f t="shared" si="1041"/>
        <v>Qtr 1</v>
      </c>
      <c r="F1129" s="5">
        <v>42554</v>
      </c>
      <c r="G1129" s="1" t="s">
        <v>49</v>
      </c>
      <c r="H1129" s="1" t="s">
        <v>400</v>
      </c>
      <c r="I1129" s="1" t="s">
        <v>401</v>
      </c>
      <c r="J1129" s="1" t="str">
        <f ca="1">IFERROR(__xludf.DUMMYFUNCTION("split(I1129,"" "")"),"Pete")</f>
        <v>Pete</v>
      </c>
      <c r="K1129" s="1" t="str">
        <f ca="1">IFERROR(__xludf.DUMMYFUNCTION("""COMPUTED_VALUE"""),"Armstrong")</f>
        <v>Armstrong</v>
      </c>
      <c r="L1129" s="1"/>
      <c r="M1129" s="1" t="s">
        <v>87</v>
      </c>
      <c r="N1129" s="1" t="s">
        <v>30</v>
      </c>
      <c r="O1129" s="1" t="s">
        <v>1192</v>
      </c>
      <c r="P1129" s="1" t="str">
        <f t="shared" si="1042"/>
        <v>Richmond</v>
      </c>
      <c r="Q1129" s="1" t="s">
        <v>224</v>
      </c>
      <c r="R1129" s="1" t="str">
        <f t="shared" si="1043"/>
        <v>Indiana</v>
      </c>
      <c r="S1129" s="1">
        <v>47374</v>
      </c>
      <c r="T1129" s="1" t="s">
        <v>90</v>
      </c>
      <c r="U1129" s="1" t="s">
        <v>1276</v>
      </c>
      <c r="V1129" s="1" t="s">
        <v>46</v>
      </c>
      <c r="W1129" s="7">
        <v>10.16</v>
      </c>
      <c r="X1129" s="1">
        <v>4</v>
      </c>
      <c r="Y1129" s="7">
        <v>9.4499999999999993</v>
      </c>
      <c r="Z1129" s="7">
        <f t="shared" ref="Z1129:AA1129" si="1152">W1129*X1129</f>
        <v>40.64</v>
      </c>
      <c r="AA1129" s="7">
        <f t="shared" si="1152"/>
        <v>37.799999999999997</v>
      </c>
      <c r="AB1129" s="7">
        <f t="shared" si="1045"/>
        <v>2.8400000000000034</v>
      </c>
    </row>
    <row r="1130" spans="1:28">
      <c r="A1130" s="1">
        <v>1129</v>
      </c>
      <c r="B1130" s="1" t="s">
        <v>2706</v>
      </c>
      <c r="C1130" s="2">
        <v>42403</v>
      </c>
      <c r="D1130" s="6" t="str">
        <f t="shared" si="1040"/>
        <v>Feb</v>
      </c>
      <c r="E1130" s="6" t="str">
        <f t="shared" si="1041"/>
        <v>Qtr 1</v>
      </c>
      <c r="F1130" s="5">
        <v>42554</v>
      </c>
      <c r="G1130" s="1" t="s">
        <v>49</v>
      </c>
      <c r="H1130" s="1" t="s">
        <v>400</v>
      </c>
      <c r="I1130" s="1" t="s">
        <v>401</v>
      </c>
      <c r="J1130" s="1" t="str">
        <f ca="1">IFERROR(__xludf.DUMMYFUNCTION("split(I1130,"" "")"),"Pete")</f>
        <v>Pete</v>
      </c>
      <c r="K1130" s="1" t="str">
        <f ca="1">IFERROR(__xludf.DUMMYFUNCTION("""COMPUTED_VALUE"""),"Armstrong")</f>
        <v>Armstrong</v>
      </c>
      <c r="L1130" s="1"/>
      <c r="M1130" s="1" t="s">
        <v>87</v>
      </c>
      <c r="N1130" s="1" t="s">
        <v>30</v>
      </c>
      <c r="O1130" s="1" t="s">
        <v>1192</v>
      </c>
      <c r="P1130" s="1" t="str">
        <f t="shared" si="1042"/>
        <v>Richmond</v>
      </c>
      <c r="Q1130" s="1" t="s">
        <v>224</v>
      </c>
      <c r="R1130" s="1" t="str">
        <f t="shared" si="1043"/>
        <v>Indiana</v>
      </c>
      <c r="S1130" s="1">
        <v>47374</v>
      </c>
      <c r="T1130" s="1" t="s">
        <v>90</v>
      </c>
      <c r="U1130" s="1" t="s">
        <v>1984</v>
      </c>
      <c r="V1130" s="1" t="s">
        <v>46</v>
      </c>
      <c r="W1130" s="7">
        <v>101.88</v>
      </c>
      <c r="X1130" s="1">
        <v>4</v>
      </c>
      <c r="Y1130" s="7">
        <v>101.58</v>
      </c>
      <c r="Z1130" s="7">
        <f t="shared" ref="Z1130:AA1130" si="1153">W1130*X1130</f>
        <v>407.52</v>
      </c>
      <c r="AA1130" s="7">
        <f t="shared" si="1153"/>
        <v>406.32</v>
      </c>
      <c r="AB1130" s="7">
        <f t="shared" si="1045"/>
        <v>1.1999999999999886</v>
      </c>
    </row>
    <row r="1131" spans="1:28">
      <c r="A1131" s="1">
        <v>1130</v>
      </c>
      <c r="B1131" s="1" t="s">
        <v>2707</v>
      </c>
      <c r="C1131" s="2">
        <v>43073</v>
      </c>
      <c r="D1131" s="6" t="str">
        <f t="shared" si="1040"/>
        <v>Dec</v>
      </c>
      <c r="E1131" s="6" t="str">
        <f t="shared" si="1041"/>
        <v>Qtr 4</v>
      </c>
      <c r="F1131" s="5" t="s">
        <v>2708</v>
      </c>
      <c r="G1131" s="1" t="s">
        <v>49</v>
      </c>
      <c r="H1131" s="1" t="s">
        <v>1452</v>
      </c>
      <c r="I1131" s="1" t="s">
        <v>1453</v>
      </c>
      <c r="J1131" s="1" t="str">
        <f ca="1">IFERROR(__xludf.DUMMYFUNCTION("split(I1131,"" "")"),"Brian")</f>
        <v>Brian</v>
      </c>
      <c r="K1131" s="1" t="str">
        <f ca="1">IFERROR(__xludf.DUMMYFUNCTION("""COMPUTED_VALUE"""),"Dahlen")</f>
        <v>Dahlen</v>
      </c>
      <c r="L1131" s="1"/>
      <c r="M1131" s="1" t="s">
        <v>29</v>
      </c>
      <c r="N1131" s="1" t="s">
        <v>30</v>
      </c>
      <c r="O1131" s="1" t="s">
        <v>271</v>
      </c>
      <c r="P1131" s="1" t="str">
        <f t="shared" si="1042"/>
        <v>Springfield</v>
      </c>
      <c r="Q1131" s="1" t="s">
        <v>272</v>
      </c>
      <c r="R1131" s="1" t="str">
        <f t="shared" si="1043"/>
        <v>Virginia</v>
      </c>
      <c r="S1131" s="1">
        <v>22153</v>
      </c>
      <c r="T1131" s="1" t="s">
        <v>33</v>
      </c>
      <c r="U1131" s="1" t="s">
        <v>2709</v>
      </c>
      <c r="V1131" s="1" t="s">
        <v>35</v>
      </c>
      <c r="W1131" s="7">
        <v>343.92</v>
      </c>
      <c r="X1131" s="1">
        <v>2</v>
      </c>
      <c r="Y1131" s="7">
        <v>343.14</v>
      </c>
      <c r="Z1131" s="7">
        <f t="shared" ref="Z1131:AA1131" si="1154">W1131*X1131</f>
        <v>687.84</v>
      </c>
      <c r="AA1131" s="7">
        <f t="shared" si="1154"/>
        <v>686.28</v>
      </c>
      <c r="AB1131" s="7">
        <f t="shared" si="1045"/>
        <v>1.5600000000000591</v>
      </c>
    </row>
    <row r="1132" spans="1:28">
      <c r="A1132" s="1">
        <v>1131</v>
      </c>
      <c r="B1132" s="1" t="s">
        <v>2707</v>
      </c>
      <c r="C1132" s="2">
        <v>43073</v>
      </c>
      <c r="D1132" s="6" t="str">
        <f t="shared" si="1040"/>
        <v>Dec</v>
      </c>
      <c r="E1132" s="6" t="str">
        <f t="shared" si="1041"/>
        <v>Qtr 4</v>
      </c>
      <c r="F1132" s="5" t="s">
        <v>2708</v>
      </c>
      <c r="G1132" s="1" t="s">
        <v>49</v>
      </c>
      <c r="H1132" s="1" t="s">
        <v>1452</v>
      </c>
      <c r="I1132" s="1" t="s">
        <v>1453</v>
      </c>
      <c r="J1132" s="1" t="str">
        <f ca="1">IFERROR(__xludf.DUMMYFUNCTION("split(I1132,"" "")"),"Brian")</f>
        <v>Brian</v>
      </c>
      <c r="K1132" s="1" t="str">
        <f ca="1">IFERROR(__xludf.DUMMYFUNCTION("""COMPUTED_VALUE"""),"Dahlen")</f>
        <v>Dahlen</v>
      </c>
      <c r="L1132" s="1"/>
      <c r="M1132" s="1" t="s">
        <v>29</v>
      </c>
      <c r="N1132" s="1" t="s">
        <v>30</v>
      </c>
      <c r="O1132" s="1" t="s">
        <v>271</v>
      </c>
      <c r="P1132" s="1" t="str">
        <f t="shared" si="1042"/>
        <v>Springfield</v>
      </c>
      <c r="Q1132" s="1" t="s">
        <v>272</v>
      </c>
      <c r="R1132" s="1" t="str">
        <f t="shared" si="1043"/>
        <v>Virginia</v>
      </c>
      <c r="S1132" s="1">
        <v>22153</v>
      </c>
      <c r="T1132" s="1" t="s">
        <v>33</v>
      </c>
      <c r="U1132" s="1" t="s">
        <v>2710</v>
      </c>
      <c r="V1132" s="1" t="s">
        <v>46</v>
      </c>
      <c r="W1132" s="7">
        <v>40.99</v>
      </c>
      <c r="X1132" s="1">
        <v>2</v>
      </c>
      <c r="Y1132" s="7">
        <v>40.98</v>
      </c>
      <c r="Z1132" s="7">
        <f t="shared" ref="Z1132:AA1132" si="1155">W1132*X1132</f>
        <v>81.98</v>
      </c>
      <c r="AA1132" s="7">
        <f t="shared" si="1155"/>
        <v>81.96</v>
      </c>
      <c r="AB1132" s="7">
        <f t="shared" si="1045"/>
        <v>2.0000000000010232E-2</v>
      </c>
    </row>
    <row r="1133" spans="1:28">
      <c r="A1133" s="1">
        <v>1132</v>
      </c>
      <c r="B1133" s="1" t="s">
        <v>2707</v>
      </c>
      <c r="C1133" s="2">
        <v>43073</v>
      </c>
      <c r="D1133" s="6" t="str">
        <f t="shared" si="1040"/>
        <v>Dec</v>
      </c>
      <c r="E1133" s="6" t="str">
        <f t="shared" si="1041"/>
        <v>Qtr 4</v>
      </c>
      <c r="F1133" s="5" t="s">
        <v>2708</v>
      </c>
      <c r="G1133" s="1" t="s">
        <v>49</v>
      </c>
      <c r="H1133" s="1" t="s">
        <v>1452</v>
      </c>
      <c r="I1133" s="1" t="s">
        <v>1453</v>
      </c>
      <c r="J1133" s="1" t="str">
        <f ca="1">IFERROR(__xludf.DUMMYFUNCTION("split(I1133,"" "")"),"Brian")</f>
        <v>Brian</v>
      </c>
      <c r="K1133" s="1" t="str">
        <f ca="1">IFERROR(__xludf.DUMMYFUNCTION("""COMPUTED_VALUE"""),"Dahlen")</f>
        <v>Dahlen</v>
      </c>
      <c r="L1133" s="1"/>
      <c r="M1133" s="1" t="s">
        <v>29</v>
      </c>
      <c r="N1133" s="1" t="s">
        <v>30</v>
      </c>
      <c r="O1133" s="1" t="s">
        <v>271</v>
      </c>
      <c r="P1133" s="1" t="str">
        <f t="shared" si="1042"/>
        <v>Springfield</v>
      </c>
      <c r="Q1133" s="1" t="s">
        <v>272</v>
      </c>
      <c r="R1133" s="1" t="str">
        <f t="shared" si="1043"/>
        <v>Virginia</v>
      </c>
      <c r="S1133" s="1">
        <v>22153</v>
      </c>
      <c r="T1133" s="1" t="s">
        <v>33</v>
      </c>
      <c r="U1133" s="1" t="s">
        <v>441</v>
      </c>
      <c r="V1133" s="1" t="s">
        <v>46</v>
      </c>
      <c r="W1133" s="7">
        <v>63.9</v>
      </c>
      <c r="X1133" s="1">
        <v>2</v>
      </c>
      <c r="Y1133" s="7">
        <v>63.42</v>
      </c>
      <c r="Z1133" s="7">
        <f t="shared" ref="Z1133:AA1133" si="1156">W1133*X1133</f>
        <v>127.8</v>
      </c>
      <c r="AA1133" s="7">
        <f t="shared" si="1156"/>
        <v>126.84</v>
      </c>
      <c r="AB1133" s="7">
        <f t="shared" si="1045"/>
        <v>0.95999999999999375</v>
      </c>
    </row>
    <row r="1134" spans="1:28">
      <c r="A1134" s="1">
        <v>1133</v>
      </c>
      <c r="B1134" s="1" t="s">
        <v>2711</v>
      </c>
      <c r="C1134" s="2">
        <v>42898</v>
      </c>
      <c r="D1134" s="6" t="str">
        <f t="shared" si="1040"/>
        <v>Jun</v>
      </c>
      <c r="E1134" s="6" t="str">
        <f t="shared" si="1041"/>
        <v>Qtr 2</v>
      </c>
      <c r="F1134" s="5">
        <v>42928</v>
      </c>
      <c r="G1134" s="1" t="s">
        <v>162</v>
      </c>
      <c r="H1134" s="1" t="s">
        <v>431</v>
      </c>
      <c r="I1134" s="1" t="s">
        <v>432</v>
      </c>
      <c r="J1134" s="1" t="str">
        <f ca="1">IFERROR(__xludf.DUMMYFUNCTION("split(I1134,"" "")"),"Greg")</f>
        <v>Greg</v>
      </c>
      <c r="K1134" s="1" t="str">
        <f ca="1">IFERROR(__xludf.DUMMYFUNCTION("""COMPUTED_VALUE"""),"Guthrie")</f>
        <v>Guthrie</v>
      </c>
      <c r="L1134" s="1"/>
      <c r="M1134" s="1" t="s">
        <v>41</v>
      </c>
      <c r="N1134" s="1" t="s">
        <v>30</v>
      </c>
      <c r="O1134" s="1" t="s">
        <v>2712</v>
      </c>
      <c r="P1134" s="1" t="str">
        <f t="shared" si="1042"/>
        <v>Antioch</v>
      </c>
      <c r="Q1134" s="1" t="s">
        <v>68</v>
      </c>
      <c r="R1134" s="1" t="str">
        <f t="shared" si="1043"/>
        <v>California</v>
      </c>
      <c r="S1134" s="1">
        <v>94509</v>
      </c>
      <c r="T1134" s="1" t="s">
        <v>44</v>
      </c>
      <c r="U1134" s="1" t="s">
        <v>866</v>
      </c>
      <c r="V1134" s="1" t="s">
        <v>46</v>
      </c>
      <c r="W1134" s="7">
        <v>19.440000000000001</v>
      </c>
      <c r="X1134" s="1">
        <v>9</v>
      </c>
      <c r="Y1134" s="7">
        <v>18.98</v>
      </c>
      <c r="Z1134" s="7">
        <f t="shared" ref="Z1134:AA1134" si="1157">W1134*X1134</f>
        <v>174.96</v>
      </c>
      <c r="AA1134" s="7">
        <f t="shared" si="1157"/>
        <v>170.82</v>
      </c>
      <c r="AB1134" s="7">
        <f t="shared" si="1045"/>
        <v>4.1400000000000148</v>
      </c>
    </row>
    <row r="1135" spans="1:28">
      <c r="A1135" s="1">
        <v>1134</v>
      </c>
      <c r="B1135" s="1" t="s">
        <v>2713</v>
      </c>
      <c r="C1135" s="2">
        <v>42861</v>
      </c>
      <c r="D1135" s="6" t="str">
        <f t="shared" si="1040"/>
        <v>May</v>
      </c>
      <c r="E1135" s="6" t="str">
        <f t="shared" si="1041"/>
        <v>Qtr 2</v>
      </c>
      <c r="F1135" s="5">
        <v>42984</v>
      </c>
      <c r="G1135" s="1" t="s">
        <v>49</v>
      </c>
      <c r="H1135" s="1" t="s">
        <v>1309</v>
      </c>
      <c r="I1135" s="1" t="s">
        <v>1310</v>
      </c>
      <c r="J1135" s="1" t="str">
        <f ca="1">IFERROR(__xludf.DUMMYFUNCTION("split(I1135,"" "")"),"Joni")</f>
        <v>Joni</v>
      </c>
      <c r="K1135" s="1" t="str">
        <f ca="1">IFERROR(__xludf.DUMMYFUNCTION("""COMPUTED_VALUE"""),"Sundaresam")</f>
        <v>Sundaresam</v>
      </c>
      <c r="L1135" s="1"/>
      <c r="M1135" s="1" t="s">
        <v>87</v>
      </c>
      <c r="N1135" s="1" t="s">
        <v>30</v>
      </c>
      <c r="O1135" s="1" t="s">
        <v>126</v>
      </c>
      <c r="P1135" s="1" t="str">
        <f t="shared" si="1042"/>
        <v>Philadelphia</v>
      </c>
      <c r="Q1135" s="1" t="s">
        <v>127</v>
      </c>
      <c r="R1135" s="1" t="str">
        <f t="shared" si="1043"/>
        <v>Pennsylvania</v>
      </c>
      <c r="S1135" s="1">
        <v>19134</v>
      </c>
      <c r="T1135" s="1" t="s">
        <v>128</v>
      </c>
      <c r="U1135" s="1" t="s">
        <v>188</v>
      </c>
      <c r="V1135" s="1" t="s">
        <v>46</v>
      </c>
      <c r="W1135" s="7">
        <v>124.608</v>
      </c>
      <c r="X1135" s="1">
        <v>1</v>
      </c>
      <c r="Y1135" s="7">
        <v>124.07</v>
      </c>
      <c r="Z1135" s="7">
        <f t="shared" ref="Z1135:AA1135" si="1158">W1135*X1135</f>
        <v>124.608</v>
      </c>
      <c r="AA1135" s="7">
        <f t="shared" si="1158"/>
        <v>124.07</v>
      </c>
      <c r="AB1135" s="7">
        <f t="shared" si="1045"/>
        <v>0.53800000000001091</v>
      </c>
    </row>
    <row r="1136" spans="1:28">
      <c r="A1136" s="1">
        <v>1135</v>
      </c>
      <c r="B1136" s="1" t="s">
        <v>2713</v>
      </c>
      <c r="C1136" s="2">
        <v>42861</v>
      </c>
      <c r="D1136" s="6" t="str">
        <f t="shared" si="1040"/>
        <v>May</v>
      </c>
      <c r="E1136" s="6" t="str">
        <f t="shared" si="1041"/>
        <v>Qtr 2</v>
      </c>
      <c r="F1136" s="5">
        <v>42984</v>
      </c>
      <c r="G1136" s="1" t="s">
        <v>49</v>
      </c>
      <c r="H1136" s="1" t="s">
        <v>1309</v>
      </c>
      <c r="I1136" s="1" t="s">
        <v>1310</v>
      </c>
      <c r="J1136" s="1" t="str">
        <f ca="1">IFERROR(__xludf.DUMMYFUNCTION("split(I1136,"" "")"),"Joni")</f>
        <v>Joni</v>
      </c>
      <c r="K1136" s="1" t="str">
        <f ca="1">IFERROR(__xludf.DUMMYFUNCTION("""COMPUTED_VALUE"""),"Sundaresam")</f>
        <v>Sundaresam</v>
      </c>
      <c r="L1136" s="1"/>
      <c r="M1136" s="1" t="s">
        <v>87</v>
      </c>
      <c r="N1136" s="1" t="s">
        <v>30</v>
      </c>
      <c r="O1136" s="1" t="s">
        <v>126</v>
      </c>
      <c r="P1136" s="1" t="str">
        <f t="shared" si="1042"/>
        <v>Philadelphia</v>
      </c>
      <c r="Q1136" s="1" t="s">
        <v>127</v>
      </c>
      <c r="R1136" s="1" t="str">
        <f t="shared" si="1043"/>
        <v>Pennsylvania</v>
      </c>
      <c r="S1136" s="1">
        <v>19134</v>
      </c>
      <c r="T1136" s="1" t="s">
        <v>128</v>
      </c>
      <c r="U1136" s="1" t="s">
        <v>2714</v>
      </c>
      <c r="V1136" s="1" t="s">
        <v>46</v>
      </c>
      <c r="W1136" s="7">
        <v>7.56</v>
      </c>
      <c r="X1136" s="1">
        <v>1</v>
      </c>
      <c r="Y1136" s="7">
        <v>6.98</v>
      </c>
      <c r="Z1136" s="7">
        <f t="shared" ref="Z1136:AA1136" si="1159">W1136*X1136</f>
        <v>7.56</v>
      </c>
      <c r="AA1136" s="7">
        <f t="shared" si="1159"/>
        <v>6.98</v>
      </c>
      <c r="AB1136" s="7">
        <f t="shared" si="1045"/>
        <v>0.57999999999999918</v>
      </c>
    </row>
    <row r="1137" spans="1:28">
      <c r="A1137" s="1">
        <v>1136</v>
      </c>
      <c r="B1137" s="1" t="s">
        <v>2715</v>
      </c>
      <c r="C1137" s="2">
        <v>43051</v>
      </c>
      <c r="D1137" s="6" t="str">
        <f t="shared" si="1040"/>
        <v>Nov</v>
      </c>
      <c r="E1137" s="6" t="str">
        <f t="shared" si="1041"/>
        <v>Qtr 4</v>
      </c>
      <c r="F1137" s="5">
        <v>43051</v>
      </c>
      <c r="G1137" s="1" t="s">
        <v>1050</v>
      </c>
      <c r="H1137" s="1" t="s">
        <v>1621</v>
      </c>
      <c r="I1137" s="1" t="s">
        <v>1622</v>
      </c>
      <c r="J1137" s="1" t="str">
        <f ca="1">IFERROR(__xludf.DUMMYFUNCTION("split(I1137,"" "")"),"Lena")</f>
        <v>Lena</v>
      </c>
      <c r="K1137" s="1" t="str">
        <f ca="1">IFERROR(__xludf.DUMMYFUNCTION("""COMPUTED_VALUE"""),"Radford")</f>
        <v>Radford</v>
      </c>
      <c r="L1137" s="1"/>
      <c r="M1137" s="1" t="s">
        <v>29</v>
      </c>
      <c r="N1137" s="1" t="s">
        <v>30</v>
      </c>
      <c r="O1137" s="1" t="s">
        <v>2716</v>
      </c>
      <c r="P1137" s="1" t="str">
        <f t="shared" si="1042"/>
        <v>Homestead</v>
      </c>
      <c r="Q1137" s="1" t="s">
        <v>194</v>
      </c>
      <c r="R1137" s="1" t="str">
        <f t="shared" si="1043"/>
        <v>Florida</v>
      </c>
      <c r="S1137" s="1">
        <v>33030</v>
      </c>
      <c r="T1137" s="1" t="s">
        <v>33</v>
      </c>
      <c r="U1137" s="1" t="s">
        <v>2717</v>
      </c>
      <c r="V1137" s="1" t="s">
        <v>46</v>
      </c>
      <c r="W1137" s="7">
        <v>85.224000000000004</v>
      </c>
      <c r="X1137" s="1">
        <v>3</v>
      </c>
      <c r="Y1137" s="7">
        <v>85.09</v>
      </c>
      <c r="Z1137" s="7">
        <f t="shared" ref="Z1137:AA1137" si="1160">W1137*X1137</f>
        <v>255.67200000000003</v>
      </c>
      <c r="AA1137" s="7">
        <f t="shared" si="1160"/>
        <v>255.27</v>
      </c>
      <c r="AB1137" s="7">
        <f t="shared" si="1045"/>
        <v>0.40200000000001523</v>
      </c>
    </row>
    <row r="1138" spans="1:28">
      <c r="A1138" s="1">
        <v>1137</v>
      </c>
      <c r="B1138" s="1" t="s">
        <v>2718</v>
      </c>
      <c r="C1138" s="2">
        <v>43080</v>
      </c>
      <c r="D1138" s="6" t="str">
        <f t="shared" si="1040"/>
        <v>Dec</v>
      </c>
      <c r="E1138" s="6" t="str">
        <f t="shared" si="1041"/>
        <v>Qtr 4</v>
      </c>
      <c r="F1138" s="5" t="s">
        <v>2719</v>
      </c>
      <c r="G1138" s="1" t="s">
        <v>26</v>
      </c>
      <c r="H1138" s="1" t="s">
        <v>2720</v>
      </c>
      <c r="I1138" s="1" t="s">
        <v>2721</v>
      </c>
      <c r="J1138" s="1" t="str">
        <f ca="1">IFERROR(__xludf.DUMMYFUNCTION("split(I1138,"" "")"),"Frank")</f>
        <v>Frank</v>
      </c>
      <c r="K1138" s="1" t="str">
        <f ca="1">IFERROR(__xludf.DUMMYFUNCTION("""COMPUTED_VALUE"""),"Hawley")</f>
        <v>Hawley</v>
      </c>
      <c r="L1138" s="1"/>
      <c r="M1138" s="1" t="s">
        <v>41</v>
      </c>
      <c r="N1138" s="1" t="s">
        <v>30</v>
      </c>
      <c r="O1138" s="1" t="s">
        <v>2722</v>
      </c>
      <c r="P1138" s="1" t="str">
        <f t="shared" si="1042"/>
        <v>La Porte</v>
      </c>
      <c r="Q1138" s="1" t="s">
        <v>224</v>
      </c>
      <c r="R1138" s="1" t="str">
        <f t="shared" si="1043"/>
        <v>Indiana</v>
      </c>
      <c r="S1138" s="1">
        <v>46350</v>
      </c>
      <c r="T1138" s="1" t="s">
        <v>90</v>
      </c>
      <c r="U1138" s="1" t="s">
        <v>2723</v>
      </c>
      <c r="V1138" s="1" t="s">
        <v>46</v>
      </c>
      <c r="W1138" s="7">
        <v>287.52</v>
      </c>
      <c r="X1138" s="1">
        <v>4</v>
      </c>
      <c r="Y1138" s="7">
        <v>287.48</v>
      </c>
      <c r="Z1138" s="7">
        <f t="shared" ref="Z1138:AA1138" si="1161">W1138*X1138</f>
        <v>1150.08</v>
      </c>
      <c r="AA1138" s="7">
        <f t="shared" si="1161"/>
        <v>1149.92</v>
      </c>
      <c r="AB1138" s="7">
        <f t="shared" si="1045"/>
        <v>0.15999999999985448</v>
      </c>
    </row>
    <row r="1139" spans="1:28">
      <c r="A1139" s="1">
        <v>1138</v>
      </c>
      <c r="B1139" s="1" t="s">
        <v>2718</v>
      </c>
      <c r="C1139" s="2">
        <v>43080</v>
      </c>
      <c r="D1139" s="6" t="str">
        <f t="shared" si="1040"/>
        <v>Dec</v>
      </c>
      <c r="E1139" s="6" t="str">
        <f t="shared" si="1041"/>
        <v>Qtr 4</v>
      </c>
      <c r="F1139" s="5" t="s">
        <v>2719</v>
      </c>
      <c r="G1139" s="1" t="s">
        <v>26</v>
      </c>
      <c r="H1139" s="1" t="s">
        <v>2720</v>
      </c>
      <c r="I1139" s="1" t="s">
        <v>2721</v>
      </c>
      <c r="J1139" s="1" t="str">
        <f ca="1">IFERROR(__xludf.DUMMYFUNCTION("split(I1139,"" "")"),"Frank")</f>
        <v>Frank</v>
      </c>
      <c r="K1139" s="1" t="str">
        <f ca="1">IFERROR(__xludf.DUMMYFUNCTION("""COMPUTED_VALUE"""),"Hawley")</f>
        <v>Hawley</v>
      </c>
      <c r="L1139" s="1"/>
      <c r="M1139" s="1" t="s">
        <v>41</v>
      </c>
      <c r="N1139" s="1" t="s">
        <v>30</v>
      </c>
      <c r="O1139" s="1" t="s">
        <v>2722</v>
      </c>
      <c r="P1139" s="1" t="str">
        <f t="shared" si="1042"/>
        <v>La Porte</v>
      </c>
      <c r="Q1139" s="1" t="s">
        <v>224</v>
      </c>
      <c r="R1139" s="1" t="str">
        <f t="shared" si="1043"/>
        <v>Indiana</v>
      </c>
      <c r="S1139" s="1">
        <v>46350</v>
      </c>
      <c r="T1139" s="1" t="s">
        <v>90</v>
      </c>
      <c r="U1139" s="1" t="s">
        <v>1744</v>
      </c>
      <c r="V1139" s="1" t="s">
        <v>46</v>
      </c>
      <c r="W1139" s="7">
        <v>37.68</v>
      </c>
      <c r="X1139" s="1">
        <v>4</v>
      </c>
      <c r="Y1139" s="7">
        <v>37.68</v>
      </c>
      <c r="Z1139" s="7">
        <f t="shared" ref="Z1139:AA1139" si="1162">W1139*X1139</f>
        <v>150.72</v>
      </c>
      <c r="AA1139" s="7">
        <f t="shared" si="1162"/>
        <v>150.72</v>
      </c>
      <c r="AB1139" s="7">
        <f t="shared" si="1045"/>
        <v>0</v>
      </c>
    </row>
    <row r="1140" spans="1:28">
      <c r="A1140" s="1">
        <v>1139</v>
      </c>
      <c r="B1140" s="1" t="s">
        <v>2718</v>
      </c>
      <c r="C1140" s="2">
        <v>43080</v>
      </c>
      <c r="D1140" s="6" t="str">
        <f t="shared" si="1040"/>
        <v>Dec</v>
      </c>
      <c r="E1140" s="6" t="str">
        <f t="shared" si="1041"/>
        <v>Qtr 4</v>
      </c>
      <c r="F1140" s="5" t="s">
        <v>2719</v>
      </c>
      <c r="G1140" s="1" t="s">
        <v>26</v>
      </c>
      <c r="H1140" s="1" t="s">
        <v>2720</v>
      </c>
      <c r="I1140" s="1" t="s">
        <v>2721</v>
      </c>
      <c r="J1140" s="1" t="str">
        <f ca="1">IFERROR(__xludf.DUMMYFUNCTION("split(I1140,"" "")"),"Frank")</f>
        <v>Frank</v>
      </c>
      <c r="K1140" s="1" t="str">
        <f ca="1">IFERROR(__xludf.DUMMYFUNCTION("""COMPUTED_VALUE"""),"Hawley")</f>
        <v>Hawley</v>
      </c>
      <c r="L1140" s="1"/>
      <c r="M1140" s="1" t="s">
        <v>41</v>
      </c>
      <c r="N1140" s="1" t="s">
        <v>30</v>
      </c>
      <c r="O1140" s="1" t="s">
        <v>2722</v>
      </c>
      <c r="P1140" s="1" t="str">
        <f t="shared" si="1042"/>
        <v>La Porte</v>
      </c>
      <c r="Q1140" s="1" t="s">
        <v>224</v>
      </c>
      <c r="R1140" s="1" t="str">
        <f t="shared" si="1043"/>
        <v>Indiana</v>
      </c>
      <c r="S1140" s="1">
        <v>46350</v>
      </c>
      <c r="T1140" s="1" t="s">
        <v>90</v>
      </c>
      <c r="U1140" s="1" t="s">
        <v>2724</v>
      </c>
      <c r="V1140" s="1" t="s">
        <v>46</v>
      </c>
      <c r="W1140" s="7">
        <v>19.98</v>
      </c>
      <c r="X1140" s="1">
        <v>4</v>
      </c>
      <c r="Y1140" s="7">
        <v>19.010000000000002</v>
      </c>
      <c r="Z1140" s="7">
        <f t="shared" ref="Z1140:AA1140" si="1163">W1140*X1140</f>
        <v>79.92</v>
      </c>
      <c r="AA1140" s="7">
        <f t="shared" si="1163"/>
        <v>76.040000000000006</v>
      </c>
      <c r="AB1140" s="7">
        <f t="shared" si="1045"/>
        <v>3.8799999999999955</v>
      </c>
    </row>
    <row r="1141" spans="1:28">
      <c r="A1141" s="1">
        <v>1140</v>
      </c>
      <c r="B1141" s="1" t="s">
        <v>2718</v>
      </c>
      <c r="C1141" s="2">
        <v>43080</v>
      </c>
      <c r="D1141" s="6" t="str">
        <f t="shared" si="1040"/>
        <v>Dec</v>
      </c>
      <c r="E1141" s="6" t="str">
        <f t="shared" si="1041"/>
        <v>Qtr 4</v>
      </c>
      <c r="F1141" s="5" t="s">
        <v>2719</v>
      </c>
      <c r="G1141" s="1" t="s">
        <v>26</v>
      </c>
      <c r="H1141" s="1" t="s">
        <v>2720</v>
      </c>
      <c r="I1141" s="1" t="s">
        <v>2721</v>
      </c>
      <c r="J1141" s="1" t="str">
        <f ca="1">IFERROR(__xludf.DUMMYFUNCTION("split(I1141,"" "")"),"Frank")</f>
        <v>Frank</v>
      </c>
      <c r="K1141" s="1" t="str">
        <f ca="1">IFERROR(__xludf.DUMMYFUNCTION("""COMPUTED_VALUE"""),"Hawley")</f>
        <v>Hawley</v>
      </c>
      <c r="L1141" s="1"/>
      <c r="M1141" s="1" t="s">
        <v>41</v>
      </c>
      <c r="N1141" s="1" t="s">
        <v>30</v>
      </c>
      <c r="O1141" s="1" t="s">
        <v>2722</v>
      </c>
      <c r="P1141" s="1" t="str">
        <f t="shared" si="1042"/>
        <v>La Porte</v>
      </c>
      <c r="Q1141" s="1" t="s">
        <v>224</v>
      </c>
      <c r="R1141" s="1" t="str">
        <f t="shared" si="1043"/>
        <v>Indiana</v>
      </c>
      <c r="S1141" s="1">
        <v>46350</v>
      </c>
      <c r="T1141" s="1" t="s">
        <v>90</v>
      </c>
      <c r="U1141" s="1" t="s">
        <v>1579</v>
      </c>
      <c r="V1141" s="1" t="s">
        <v>46</v>
      </c>
      <c r="W1141" s="7">
        <v>20.58</v>
      </c>
      <c r="X1141" s="1">
        <v>4</v>
      </c>
      <c r="Y1141" s="7">
        <v>20.440000000000001</v>
      </c>
      <c r="Z1141" s="7">
        <f t="shared" ref="Z1141:AA1141" si="1164">W1141*X1141</f>
        <v>82.32</v>
      </c>
      <c r="AA1141" s="7">
        <f t="shared" si="1164"/>
        <v>81.760000000000005</v>
      </c>
      <c r="AB1141" s="7">
        <f t="shared" si="1045"/>
        <v>0.55999999999998806</v>
      </c>
    </row>
    <row r="1142" spans="1:28">
      <c r="A1142" s="1">
        <v>1141</v>
      </c>
      <c r="B1142" s="1" t="s">
        <v>2718</v>
      </c>
      <c r="C1142" s="2">
        <v>43080</v>
      </c>
      <c r="D1142" s="6" t="str">
        <f t="shared" si="1040"/>
        <v>Dec</v>
      </c>
      <c r="E1142" s="6" t="str">
        <f t="shared" si="1041"/>
        <v>Qtr 4</v>
      </c>
      <c r="F1142" s="5" t="s">
        <v>2719</v>
      </c>
      <c r="G1142" s="1" t="s">
        <v>26</v>
      </c>
      <c r="H1142" s="1" t="s">
        <v>2720</v>
      </c>
      <c r="I1142" s="1" t="s">
        <v>2721</v>
      </c>
      <c r="J1142" s="1" t="str">
        <f ca="1">IFERROR(__xludf.DUMMYFUNCTION("split(I1142,"" "")"),"Frank")</f>
        <v>Frank</v>
      </c>
      <c r="K1142" s="1" t="str">
        <f ca="1">IFERROR(__xludf.DUMMYFUNCTION("""COMPUTED_VALUE"""),"Hawley")</f>
        <v>Hawley</v>
      </c>
      <c r="L1142" s="1"/>
      <c r="M1142" s="1" t="s">
        <v>41</v>
      </c>
      <c r="N1142" s="1" t="s">
        <v>30</v>
      </c>
      <c r="O1142" s="1" t="s">
        <v>2722</v>
      </c>
      <c r="P1142" s="1" t="str">
        <f t="shared" si="1042"/>
        <v>La Porte</v>
      </c>
      <c r="Q1142" s="1" t="s">
        <v>224</v>
      </c>
      <c r="R1142" s="1" t="str">
        <f t="shared" si="1043"/>
        <v>Indiana</v>
      </c>
      <c r="S1142" s="1">
        <v>46350</v>
      </c>
      <c r="T1142" s="1" t="s">
        <v>90</v>
      </c>
      <c r="U1142" s="1" t="s">
        <v>2725</v>
      </c>
      <c r="V1142" s="1" t="s">
        <v>46</v>
      </c>
      <c r="W1142" s="7">
        <v>17.38</v>
      </c>
      <c r="X1142" s="1">
        <v>4</v>
      </c>
      <c r="Y1142" s="7">
        <v>16.850000000000001</v>
      </c>
      <c r="Z1142" s="7">
        <f t="shared" ref="Z1142:AA1142" si="1165">W1142*X1142</f>
        <v>69.52</v>
      </c>
      <c r="AA1142" s="7">
        <f t="shared" si="1165"/>
        <v>67.400000000000006</v>
      </c>
      <c r="AB1142" s="7">
        <f t="shared" si="1045"/>
        <v>2.1199999999999903</v>
      </c>
    </row>
    <row r="1143" spans="1:28">
      <c r="A1143" s="1">
        <v>1142</v>
      </c>
      <c r="B1143" s="1" t="s">
        <v>2726</v>
      </c>
      <c r="C1143" s="2">
        <v>42276</v>
      </c>
      <c r="D1143" s="6" t="str">
        <f t="shared" si="1040"/>
        <v>Sep</v>
      </c>
      <c r="E1143" s="6" t="str">
        <f t="shared" si="1041"/>
        <v>Qtr 3</v>
      </c>
      <c r="F1143" s="5">
        <v>42073</v>
      </c>
      <c r="G1143" s="1" t="s">
        <v>49</v>
      </c>
      <c r="H1143" s="1" t="s">
        <v>1867</v>
      </c>
      <c r="I1143" s="1" t="s">
        <v>1868</v>
      </c>
      <c r="J1143" s="1" t="str">
        <f ca="1">IFERROR(__xludf.DUMMYFUNCTION("split(I1143,"" "")"),"Arthur")</f>
        <v>Arthur</v>
      </c>
      <c r="K1143" s="1" t="str">
        <f ca="1">IFERROR(__xludf.DUMMYFUNCTION("""COMPUTED_VALUE"""),"Prichep")</f>
        <v>Prichep</v>
      </c>
      <c r="L1143" s="1"/>
      <c r="M1143" s="1" t="s">
        <v>29</v>
      </c>
      <c r="N1143" s="1" t="s">
        <v>30</v>
      </c>
      <c r="O1143" s="1" t="s">
        <v>42</v>
      </c>
      <c r="P1143" s="1" t="str">
        <f t="shared" si="1042"/>
        <v>Los Angeles</v>
      </c>
      <c r="Q1143" s="1" t="s">
        <v>68</v>
      </c>
      <c r="R1143" s="1" t="str">
        <f t="shared" si="1043"/>
        <v>California</v>
      </c>
      <c r="S1143" s="1">
        <v>90045</v>
      </c>
      <c r="T1143" s="1" t="s">
        <v>44</v>
      </c>
      <c r="U1143" s="1" t="s">
        <v>2392</v>
      </c>
      <c r="V1143" s="1" t="s">
        <v>35</v>
      </c>
      <c r="W1143" s="7">
        <v>204.6</v>
      </c>
      <c r="X1143" s="1">
        <v>9</v>
      </c>
      <c r="Y1143" s="7">
        <v>203.77</v>
      </c>
      <c r="Z1143" s="7">
        <f t="shared" ref="Z1143:AA1143" si="1166">W1143*X1143</f>
        <v>1841.3999999999999</v>
      </c>
      <c r="AA1143" s="7">
        <f t="shared" si="1166"/>
        <v>1833.93</v>
      </c>
      <c r="AB1143" s="7">
        <f t="shared" si="1045"/>
        <v>7.4699999999997999</v>
      </c>
    </row>
    <row r="1144" spans="1:28">
      <c r="A1144" s="1">
        <v>1143</v>
      </c>
      <c r="B1144" s="1" t="s">
        <v>2726</v>
      </c>
      <c r="C1144" s="2">
        <v>42276</v>
      </c>
      <c r="D1144" s="6" t="str">
        <f t="shared" si="1040"/>
        <v>Sep</v>
      </c>
      <c r="E1144" s="6" t="str">
        <f t="shared" si="1041"/>
        <v>Qtr 3</v>
      </c>
      <c r="F1144" s="5">
        <v>42073</v>
      </c>
      <c r="G1144" s="1" t="s">
        <v>49</v>
      </c>
      <c r="H1144" s="1" t="s">
        <v>1867</v>
      </c>
      <c r="I1144" s="1" t="s">
        <v>1868</v>
      </c>
      <c r="J1144" s="1" t="str">
        <f ca="1">IFERROR(__xludf.DUMMYFUNCTION("split(I1144,"" "")"),"Arthur")</f>
        <v>Arthur</v>
      </c>
      <c r="K1144" s="1" t="str">
        <f ca="1">IFERROR(__xludf.DUMMYFUNCTION("""COMPUTED_VALUE"""),"Prichep")</f>
        <v>Prichep</v>
      </c>
      <c r="L1144" s="1"/>
      <c r="M1144" s="1" t="s">
        <v>29</v>
      </c>
      <c r="N1144" s="1" t="s">
        <v>30</v>
      </c>
      <c r="O1144" s="1" t="s">
        <v>42</v>
      </c>
      <c r="P1144" s="1" t="str">
        <f t="shared" si="1042"/>
        <v>Los Angeles</v>
      </c>
      <c r="Q1144" s="1" t="s">
        <v>68</v>
      </c>
      <c r="R1144" s="1" t="str">
        <f t="shared" si="1043"/>
        <v>California</v>
      </c>
      <c r="S1144" s="1">
        <v>90045</v>
      </c>
      <c r="T1144" s="1" t="s">
        <v>44</v>
      </c>
      <c r="U1144" s="1" t="s">
        <v>2727</v>
      </c>
      <c r="V1144" s="1" t="s">
        <v>46</v>
      </c>
      <c r="W1144" s="7">
        <v>8.7200000000000006</v>
      </c>
      <c r="X1144" s="1">
        <v>9</v>
      </c>
      <c r="Y1144" s="7">
        <v>7.97</v>
      </c>
      <c r="Z1144" s="7">
        <f t="shared" ref="Z1144:AA1144" si="1167">W1144*X1144</f>
        <v>78.48</v>
      </c>
      <c r="AA1144" s="7">
        <f t="shared" si="1167"/>
        <v>71.73</v>
      </c>
      <c r="AB1144" s="7">
        <f t="shared" si="1045"/>
        <v>6.75</v>
      </c>
    </row>
    <row r="1145" spans="1:28">
      <c r="A1145" s="1">
        <v>1144</v>
      </c>
      <c r="B1145" s="1" t="s">
        <v>2726</v>
      </c>
      <c r="C1145" s="2">
        <v>42276</v>
      </c>
      <c r="D1145" s="6" t="str">
        <f t="shared" si="1040"/>
        <v>Sep</v>
      </c>
      <c r="E1145" s="6" t="str">
        <f t="shared" si="1041"/>
        <v>Qtr 3</v>
      </c>
      <c r="F1145" s="5">
        <v>42073</v>
      </c>
      <c r="G1145" s="1" t="s">
        <v>49</v>
      </c>
      <c r="H1145" s="1" t="s">
        <v>1867</v>
      </c>
      <c r="I1145" s="1" t="s">
        <v>1868</v>
      </c>
      <c r="J1145" s="1" t="str">
        <f ca="1">IFERROR(__xludf.DUMMYFUNCTION("split(I1145,"" "")"),"Arthur")</f>
        <v>Arthur</v>
      </c>
      <c r="K1145" s="1" t="str">
        <f ca="1">IFERROR(__xludf.DUMMYFUNCTION("""COMPUTED_VALUE"""),"Prichep")</f>
        <v>Prichep</v>
      </c>
      <c r="L1145" s="1"/>
      <c r="M1145" s="1" t="s">
        <v>29</v>
      </c>
      <c r="N1145" s="1" t="s">
        <v>30</v>
      </c>
      <c r="O1145" s="1" t="s">
        <v>42</v>
      </c>
      <c r="P1145" s="1" t="str">
        <f t="shared" si="1042"/>
        <v>Los Angeles</v>
      </c>
      <c r="Q1145" s="1" t="s">
        <v>68</v>
      </c>
      <c r="R1145" s="1" t="str">
        <f t="shared" si="1043"/>
        <v>California</v>
      </c>
      <c r="S1145" s="1">
        <v>90045</v>
      </c>
      <c r="T1145" s="1" t="s">
        <v>44</v>
      </c>
      <c r="U1145" s="1" t="s">
        <v>892</v>
      </c>
      <c r="V1145" s="1" t="s">
        <v>46</v>
      </c>
      <c r="W1145" s="7">
        <v>6.48</v>
      </c>
      <c r="X1145" s="1">
        <v>9</v>
      </c>
      <c r="Y1145" s="7">
        <v>6.2</v>
      </c>
      <c r="Z1145" s="7">
        <f t="shared" ref="Z1145:AA1145" si="1168">W1145*X1145</f>
        <v>58.320000000000007</v>
      </c>
      <c r="AA1145" s="7">
        <f t="shared" si="1168"/>
        <v>55.800000000000004</v>
      </c>
      <c r="AB1145" s="7">
        <f t="shared" si="1045"/>
        <v>2.5200000000000031</v>
      </c>
    </row>
    <row r="1146" spans="1:28">
      <c r="A1146" s="1">
        <v>1145</v>
      </c>
      <c r="B1146" s="1" t="s">
        <v>2726</v>
      </c>
      <c r="C1146" s="2">
        <v>42276</v>
      </c>
      <c r="D1146" s="6" t="str">
        <f t="shared" si="1040"/>
        <v>Sep</v>
      </c>
      <c r="E1146" s="6" t="str">
        <f t="shared" si="1041"/>
        <v>Qtr 3</v>
      </c>
      <c r="F1146" s="5">
        <v>42073</v>
      </c>
      <c r="G1146" s="1" t="s">
        <v>49</v>
      </c>
      <c r="H1146" s="1" t="s">
        <v>1867</v>
      </c>
      <c r="I1146" s="1" t="s">
        <v>1868</v>
      </c>
      <c r="J1146" s="1" t="str">
        <f ca="1">IFERROR(__xludf.DUMMYFUNCTION("split(I1146,"" "")"),"Arthur")</f>
        <v>Arthur</v>
      </c>
      <c r="K1146" s="1" t="str">
        <f ca="1">IFERROR(__xludf.DUMMYFUNCTION("""COMPUTED_VALUE"""),"Prichep")</f>
        <v>Prichep</v>
      </c>
      <c r="L1146" s="1"/>
      <c r="M1146" s="1" t="s">
        <v>29</v>
      </c>
      <c r="N1146" s="1" t="s">
        <v>30</v>
      </c>
      <c r="O1146" s="1" t="s">
        <v>42</v>
      </c>
      <c r="P1146" s="1" t="str">
        <f t="shared" si="1042"/>
        <v>Los Angeles</v>
      </c>
      <c r="Q1146" s="1" t="s">
        <v>68</v>
      </c>
      <c r="R1146" s="1" t="str">
        <f t="shared" si="1043"/>
        <v>California</v>
      </c>
      <c r="S1146" s="1">
        <v>90045</v>
      </c>
      <c r="T1146" s="1" t="s">
        <v>44</v>
      </c>
      <c r="U1146" s="1" t="s">
        <v>2728</v>
      </c>
      <c r="V1146" s="1" t="s">
        <v>64</v>
      </c>
      <c r="W1146" s="7">
        <v>686.32</v>
      </c>
      <c r="X1146" s="1">
        <v>9</v>
      </c>
      <c r="Y1146" s="7">
        <v>685.34</v>
      </c>
      <c r="Z1146" s="7">
        <f t="shared" ref="Z1146:AA1146" si="1169">W1146*X1146</f>
        <v>6176.88</v>
      </c>
      <c r="AA1146" s="7">
        <f t="shared" si="1169"/>
        <v>6168.06</v>
      </c>
      <c r="AB1146" s="7">
        <f t="shared" si="1045"/>
        <v>8.819999999999709</v>
      </c>
    </row>
    <row r="1147" spans="1:28">
      <c r="A1147" s="1">
        <v>1146</v>
      </c>
      <c r="B1147" s="1" t="s">
        <v>2726</v>
      </c>
      <c r="C1147" s="2">
        <v>42276</v>
      </c>
      <c r="D1147" s="6" t="str">
        <f t="shared" si="1040"/>
        <v>Sep</v>
      </c>
      <c r="E1147" s="6" t="str">
        <f t="shared" si="1041"/>
        <v>Qtr 3</v>
      </c>
      <c r="F1147" s="5">
        <v>42073</v>
      </c>
      <c r="G1147" s="1" t="s">
        <v>49</v>
      </c>
      <c r="H1147" s="1" t="s">
        <v>1867</v>
      </c>
      <c r="I1147" s="1" t="s">
        <v>1868</v>
      </c>
      <c r="J1147" s="1" t="str">
        <f ca="1">IFERROR(__xludf.DUMMYFUNCTION("split(I1147,"" "")"),"Arthur")</f>
        <v>Arthur</v>
      </c>
      <c r="K1147" s="1" t="str">
        <f ca="1">IFERROR(__xludf.DUMMYFUNCTION("""COMPUTED_VALUE"""),"Prichep")</f>
        <v>Prichep</v>
      </c>
      <c r="L1147" s="1"/>
      <c r="M1147" s="1" t="s">
        <v>29</v>
      </c>
      <c r="N1147" s="1" t="s">
        <v>30</v>
      </c>
      <c r="O1147" s="1" t="s">
        <v>42</v>
      </c>
      <c r="P1147" s="1" t="str">
        <f t="shared" si="1042"/>
        <v>Los Angeles</v>
      </c>
      <c r="Q1147" s="1" t="s">
        <v>68</v>
      </c>
      <c r="R1147" s="1" t="str">
        <f t="shared" si="1043"/>
        <v>California</v>
      </c>
      <c r="S1147" s="1">
        <v>90045</v>
      </c>
      <c r="T1147" s="1" t="s">
        <v>44</v>
      </c>
      <c r="U1147" s="1" t="s">
        <v>2663</v>
      </c>
      <c r="V1147" s="1" t="s">
        <v>46</v>
      </c>
      <c r="W1147" s="7">
        <v>62.18</v>
      </c>
      <c r="X1147" s="1">
        <v>9</v>
      </c>
      <c r="Y1147" s="7">
        <v>61.32</v>
      </c>
      <c r="Z1147" s="7">
        <f t="shared" ref="Z1147:AA1147" si="1170">W1147*X1147</f>
        <v>559.62</v>
      </c>
      <c r="AA1147" s="7">
        <f t="shared" si="1170"/>
        <v>551.88</v>
      </c>
      <c r="AB1147" s="7">
        <f t="shared" si="1045"/>
        <v>7.7400000000000091</v>
      </c>
    </row>
    <row r="1148" spans="1:28">
      <c r="A1148" s="1">
        <v>1147</v>
      </c>
      <c r="B1148" s="1" t="s">
        <v>2729</v>
      </c>
      <c r="C1148" s="2">
        <v>42464</v>
      </c>
      <c r="D1148" s="6" t="str">
        <f t="shared" si="1040"/>
        <v>Apr</v>
      </c>
      <c r="E1148" s="6" t="str">
        <f t="shared" si="1041"/>
        <v>Qtr 2</v>
      </c>
      <c r="F1148" s="5">
        <v>42464</v>
      </c>
      <c r="G1148" s="1" t="s">
        <v>1050</v>
      </c>
      <c r="H1148" s="1" t="s">
        <v>2730</v>
      </c>
      <c r="I1148" s="1" t="s">
        <v>2731</v>
      </c>
      <c r="J1148" s="1" t="str">
        <f ca="1">IFERROR(__xludf.DUMMYFUNCTION("split(I1148,"" "")"),"Nat")</f>
        <v>Nat</v>
      </c>
      <c r="K1148" s="1" t="str">
        <f ca="1">IFERROR(__xludf.DUMMYFUNCTION("""COMPUTED_VALUE"""),"Carroll")</f>
        <v>Carroll</v>
      </c>
      <c r="L1148" s="1"/>
      <c r="M1148" s="1" t="s">
        <v>29</v>
      </c>
      <c r="N1148" s="1" t="s">
        <v>30</v>
      </c>
      <c r="O1148" s="1" t="s">
        <v>2732</v>
      </c>
      <c r="P1148" s="1" t="str">
        <f t="shared" si="1042"/>
        <v>Lansing</v>
      </c>
      <c r="Q1148" s="1" t="s">
        <v>209</v>
      </c>
      <c r="R1148" s="1" t="str">
        <f t="shared" si="1043"/>
        <v>Michigan</v>
      </c>
      <c r="S1148" s="1">
        <v>48911</v>
      </c>
      <c r="T1148" s="1" t="s">
        <v>90</v>
      </c>
      <c r="U1148" s="1" t="s">
        <v>2733</v>
      </c>
      <c r="V1148" s="1" t="s">
        <v>46</v>
      </c>
      <c r="W1148" s="7">
        <v>644.07600000000002</v>
      </c>
      <c r="X1148" s="1">
        <v>4</v>
      </c>
      <c r="Y1148" s="7">
        <v>643.51</v>
      </c>
      <c r="Z1148" s="7">
        <f t="shared" ref="Z1148:AA1148" si="1171">W1148*X1148</f>
        <v>2576.3040000000001</v>
      </c>
      <c r="AA1148" s="7">
        <f t="shared" si="1171"/>
        <v>2574.04</v>
      </c>
      <c r="AB1148" s="7">
        <f t="shared" si="1045"/>
        <v>2.2640000000001237</v>
      </c>
    </row>
    <row r="1149" spans="1:28">
      <c r="A1149" s="1">
        <v>1148</v>
      </c>
      <c r="B1149" s="1" t="s">
        <v>2729</v>
      </c>
      <c r="C1149" s="2">
        <v>42464</v>
      </c>
      <c r="D1149" s="6" t="str">
        <f t="shared" si="1040"/>
        <v>Apr</v>
      </c>
      <c r="E1149" s="6" t="str">
        <f t="shared" si="1041"/>
        <v>Qtr 2</v>
      </c>
      <c r="F1149" s="5">
        <v>42464</v>
      </c>
      <c r="G1149" s="1" t="s">
        <v>1050</v>
      </c>
      <c r="H1149" s="1" t="s">
        <v>2730</v>
      </c>
      <c r="I1149" s="1" t="s">
        <v>2731</v>
      </c>
      <c r="J1149" s="1" t="str">
        <f ca="1">IFERROR(__xludf.DUMMYFUNCTION("split(I1149,"" "")"),"Nat")</f>
        <v>Nat</v>
      </c>
      <c r="K1149" s="1" t="str">
        <f ca="1">IFERROR(__xludf.DUMMYFUNCTION("""COMPUTED_VALUE"""),"Carroll")</f>
        <v>Carroll</v>
      </c>
      <c r="L1149" s="1"/>
      <c r="M1149" s="1" t="s">
        <v>29</v>
      </c>
      <c r="N1149" s="1" t="s">
        <v>30</v>
      </c>
      <c r="O1149" s="1" t="s">
        <v>2732</v>
      </c>
      <c r="P1149" s="1" t="str">
        <f t="shared" si="1042"/>
        <v>Lansing</v>
      </c>
      <c r="Q1149" s="1" t="s">
        <v>209</v>
      </c>
      <c r="R1149" s="1" t="str">
        <f t="shared" si="1043"/>
        <v>Michigan</v>
      </c>
      <c r="S1149" s="1">
        <v>48911</v>
      </c>
      <c r="T1149" s="1" t="s">
        <v>90</v>
      </c>
      <c r="U1149" s="1" t="s">
        <v>2734</v>
      </c>
      <c r="V1149" s="1" t="s">
        <v>46</v>
      </c>
      <c r="W1149" s="7">
        <v>5.84</v>
      </c>
      <c r="X1149" s="1">
        <v>4</v>
      </c>
      <c r="Y1149" s="7">
        <v>4.95</v>
      </c>
      <c r="Z1149" s="7">
        <f t="shared" ref="Z1149:AA1149" si="1172">W1149*X1149</f>
        <v>23.36</v>
      </c>
      <c r="AA1149" s="7">
        <f t="shared" si="1172"/>
        <v>19.8</v>
      </c>
      <c r="AB1149" s="7">
        <f t="shared" si="1045"/>
        <v>3.5599999999999987</v>
      </c>
    </row>
    <row r="1150" spans="1:28">
      <c r="A1150" s="1">
        <v>1149</v>
      </c>
      <c r="B1150" s="1" t="s">
        <v>2729</v>
      </c>
      <c r="C1150" s="2">
        <v>42464</v>
      </c>
      <c r="D1150" s="6" t="str">
        <f t="shared" si="1040"/>
        <v>Apr</v>
      </c>
      <c r="E1150" s="6" t="str">
        <f t="shared" si="1041"/>
        <v>Qtr 2</v>
      </c>
      <c r="F1150" s="5">
        <v>42464</v>
      </c>
      <c r="G1150" s="1" t="s">
        <v>1050</v>
      </c>
      <c r="H1150" s="1" t="s">
        <v>2730</v>
      </c>
      <c r="I1150" s="1" t="s">
        <v>2731</v>
      </c>
      <c r="J1150" s="1" t="str">
        <f ca="1">IFERROR(__xludf.DUMMYFUNCTION("split(I1150,"" "")"),"Nat")</f>
        <v>Nat</v>
      </c>
      <c r="K1150" s="1" t="str">
        <f ca="1">IFERROR(__xludf.DUMMYFUNCTION("""COMPUTED_VALUE"""),"Carroll")</f>
        <v>Carroll</v>
      </c>
      <c r="L1150" s="1"/>
      <c r="M1150" s="1" t="s">
        <v>29</v>
      </c>
      <c r="N1150" s="1" t="s">
        <v>30</v>
      </c>
      <c r="O1150" s="1" t="s">
        <v>2732</v>
      </c>
      <c r="P1150" s="1" t="str">
        <f t="shared" si="1042"/>
        <v>Lansing</v>
      </c>
      <c r="Q1150" s="1" t="s">
        <v>209</v>
      </c>
      <c r="R1150" s="1" t="str">
        <f t="shared" si="1043"/>
        <v>Michigan</v>
      </c>
      <c r="S1150" s="1">
        <v>48911</v>
      </c>
      <c r="T1150" s="1" t="s">
        <v>90</v>
      </c>
      <c r="U1150" s="1" t="s">
        <v>2735</v>
      </c>
      <c r="V1150" s="1" t="s">
        <v>46</v>
      </c>
      <c r="W1150" s="7">
        <v>12.76</v>
      </c>
      <c r="X1150" s="1">
        <v>4</v>
      </c>
      <c r="Y1150" s="7">
        <v>12.21</v>
      </c>
      <c r="Z1150" s="7">
        <f t="shared" ref="Z1150:AA1150" si="1173">W1150*X1150</f>
        <v>51.04</v>
      </c>
      <c r="AA1150" s="7">
        <f t="shared" si="1173"/>
        <v>48.84</v>
      </c>
      <c r="AB1150" s="7">
        <f t="shared" si="1045"/>
        <v>2.1999999999999957</v>
      </c>
    </row>
    <row r="1151" spans="1:28">
      <c r="A1151" s="1">
        <v>1150</v>
      </c>
      <c r="B1151" s="1" t="s">
        <v>2729</v>
      </c>
      <c r="C1151" s="2">
        <v>42464</v>
      </c>
      <c r="D1151" s="6" t="str">
        <f t="shared" si="1040"/>
        <v>Apr</v>
      </c>
      <c r="E1151" s="6" t="str">
        <f t="shared" si="1041"/>
        <v>Qtr 2</v>
      </c>
      <c r="F1151" s="5">
        <v>42464</v>
      </c>
      <c r="G1151" s="1" t="s">
        <v>1050</v>
      </c>
      <c r="H1151" s="1" t="s">
        <v>2730</v>
      </c>
      <c r="I1151" s="1" t="s">
        <v>2731</v>
      </c>
      <c r="J1151" s="1" t="str">
        <f ca="1">IFERROR(__xludf.DUMMYFUNCTION("split(I1151,"" "")"),"Nat")</f>
        <v>Nat</v>
      </c>
      <c r="K1151" s="1" t="str">
        <f ca="1">IFERROR(__xludf.DUMMYFUNCTION("""COMPUTED_VALUE"""),"Carroll")</f>
        <v>Carroll</v>
      </c>
      <c r="L1151" s="1"/>
      <c r="M1151" s="1" t="s">
        <v>29</v>
      </c>
      <c r="N1151" s="1" t="s">
        <v>30</v>
      </c>
      <c r="O1151" s="1" t="s">
        <v>2732</v>
      </c>
      <c r="P1151" s="1" t="str">
        <f t="shared" si="1042"/>
        <v>Lansing</v>
      </c>
      <c r="Q1151" s="1" t="s">
        <v>209</v>
      </c>
      <c r="R1151" s="1" t="str">
        <f t="shared" si="1043"/>
        <v>Michigan</v>
      </c>
      <c r="S1151" s="1">
        <v>48911</v>
      </c>
      <c r="T1151" s="1" t="s">
        <v>90</v>
      </c>
      <c r="U1151" s="1" t="s">
        <v>2736</v>
      </c>
      <c r="V1151" s="1" t="s">
        <v>64</v>
      </c>
      <c r="W1151" s="7">
        <v>10.95</v>
      </c>
      <c r="X1151" s="1">
        <v>4</v>
      </c>
      <c r="Y1151" s="7">
        <v>10.18</v>
      </c>
      <c r="Z1151" s="7">
        <f t="shared" ref="Z1151:AA1151" si="1174">W1151*X1151</f>
        <v>43.8</v>
      </c>
      <c r="AA1151" s="7">
        <f t="shared" si="1174"/>
        <v>40.72</v>
      </c>
      <c r="AB1151" s="7">
        <f t="shared" si="1045"/>
        <v>3.0799999999999983</v>
      </c>
    </row>
    <row r="1152" spans="1:28">
      <c r="A1152" s="1">
        <v>1151</v>
      </c>
      <c r="B1152" s="1" t="s">
        <v>2729</v>
      </c>
      <c r="C1152" s="2">
        <v>42464</v>
      </c>
      <c r="D1152" s="6" t="str">
        <f t="shared" si="1040"/>
        <v>Apr</v>
      </c>
      <c r="E1152" s="6" t="str">
        <f t="shared" si="1041"/>
        <v>Qtr 2</v>
      </c>
      <c r="F1152" s="5">
        <v>42464</v>
      </c>
      <c r="G1152" s="1" t="s">
        <v>1050</v>
      </c>
      <c r="H1152" s="1" t="s">
        <v>2730</v>
      </c>
      <c r="I1152" s="1" t="s">
        <v>2731</v>
      </c>
      <c r="J1152" s="1" t="str">
        <f ca="1">IFERROR(__xludf.DUMMYFUNCTION("split(I1152,"" "")"),"Nat")</f>
        <v>Nat</v>
      </c>
      <c r="K1152" s="1" t="str">
        <f ca="1">IFERROR(__xludf.DUMMYFUNCTION("""COMPUTED_VALUE"""),"Carroll")</f>
        <v>Carroll</v>
      </c>
      <c r="L1152" s="1"/>
      <c r="M1152" s="1" t="s">
        <v>29</v>
      </c>
      <c r="N1152" s="1" t="s">
        <v>30</v>
      </c>
      <c r="O1152" s="1" t="s">
        <v>2732</v>
      </c>
      <c r="P1152" s="1" t="str">
        <f t="shared" si="1042"/>
        <v>Lansing</v>
      </c>
      <c r="Q1152" s="1" t="s">
        <v>209</v>
      </c>
      <c r="R1152" s="1" t="str">
        <f t="shared" si="1043"/>
        <v>Michigan</v>
      </c>
      <c r="S1152" s="1">
        <v>48911</v>
      </c>
      <c r="T1152" s="1" t="s">
        <v>90</v>
      </c>
      <c r="U1152" s="1" t="s">
        <v>2737</v>
      </c>
      <c r="V1152" s="1" t="s">
        <v>64</v>
      </c>
      <c r="W1152" s="7">
        <v>599.98</v>
      </c>
      <c r="X1152" s="1">
        <v>4</v>
      </c>
      <c r="Y1152" s="7">
        <v>599.61</v>
      </c>
      <c r="Z1152" s="7">
        <f t="shared" ref="Z1152:AA1152" si="1175">W1152*X1152</f>
        <v>2399.92</v>
      </c>
      <c r="AA1152" s="7">
        <f t="shared" si="1175"/>
        <v>2398.44</v>
      </c>
      <c r="AB1152" s="7">
        <f t="shared" si="1045"/>
        <v>1.4800000000000182</v>
      </c>
    </row>
    <row r="1153" spans="1:28">
      <c r="A1153" s="1">
        <v>1152</v>
      </c>
      <c r="B1153" s="1" t="s">
        <v>2738</v>
      </c>
      <c r="C1153" s="2">
        <v>42587</v>
      </c>
      <c r="D1153" s="6" t="str">
        <f t="shared" si="1040"/>
        <v>Aug</v>
      </c>
      <c r="E1153" s="6" t="str">
        <f t="shared" si="1041"/>
        <v>Qtr 3</v>
      </c>
      <c r="F1153" s="5" t="s">
        <v>2739</v>
      </c>
      <c r="G1153" s="1" t="s">
        <v>49</v>
      </c>
      <c r="H1153" s="1" t="s">
        <v>817</v>
      </c>
      <c r="I1153" s="1" t="s">
        <v>818</v>
      </c>
      <c r="J1153" s="1" t="str">
        <f ca="1">IFERROR(__xludf.DUMMYFUNCTION("split(I1153,"" "")"),"Claudia")</f>
        <v>Claudia</v>
      </c>
      <c r="K1153" s="1" t="str">
        <f ca="1">IFERROR(__xludf.DUMMYFUNCTION("""COMPUTED_VALUE"""),"Bergmann")</f>
        <v>Bergmann</v>
      </c>
      <c r="L1153" s="1"/>
      <c r="M1153" s="1" t="s">
        <v>41</v>
      </c>
      <c r="N1153" s="1" t="s">
        <v>30</v>
      </c>
      <c r="O1153" s="1" t="s">
        <v>2740</v>
      </c>
      <c r="P1153" s="1" t="str">
        <f t="shared" si="1042"/>
        <v>Cuyahoga Falls</v>
      </c>
      <c r="Q1153" s="1" t="s">
        <v>421</v>
      </c>
      <c r="R1153" s="1" t="str">
        <f t="shared" si="1043"/>
        <v>Ohio</v>
      </c>
      <c r="S1153" s="1">
        <v>44221</v>
      </c>
      <c r="T1153" s="1" t="s">
        <v>128</v>
      </c>
      <c r="U1153" s="1" t="s">
        <v>2741</v>
      </c>
      <c r="V1153" s="1" t="s">
        <v>35</v>
      </c>
      <c r="W1153" s="7">
        <v>8.3520000000000003</v>
      </c>
      <c r="X1153" s="1">
        <v>4</v>
      </c>
      <c r="Y1153" s="7">
        <v>8.2799999999999994</v>
      </c>
      <c r="Z1153" s="7">
        <f t="shared" ref="Z1153:AA1153" si="1176">W1153*X1153</f>
        <v>33.408000000000001</v>
      </c>
      <c r="AA1153" s="7">
        <f t="shared" si="1176"/>
        <v>33.119999999999997</v>
      </c>
      <c r="AB1153" s="7">
        <f t="shared" si="1045"/>
        <v>0.28800000000000381</v>
      </c>
    </row>
    <row r="1154" spans="1:28">
      <c r="A1154" s="1">
        <v>1153</v>
      </c>
      <c r="B1154" s="1" t="s">
        <v>2742</v>
      </c>
      <c r="C1154" s="2">
        <v>43100</v>
      </c>
      <c r="D1154" s="6" t="str">
        <f t="shared" si="1040"/>
        <v>Dec</v>
      </c>
      <c r="E1154" s="6" t="str">
        <f t="shared" si="1041"/>
        <v>Qtr 4</v>
      </c>
      <c r="F1154" s="5">
        <v>43252</v>
      </c>
      <c r="G1154" s="1" t="s">
        <v>49</v>
      </c>
      <c r="H1154" s="1" t="s">
        <v>882</v>
      </c>
      <c r="I1154" s="1" t="s">
        <v>883</v>
      </c>
      <c r="J1154" s="1" t="str">
        <f ca="1">IFERROR(__xludf.DUMMYFUNCTION("split(I1154,"" "")"),"Kelly")</f>
        <v>Kelly</v>
      </c>
      <c r="K1154" s="1" t="str">
        <f ca="1">IFERROR(__xludf.DUMMYFUNCTION("""COMPUTED_VALUE"""),"Lampkin")</f>
        <v>Lampkin</v>
      </c>
      <c r="L1154" s="1"/>
      <c r="M1154" s="1" t="s">
        <v>41</v>
      </c>
      <c r="N1154" s="1" t="s">
        <v>30</v>
      </c>
      <c r="O1154" s="1" t="s">
        <v>2743</v>
      </c>
      <c r="P1154" s="1" t="str">
        <f t="shared" si="1042"/>
        <v>Reno</v>
      </c>
      <c r="Q1154" s="1" t="s">
        <v>1134</v>
      </c>
      <c r="R1154" s="1" t="str">
        <f t="shared" si="1043"/>
        <v>Nevada</v>
      </c>
      <c r="S1154" s="1">
        <v>89502</v>
      </c>
      <c r="T1154" s="1" t="s">
        <v>44</v>
      </c>
      <c r="U1154" s="1" t="s">
        <v>2744</v>
      </c>
      <c r="V1154" s="1" t="s">
        <v>46</v>
      </c>
      <c r="W1154" s="7">
        <v>3.64</v>
      </c>
      <c r="X1154" s="1">
        <v>8</v>
      </c>
      <c r="Y1154" s="7">
        <v>3.56</v>
      </c>
      <c r="Z1154" s="7">
        <f t="shared" ref="Z1154:AA1154" si="1177">W1154*X1154</f>
        <v>29.12</v>
      </c>
      <c r="AA1154" s="7">
        <f t="shared" si="1177"/>
        <v>28.48</v>
      </c>
      <c r="AB1154" s="7">
        <f t="shared" si="1045"/>
        <v>0.64000000000000057</v>
      </c>
    </row>
    <row r="1155" spans="1:28">
      <c r="A1155" s="1">
        <v>1154</v>
      </c>
      <c r="B1155" s="1" t="s">
        <v>2742</v>
      </c>
      <c r="C1155" s="2">
        <v>43100</v>
      </c>
      <c r="D1155" s="6" t="str">
        <f t="shared" si="1040"/>
        <v>Dec</v>
      </c>
      <c r="E1155" s="6" t="str">
        <f t="shared" si="1041"/>
        <v>Qtr 4</v>
      </c>
      <c r="F1155" s="5">
        <v>43252</v>
      </c>
      <c r="G1155" s="1" t="s">
        <v>49</v>
      </c>
      <c r="H1155" s="1" t="s">
        <v>882</v>
      </c>
      <c r="I1155" s="1" t="s">
        <v>883</v>
      </c>
      <c r="J1155" s="1" t="str">
        <f ca="1">IFERROR(__xludf.DUMMYFUNCTION("split(I1155,"" "")"),"Kelly")</f>
        <v>Kelly</v>
      </c>
      <c r="K1155" s="1" t="str">
        <f ca="1">IFERROR(__xludf.DUMMYFUNCTION("""COMPUTED_VALUE"""),"Lampkin")</f>
        <v>Lampkin</v>
      </c>
      <c r="L1155" s="1"/>
      <c r="M1155" s="1" t="s">
        <v>41</v>
      </c>
      <c r="N1155" s="1" t="s">
        <v>30</v>
      </c>
      <c r="O1155" s="1" t="s">
        <v>2743</v>
      </c>
      <c r="P1155" s="1" t="str">
        <f t="shared" si="1042"/>
        <v>Reno</v>
      </c>
      <c r="Q1155" s="1" t="s">
        <v>1134</v>
      </c>
      <c r="R1155" s="1" t="str">
        <f t="shared" si="1043"/>
        <v>Nevada</v>
      </c>
      <c r="S1155" s="1">
        <v>89502</v>
      </c>
      <c r="T1155" s="1" t="s">
        <v>44</v>
      </c>
      <c r="U1155" s="1" t="s">
        <v>2225</v>
      </c>
      <c r="V1155" s="1" t="s">
        <v>46</v>
      </c>
      <c r="W1155" s="7">
        <v>159.768</v>
      </c>
      <c r="X1155" s="1">
        <v>8</v>
      </c>
      <c r="Y1155" s="7">
        <v>158.88999999999999</v>
      </c>
      <c r="Z1155" s="7">
        <f t="shared" ref="Z1155:AA1155" si="1178">W1155*X1155</f>
        <v>1278.144</v>
      </c>
      <c r="AA1155" s="7">
        <f t="shared" si="1178"/>
        <v>1271.1199999999999</v>
      </c>
      <c r="AB1155" s="7">
        <f t="shared" si="1045"/>
        <v>7.0240000000001146</v>
      </c>
    </row>
    <row r="1156" spans="1:28">
      <c r="A1156" s="1">
        <v>1155</v>
      </c>
      <c r="B1156" s="1" t="s">
        <v>2745</v>
      </c>
      <c r="C1156" s="2">
        <v>42358</v>
      </c>
      <c r="D1156" s="6" t="str">
        <f t="shared" si="1040"/>
        <v>Dec</v>
      </c>
      <c r="E1156" s="6" t="str">
        <f t="shared" si="1041"/>
        <v>Qtr 4</v>
      </c>
      <c r="F1156" s="5" t="s">
        <v>2746</v>
      </c>
      <c r="G1156" s="1" t="s">
        <v>162</v>
      </c>
      <c r="H1156" s="1" t="s">
        <v>2661</v>
      </c>
      <c r="I1156" s="1" t="s">
        <v>2662</v>
      </c>
      <c r="J1156" s="1" t="str">
        <f ca="1">IFERROR(__xludf.DUMMYFUNCTION("split(I1156,"" "")"),"Penelope")</f>
        <v>Penelope</v>
      </c>
      <c r="K1156" s="1" t="str">
        <f ca="1">IFERROR(__xludf.DUMMYFUNCTION("""COMPUTED_VALUE"""),"Sewall")</f>
        <v>Sewall</v>
      </c>
      <c r="L1156" s="1"/>
      <c r="M1156" s="1" t="s">
        <v>87</v>
      </c>
      <c r="N1156" s="1" t="s">
        <v>30</v>
      </c>
      <c r="O1156" s="1" t="s">
        <v>2747</v>
      </c>
      <c r="P1156" s="1" t="str">
        <f t="shared" si="1042"/>
        <v>Harrisonburg</v>
      </c>
      <c r="Q1156" s="1" t="s">
        <v>272</v>
      </c>
      <c r="R1156" s="1" t="str">
        <f t="shared" si="1043"/>
        <v>Virginia</v>
      </c>
      <c r="S1156" s="1">
        <v>22801</v>
      </c>
      <c r="T1156" s="1" t="s">
        <v>33</v>
      </c>
      <c r="U1156" s="1" t="s">
        <v>2748</v>
      </c>
      <c r="V1156" s="1" t="s">
        <v>46</v>
      </c>
      <c r="W1156" s="7">
        <v>122.48</v>
      </c>
      <c r="X1156" s="1">
        <v>2</v>
      </c>
      <c r="Y1156" s="7">
        <v>122.47</v>
      </c>
      <c r="Z1156" s="7">
        <f t="shared" ref="Z1156:AA1156" si="1179">W1156*X1156</f>
        <v>244.96</v>
      </c>
      <c r="AA1156" s="7">
        <f t="shared" si="1179"/>
        <v>244.94</v>
      </c>
      <c r="AB1156" s="7">
        <f t="shared" si="1045"/>
        <v>2.0000000000010232E-2</v>
      </c>
    </row>
    <row r="1157" spans="1:28">
      <c r="A1157" s="1">
        <v>1156</v>
      </c>
      <c r="B1157" s="1" t="s">
        <v>2745</v>
      </c>
      <c r="C1157" s="2">
        <v>42358</v>
      </c>
      <c r="D1157" s="6" t="str">
        <f t="shared" si="1040"/>
        <v>Dec</v>
      </c>
      <c r="E1157" s="6" t="str">
        <f t="shared" si="1041"/>
        <v>Qtr 4</v>
      </c>
      <c r="F1157" s="5" t="s">
        <v>2746</v>
      </c>
      <c r="G1157" s="1" t="s">
        <v>162</v>
      </c>
      <c r="H1157" s="1" t="s">
        <v>2661</v>
      </c>
      <c r="I1157" s="1" t="s">
        <v>2662</v>
      </c>
      <c r="J1157" s="1" t="str">
        <f ca="1">IFERROR(__xludf.DUMMYFUNCTION("split(I1157,"" "")"),"Penelope")</f>
        <v>Penelope</v>
      </c>
      <c r="K1157" s="1" t="str">
        <f ca="1">IFERROR(__xludf.DUMMYFUNCTION("""COMPUTED_VALUE"""),"Sewall")</f>
        <v>Sewall</v>
      </c>
      <c r="L1157" s="1"/>
      <c r="M1157" s="1" t="s">
        <v>87</v>
      </c>
      <c r="N1157" s="1" t="s">
        <v>30</v>
      </c>
      <c r="O1157" s="1" t="s">
        <v>2747</v>
      </c>
      <c r="P1157" s="1" t="str">
        <f t="shared" si="1042"/>
        <v>Harrisonburg</v>
      </c>
      <c r="Q1157" s="1" t="s">
        <v>272</v>
      </c>
      <c r="R1157" s="1" t="str">
        <f t="shared" si="1043"/>
        <v>Virginia</v>
      </c>
      <c r="S1157" s="1">
        <v>22801</v>
      </c>
      <c r="T1157" s="1" t="s">
        <v>33</v>
      </c>
      <c r="U1157" s="1" t="s">
        <v>2749</v>
      </c>
      <c r="V1157" s="1" t="s">
        <v>35</v>
      </c>
      <c r="W1157" s="7">
        <v>2244.48</v>
      </c>
      <c r="X1157" s="1">
        <v>2</v>
      </c>
      <c r="Y1157" s="7">
        <v>2244.1999999999998</v>
      </c>
      <c r="Z1157" s="7">
        <f t="shared" ref="Z1157:AA1157" si="1180">W1157*X1157</f>
        <v>4488.96</v>
      </c>
      <c r="AA1157" s="7">
        <f t="shared" si="1180"/>
        <v>4488.3999999999996</v>
      </c>
      <c r="AB1157" s="7">
        <f t="shared" si="1045"/>
        <v>0.56000000000040018</v>
      </c>
    </row>
    <row r="1158" spans="1:28">
      <c r="A1158" s="1">
        <v>1157</v>
      </c>
      <c r="B1158" s="1" t="s">
        <v>2745</v>
      </c>
      <c r="C1158" s="2">
        <v>42358</v>
      </c>
      <c r="D1158" s="6" t="str">
        <f t="shared" si="1040"/>
        <v>Dec</v>
      </c>
      <c r="E1158" s="6" t="str">
        <f t="shared" si="1041"/>
        <v>Qtr 4</v>
      </c>
      <c r="F1158" s="5" t="s">
        <v>2746</v>
      </c>
      <c r="G1158" s="1" t="s">
        <v>162</v>
      </c>
      <c r="H1158" s="1" t="s">
        <v>2661</v>
      </c>
      <c r="I1158" s="1" t="s">
        <v>2662</v>
      </c>
      <c r="J1158" s="1" t="str">
        <f ca="1">IFERROR(__xludf.DUMMYFUNCTION("split(I1158,"" "")"),"Penelope")</f>
        <v>Penelope</v>
      </c>
      <c r="K1158" s="1" t="str">
        <f ca="1">IFERROR(__xludf.DUMMYFUNCTION("""COMPUTED_VALUE"""),"Sewall")</f>
        <v>Sewall</v>
      </c>
      <c r="L1158" s="1"/>
      <c r="M1158" s="1" t="s">
        <v>87</v>
      </c>
      <c r="N1158" s="1" t="s">
        <v>30</v>
      </c>
      <c r="O1158" s="1" t="s">
        <v>2747</v>
      </c>
      <c r="P1158" s="1" t="str">
        <f t="shared" si="1042"/>
        <v>Harrisonburg</v>
      </c>
      <c r="Q1158" s="1" t="s">
        <v>272</v>
      </c>
      <c r="R1158" s="1" t="str">
        <f t="shared" si="1043"/>
        <v>Virginia</v>
      </c>
      <c r="S1158" s="1">
        <v>22801</v>
      </c>
      <c r="T1158" s="1" t="s">
        <v>33</v>
      </c>
      <c r="U1158" s="1" t="s">
        <v>1129</v>
      </c>
      <c r="V1158" s="1" t="s">
        <v>46</v>
      </c>
      <c r="W1158" s="7">
        <v>62.31</v>
      </c>
      <c r="X1158" s="1">
        <v>2</v>
      </c>
      <c r="Y1158" s="7">
        <v>61.91</v>
      </c>
      <c r="Z1158" s="7">
        <f t="shared" ref="Z1158:AA1158" si="1181">W1158*X1158</f>
        <v>124.62</v>
      </c>
      <c r="AA1158" s="7">
        <f t="shared" si="1181"/>
        <v>123.82</v>
      </c>
      <c r="AB1158" s="7">
        <f t="shared" si="1045"/>
        <v>0.80000000000001137</v>
      </c>
    </row>
    <row r="1159" spans="1:28">
      <c r="A1159" s="1">
        <v>1158</v>
      </c>
      <c r="B1159" s="1" t="s">
        <v>2745</v>
      </c>
      <c r="C1159" s="2">
        <v>42358</v>
      </c>
      <c r="D1159" s="6" t="str">
        <f t="shared" si="1040"/>
        <v>Dec</v>
      </c>
      <c r="E1159" s="6" t="str">
        <f t="shared" si="1041"/>
        <v>Qtr 4</v>
      </c>
      <c r="F1159" s="5" t="s">
        <v>2746</v>
      </c>
      <c r="G1159" s="1" t="s">
        <v>162</v>
      </c>
      <c r="H1159" s="1" t="s">
        <v>2661</v>
      </c>
      <c r="I1159" s="1" t="s">
        <v>2662</v>
      </c>
      <c r="J1159" s="1" t="str">
        <f ca="1">IFERROR(__xludf.DUMMYFUNCTION("split(I1159,"" "")"),"Penelope")</f>
        <v>Penelope</v>
      </c>
      <c r="K1159" s="1" t="str">
        <f ca="1">IFERROR(__xludf.DUMMYFUNCTION("""COMPUTED_VALUE"""),"Sewall")</f>
        <v>Sewall</v>
      </c>
      <c r="L1159" s="1"/>
      <c r="M1159" s="1" t="s">
        <v>87</v>
      </c>
      <c r="N1159" s="1" t="s">
        <v>30</v>
      </c>
      <c r="O1159" s="1" t="s">
        <v>2747</v>
      </c>
      <c r="P1159" s="1" t="str">
        <f t="shared" si="1042"/>
        <v>Harrisonburg</v>
      </c>
      <c r="Q1159" s="1" t="s">
        <v>272</v>
      </c>
      <c r="R1159" s="1" t="str">
        <f t="shared" si="1043"/>
        <v>Virginia</v>
      </c>
      <c r="S1159" s="1">
        <v>22801</v>
      </c>
      <c r="T1159" s="1" t="s">
        <v>33</v>
      </c>
      <c r="U1159" s="1" t="s">
        <v>1101</v>
      </c>
      <c r="V1159" s="1" t="s">
        <v>35</v>
      </c>
      <c r="W1159" s="7">
        <v>455.1</v>
      </c>
      <c r="X1159" s="1">
        <v>2</v>
      </c>
      <c r="Y1159" s="7">
        <v>454.7</v>
      </c>
      <c r="Z1159" s="7">
        <f t="shared" ref="Z1159:AA1159" si="1182">W1159*X1159</f>
        <v>910.2</v>
      </c>
      <c r="AA1159" s="7">
        <f t="shared" si="1182"/>
        <v>909.4</v>
      </c>
      <c r="AB1159" s="7">
        <f t="shared" si="1045"/>
        <v>0.80000000000006821</v>
      </c>
    </row>
    <row r="1160" spans="1:28">
      <c r="A1160" s="1">
        <v>1159</v>
      </c>
      <c r="B1160" s="1" t="s">
        <v>2750</v>
      </c>
      <c r="C1160" s="2">
        <v>42773</v>
      </c>
      <c r="D1160" s="6" t="str">
        <f t="shared" si="1040"/>
        <v>Feb</v>
      </c>
      <c r="E1160" s="6" t="str">
        <f t="shared" si="1041"/>
        <v>Qtr 1</v>
      </c>
      <c r="F1160" s="5">
        <v>42923</v>
      </c>
      <c r="G1160" s="1" t="s">
        <v>26</v>
      </c>
      <c r="H1160" s="1" t="s">
        <v>2272</v>
      </c>
      <c r="I1160" s="1" t="s">
        <v>2273</v>
      </c>
      <c r="J1160" s="1" t="str">
        <f ca="1">IFERROR(__xludf.DUMMYFUNCTION("split(I1160,"" "")"),"George")</f>
        <v>George</v>
      </c>
      <c r="K1160" s="1" t="str">
        <f ca="1">IFERROR(__xludf.DUMMYFUNCTION("""COMPUTED_VALUE"""),"Bell")</f>
        <v>Bell</v>
      </c>
      <c r="L1160" s="1"/>
      <c r="M1160" s="1" t="s">
        <v>41</v>
      </c>
      <c r="N1160" s="1" t="s">
        <v>30</v>
      </c>
      <c r="O1160" s="1" t="s">
        <v>42</v>
      </c>
      <c r="P1160" s="1" t="str">
        <f t="shared" si="1042"/>
        <v>Los Angeles</v>
      </c>
      <c r="Q1160" s="1" t="s">
        <v>68</v>
      </c>
      <c r="R1160" s="1" t="str">
        <f t="shared" si="1043"/>
        <v>California</v>
      </c>
      <c r="S1160" s="1">
        <v>90004</v>
      </c>
      <c r="T1160" s="1" t="s">
        <v>44</v>
      </c>
      <c r="U1160" s="1" t="s">
        <v>2751</v>
      </c>
      <c r="V1160" s="1" t="s">
        <v>35</v>
      </c>
      <c r="W1160" s="7">
        <v>195.184</v>
      </c>
      <c r="X1160" s="1">
        <v>9</v>
      </c>
      <c r="Y1160" s="7">
        <v>195.02</v>
      </c>
      <c r="Z1160" s="7">
        <f t="shared" ref="Z1160:AA1160" si="1183">W1160*X1160</f>
        <v>1756.6559999999999</v>
      </c>
      <c r="AA1160" s="7">
        <f t="shared" si="1183"/>
        <v>1755.18</v>
      </c>
      <c r="AB1160" s="7">
        <f t="shared" si="1045"/>
        <v>1.4759999999998854</v>
      </c>
    </row>
    <row r="1161" spans="1:28">
      <c r="A1161" s="1">
        <v>1160</v>
      </c>
      <c r="B1161" s="1" t="s">
        <v>2752</v>
      </c>
      <c r="C1161" s="2">
        <v>43280</v>
      </c>
      <c r="D1161" s="6" t="str">
        <f t="shared" si="1040"/>
        <v>Jun</v>
      </c>
      <c r="E1161" s="6" t="str">
        <f t="shared" si="1041"/>
        <v>Qtr 2</v>
      </c>
      <c r="F1161" s="5">
        <v>43197</v>
      </c>
      <c r="G1161" s="1" t="s">
        <v>49</v>
      </c>
      <c r="H1161" s="1" t="s">
        <v>2753</v>
      </c>
      <c r="I1161" s="1" t="s">
        <v>2754</v>
      </c>
      <c r="J1161" s="1" t="str">
        <f ca="1">IFERROR(__xludf.DUMMYFUNCTION("split(I1161,"" "")"),"Alex")</f>
        <v>Alex</v>
      </c>
      <c r="K1161" s="1" t="str">
        <f ca="1">IFERROR(__xludf.DUMMYFUNCTION("""COMPUTED_VALUE"""),"Avila")</f>
        <v>Avila</v>
      </c>
      <c r="L1161" s="1"/>
      <c r="M1161" s="1" t="s">
        <v>29</v>
      </c>
      <c r="N1161" s="1" t="s">
        <v>30</v>
      </c>
      <c r="O1161" s="1" t="s">
        <v>347</v>
      </c>
      <c r="P1161" s="1" t="str">
        <f t="shared" si="1042"/>
        <v>Minneapolis</v>
      </c>
      <c r="Q1161" s="1" t="s">
        <v>201</v>
      </c>
      <c r="R1161" s="1" t="str">
        <f t="shared" si="1043"/>
        <v>Minnesota</v>
      </c>
      <c r="S1161" s="1">
        <v>55407</v>
      </c>
      <c r="T1161" s="1" t="s">
        <v>90</v>
      </c>
      <c r="U1161" s="1" t="s">
        <v>2061</v>
      </c>
      <c r="V1161" s="1" t="s">
        <v>46</v>
      </c>
      <c r="W1161" s="7">
        <v>362.94</v>
      </c>
      <c r="X1161" s="1">
        <v>5</v>
      </c>
      <c r="Y1161" s="7">
        <v>362.7</v>
      </c>
      <c r="Z1161" s="7">
        <f t="shared" ref="Z1161:AA1161" si="1184">W1161*X1161</f>
        <v>1814.7</v>
      </c>
      <c r="AA1161" s="7">
        <f t="shared" si="1184"/>
        <v>1813.5</v>
      </c>
      <c r="AB1161" s="7">
        <f t="shared" si="1045"/>
        <v>1.2000000000000455</v>
      </c>
    </row>
    <row r="1162" spans="1:28">
      <c r="A1162" s="1">
        <v>1161</v>
      </c>
      <c r="B1162" s="1" t="s">
        <v>2752</v>
      </c>
      <c r="C1162" s="2">
        <v>43280</v>
      </c>
      <c r="D1162" s="6" t="str">
        <f t="shared" si="1040"/>
        <v>Jun</v>
      </c>
      <c r="E1162" s="6" t="str">
        <f t="shared" si="1041"/>
        <v>Qtr 2</v>
      </c>
      <c r="F1162" s="5">
        <v>43197</v>
      </c>
      <c r="G1162" s="1" t="s">
        <v>49</v>
      </c>
      <c r="H1162" s="1" t="s">
        <v>2753</v>
      </c>
      <c r="I1162" s="1" t="s">
        <v>2754</v>
      </c>
      <c r="J1162" s="1" t="str">
        <f ca="1">IFERROR(__xludf.DUMMYFUNCTION("split(I1162,"" "")"),"Alex")</f>
        <v>Alex</v>
      </c>
      <c r="K1162" s="1" t="str">
        <f ca="1">IFERROR(__xludf.DUMMYFUNCTION("""COMPUTED_VALUE"""),"Avila")</f>
        <v>Avila</v>
      </c>
      <c r="L1162" s="1"/>
      <c r="M1162" s="1" t="s">
        <v>29</v>
      </c>
      <c r="N1162" s="1" t="s">
        <v>30</v>
      </c>
      <c r="O1162" s="1" t="s">
        <v>347</v>
      </c>
      <c r="P1162" s="1" t="str">
        <f t="shared" si="1042"/>
        <v>Minneapolis</v>
      </c>
      <c r="Q1162" s="1" t="s">
        <v>201</v>
      </c>
      <c r="R1162" s="1" t="str">
        <f t="shared" si="1043"/>
        <v>Minnesota</v>
      </c>
      <c r="S1162" s="1">
        <v>55407</v>
      </c>
      <c r="T1162" s="1" t="s">
        <v>90</v>
      </c>
      <c r="U1162" s="1" t="s">
        <v>278</v>
      </c>
      <c r="V1162" s="1" t="s">
        <v>46</v>
      </c>
      <c r="W1162" s="7">
        <v>11.54</v>
      </c>
      <c r="X1162" s="1">
        <v>5</v>
      </c>
      <c r="Y1162" s="7">
        <v>10.84</v>
      </c>
      <c r="Z1162" s="7">
        <f t="shared" ref="Z1162:AA1162" si="1185">W1162*X1162</f>
        <v>57.699999999999996</v>
      </c>
      <c r="AA1162" s="7">
        <f t="shared" si="1185"/>
        <v>54.2</v>
      </c>
      <c r="AB1162" s="7">
        <f t="shared" si="1045"/>
        <v>3.4999999999999929</v>
      </c>
    </row>
    <row r="1163" spans="1:28">
      <c r="A1163" s="1">
        <v>1162</v>
      </c>
      <c r="B1163" s="1" t="s">
        <v>2755</v>
      </c>
      <c r="C1163" s="2">
        <v>42013</v>
      </c>
      <c r="D1163" s="6" t="str">
        <f t="shared" si="1040"/>
        <v>Jan</v>
      </c>
      <c r="E1163" s="6" t="str">
        <f t="shared" si="1041"/>
        <v>Qtr 1</v>
      </c>
      <c r="F1163" s="5">
        <v>42133</v>
      </c>
      <c r="G1163" s="1" t="s">
        <v>26</v>
      </c>
      <c r="H1163" s="1" t="s">
        <v>2756</v>
      </c>
      <c r="I1163" s="1" t="s">
        <v>2757</v>
      </c>
      <c r="J1163" s="1" t="str">
        <f ca="1">IFERROR(__xludf.DUMMYFUNCTION("split(I1163,"" "")"),"Larry")</f>
        <v>Larry</v>
      </c>
      <c r="K1163" s="1" t="str">
        <f ca="1">IFERROR(__xludf.DUMMYFUNCTION("""COMPUTED_VALUE"""),"Tron")</f>
        <v>Tron</v>
      </c>
      <c r="L1163" s="1"/>
      <c r="M1163" s="1" t="s">
        <v>29</v>
      </c>
      <c r="N1163" s="1" t="s">
        <v>30</v>
      </c>
      <c r="O1163" s="1" t="s">
        <v>2758</v>
      </c>
      <c r="P1163" s="1" t="str">
        <f t="shared" si="1042"/>
        <v>Escondido</v>
      </c>
      <c r="Q1163" s="1" t="s">
        <v>68</v>
      </c>
      <c r="R1163" s="1" t="str">
        <f t="shared" si="1043"/>
        <v>California</v>
      </c>
      <c r="S1163" s="1">
        <v>92025</v>
      </c>
      <c r="T1163" s="1" t="s">
        <v>44</v>
      </c>
      <c r="U1163" s="1" t="s">
        <v>152</v>
      </c>
      <c r="V1163" s="1" t="s">
        <v>46</v>
      </c>
      <c r="W1163" s="7">
        <v>53.94</v>
      </c>
      <c r="X1163" s="1">
        <v>9</v>
      </c>
      <c r="Y1163" s="7">
        <v>53.63</v>
      </c>
      <c r="Z1163" s="7">
        <f t="shared" ref="Z1163:AA1163" si="1186">W1163*X1163</f>
        <v>485.46</v>
      </c>
      <c r="AA1163" s="7">
        <f t="shared" si="1186"/>
        <v>482.67</v>
      </c>
      <c r="AB1163" s="7">
        <f t="shared" si="1045"/>
        <v>2.7899999999999636</v>
      </c>
    </row>
    <row r="1164" spans="1:28">
      <c r="A1164" s="1">
        <v>1163</v>
      </c>
      <c r="B1164" s="1" t="s">
        <v>2759</v>
      </c>
      <c r="C1164" s="2">
        <v>42066</v>
      </c>
      <c r="D1164" s="6" t="str">
        <f t="shared" si="1040"/>
        <v>Mar</v>
      </c>
      <c r="E1164" s="6" t="str">
        <f t="shared" si="1041"/>
        <v>Qtr 1</v>
      </c>
      <c r="F1164" s="5">
        <v>42219</v>
      </c>
      <c r="G1164" s="1" t="s">
        <v>49</v>
      </c>
      <c r="H1164" s="1" t="s">
        <v>2760</v>
      </c>
      <c r="I1164" s="1" t="s">
        <v>2761</v>
      </c>
      <c r="J1164" s="1" t="str">
        <f ca="1">IFERROR(__xludf.DUMMYFUNCTION("split(I1164,"" "")"),"Anne")</f>
        <v>Anne</v>
      </c>
      <c r="K1164" s="1" t="str">
        <f ca="1">IFERROR(__xludf.DUMMYFUNCTION("""COMPUTED_VALUE"""),"Pryor")</f>
        <v>Pryor</v>
      </c>
      <c r="L1164" s="1"/>
      <c r="M1164" s="1" t="s">
        <v>87</v>
      </c>
      <c r="N1164" s="1" t="s">
        <v>30</v>
      </c>
      <c r="O1164" s="1" t="s">
        <v>233</v>
      </c>
      <c r="P1164" s="1" t="str">
        <f t="shared" si="1042"/>
        <v>New York City</v>
      </c>
      <c r="Q1164" s="1" t="s">
        <v>234</v>
      </c>
      <c r="R1164" s="1" t="str">
        <f t="shared" si="1043"/>
        <v>New York</v>
      </c>
      <c r="S1164" s="1">
        <v>10035</v>
      </c>
      <c r="T1164" s="1" t="s">
        <v>128</v>
      </c>
      <c r="U1164" s="1" t="s">
        <v>2762</v>
      </c>
      <c r="V1164" s="1" t="s">
        <v>64</v>
      </c>
      <c r="W1164" s="7">
        <v>9.99</v>
      </c>
      <c r="X1164" s="1">
        <v>1</v>
      </c>
      <c r="Y1164" s="7">
        <v>9.0500000000000007</v>
      </c>
      <c r="Z1164" s="7">
        <f t="shared" ref="Z1164:AA1164" si="1187">W1164*X1164</f>
        <v>9.99</v>
      </c>
      <c r="AA1164" s="7">
        <f t="shared" si="1187"/>
        <v>9.0500000000000007</v>
      </c>
      <c r="AB1164" s="7">
        <f t="shared" si="1045"/>
        <v>0.9399999999999995</v>
      </c>
    </row>
    <row r="1165" spans="1:28">
      <c r="A1165" s="1">
        <v>1164</v>
      </c>
      <c r="B1165" s="1" t="s">
        <v>2759</v>
      </c>
      <c r="C1165" s="2">
        <v>42066</v>
      </c>
      <c r="D1165" s="6" t="str">
        <f t="shared" si="1040"/>
        <v>Mar</v>
      </c>
      <c r="E1165" s="6" t="str">
        <f t="shared" si="1041"/>
        <v>Qtr 1</v>
      </c>
      <c r="F1165" s="5">
        <v>42219</v>
      </c>
      <c r="G1165" s="1" t="s">
        <v>49</v>
      </c>
      <c r="H1165" s="1" t="s">
        <v>2760</v>
      </c>
      <c r="I1165" s="1" t="s">
        <v>2761</v>
      </c>
      <c r="J1165" s="1" t="str">
        <f ca="1">IFERROR(__xludf.DUMMYFUNCTION("split(I1165,"" "")"),"Anne")</f>
        <v>Anne</v>
      </c>
      <c r="K1165" s="1" t="str">
        <f ca="1">IFERROR(__xludf.DUMMYFUNCTION("""COMPUTED_VALUE"""),"Pryor")</f>
        <v>Pryor</v>
      </c>
      <c r="L1165" s="1"/>
      <c r="M1165" s="1" t="s">
        <v>87</v>
      </c>
      <c r="N1165" s="1" t="s">
        <v>30</v>
      </c>
      <c r="O1165" s="1" t="s">
        <v>233</v>
      </c>
      <c r="P1165" s="1" t="str">
        <f t="shared" si="1042"/>
        <v>New York City</v>
      </c>
      <c r="Q1165" s="1" t="s">
        <v>234</v>
      </c>
      <c r="R1165" s="1" t="str">
        <f t="shared" si="1043"/>
        <v>New York</v>
      </c>
      <c r="S1165" s="1">
        <v>10035</v>
      </c>
      <c r="T1165" s="1" t="s">
        <v>128</v>
      </c>
      <c r="U1165" s="1" t="s">
        <v>888</v>
      </c>
      <c r="V1165" s="1" t="s">
        <v>46</v>
      </c>
      <c r="W1165" s="7">
        <v>125.76</v>
      </c>
      <c r="X1165" s="1">
        <v>1</v>
      </c>
      <c r="Y1165" s="7">
        <v>125.64</v>
      </c>
      <c r="Z1165" s="7">
        <f t="shared" ref="Z1165:AA1165" si="1188">W1165*X1165</f>
        <v>125.76</v>
      </c>
      <c r="AA1165" s="7">
        <f t="shared" si="1188"/>
        <v>125.64</v>
      </c>
      <c r="AB1165" s="7">
        <f t="shared" si="1045"/>
        <v>0.12000000000000455</v>
      </c>
    </row>
    <row r="1166" spans="1:28">
      <c r="A1166" s="1">
        <v>1165</v>
      </c>
      <c r="B1166" s="1" t="s">
        <v>2759</v>
      </c>
      <c r="C1166" s="2">
        <v>42066</v>
      </c>
      <c r="D1166" s="6" t="str">
        <f t="shared" si="1040"/>
        <v>Mar</v>
      </c>
      <c r="E1166" s="6" t="str">
        <f t="shared" si="1041"/>
        <v>Qtr 1</v>
      </c>
      <c r="F1166" s="5">
        <v>42219</v>
      </c>
      <c r="G1166" s="1" t="s">
        <v>49</v>
      </c>
      <c r="H1166" s="1" t="s">
        <v>2760</v>
      </c>
      <c r="I1166" s="1" t="s">
        <v>2761</v>
      </c>
      <c r="J1166" s="1" t="str">
        <f ca="1">IFERROR(__xludf.DUMMYFUNCTION("split(I1166,"" "")"),"Anne")</f>
        <v>Anne</v>
      </c>
      <c r="K1166" s="1" t="str">
        <f ca="1">IFERROR(__xludf.DUMMYFUNCTION("""COMPUTED_VALUE"""),"Pryor")</f>
        <v>Pryor</v>
      </c>
      <c r="L1166" s="1"/>
      <c r="M1166" s="1" t="s">
        <v>87</v>
      </c>
      <c r="N1166" s="1" t="s">
        <v>30</v>
      </c>
      <c r="O1166" s="1" t="s">
        <v>233</v>
      </c>
      <c r="P1166" s="1" t="str">
        <f t="shared" si="1042"/>
        <v>New York City</v>
      </c>
      <c r="Q1166" s="1" t="s">
        <v>234</v>
      </c>
      <c r="R1166" s="1" t="str">
        <f t="shared" si="1043"/>
        <v>New York</v>
      </c>
      <c r="S1166" s="1">
        <v>10035</v>
      </c>
      <c r="T1166" s="1" t="s">
        <v>128</v>
      </c>
      <c r="U1166" s="1" t="s">
        <v>2763</v>
      </c>
      <c r="V1166" s="1" t="s">
        <v>46</v>
      </c>
      <c r="W1166" s="7">
        <v>25.32</v>
      </c>
      <c r="X1166" s="1">
        <v>1</v>
      </c>
      <c r="Y1166" s="7">
        <v>24.97</v>
      </c>
      <c r="Z1166" s="7">
        <f t="shared" ref="Z1166:AA1166" si="1189">W1166*X1166</f>
        <v>25.32</v>
      </c>
      <c r="AA1166" s="7">
        <f t="shared" si="1189"/>
        <v>24.97</v>
      </c>
      <c r="AB1166" s="7">
        <f t="shared" si="1045"/>
        <v>0.35000000000000142</v>
      </c>
    </row>
    <row r="1167" spans="1:28">
      <c r="A1167" s="1">
        <v>1166</v>
      </c>
      <c r="B1167" s="1" t="s">
        <v>2764</v>
      </c>
      <c r="C1167" s="2">
        <v>42099</v>
      </c>
      <c r="D1167" s="6" t="str">
        <f t="shared" si="1040"/>
        <v>Apr</v>
      </c>
      <c r="E1167" s="6" t="str">
        <f t="shared" si="1041"/>
        <v>Qtr 2</v>
      </c>
      <c r="F1167" s="5">
        <v>42221</v>
      </c>
      <c r="G1167" s="1" t="s">
        <v>49</v>
      </c>
      <c r="H1167" s="1" t="s">
        <v>2765</v>
      </c>
      <c r="I1167" s="1" t="s">
        <v>2766</v>
      </c>
      <c r="J1167" s="1" t="str">
        <f ca="1">IFERROR(__xludf.DUMMYFUNCTION("split(I1167,"" "")"),"Paul")</f>
        <v>Paul</v>
      </c>
      <c r="K1167" s="1" t="str">
        <f ca="1">IFERROR(__xludf.DUMMYFUNCTION("""COMPUTED_VALUE"""),"MacIntyre")</f>
        <v>MacIntyre</v>
      </c>
      <c r="L1167" s="1"/>
      <c r="M1167" s="1" t="s">
        <v>29</v>
      </c>
      <c r="N1167" s="1" t="s">
        <v>30</v>
      </c>
      <c r="O1167" s="1" t="s">
        <v>281</v>
      </c>
      <c r="P1167" s="1" t="str">
        <f t="shared" si="1042"/>
        <v>Jackson</v>
      </c>
      <c r="Q1167" s="1" t="s">
        <v>209</v>
      </c>
      <c r="R1167" s="1" t="str">
        <f t="shared" si="1043"/>
        <v>Michigan</v>
      </c>
      <c r="S1167" s="1">
        <v>49201</v>
      </c>
      <c r="T1167" s="1" t="s">
        <v>90</v>
      </c>
      <c r="U1167" s="1" t="s">
        <v>2143</v>
      </c>
      <c r="V1167" s="1" t="s">
        <v>46</v>
      </c>
      <c r="W1167" s="7">
        <v>46.8</v>
      </c>
      <c r="X1167" s="1">
        <v>4</v>
      </c>
      <c r="Y1167" s="7">
        <v>45.97</v>
      </c>
      <c r="Z1167" s="7">
        <f t="shared" ref="Z1167:AA1167" si="1190">W1167*X1167</f>
        <v>187.2</v>
      </c>
      <c r="AA1167" s="7">
        <f t="shared" si="1190"/>
        <v>183.88</v>
      </c>
      <c r="AB1167" s="7">
        <f t="shared" si="1045"/>
        <v>3.3199999999999932</v>
      </c>
    </row>
    <row r="1168" spans="1:28">
      <c r="A1168" s="1">
        <v>1167</v>
      </c>
      <c r="B1168" s="1" t="s">
        <v>2767</v>
      </c>
      <c r="C1168" s="2">
        <v>42411</v>
      </c>
      <c r="D1168" s="6" t="str">
        <f t="shared" si="1040"/>
        <v>Feb</v>
      </c>
      <c r="E1168" s="6" t="str">
        <f t="shared" si="1041"/>
        <v>Qtr 1</v>
      </c>
      <c r="F1168" s="5">
        <v>42411</v>
      </c>
      <c r="G1168" s="1" t="s">
        <v>1050</v>
      </c>
      <c r="H1168" s="1" t="s">
        <v>776</v>
      </c>
      <c r="I1168" s="1" t="s">
        <v>777</v>
      </c>
      <c r="J1168" s="1" t="str">
        <f ca="1">IFERROR(__xludf.DUMMYFUNCTION("split(I1168,"" "")"),"Kelly")</f>
        <v>Kelly</v>
      </c>
      <c r="K1168" s="1" t="str">
        <f ca="1">IFERROR(__xludf.DUMMYFUNCTION("""COMPUTED_VALUE"""),"Collister")</f>
        <v>Collister</v>
      </c>
      <c r="L1168" s="1"/>
      <c r="M1168" s="1" t="s">
        <v>29</v>
      </c>
      <c r="N1168" s="1" t="s">
        <v>30</v>
      </c>
      <c r="O1168" s="1" t="s">
        <v>80</v>
      </c>
      <c r="P1168" s="1" t="str">
        <f t="shared" si="1042"/>
        <v>Seattle</v>
      </c>
      <c r="Q1168" s="1" t="s">
        <v>81</v>
      </c>
      <c r="R1168" s="1" t="str">
        <f t="shared" si="1043"/>
        <v>Washington</v>
      </c>
      <c r="S1168" s="1">
        <v>98115</v>
      </c>
      <c r="T1168" s="1" t="s">
        <v>44</v>
      </c>
      <c r="U1168" s="1" t="s">
        <v>387</v>
      </c>
      <c r="V1168" s="1" t="s">
        <v>64</v>
      </c>
      <c r="W1168" s="7">
        <v>447.93</v>
      </c>
      <c r="X1168" s="1">
        <v>9</v>
      </c>
      <c r="Y1168" s="7">
        <v>447.17</v>
      </c>
      <c r="Z1168" s="7">
        <f t="shared" ref="Z1168:AA1168" si="1191">W1168*X1168</f>
        <v>4031.37</v>
      </c>
      <c r="AA1168" s="7">
        <f t="shared" si="1191"/>
        <v>4024.53</v>
      </c>
      <c r="AB1168" s="7">
        <f t="shared" si="1045"/>
        <v>6.8399999999996908</v>
      </c>
    </row>
    <row r="1169" spans="1:28">
      <c r="A1169" s="1">
        <v>1168</v>
      </c>
      <c r="B1169" s="1" t="s">
        <v>2768</v>
      </c>
      <c r="C1169" s="2">
        <v>43324</v>
      </c>
      <c r="D1169" s="6" t="str">
        <f t="shared" si="1040"/>
        <v>Aug</v>
      </c>
      <c r="E1169" s="6" t="str">
        <f t="shared" si="1041"/>
        <v>Qtr 3</v>
      </c>
      <c r="F1169" s="5">
        <v>43385</v>
      </c>
      <c r="G1169" s="1" t="s">
        <v>26</v>
      </c>
      <c r="H1169" s="1" t="s">
        <v>781</v>
      </c>
      <c r="I1169" s="1" t="s">
        <v>782</v>
      </c>
      <c r="J1169" s="1" t="str">
        <f ca="1">IFERROR(__xludf.DUMMYFUNCTION("split(I1169,"" "")"),"Delfina")</f>
        <v>Delfina</v>
      </c>
      <c r="K1169" s="1" t="str">
        <f ca="1">IFERROR(__xludf.DUMMYFUNCTION("""COMPUTED_VALUE"""),"Latchford")</f>
        <v>Latchford</v>
      </c>
      <c r="L1169" s="1"/>
      <c r="M1169" s="1" t="s">
        <v>29</v>
      </c>
      <c r="N1169" s="1" t="s">
        <v>30</v>
      </c>
      <c r="O1169" s="1" t="s">
        <v>233</v>
      </c>
      <c r="P1169" s="1" t="str">
        <f t="shared" si="1042"/>
        <v>New York City</v>
      </c>
      <c r="Q1169" s="1" t="s">
        <v>234</v>
      </c>
      <c r="R1169" s="1" t="str">
        <f t="shared" si="1043"/>
        <v>New York</v>
      </c>
      <c r="S1169" s="1">
        <v>10035</v>
      </c>
      <c r="T1169" s="1" t="s">
        <v>128</v>
      </c>
      <c r="U1169" s="1" t="s">
        <v>2769</v>
      </c>
      <c r="V1169" s="1" t="s">
        <v>35</v>
      </c>
      <c r="W1169" s="7">
        <v>109.48</v>
      </c>
      <c r="X1169" s="1">
        <v>1</v>
      </c>
      <c r="Y1169" s="7">
        <v>109.47</v>
      </c>
      <c r="Z1169" s="7">
        <f t="shared" ref="Z1169:AA1169" si="1192">W1169*X1169</f>
        <v>109.48</v>
      </c>
      <c r="AA1169" s="7">
        <f t="shared" si="1192"/>
        <v>109.47</v>
      </c>
      <c r="AB1169" s="7">
        <f t="shared" si="1045"/>
        <v>1.0000000000005116E-2</v>
      </c>
    </row>
    <row r="1170" spans="1:28">
      <c r="A1170" s="1">
        <v>1169</v>
      </c>
      <c r="B1170" s="1" t="s">
        <v>2768</v>
      </c>
      <c r="C1170" s="2">
        <v>43324</v>
      </c>
      <c r="D1170" s="6" t="str">
        <f t="shared" si="1040"/>
        <v>Aug</v>
      </c>
      <c r="E1170" s="6" t="str">
        <f t="shared" si="1041"/>
        <v>Qtr 3</v>
      </c>
      <c r="F1170" s="5">
        <v>43385</v>
      </c>
      <c r="G1170" s="1" t="s">
        <v>26</v>
      </c>
      <c r="H1170" s="1" t="s">
        <v>781</v>
      </c>
      <c r="I1170" s="1" t="s">
        <v>782</v>
      </c>
      <c r="J1170" s="1" t="str">
        <f ca="1">IFERROR(__xludf.DUMMYFUNCTION("split(I1170,"" "")"),"Delfina")</f>
        <v>Delfina</v>
      </c>
      <c r="K1170" s="1" t="str">
        <f ca="1">IFERROR(__xludf.DUMMYFUNCTION("""COMPUTED_VALUE"""),"Latchford")</f>
        <v>Latchford</v>
      </c>
      <c r="L1170" s="1"/>
      <c r="M1170" s="1" t="s">
        <v>29</v>
      </c>
      <c r="N1170" s="1" t="s">
        <v>30</v>
      </c>
      <c r="O1170" s="1" t="s">
        <v>233</v>
      </c>
      <c r="P1170" s="1" t="str">
        <f t="shared" si="1042"/>
        <v>New York City</v>
      </c>
      <c r="Q1170" s="1" t="s">
        <v>234</v>
      </c>
      <c r="R1170" s="1" t="str">
        <f t="shared" si="1043"/>
        <v>New York</v>
      </c>
      <c r="S1170" s="1">
        <v>10035</v>
      </c>
      <c r="T1170" s="1" t="s">
        <v>128</v>
      </c>
      <c r="U1170" s="1" t="s">
        <v>290</v>
      </c>
      <c r="V1170" s="1" t="s">
        <v>46</v>
      </c>
      <c r="W1170" s="7">
        <v>272.94</v>
      </c>
      <c r="X1170" s="1">
        <v>1</v>
      </c>
      <c r="Y1170" s="7">
        <v>272.66000000000003</v>
      </c>
      <c r="Z1170" s="7">
        <f t="shared" ref="Z1170:AA1170" si="1193">W1170*X1170</f>
        <v>272.94</v>
      </c>
      <c r="AA1170" s="7">
        <f t="shared" si="1193"/>
        <v>272.66000000000003</v>
      </c>
      <c r="AB1170" s="7">
        <f t="shared" si="1045"/>
        <v>0.27999999999997272</v>
      </c>
    </row>
    <row r="1171" spans="1:28">
      <c r="A1171" s="1">
        <v>1170</v>
      </c>
      <c r="B1171" s="1" t="s">
        <v>2768</v>
      </c>
      <c r="C1171" s="2">
        <v>43324</v>
      </c>
      <c r="D1171" s="6" t="str">
        <f t="shared" si="1040"/>
        <v>Aug</v>
      </c>
      <c r="E1171" s="6" t="str">
        <f t="shared" si="1041"/>
        <v>Qtr 3</v>
      </c>
      <c r="F1171" s="5">
        <v>43385</v>
      </c>
      <c r="G1171" s="1" t="s">
        <v>26</v>
      </c>
      <c r="H1171" s="1" t="s">
        <v>781</v>
      </c>
      <c r="I1171" s="1" t="s">
        <v>782</v>
      </c>
      <c r="J1171" s="1" t="str">
        <f ca="1">IFERROR(__xludf.DUMMYFUNCTION("split(I1171,"" "")"),"Delfina")</f>
        <v>Delfina</v>
      </c>
      <c r="K1171" s="1" t="str">
        <f ca="1">IFERROR(__xludf.DUMMYFUNCTION("""COMPUTED_VALUE"""),"Latchford")</f>
        <v>Latchford</v>
      </c>
      <c r="L1171" s="1"/>
      <c r="M1171" s="1" t="s">
        <v>29</v>
      </c>
      <c r="N1171" s="1" t="s">
        <v>30</v>
      </c>
      <c r="O1171" s="1" t="s">
        <v>233</v>
      </c>
      <c r="P1171" s="1" t="str">
        <f t="shared" si="1042"/>
        <v>New York City</v>
      </c>
      <c r="Q1171" s="1" t="s">
        <v>234</v>
      </c>
      <c r="R1171" s="1" t="str">
        <f t="shared" si="1043"/>
        <v>New York</v>
      </c>
      <c r="S1171" s="1">
        <v>10035</v>
      </c>
      <c r="T1171" s="1" t="s">
        <v>128</v>
      </c>
      <c r="U1171" s="1" t="s">
        <v>2770</v>
      </c>
      <c r="V1171" s="1" t="s">
        <v>46</v>
      </c>
      <c r="W1171" s="7">
        <v>19.440000000000001</v>
      </c>
      <c r="X1171" s="1">
        <v>1</v>
      </c>
      <c r="Y1171" s="7">
        <v>19.399999999999999</v>
      </c>
      <c r="Z1171" s="7">
        <f t="shared" ref="Z1171:AA1171" si="1194">W1171*X1171</f>
        <v>19.440000000000001</v>
      </c>
      <c r="AA1171" s="7">
        <f t="shared" si="1194"/>
        <v>19.399999999999999</v>
      </c>
      <c r="AB1171" s="7">
        <f t="shared" si="1045"/>
        <v>4.00000000000027E-2</v>
      </c>
    </row>
    <row r="1172" spans="1:28">
      <c r="A1172" s="1">
        <v>1171</v>
      </c>
      <c r="B1172" s="1" t="s">
        <v>2768</v>
      </c>
      <c r="C1172" s="2">
        <v>43324</v>
      </c>
      <c r="D1172" s="6" t="str">
        <f t="shared" si="1040"/>
        <v>Aug</v>
      </c>
      <c r="E1172" s="6" t="str">
        <f t="shared" si="1041"/>
        <v>Qtr 3</v>
      </c>
      <c r="F1172" s="5">
        <v>43385</v>
      </c>
      <c r="G1172" s="1" t="s">
        <v>26</v>
      </c>
      <c r="H1172" s="1" t="s">
        <v>781</v>
      </c>
      <c r="I1172" s="1" t="s">
        <v>782</v>
      </c>
      <c r="J1172" s="1" t="str">
        <f ca="1">IFERROR(__xludf.DUMMYFUNCTION("split(I1172,"" "")"),"Delfina")</f>
        <v>Delfina</v>
      </c>
      <c r="K1172" s="1" t="str">
        <f ca="1">IFERROR(__xludf.DUMMYFUNCTION("""COMPUTED_VALUE"""),"Latchford")</f>
        <v>Latchford</v>
      </c>
      <c r="L1172" s="1"/>
      <c r="M1172" s="1" t="s">
        <v>29</v>
      </c>
      <c r="N1172" s="1" t="s">
        <v>30</v>
      </c>
      <c r="O1172" s="1" t="s">
        <v>233</v>
      </c>
      <c r="P1172" s="1" t="str">
        <f t="shared" si="1042"/>
        <v>New York City</v>
      </c>
      <c r="Q1172" s="1" t="s">
        <v>234</v>
      </c>
      <c r="R1172" s="1" t="str">
        <f t="shared" si="1043"/>
        <v>New York</v>
      </c>
      <c r="S1172" s="1">
        <v>10035</v>
      </c>
      <c r="T1172" s="1" t="s">
        <v>128</v>
      </c>
      <c r="U1172" s="1" t="s">
        <v>2771</v>
      </c>
      <c r="V1172" s="1" t="s">
        <v>46</v>
      </c>
      <c r="W1172" s="7">
        <v>31.92</v>
      </c>
      <c r="X1172" s="1">
        <v>1</v>
      </c>
      <c r="Y1172" s="7">
        <v>31.49</v>
      </c>
      <c r="Z1172" s="7">
        <f t="shared" ref="Z1172:AA1172" si="1195">W1172*X1172</f>
        <v>31.92</v>
      </c>
      <c r="AA1172" s="7">
        <f t="shared" si="1195"/>
        <v>31.49</v>
      </c>
      <c r="AB1172" s="7">
        <f t="shared" si="1045"/>
        <v>0.43000000000000327</v>
      </c>
    </row>
    <row r="1173" spans="1:28">
      <c r="A1173" s="1">
        <v>1172</v>
      </c>
      <c r="B1173" s="1" t="s">
        <v>2772</v>
      </c>
      <c r="C1173" s="2">
        <v>42280</v>
      </c>
      <c r="D1173" s="6" t="str">
        <f t="shared" si="1040"/>
        <v>Oct</v>
      </c>
      <c r="E1173" s="6" t="str">
        <f t="shared" si="1041"/>
        <v>Qtr 4</v>
      </c>
      <c r="F1173" s="5" t="s">
        <v>2773</v>
      </c>
      <c r="G1173" s="1" t="s">
        <v>49</v>
      </c>
      <c r="H1173" s="1" t="s">
        <v>2381</v>
      </c>
      <c r="I1173" s="1" t="s">
        <v>2382</v>
      </c>
      <c r="J1173" s="1" t="str">
        <f ca="1">IFERROR(__xludf.DUMMYFUNCTION("split(I1173,"" "")"),"Scott")</f>
        <v>Scott</v>
      </c>
      <c r="K1173" s="1" t="str">
        <f ca="1">IFERROR(__xludf.DUMMYFUNCTION("""COMPUTED_VALUE"""),"Williamson")</f>
        <v>Williamson</v>
      </c>
      <c r="L1173" s="1"/>
      <c r="M1173" s="1" t="s">
        <v>29</v>
      </c>
      <c r="N1173" s="1" t="s">
        <v>30</v>
      </c>
      <c r="O1173" s="1" t="s">
        <v>2774</v>
      </c>
      <c r="P1173" s="1" t="str">
        <f t="shared" si="1042"/>
        <v>Royal Oak</v>
      </c>
      <c r="Q1173" s="1" t="s">
        <v>209</v>
      </c>
      <c r="R1173" s="1" t="str">
        <f t="shared" si="1043"/>
        <v>Michigan</v>
      </c>
      <c r="S1173" s="1">
        <v>48073</v>
      </c>
      <c r="T1173" s="1" t="s">
        <v>90</v>
      </c>
      <c r="U1173" s="1" t="s">
        <v>2775</v>
      </c>
      <c r="V1173" s="1" t="s">
        <v>46</v>
      </c>
      <c r="W1173" s="7">
        <v>22.38</v>
      </c>
      <c r="X1173" s="1">
        <v>4</v>
      </c>
      <c r="Y1173" s="7">
        <v>21.6</v>
      </c>
      <c r="Z1173" s="7">
        <f t="shared" ref="Z1173:AA1173" si="1196">W1173*X1173</f>
        <v>89.52</v>
      </c>
      <c r="AA1173" s="7">
        <f t="shared" si="1196"/>
        <v>86.4</v>
      </c>
      <c r="AB1173" s="7">
        <f t="shared" si="1045"/>
        <v>3.1199999999999903</v>
      </c>
    </row>
    <row r="1174" spans="1:28">
      <c r="A1174" s="1">
        <v>1173</v>
      </c>
      <c r="B1174" s="1" t="s">
        <v>2776</v>
      </c>
      <c r="C1174" s="2">
        <v>42115</v>
      </c>
      <c r="D1174" s="6" t="str">
        <f t="shared" si="1040"/>
        <v>Apr</v>
      </c>
      <c r="E1174" s="6" t="str">
        <f t="shared" si="1041"/>
        <v>Qtr 2</v>
      </c>
      <c r="F1174" s="5" t="s">
        <v>2777</v>
      </c>
      <c r="G1174" s="1" t="s">
        <v>49</v>
      </c>
      <c r="H1174" s="1" t="s">
        <v>1482</v>
      </c>
      <c r="I1174" s="1" t="s">
        <v>1483</v>
      </c>
      <c r="J1174" s="1" t="str">
        <f ca="1">IFERROR(__xludf.DUMMYFUNCTION("split(I1174,"" "")"),"Allen")</f>
        <v>Allen</v>
      </c>
      <c r="K1174" s="1" t="str">
        <f ca="1">IFERROR(__xludf.DUMMYFUNCTION("""COMPUTED_VALUE"""),"Armold")</f>
        <v>Armold</v>
      </c>
      <c r="L1174" s="1"/>
      <c r="M1174" s="1" t="s">
        <v>29</v>
      </c>
      <c r="N1174" s="1" t="s">
        <v>30</v>
      </c>
      <c r="O1174" s="1" t="s">
        <v>42</v>
      </c>
      <c r="P1174" s="1" t="str">
        <f t="shared" si="1042"/>
        <v>Los Angeles</v>
      </c>
      <c r="Q1174" s="1" t="s">
        <v>68</v>
      </c>
      <c r="R1174" s="1" t="str">
        <f t="shared" si="1043"/>
        <v>California</v>
      </c>
      <c r="S1174" s="1">
        <v>90008</v>
      </c>
      <c r="T1174" s="1" t="s">
        <v>44</v>
      </c>
      <c r="U1174" s="1" t="s">
        <v>2778</v>
      </c>
      <c r="V1174" s="1" t="s">
        <v>46</v>
      </c>
      <c r="W1174" s="7">
        <v>16.52</v>
      </c>
      <c r="X1174" s="1">
        <v>9</v>
      </c>
      <c r="Y1174" s="7">
        <v>15.79</v>
      </c>
      <c r="Z1174" s="7">
        <f t="shared" ref="Z1174:AA1174" si="1197">W1174*X1174</f>
        <v>148.68</v>
      </c>
      <c r="AA1174" s="7">
        <f t="shared" si="1197"/>
        <v>142.10999999999999</v>
      </c>
      <c r="AB1174" s="7">
        <f t="shared" si="1045"/>
        <v>6.5700000000000216</v>
      </c>
    </row>
    <row r="1175" spans="1:28">
      <c r="A1175" s="1">
        <v>1174</v>
      </c>
      <c r="B1175" s="1" t="s">
        <v>2779</v>
      </c>
      <c r="C1175" s="2">
        <v>42665</v>
      </c>
      <c r="D1175" s="6" t="str">
        <f t="shared" si="1040"/>
        <v>Oct</v>
      </c>
      <c r="E1175" s="6" t="str">
        <f t="shared" si="1041"/>
        <v>Qtr 4</v>
      </c>
      <c r="F1175" s="5" t="s">
        <v>2780</v>
      </c>
      <c r="G1175" s="1" t="s">
        <v>49</v>
      </c>
      <c r="H1175" s="1" t="s">
        <v>2025</v>
      </c>
      <c r="I1175" s="1" t="s">
        <v>2026</v>
      </c>
      <c r="J1175" s="1" t="str">
        <f ca="1">IFERROR(__xludf.DUMMYFUNCTION("split(I1175,"" "")"),"Liz")</f>
        <v>Liz</v>
      </c>
      <c r="K1175" s="1" t="str">
        <f ca="1">IFERROR(__xludf.DUMMYFUNCTION("""COMPUTED_VALUE"""),"Thompson")</f>
        <v>Thompson</v>
      </c>
      <c r="L1175" s="1"/>
      <c r="M1175" s="1" t="s">
        <v>29</v>
      </c>
      <c r="N1175" s="1" t="s">
        <v>30</v>
      </c>
      <c r="O1175" s="1" t="s">
        <v>452</v>
      </c>
      <c r="P1175" s="1" t="str">
        <f t="shared" si="1042"/>
        <v>Bloomington</v>
      </c>
      <c r="Q1175" s="1" t="s">
        <v>182</v>
      </c>
      <c r="R1175" s="1" t="str">
        <f t="shared" si="1043"/>
        <v>Illinois</v>
      </c>
      <c r="S1175" s="1">
        <v>61701</v>
      </c>
      <c r="T1175" s="1" t="s">
        <v>90</v>
      </c>
      <c r="U1175" s="1" t="s">
        <v>2000</v>
      </c>
      <c r="V1175" s="1" t="s">
        <v>46</v>
      </c>
      <c r="W1175" s="7">
        <v>5.1760000000000002</v>
      </c>
      <c r="X1175" s="1">
        <v>6</v>
      </c>
      <c r="Y1175" s="7">
        <v>4.95</v>
      </c>
      <c r="Z1175" s="7">
        <f t="shared" ref="Z1175:AA1175" si="1198">W1175*X1175</f>
        <v>31.056000000000001</v>
      </c>
      <c r="AA1175" s="7">
        <f t="shared" si="1198"/>
        <v>29.700000000000003</v>
      </c>
      <c r="AB1175" s="7">
        <f t="shared" si="1045"/>
        <v>1.3559999999999981</v>
      </c>
    </row>
    <row r="1176" spans="1:28">
      <c r="A1176" s="1">
        <v>1175</v>
      </c>
      <c r="B1176" s="1" t="s">
        <v>2781</v>
      </c>
      <c r="C1176" s="2">
        <v>42604</v>
      </c>
      <c r="D1176" s="6" t="str">
        <f t="shared" si="1040"/>
        <v>Aug</v>
      </c>
      <c r="E1176" s="6" t="str">
        <f t="shared" si="1041"/>
        <v>Qtr 3</v>
      </c>
      <c r="F1176" s="5" t="s">
        <v>2782</v>
      </c>
      <c r="G1176" s="1" t="s">
        <v>162</v>
      </c>
      <c r="H1176" s="1" t="s">
        <v>2162</v>
      </c>
      <c r="I1176" s="1" t="s">
        <v>2163</v>
      </c>
      <c r="J1176" s="1" t="str">
        <f ca="1">IFERROR(__xludf.DUMMYFUNCTION("split(I1176,"" "")"),"Dave")</f>
        <v>Dave</v>
      </c>
      <c r="K1176" s="1" t="str">
        <f ca="1">IFERROR(__xludf.DUMMYFUNCTION("""COMPUTED_VALUE"""),"Poirier")</f>
        <v>Poirier</v>
      </c>
      <c r="L1176" s="1"/>
      <c r="M1176" s="1" t="s">
        <v>41</v>
      </c>
      <c r="N1176" s="1" t="s">
        <v>30</v>
      </c>
      <c r="O1176" s="1" t="s">
        <v>233</v>
      </c>
      <c r="P1176" s="1" t="str">
        <f t="shared" si="1042"/>
        <v>New York City</v>
      </c>
      <c r="Q1176" s="1" t="s">
        <v>234</v>
      </c>
      <c r="R1176" s="1" t="str">
        <f t="shared" si="1043"/>
        <v>New York</v>
      </c>
      <c r="S1176" s="1">
        <v>10035</v>
      </c>
      <c r="T1176" s="1" t="s">
        <v>128</v>
      </c>
      <c r="U1176" s="1" t="s">
        <v>2783</v>
      </c>
      <c r="V1176" s="1" t="s">
        <v>46</v>
      </c>
      <c r="W1176" s="7">
        <v>50.112000000000002</v>
      </c>
      <c r="X1176" s="1">
        <v>1</v>
      </c>
      <c r="Y1176" s="7">
        <v>49.33</v>
      </c>
      <c r="Z1176" s="7">
        <f t="shared" ref="Z1176:AA1176" si="1199">W1176*X1176</f>
        <v>50.112000000000002</v>
      </c>
      <c r="AA1176" s="7">
        <f t="shared" si="1199"/>
        <v>49.33</v>
      </c>
      <c r="AB1176" s="7">
        <f t="shared" si="1045"/>
        <v>0.78200000000000358</v>
      </c>
    </row>
    <row r="1177" spans="1:28">
      <c r="A1177" s="1">
        <v>1176</v>
      </c>
      <c r="B1177" s="1" t="s">
        <v>2784</v>
      </c>
      <c r="C1177" s="2">
        <v>42976</v>
      </c>
      <c r="D1177" s="6" t="str">
        <f t="shared" si="1040"/>
        <v>Aug</v>
      </c>
      <c r="E1177" s="6" t="str">
        <f t="shared" si="1041"/>
        <v>Qtr 3</v>
      </c>
      <c r="F1177" s="5">
        <v>42803</v>
      </c>
      <c r="G1177" s="1" t="s">
        <v>49</v>
      </c>
      <c r="H1177" s="1" t="s">
        <v>1017</v>
      </c>
      <c r="I1177" s="1" t="s">
        <v>1018</v>
      </c>
      <c r="J1177" s="1" t="str">
        <f ca="1">IFERROR(__xludf.DUMMYFUNCTION("split(I1177,"" "")"),"Adam")</f>
        <v>Adam</v>
      </c>
      <c r="K1177" s="1" t="str">
        <f ca="1">IFERROR(__xludf.DUMMYFUNCTION("""COMPUTED_VALUE"""),"Bellavance")</f>
        <v>Bellavance</v>
      </c>
      <c r="L1177" s="1"/>
      <c r="M1177" s="1" t="s">
        <v>87</v>
      </c>
      <c r="N1177" s="1" t="s">
        <v>30</v>
      </c>
      <c r="O1177" s="1" t="s">
        <v>74</v>
      </c>
      <c r="P1177" s="1" t="str">
        <f t="shared" si="1042"/>
        <v>Concord</v>
      </c>
      <c r="Q1177" s="1" t="s">
        <v>2208</v>
      </c>
      <c r="R1177" s="1" t="str">
        <f t="shared" si="1043"/>
        <v>New Hampshire</v>
      </c>
      <c r="S1177" s="1">
        <v>3301</v>
      </c>
      <c r="T1177" s="1" t="s">
        <v>128</v>
      </c>
      <c r="U1177" s="1" t="s">
        <v>2113</v>
      </c>
      <c r="V1177" s="1" t="s">
        <v>46</v>
      </c>
      <c r="W1177" s="7">
        <v>27.93</v>
      </c>
      <c r="X1177" s="1">
        <v>3</v>
      </c>
      <c r="Y1177" s="7">
        <v>27.54</v>
      </c>
      <c r="Z1177" s="7">
        <f t="shared" ref="Z1177:AA1177" si="1200">W1177*X1177</f>
        <v>83.789999999999992</v>
      </c>
      <c r="AA1177" s="7">
        <f t="shared" si="1200"/>
        <v>82.62</v>
      </c>
      <c r="AB1177" s="7">
        <f t="shared" si="1045"/>
        <v>1.1699999999999875</v>
      </c>
    </row>
    <row r="1178" spans="1:28">
      <c r="A1178" s="1">
        <v>1177</v>
      </c>
      <c r="B1178" s="1" t="s">
        <v>2785</v>
      </c>
      <c r="C1178" s="2">
        <v>42365</v>
      </c>
      <c r="D1178" s="6" t="str">
        <f t="shared" si="1040"/>
        <v>Dec</v>
      </c>
      <c r="E1178" s="6" t="str">
        <f t="shared" si="1041"/>
        <v>Qtr 4</v>
      </c>
      <c r="F1178" s="5" t="s">
        <v>941</v>
      </c>
      <c r="G1178" s="1" t="s">
        <v>26</v>
      </c>
      <c r="H1178" s="1" t="s">
        <v>2786</v>
      </c>
      <c r="I1178" s="1" t="s">
        <v>2787</v>
      </c>
      <c r="J1178" s="1" t="str">
        <f ca="1">IFERROR(__xludf.DUMMYFUNCTION("split(I1178,"" "")"),"Alyssa")</f>
        <v>Alyssa</v>
      </c>
      <c r="K1178" s="1" t="str">
        <f ca="1">IFERROR(__xludf.DUMMYFUNCTION("""COMPUTED_VALUE"""),"Tate")</f>
        <v>Tate</v>
      </c>
      <c r="L1178" s="1"/>
      <c r="M1178" s="1" t="s">
        <v>87</v>
      </c>
      <c r="N1178" s="1" t="s">
        <v>30</v>
      </c>
      <c r="O1178" s="1" t="s">
        <v>42</v>
      </c>
      <c r="P1178" s="1" t="str">
        <f t="shared" si="1042"/>
        <v>Los Angeles</v>
      </c>
      <c r="Q1178" s="1" t="s">
        <v>68</v>
      </c>
      <c r="R1178" s="1" t="str">
        <f t="shared" si="1043"/>
        <v>California</v>
      </c>
      <c r="S1178" s="1">
        <v>90004</v>
      </c>
      <c r="T1178" s="1" t="s">
        <v>44</v>
      </c>
      <c r="U1178" s="1" t="s">
        <v>2788</v>
      </c>
      <c r="V1178" s="1" t="s">
        <v>46</v>
      </c>
      <c r="W1178" s="7">
        <v>11.56</v>
      </c>
      <c r="X1178" s="1">
        <v>9</v>
      </c>
      <c r="Y1178" s="7">
        <v>11.38</v>
      </c>
      <c r="Z1178" s="7">
        <f t="shared" ref="Z1178:AA1178" si="1201">W1178*X1178</f>
        <v>104.04</v>
      </c>
      <c r="AA1178" s="7">
        <f t="shared" si="1201"/>
        <v>102.42</v>
      </c>
      <c r="AB1178" s="7">
        <f t="shared" si="1045"/>
        <v>1.6200000000000045</v>
      </c>
    </row>
    <row r="1179" spans="1:28">
      <c r="A1179" s="1">
        <v>1178</v>
      </c>
      <c r="B1179" s="1" t="s">
        <v>2789</v>
      </c>
      <c r="C1179" s="2">
        <v>42747</v>
      </c>
      <c r="D1179" s="6" t="str">
        <f t="shared" si="1040"/>
        <v>Jan</v>
      </c>
      <c r="E1179" s="6" t="str">
        <f t="shared" si="1041"/>
        <v>Qtr 1</v>
      </c>
      <c r="F1179" s="5">
        <v>42867</v>
      </c>
      <c r="G1179" s="1" t="s">
        <v>49</v>
      </c>
      <c r="H1179" s="1" t="s">
        <v>284</v>
      </c>
      <c r="I1179" s="1" t="s">
        <v>285</v>
      </c>
      <c r="J1179" s="1" t="str">
        <f ca="1">IFERROR(__xludf.DUMMYFUNCTION("split(I1179,"" "")"),"Joel")</f>
        <v>Joel</v>
      </c>
      <c r="K1179" s="1" t="str">
        <f ca="1">IFERROR(__xludf.DUMMYFUNCTION("""COMPUTED_VALUE"""),"Eaton")</f>
        <v>Eaton</v>
      </c>
      <c r="L1179" s="1"/>
      <c r="M1179" s="1" t="s">
        <v>29</v>
      </c>
      <c r="N1179" s="1" t="s">
        <v>30</v>
      </c>
      <c r="O1179" s="1" t="s">
        <v>2790</v>
      </c>
      <c r="P1179" s="1" t="str">
        <f t="shared" si="1042"/>
        <v>Rockville</v>
      </c>
      <c r="Q1179" s="1" t="s">
        <v>2248</v>
      </c>
      <c r="R1179" s="1" t="str">
        <f t="shared" si="1043"/>
        <v>Maryland</v>
      </c>
      <c r="S1179" s="1">
        <v>20852</v>
      </c>
      <c r="T1179" s="1" t="s">
        <v>128</v>
      </c>
      <c r="U1179" s="1" t="s">
        <v>2791</v>
      </c>
      <c r="V1179" s="1" t="s">
        <v>35</v>
      </c>
      <c r="W1179" s="7">
        <v>172.5</v>
      </c>
      <c r="X1179" s="1">
        <v>2</v>
      </c>
      <c r="Y1179" s="7">
        <v>172.39</v>
      </c>
      <c r="Z1179" s="7">
        <f t="shared" ref="Z1179:AA1179" si="1202">W1179*X1179</f>
        <v>345</v>
      </c>
      <c r="AA1179" s="7">
        <f t="shared" si="1202"/>
        <v>344.78</v>
      </c>
      <c r="AB1179" s="7">
        <f t="shared" si="1045"/>
        <v>0.22000000000002728</v>
      </c>
    </row>
    <row r="1180" spans="1:28">
      <c r="A1180" s="1">
        <v>1179</v>
      </c>
      <c r="B1180" s="1" t="s">
        <v>2789</v>
      </c>
      <c r="C1180" s="2">
        <v>42747</v>
      </c>
      <c r="D1180" s="6" t="str">
        <f t="shared" si="1040"/>
        <v>Jan</v>
      </c>
      <c r="E1180" s="6" t="str">
        <f t="shared" si="1041"/>
        <v>Qtr 1</v>
      </c>
      <c r="F1180" s="5">
        <v>42867</v>
      </c>
      <c r="G1180" s="1" t="s">
        <v>49</v>
      </c>
      <c r="H1180" s="1" t="s">
        <v>284</v>
      </c>
      <c r="I1180" s="1" t="s">
        <v>285</v>
      </c>
      <c r="J1180" s="1" t="str">
        <f ca="1">IFERROR(__xludf.DUMMYFUNCTION("split(I1180,"" "")"),"Joel")</f>
        <v>Joel</v>
      </c>
      <c r="K1180" s="1" t="str">
        <f ca="1">IFERROR(__xludf.DUMMYFUNCTION("""COMPUTED_VALUE"""),"Eaton")</f>
        <v>Eaton</v>
      </c>
      <c r="L1180" s="1"/>
      <c r="M1180" s="1" t="s">
        <v>29</v>
      </c>
      <c r="N1180" s="1" t="s">
        <v>30</v>
      </c>
      <c r="O1180" s="1" t="s">
        <v>2790</v>
      </c>
      <c r="P1180" s="1" t="str">
        <f t="shared" si="1042"/>
        <v>Rockville</v>
      </c>
      <c r="Q1180" s="1" t="s">
        <v>2248</v>
      </c>
      <c r="R1180" s="1" t="str">
        <f t="shared" si="1043"/>
        <v>Maryland</v>
      </c>
      <c r="S1180" s="1">
        <v>20852</v>
      </c>
      <c r="T1180" s="1" t="s">
        <v>128</v>
      </c>
      <c r="U1180" s="1" t="s">
        <v>572</v>
      </c>
      <c r="V1180" s="1" t="s">
        <v>64</v>
      </c>
      <c r="W1180" s="7">
        <v>179.97</v>
      </c>
      <c r="X1180" s="1">
        <v>2</v>
      </c>
      <c r="Y1180" s="7">
        <v>179.22</v>
      </c>
      <c r="Z1180" s="7">
        <f t="shared" ref="Z1180:AA1180" si="1203">W1180*X1180</f>
        <v>359.94</v>
      </c>
      <c r="AA1180" s="7">
        <f t="shared" si="1203"/>
        <v>358.44</v>
      </c>
      <c r="AB1180" s="7">
        <f t="shared" si="1045"/>
        <v>1.5</v>
      </c>
    </row>
    <row r="1181" spans="1:28">
      <c r="A1181" s="1">
        <v>1180</v>
      </c>
      <c r="B1181" s="1" t="s">
        <v>2792</v>
      </c>
      <c r="C1181" s="2">
        <v>42849</v>
      </c>
      <c r="D1181" s="6" t="str">
        <f t="shared" si="1040"/>
        <v>Apr</v>
      </c>
      <c r="E1181" s="6" t="str">
        <f t="shared" si="1041"/>
        <v>Qtr 2</v>
      </c>
      <c r="F1181" s="5" t="s">
        <v>958</v>
      </c>
      <c r="G1181" s="1" t="s">
        <v>26</v>
      </c>
      <c r="H1181" s="1" t="s">
        <v>2793</v>
      </c>
      <c r="I1181" s="1" t="s">
        <v>2794</v>
      </c>
      <c r="J1181" s="1" t="str">
        <f ca="1">IFERROR(__xludf.DUMMYFUNCTION("split(I1181,"" "")"),"Cathy")</f>
        <v>Cathy</v>
      </c>
      <c r="K1181" s="1" t="str">
        <f ca="1">IFERROR(__xludf.DUMMYFUNCTION("""COMPUTED_VALUE"""),"Armstrong")</f>
        <v>Armstrong</v>
      </c>
      <c r="L1181" s="1"/>
      <c r="M1181" s="1" t="s">
        <v>87</v>
      </c>
      <c r="N1181" s="1" t="s">
        <v>30</v>
      </c>
      <c r="O1181" s="1" t="s">
        <v>172</v>
      </c>
      <c r="P1181" s="1" t="str">
        <f t="shared" si="1042"/>
        <v>Houston</v>
      </c>
      <c r="Q1181" s="1" t="s">
        <v>89</v>
      </c>
      <c r="R1181" s="1" t="str">
        <f t="shared" si="1043"/>
        <v>Texas</v>
      </c>
      <c r="S1181" s="1">
        <v>77070</v>
      </c>
      <c r="T1181" s="1" t="s">
        <v>90</v>
      </c>
      <c r="U1181" s="1" t="s">
        <v>1985</v>
      </c>
      <c r="V1181" s="1" t="s">
        <v>64</v>
      </c>
      <c r="W1181" s="7">
        <v>258.69600000000003</v>
      </c>
      <c r="X1181" s="1">
        <v>7</v>
      </c>
      <c r="Y1181" s="7">
        <v>257.79000000000002</v>
      </c>
      <c r="Z1181" s="7">
        <f t="shared" ref="Z1181:AA1181" si="1204">W1181*X1181</f>
        <v>1810.8720000000003</v>
      </c>
      <c r="AA1181" s="7">
        <f t="shared" si="1204"/>
        <v>1804.5300000000002</v>
      </c>
      <c r="AB1181" s="7">
        <f t="shared" si="1045"/>
        <v>6.3420000000000982</v>
      </c>
    </row>
    <row r="1182" spans="1:28">
      <c r="A1182" s="1">
        <v>1181</v>
      </c>
      <c r="B1182" s="1" t="s">
        <v>2795</v>
      </c>
      <c r="C1182" s="2">
        <v>42176</v>
      </c>
      <c r="D1182" s="6" t="str">
        <f t="shared" si="1040"/>
        <v>Jun</v>
      </c>
      <c r="E1182" s="6" t="str">
        <f t="shared" si="1041"/>
        <v>Qtr 2</v>
      </c>
      <c r="F1182" s="5" t="s">
        <v>1198</v>
      </c>
      <c r="G1182" s="1" t="s">
        <v>49</v>
      </c>
      <c r="H1182" s="1" t="s">
        <v>533</v>
      </c>
      <c r="I1182" s="1" t="s">
        <v>534</v>
      </c>
      <c r="J1182" s="1" t="str">
        <f ca="1">IFERROR(__xludf.DUMMYFUNCTION("split(I1182,"" "")"),"Dave")</f>
        <v>Dave</v>
      </c>
      <c r="K1182" s="1" t="str">
        <f ca="1">IFERROR(__xludf.DUMMYFUNCTION("""COMPUTED_VALUE"""),"Brooks")</f>
        <v>Brooks</v>
      </c>
      <c r="L1182" s="1"/>
      <c r="M1182" s="1" t="s">
        <v>29</v>
      </c>
      <c r="N1182" s="1" t="s">
        <v>30</v>
      </c>
      <c r="O1182" s="1" t="s">
        <v>910</v>
      </c>
      <c r="P1182" s="1" t="str">
        <f t="shared" si="1042"/>
        <v>Lakewood</v>
      </c>
      <c r="Q1182" s="1" t="s">
        <v>653</v>
      </c>
      <c r="R1182" s="1" t="str">
        <f t="shared" si="1043"/>
        <v>New Jersey</v>
      </c>
      <c r="S1182" s="1">
        <v>8701</v>
      </c>
      <c r="T1182" s="1" t="s">
        <v>128</v>
      </c>
      <c r="U1182" s="1" t="s">
        <v>2796</v>
      </c>
      <c r="V1182" s="1" t="s">
        <v>64</v>
      </c>
      <c r="W1182" s="7">
        <v>1322.93</v>
      </c>
      <c r="X1182" s="1">
        <v>8</v>
      </c>
      <c r="Y1182" s="7">
        <v>1322.42</v>
      </c>
      <c r="Z1182" s="7">
        <f t="shared" ref="Z1182:AA1182" si="1205">W1182*X1182</f>
        <v>10583.44</v>
      </c>
      <c r="AA1182" s="7">
        <f t="shared" si="1205"/>
        <v>10579.36</v>
      </c>
      <c r="AB1182" s="7">
        <f t="shared" si="1045"/>
        <v>4.0799999999999272</v>
      </c>
    </row>
    <row r="1183" spans="1:28">
      <c r="A1183" s="1">
        <v>1182</v>
      </c>
      <c r="B1183" s="1" t="s">
        <v>2795</v>
      </c>
      <c r="C1183" s="2">
        <v>42176</v>
      </c>
      <c r="D1183" s="6" t="str">
        <f t="shared" si="1040"/>
        <v>Jun</v>
      </c>
      <c r="E1183" s="6" t="str">
        <f t="shared" si="1041"/>
        <v>Qtr 2</v>
      </c>
      <c r="F1183" s="5" t="s">
        <v>1198</v>
      </c>
      <c r="G1183" s="1" t="s">
        <v>49</v>
      </c>
      <c r="H1183" s="1" t="s">
        <v>533</v>
      </c>
      <c r="I1183" s="1" t="s">
        <v>534</v>
      </c>
      <c r="J1183" s="1" t="str">
        <f ca="1">IFERROR(__xludf.DUMMYFUNCTION("split(I1183,"" "")"),"Dave")</f>
        <v>Dave</v>
      </c>
      <c r="K1183" s="1" t="str">
        <f ca="1">IFERROR(__xludf.DUMMYFUNCTION("""COMPUTED_VALUE"""),"Brooks")</f>
        <v>Brooks</v>
      </c>
      <c r="L1183" s="1"/>
      <c r="M1183" s="1" t="s">
        <v>29</v>
      </c>
      <c r="N1183" s="1" t="s">
        <v>30</v>
      </c>
      <c r="O1183" s="1" t="s">
        <v>910</v>
      </c>
      <c r="P1183" s="1" t="str">
        <f t="shared" si="1042"/>
        <v>Lakewood</v>
      </c>
      <c r="Q1183" s="1" t="s">
        <v>653</v>
      </c>
      <c r="R1183" s="1" t="str">
        <f t="shared" si="1043"/>
        <v>New Jersey</v>
      </c>
      <c r="S1183" s="1">
        <v>8701</v>
      </c>
      <c r="T1183" s="1" t="s">
        <v>128</v>
      </c>
      <c r="U1183" s="1" t="s">
        <v>2797</v>
      </c>
      <c r="V1183" s="1" t="s">
        <v>46</v>
      </c>
      <c r="W1183" s="7">
        <v>3.76</v>
      </c>
      <c r="X1183" s="1">
        <v>8</v>
      </c>
      <c r="Y1183" s="7">
        <v>3.22</v>
      </c>
      <c r="Z1183" s="7">
        <f t="shared" ref="Z1183:AA1183" si="1206">W1183*X1183</f>
        <v>30.08</v>
      </c>
      <c r="AA1183" s="7">
        <f t="shared" si="1206"/>
        <v>25.76</v>
      </c>
      <c r="AB1183" s="7">
        <f t="shared" si="1045"/>
        <v>4.3199999999999967</v>
      </c>
    </row>
    <row r="1184" spans="1:28">
      <c r="A1184" s="1">
        <v>1183</v>
      </c>
      <c r="B1184" s="1" t="s">
        <v>2798</v>
      </c>
      <c r="C1184" s="2">
        <v>43114</v>
      </c>
      <c r="D1184" s="6" t="str">
        <f t="shared" si="1040"/>
        <v>Jan</v>
      </c>
      <c r="E1184" s="6" t="str">
        <f t="shared" si="1041"/>
        <v>Qtr 1</v>
      </c>
      <c r="F1184" s="5" t="s">
        <v>2799</v>
      </c>
      <c r="G1184" s="1" t="s">
        <v>162</v>
      </c>
      <c r="H1184" s="1" t="s">
        <v>1793</v>
      </c>
      <c r="I1184" s="1" t="s">
        <v>1794</v>
      </c>
      <c r="J1184" s="1" t="str">
        <f ca="1">IFERROR(__xludf.DUMMYFUNCTION("split(I1184,"" "")"),"Rob")</f>
        <v>Rob</v>
      </c>
      <c r="K1184" s="1" t="str">
        <f ca="1">IFERROR(__xludf.DUMMYFUNCTION("""COMPUTED_VALUE"""),"Beeghly")</f>
        <v>Beeghly</v>
      </c>
      <c r="L1184" s="1"/>
      <c r="M1184" s="1" t="s">
        <v>29</v>
      </c>
      <c r="N1184" s="1" t="s">
        <v>30</v>
      </c>
      <c r="O1184" s="1" t="s">
        <v>1241</v>
      </c>
      <c r="P1184" s="1" t="str">
        <f t="shared" si="1042"/>
        <v>Jacksonville</v>
      </c>
      <c r="Q1184" s="1" t="s">
        <v>75</v>
      </c>
      <c r="R1184" s="1" t="str">
        <f t="shared" si="1043"/>
        <v>North Carolina</v>
      </c>
      <c r="S1184" s="1">
        <v>28540</v>
      </c>
      <c r="T1184" s="1" t="s">
        <v>33</v>
      </c>
      <c r="U1184" s="1" t="s">
        <v>425</v>
      </c>
      <c r="V1184" s="1" t="s">
        <v>46</v>
      </c>
      <c r="W1184" s="7">
        <v>21.744</v>
      </c>
      <c r="X1184" s="1">
        <v>2</v>
      </c>
      <c r="Y1184" s="7">
        <v>21.04</v>
      </c>
      <c r="Z1184" s="7">
        <f t="shared" ref="Z1184:AA1184" si="1207">W1184*X1184</f>
        <v>43.488</v>
      </c>
      <c r="AA1184" s="7">
        <f t="shared" si="1207"/>
        <v>42.08</v>
      </c>
      <c r="AB1184" s="7">
        <f t="shared" si="1045"/>
        <v>1.4080000000000013</v>
      </c>
    </row>
    <row r="1185" spans="1:28">
      <c r="A1185" s="1">
        <v>1184</v>
      </c>
      <c r="B1185" s="1" t="s">
        <v>2798</v>
      </c>
      <c r="C1185" s="2">
        <v>43114</v>
      </c>
      <c r="D1185" s="6" t="str">
        <f t="shared" si="1040"/>
        <v>Jan</v>
      </c>
      <c r="E1185" s="6" t="str">
        <f t="shared" si="1041"/>
        <v>Qtr 1</v>
      </c>
      <c r="F1185" s="5" t="s">
        <v>2799</v>
      </c>
      <c r="G1185" s="1" t="s">
        <v>162</v>
      </c>
      <c r="H1185" s="1" t="s">
        <v>1793</v>
      </c>
      <c r="I1185" s="1" t="s">
        <v>1794</v>
      </c>
      <c r="J1185" s="1" t="str">
        <f ca="1">IFERROR(__xludf.DUMMYFUNCTION("split(I1185,"" "")"),"Rob")</f>
        <v>Rob</v>
      </c>
      <c r="K1185" s="1" t="str">
        <f ca="1">IFERROR(__xludf.DUMMYFUNCTION("""COMPUTED_VALUE"""),"Beeghly")</f>
        <v>Beeghly</v>
      </c>
      <c r="L1185" s="1"/>
      <c r="M1185" s="1" t="s">
        <v>29</v>
      </c>
      <c r="N1185" s="1" t="s">
        <v>30</v>
      </c>
      <c r="O1185" s="1" t="s">
        <v>1241</v>
      </c>
      <c r="P1185" s="1" t="str">
        <f t="shared" si="1042"/>
        <v>Jacksonville</v>
      </c>
      <c r="Q1185" s="1" t="s">
        <v>75</v>
      </c>
      <c r="R1185" s="1" t="str">
        <f t="shared" si="1043"/>
        <v>North Carolina</v>
      </c>
      <c r="S1185" s="1">
        <v>28540</v>
      </c>
      <c r="T1185" s="1" t="s">
        <v>33</v>
      </c>
      <c r="U1185" s="1" t="s">
        <v>2800</v>
      </c>
      <c r="V1185" s="1" t="s">
        <v>64</v>
      </c>
      <c r="W1185" s="7">
        <v>7.92</v>
      </c>
      <c r="X1185" s="1">
        <v>2</v>
      </c>
      <c r="Y1185" s="7">
        <v>7.42</v>
      </c>
      <c r="Z1185" s="7">
        <f t="shared" ref="Z1185:AA1185" si="1208">W1185*X1185</f>
        <v>15.84</v>
      </c>
      <c r="AA1185" s="7">
        <f t="shared" si="1208"/>
        <v>14.84</v>
      </c>
      <c r="AB1185" s="7">
        <f t="shared" si="1045"/>
        <v>1</v>
      </c>
    </row>
    <row r="1186" spans="1:28">
      <c r="A1186" s="1">
        <v>1185</v>
      </c>
      <c r="B1186" s="1" t="s">
        <v>2801</v>
      </c>
      <c r="C1186" s="2">
        <v>42332</v>
      </c>
      <c r="D1186" s="6" t="str">
        <f t="shared" si="1040"/>
        <v>Nov</v>
      </c>
      <c r="E1186" s="6" t="str">
        <f t="shared" si="1041"/>
        <v>Qtr 4</v>
      </c>
      <c r="F1186" s="5" t="s">
        <v>2802</v>
      </c>
      <c r="G1186" s="1" t="s">
        <v>49</v>
      </c>
      <c r="H1186" s="1" t="s">
        <v>2803</v>
      </c>
      <c r="I1186" s="1" t="s">
        <v>2804</v>
      </c>
      <c r="J1186" s="1" t="str">
        <f ca="1">IFERROR(__xludf.DUMMYFUNCTION("split(I1186,"" "")"),"Harold")</f>
        <v>Harold</v>
      </c>
      <c r="K1186" s="1" t="str">
        <f ca="1">IFERROR(__xludf.DUMMYFUNCTION("""COMPUTED_VALUE"""),"Ryan")</f>
        <v>Ryan</v>
      </c>
      <c r="L1186" s="1"/>
      <c r="M1186" s="1" t="s">
        <v>41</v>
      </c>
      <c r="N1186" s="1" t="s">
        <v>30</v>
      </c>
      <c r="O1186" s="1" t="s">
        <v>80</v>
      </c>
      <c r="P1186" s="1" t="str">
        <f t="shared" si="1042"/>
        <v>Seattle</v>
      </c>
      <c r="Q1186" s="1" t="s">
        <v>81</v>
      </c>
      <c r="R1186" s="1" t="str">
        <f t="shared" si="1043"/>
        <v>Washington</v>
      </c>
      <c r="S1186" s="1">
        <v>98103</v>
      </c>
      <c r="T1186" s="1" t="s">
        <v>44</v>
      </c>
      <c r="U1186" s="1" t="s">
        <v>2805</v>
      </c>
      <c r="V1186" s="1" t="s">
        <v>46</v>
      </c>
      <c r="W1186" s="7">
        <v>12.096</v>
      </c>
      <c r="X1186" s="1">
        <v>9</v>
      </c>
      <c r="Y1186" s="7">
        <v>11.47</v>
      </c>
      <c r="Z1186" s="7">
        <f t="shared" ref="Z1186:AA1186" si="1209">W1186*X1186</f>
        <v>108.864</v>
      </c>
      <c r="AA1186" s="7">
        <f t="shared" si="1209"/>
        <v>103.23</v>
      </c>
      <c r="AB1186" s="7">
        <f t="shared" si="1045"/>
        <v>5.6340000000000003</v>
      </c>
    </row>
    <row r="1187" spans="1:28">
      <c r="A1187" s="1">
        <v>1186</v>
      </c>
      <c r="B1187" s="1" t="s">
        <v>2801</v>
      </c>
      <c r="C1187" s="2">
        <v>42332</v>
      </c>
      <c r="D1187" s="6" t="str">
        <f t="shared" si="1040"/>
        <v>Nov</v>
      </c>
      <c r="E1187" s="6" t="str">
        <f t="shared" si="1041"/>
        <v>Qtr 4</v>
      </c>
      <c r="F1187" s="5" t="s">
        <v>2802</v>
      </c>
      <c r="G1187" s="1" t="s">
        <v>49</v>
      </c>
      <c r="H1187" s="1" t="s">
        <v>2803</v>
      </c>
      <c r="I1187" s="1" t="s">
        <v>2804</v>
      </c>
      <c r="J1187" s="1" t="str">
        <f ca="1">IFERROR(__xludf.DUMMYFUNCTION("split(I1187,"" "")"),"Harold")</f>
        <v>Harold</v>
      </c>
      <c r="K1187" s="1" t="str">
        <f ca="1">IFERROR(__xludf.DUMMYFUNCTION("""COMPUTED_VALUE"""),"Ryan")</f>
        <v>Ryan</v>
      </c>
      <c r="L1187" s="1"/>
      <c r="M1187" s="1" t="s">
        <v>41</v>
      </c>
      <c r="N1187" s="1" t="s">
        <v>30</v>
      </c>
      <c r="O1187" s="1" t="s">
        <v>80</v>
      </c>
      <c r="P1187" s="1" t="str">
        <f t="shared" si="1042"/>
        <v>Seattle</v>
      </c>
      <c r="Q1187" s="1" t="s">
        <v>81</v>
      </c>
      <c r="R1187" s="1" t="str">
        <f t="shared" si="1043"/>
        <v>Washington</v>
      </c>
      <c r="S1187" s="1">
        <v>98103</v>
      </c>
      <c r="T1187" s="1" t="s">
        <v>44</v>
      </c>
      <c r="U1187" s="1" t="s">
        <v>2806</v>
      </c>
      <c r="V1187" s="1" t="s">
        <v>46</v>
      </c>
      <c r="W1187" s="7">
        <v>485.88</v>
      </c>
      <c r="X1187" s="1">
        <v>9</v>
      </c>
      <c r="Y1187" s="7">
        <v>485.56</v>
      </c>
      <c r="Z1187" s="7">
        <f t="shared" ref="Z1187:AA1187" si="1210">W1187*X1187</f>
        <v>4372.92</v>
      </c>
      <c r="AA1187" s="7">
        <f t="shared" si="1210"/>
        <v>4370.04</v>
      </c>
      <c r="AB1187" s="7">
        <f t="shared" si="1045"/>
        <v>2.8800000000001091</v>
      </c>
    </row>
    <row r="1188" spans="1:28">
      <c r="A1188" s="1">
        <v>1187</v>
      </c>
      <c r="B1188" s="1" t="s">
        <v>2801</v>
      </c>
      <c r="C1188" s="2">
        <v>42332</v>
      </c>
      <c r="D1188" s="6" t="str">
        <f t="shared" si="1040"/>
        <v>Nov</v>
      </c>
      <c r="E1188" s="6" t="str">
        <f t="shared" si="1041"/>
        <v>Qtr 4</v>
      </c>
      <c r="F1188" s="5" t="s">
        <v>2802</v>
      </c>
      <c r="G1188" s="1" t="s">
        <v>49</v>
      </c>
      <c r="H1188" s="1" t="s">
        <v>2803</v>
      </c>
      <c r="I1188" s="1" t="s">
        <v>2804</v>
      </c>
      <c r="J1188" s="1" t="str">
        <f ca="1">IFERROR(__xludf.DUMMYFUNCTION("split(I1188,"" "")"),"Harold")</f>
        <v>Harold</v>
      </c>
      <c r="K1188" s="1" t="str">
        <f ca="1">IFERROR(__xludf.DUMMYFUNCTION("""COMPUTED_VALUE"""),"Ryan")</f>
        <v>Ryan</v>
      </c>
      <c r="L1188" s="1"/>
      <c r="M1188" s="1" t="s">
        <v>41</v>
      </c>
      <c r="N1188" s="1" t="s">
        <v>30</v>
      </c>
      <c r="O1188" s="1" t="s">
        <v>80</v>
      </c>
      <c r="P1188" s="1" t="str">
        <f t="shared" si="1042"/>
        <v>Seattle</v>
      </c>
      <c r="Q1188" s="1" t="s">
        <v>81</v>
      </c>
      <c r="R1188" s="1" t="str">
        <f t="shared" si="1043"/>
        <v>Washington</v>
      </c>
      <c r="S1188" s="1">
        <v>98103</v>
      </c>
      <c r="T1188" s="1" t="s">
        <v>44</v>
      </c>
      <c r="U1188" s="1" t="s">
        <v>1857</v>
      </c>
      <c r="V1188" s="1" t="s">
        <v>46</v>
      </c>
      <c r="W1188" s="7">
        <v>25.92</v>
      </c>
      <c r="X1188" s="1">
        <v>9</v>
      </c>
      <c r="Y1188" s="7">
        <v>25.58</v>
      </c>
      <c r="Z1188" s="7">
        <f t="shared" ref="Z1188:AA1188" si="1211">W1188*X1188</f>
        <v>233.28000000000003</v>
      </c>
      <c r="AA1188" s="7">
        <f t="shared" si="1211"/>
        <v>230.21999999999997</v>
      </c>
      <c r="AB1188" s="7">
        <f t="shared" si="1045"/>
        <v>3.0600000000000591</v>
      </c>
    </row>
    <row r="1189" spans="1:28">
      <c r="A1189" s="1">
        <v>1188</v>
      </c>
      <c r="B1189" s="1" t="s">
        <v>2801</v>
      </c>
      <c r="C1189" s="2">
        <v>42332</v>
      </c>
      <c r="D1189" s="6" t="str">
        <f t="shared" si="1040"/>
        <v>Nov</v>
      </c>
      <c r="E1189" s="6" t="str">
        <f t="shared" si="1041"/>
        <v>Qtr 4</v>
      </c>
      <c r="F1189" s="5" t="s">
        <v>2802</v>
      </c>
      <c r="G1189" s="1" t="s">
        <v>49</v>
      </c>
      <c r="H1189" s="1" t="s">
        <v>2803</v>
      </c>
      <c r="I1189" s="1" t="s">
        <v>2804</v>
      </c>
      <c r="J1189" s="1" t="str">
        <f ca="1">IFERROR(__xludf.DUMMYFUNCTION("split(I1189,"" "")"),"Harold")</f>
        <v>Harold</v>
      </c>
      <c r="K1189" s="1" t="str">
        <f ca="1">IFERROR(__xludf.DUMMYFUNCTION("""COMPUTED_VALUE"""),"Ryan")</f>
        <v>Ryan</v>
      </c>
      <c r="L1189" s="1"/>
      <c r="M1189" s="1" t="s">
        <v>41</v>
      </c>
      <c r="N1189" s="1" t="s">
        <v>30</v>
      </c>
      <c r="O1189" s="1" t="s">
        <v>80</v>
      </c>
      <c r="P1189" s="1" t="str">
        <f t="shared" si="1042"/>
        <v>Seattle</v>
      </c>
      <c r="Q1189" s="1" t="s">
        <v>81</v>
      </c>
      <c r="R1189" s="1" t="str">
        <f t="shared" si="1043"/>
        <v>Washington</v>
      </c>
      <c r="S1189" s="1">
        <v>98103</v>
      </c>
      <c r="T1189" s="1" t="s">
        <v>44</v>
      </c>
      <c r="U1189" s="1" t="s">
        <v>1898</v>
      </c>
      <c r="V1189" s="1" t="s">
        <v>46</v>
      </c>
      <c r="W1189" s="7">
        <v>197.58</v>
      </c>
      <c r="X1189" s="1">
        <v>9</v>
      </c>
      <c r="Y1189" s="7">
        <v>197.53</v>
      </c>
      <c r="Z1189" s="7">
        <f t="shared" ref="Z1189:AA1189" si="1212">W1189*X1189</f>
        <v>1778.22</v>
      </c>
      <c r="AA1189" s="7">
        <f t="shared" si="1212"/>
        <v>1777.77</v>
      </c>
      <c r="AB1189" s="7">
        <f t="shared" si="1045"/>
        <v>0.45000000000004547</v>
      </c>
    </row>
    <row r="1190" spans="1:28">
      <c r="A1190" s="1">
        <v>1189</v>
      </c>
      <c r="B1190" s="1" t="s">
        <v>2807</v>
      </c>
      <c r="C1190" s="2">
        <v>43157</v>
      </c>
      <c r="D1190" s="6" t="str">
        <f t="shared" si="1040"/>
        <v>Feb</v>
      </c>
      <c r="E1190" s="6" t="str">
        <f t="shared" si="1041"/>
        <v>Qtr 1</v>
      </c>
      <c r="F1190" s="5" t="s">
        <v>2808</v>
      </c>
      <c r="G1190" s="1" t="s">
        <v>26</v>
      </c>
      <c r="H1190" s="1" t="s">
        <v>2809</v>
      </c>
      <c r="I1190" s="1" t="s">
        <v>2810</v>
      </c>
      <c r="J1190" s="1" t="str">
        <f ca="1">IFERROR(__xludf.DUMMYFUNCTION("split(I1190,"" "")"),"Bradley")</f>
        <v>Bradley</v>
      </c>
      <c r="K1190" s="1" t="str">
        <f ca="1">IFERROR(__xludf.DUMMYFUNCTION("""COMPUTED_VALUE"""),"Talbott")</f>
        <v>Talbott</v>
      </c>
      <c r="L1190" s="1"/>
      <c r="M1190" s="1" t="s">
        <v>87</v>
      </c>
      <c r="N1190" s="1" t="s">
        <v>30</v>
      </c>
      <c r="O1190" s="1" t="s">
        <v>42</v>
      </c>
      <c r="P1190" s="1" t="str">
        <f t="shared" si="1042"/>
        <v>Los Angeles</v>
      </c>
      <c r="Q1190" s="1" t="s">
        <v>68</v>
      </c>
      <c r="R1190" s="1" t="str">
        <f t="shared" si="1043"/>
        <v>California</v>
      </c>
      <c r="S1190" s="1">
        <v>90036</v>
      </c>
      <c r="T1190" s="1" t="s">
        <v>44</v>
      </c>
      <c r="U1190" s="1" t="s">
        <v>1795</v>
      </c>
      <c r="V1190" s="1" t="s">
        <v>46</v>
      </c>
      <c r="W1190" s="7">
        <v>81.92</v>
      </c>
      <c r="X1190" s="1">
        <v>9</v>
      </c>
      <c r="Y1190" s="7">
        <v>81.69</v>
      </c>
      <c r="Z1190" s="7">
        <f t="shared" ref="Z1190:AA1190" si="1213">W1190*X1190</f>
        <v>737.28</v>
      </c>
      <c r="AA1190" s="7">
        <f t="shared" si="1213"/>
        <v>735.21</v>
      </c>
      <c r="AB1190" s="7">
        <f t="shared" si="1045"/>
        <v>2.0699999999999363</v>
      </c>
    </row>
    <row r="1191" spans="1:28">
      <c r="A1191" s="1">
        <v>1190</v>
      </c>
      <c r="B1191" s="1" t="s">
        <v>2807</v>
      </c>
      <c r="C1191" s="2">
        <v>43157</v>
      </c>
      <c r="D1191" s="6" t="str">
        <f t="shared" si="1040"/>
        <v>Feb</v>
      </c>
      <c r="E1191" s="6" t="str">
        <f t="shared" si="1041"/>
        <v>Qtr 1</v>
      </c>
      <c r="F1191" s="5" t="s">
        <v>2808</v>
      </c>
      <c r="G1191" s="1" t="s">
        <v>26</v>
      </c>
      <c r="H1191" s="1" t="s">
        <v>2809</v>
      </c>
      <c r="I1191" s="1" t="s">
        <v>2810</v>
      </c>
      <c r="J1191" s="1" t="str">
        <f ca="1">IFERROR(__xludf.DUMMYFUNCTION("split(I1191,"" "")"),"Bradley")</f>
        <v>Bradley</v>
      </c>
      <c r="K1191" s="1" t="str">
        <f ca="1">IFERROR(__xludf.DUMMYFUNCTION("""COMPUTED_VALUE"""),"Talbott")</f>
        <v>Talbott</v>
      </c>
      <c r="L1191" s="1"/>
      <c r="M1191" s="1" t="s">
        <v>87</v>
      </c>
      <c r="N1191" s="1" t="s">
        <v>30</v>
      </c>
      <c r="O1191" s="1" t="s">
        <v>42</v>
      </c>
      <c r="P1191" s="1" t="str">
        <f t="shared" si="1042"/>
        <v>Los Angeles</v>
      </c>
      <c r="Q1191" s="1" t="s">
        <v>68</v>
      </c>
      <c r="R1191" s="1" t="str">
        <f t="shared" si="1043"/>
        <v>California</v>
      </c>
      <c r="S1191" s="1">
        <v>90036</v>
      </c>
      <c r="T1191" s="1" t="s">
        <v>44</v>
      </c>
      <c r="U1191" s="1" t="s">
        <v>2811</v>
      </c>
      <c r="V1191" s="1" t="s">
        <v>64</v>
      </c>
      <c r="W1191" s="7">
        <v>889.53599999999994</v>
      </c>
      <c r="X1191" s="1">
        <v>9</v>
      </c>
      <c r="Y1191" s="7">
        <v>889.08</v>
      </c>
      <c r="Z1191" s="7">
        <f t="shared" ref="Z1191:AA1191" si="1214">W1191*X1191</f>
        <v>8005.8239999999996</v>
      </c>
      <c r="AA1191" s="7">
        <f t="shared" si="1214"/>
        <v>8001.72</v>
      </c>
      <c r="AB1191" s="7">
        <f t="shared" si="1045"/>
        <v>4.1039999999993597</v>
      </c>
    </row>
    <row r="1192" spans="1:28">
      <c r="A1192" s="1">
        <v>1191</v>
      </c>
      <c r="B1192" s="1" t="s">
        <v>2807</v>
      </c>
      <c r="C1192" s="2">
        <v>43157</v>
      </c>
      <c r="D1192" s="6" t="str">
        <f t="shared" si="1040"/>
        <v>Feb</v>
      </c>
      <c r="E1192" s="6" t="str">
        <f t="shared" si="1041"/>
        <v>Qtr 1</v>
      </c>
      <c r="F1192" s="5" t="s">
        <v>2808</v>
      </c>
      <c r="G1192" s="1" t="s">
        <v>26</v>
      </c>
      <c r="H1192" s="1" t="s">
        <v>2809</v>
      </c>
      <c r="I1192" s="1" t="s">
        <v>2810</v>
      </c>
      <c r="J1192" s="1" t="str">
        <f ca="1">IFERROR(__xludf.DUMMYFUNCTION("split(I1192,"" "")"),"Bradley")</f>
        <v>Bradley</v>
      </c>
      <c r="K1192" s="1" t="str">
        <f ca="1">IFERROR(__xludf.DUMMYFUNCTION("""COMPUTED_VALUE"""),"Talbott")</f>
        <v>Talbott</v>
      </c>
      <c r="L1192" s="1"/>
      <c r="M1192" s="1" t="s">
        <v>87</v>
      </c>
      <c r="N1192" s="1" t="s">
        <v>30</v>
      </c>
      <c r="O1192" s="1" t="s">
        <v>42</v>
      </c>
      <c r="P1192" s="1" t="str">
        <f t="shared" si="1042"/>
        <v>Los Angeles</v>
      </c>
      <c r="Q1192" s="1" t="s">
        <v>68</v>
      </c>
      <c r="R1192" s="1" t="str">
        <f t="shared" si="1043"/>
        <v>California</v>
      </c>
      <c r="S1192" s="1">
        <v>90036</v>
      </c>
      <c r="T1192" s="1" t="s">
        <v>44</v>
      </c>
      <c r="U1192" s="1" t="s">
        <v>2812</v>
      </c>
      <c r="V1192" s="1" t="s">
        <v>35</v>
      </c>
      <c r="W1192" s="7">
        <v>892.22400000000005</v>
      </c>
      <c r="X1192" s="1">
        <v>9</v>
      </c>
      <c r="Y1192" s="7">
        <v>891.53</v>
      </c>
      <c r="Z1192" s="7">
        <f t="shared" ref="Z1192:AA1192" si="1215">W1192*X1192</f>
        <v>8030.0160000000005</v>
      </c>
      <c r="AA1192" s="7">
        <f t="shared" si="1215"/>
        <v>8023.7699999999995</v>
      </c>
      <c r="AB1192" s="7">
        <f t="shared" si="1045"/>
        <v>6.2460000000010041</v>
      </c>
    </row>
    <row r="1193" spans="1:28">
      <c r="A1193" s="1">
        <v>1192</v>
      </c>
      <c r="B1193" s="1" t="s">
        <v>2807</v>
      </c>
      <c r="C1193" s="2">
        <v>43157</v>
      </c>
      <c r="D1193" s="6" t="str">
        <f t="shared" si="1040"/>
        <v>Feb</v>
      </c>
      <c r="E1193" s="6" t="str">
        <f t="shared" si="1041"/>
        <v>Qtr 1</v>
      </c>
      <c r="F1193" s="5" t="s">
        <v>2808</v>
      </c>
      <c r="G1193" s="1" t="s">
        <v>26</v>
      </c>
      <c r="H1193" s="1" t="s">
        <v>2809</v>
      </c>
      <c r="I1193" s="1" t="s">
        <v>2810</v>
      </c>
      <c r="J1193" s="1" t="str">
        <f ca="1">IFERROR(__xludf.DUMMYFUNCTION("split(I1193,"" "")"),"Bradley")</f>
        <v>Bradley</v>
      </c>
      <c r="K1193" s="1" t="str">
        <f ca="1">IFERROR(__xludf.DUMMYFUNCTION("""COMPUTED_VALUE"""),"Talbott")</f>
        <v>Talbott</v>
      </c>
      <c r="L1193" s="1"/>
      <c r="M1193" s="1" t="s">
        <v>87</v>
      </c>
      <c r="N1193" s="1" t="s">
        <v>30</v>
      </c>
      <c r="O1193" s="1" t="s">
        <v>42</v>
      </c>
      <c r="P1193" s="1" t="str">
        <f t="shared" si="1042"/>
        <v>Los Angeles</v>
      </c>
      <c r="Q1193" s="1" t="s">
        <v>68</v>
      </c>
      <c r="R1193" s="1" t="str">
        <f t="shared" si="1043"/>
        <v>California</v>
      </c>
      <c r="S1193" s="1">
        <v>90036</v>
      </c>
      <c r="T1193" s="1" t="s">
        <v>44</v>
      </c>
      <c r="U1193" s="1" t="s">
        <v>1019</v>
      </c>
      <c r="V1193" s="1" t="s">
        <v>46</v>
      </c>
      <c r="W1193" s="7">
        <v>223.92</v>
      </c>
      <c r="X1193" s="1">
        <v>9</v>
      </c>
      <c r="Y1193" s="7">
        <v>223.32</v>
      </c>
      <c r="Z1193" s="7">
        <f t="shared" ref="Z1193:AA1193" si="1216">W1193*X1193</f>
        <v>2015.28</v>
      </c>
      <c r="AA1193" s="7">
        <f t="shared" si="1216"/>
        <v>2009.8799999999999</v>
      </c>
      <c r="AB1193" s="7">
        <f t="shared" si="1045"/>
        <v>5.4000000000000909</v>
      </c>
    </row>
    <row r="1194" spans="1:28">
      <c r="A1194" s="1">
        <v>1193</v>
      </c>
      <c r="B1194" s="1" t="s">
        <v>2807</v>
      </c>
      <c r="C1194" s="2">
        <v>43157</v>
      </c>
      <c r="D1194" s="6" t="str">
        <f t="shared" si="1040"/>
        <v>Feb</v>
      </c>
      <c r="E1194" s="6" t="str">
        <f t="shared" si="1041"/>
        <v>Qtr 1</v>
      </c>
      <c r="F1194" s="5" t="s">
        <v>2808</v>
      </c>
      <c r="G1194" s="1" t="s">
        <v>26</v>
      </c>
      <c r="H1194" s="1" t="s">
        <v>2809</v>
      </c>
      <c r="I1194" s="1" t="s">
        <v>2810</v>
      </c>
      <c r="J1194" s="1" t="str">
        <f ca="1">IFERROR(__xludf.DUMMYFUNCTION("split(I1194,"" "")"),"Bradley")</f>
        <v>Bradley</v>
      </c>
      <c r="K1194" s="1" t="str">
        <f ca="1">IFERROR(__xludf.DUMMYFUNCTION("""COMPUTED_VALUE"""),"Talbott")</f>
        <v>Talbott</v>
      </c>
      <c r="L1194" s="1"/>
      <c r="M1194" s="1" t="s">
        <v>87</v>
      </c>
      <c r="N1194" s="1" t="s">
        <v>30</v>
      </c>
      <c r="O1194" s="1" t="s">
        <v>42</v>
      </c>
      <c r="P1194" s="1" t="str">
        <f t="shared" si="1042"/>
        <v>Los Angeles</v>
      </c>
      <c r="Q1194" s="1" t="s">
        <v>68</v>
      </c>
      <c r="R1194" s="1" t="str">
        <f t="shared" si="1043"/>
        <v>California</v>
      </c>
      <c r="S1194" s="1">
        <v>90036</v>
      </c>
      <c r="T1194" s="1" t="s">
        <v>44</v>
      </c>
      <c r="U1194" s="1" t="s">
        <v>2813</v>
      </c>
      <c r="V1194" s="1" t="s">
        <v>46</v>
      </c>
      <c r="W1194" s="7">
        <v>23.12</v>
      </c>
      <c r="X1194" s="1">
        <v>9</v>
      </c>
      <c r="Y1194" s="7">
        <v>22.75</v>
      </c>
      <c r="Z1194" s="7">
        <f t="shared" ref="Z1194:AA1194" si="1217">W1194*X1194</f>
        <v>208.08</v>
      </c>
      <c r="AA1194" s="7">
        <f t="shared" si="1217"/>
        <v>204.75</v>
      </c>
      <c r="AB1194" s="7">
        <f t="shared" si="1045"/>
        <v>3.3300000000000125</v>
      </c>
    </row>
    <row r="1195" spans="1:28">
      <c r="A1195" s="1">
        <v>1194</v>
      </c>
      <c r="B1195" s="1" t="s">
        <v>2814</v>
      </c>
      <c r="C1195" s="2">
        <v>42628</v>
      </c>
      <c r="D1195" s="6" t="str">
        <f t="shared" si="1040"/>
        <v>Sep</v>
      </c>
      <c r="E1195" s="6" t="str">
        <f t="shared" si="1041"/>
        <v>Qtr 3</v>
      </c>
      <c r="F1195" s="5" t="s">
        <v>2815</v>
      </c>
      <c r="G1195" s="1" t="s">
        <v>1050</v>
      </c>
      <c r="H1195" s="1" t="s">
        <v>1664</v>
      </c>
      <c r="I1195" s="1" t="s">
        <v>1665</v>
      </c>
      <c r="J1195" s="1" t="str">
        <f ca="1">IFERROR(__xludf.DUMMYFUNCTION("split(I1195,"" "")"),"Nat")</f>
        <v>Nat</v>
      </c>
      <c r="K1195" s="1" t="str">
        <f ca="1">IFERROR(__xludf.DUMMYFUNCTION("""COMPUTED_VALUE"""),"Gilpin")</f>
        <v>Gilpin</v>
      </c>
      <c r="L1195" s="1"/>
      <c r="M1195" s="1" t="s">
        <v>41</v>
      </c>
      <c r="N1195" s="1" t="s">
        <v>30</v>
      </c>
      <c r="O1195" s="1" t="s">
        <v>2816</v>
      </c>
      <c r="P1195" s="1" t="str">
        <f t="shared" si="1042"/>
        <v>Coral Springs</v>
      </c>
      <c r="Q1195" s="1" t="s">
        <v>194</v>
      </c>
      <c r="R1195" s="1" t="str">
        <f t="shared" si="1043"/>
        <v>Florida</v>
      </c>
      <c r="S1195" s="1">
        <v>33065</v>
      </c>
      <c r="T1195" s="1" t="s">
        <v>33</v>
      </c>
      <c r="U1195" s="1" t="s">
        <v>939</v>
      </c>
      <c r="V1195" s="1" t="s">
        <v>46</v>
      </c>
      <c r="W1195" s="7">
        <v>15.552</v>
      </c>
      <c r="X1195" s="1">
        <v>3</v>
      </c>
      <c r="Y1195" s="7">
        <v>15.53</v>
      </c>
      <c r="Z1195" s="7">
        <f t="shared" ref="Z1195:AA1195" si="1218">W1195*X1195</f>
        <v>46.655999999999999</v>
      </c>
      <c r="AA1195" s="7">
        <f t="shared" si="1218"/>
        <v>46.589999999999996</v>
      </c>
      <c r="AB1195" s="7">
        <f t="shared" si="1045"/>
        <v>6.6000000000002501E-2</v>
      </c>
    </row>
    <row r="1196" spans="1:28">
      <c r="A1196" s="1">
        <v>1195</v>
      </c>
      <c r="B1196" s="1" t="s">
        <v>2814</v>
      </c>
      <c r="C1196" s="2">
        <v>42628</v>
      </c>
      <c r="D1196" s="6" t="str">
        <f t="shared" si="1040"/>
        <v>Sep</v>
      </c>
      <c r="E1196" s="6" t="str">
        <f t="shared" si="1041"/>
        <v>Qtr 3</v>
      </c>
      <c r="F1196" s="5" t="s">
        <v>2815</v>
      </c>
      <c r="G1196" s="1" t="s">
        <v>1050</v>
      </c>
      <c r="H1196" s="1" t="s">
        <v>1664</v>
      </c>
      <c r="I1196" s="1" t="s">
        <v>1665</v>
      </c>
      <c r="J1196" s="1" t="str">
        <f ca="1">IFERROR(__xludf.DUMMYFUNCTION("split(I1196,"" "")"),"Nat")</f>
        <v>Nat</v>
      </c>
      <c r="K1196" s="1" t="str">
        <f ca="1">IFERROR(__xludf.DUMMYFUNCTION("""COMPUTED_VALUE"""),"Gilpin")</f>
        <v>Gilpin</v>
      </c>
      <c r="L1196" s="1"/>
      <c r="M1196" s="1" t="s">
        <v>41</v>
      </c>
      <c r="N1196" s="1" t="s">
        <v>30</v>
      </c>
      <c r="O1196" s="1" t="s">
        <v>2816</v>
      </c>
      <c r="P1196" s="1" t="str">
        <f t="shared" si="1042"/>
        <v>Coral Springs</v>
      </c>
      <c r="Q1196" s="1" t="s">
        <v>194</v>
      </c>
      <c r="R1196" s="1" t="str">
        <f t="shared" si="1043"/>
        <v>Florida</v>
      </c>
      <c r="S1196" s="1">
        <v>33065</v>
      </c>
      <c r="T1196" s="1" t="s">
        <v>33</v>
      </c>
      <c r="U1196" s="1" t="s">
        <v>2817</v>
      </c>
      <c r="V1196" s="1" t="s">
        <v>35</v>
      </c>
      <c r="W1196" s="7">
        <v>15.712</v>
      </c>
      <c r="X1196" s="1">
        <v>3</v>
      </c>
      <c r="Y1196" s="7">
        <v>15.71</v>
      </c>
      <c r="Z1196" s="7">
        <f t="shared" ref="Z1196:AA1196" si="1219">W1196*X1196</f>
        <v>47.135999999999996</v>
      </c>
      <c r="AA1196" s="7">
        <f t="shared" si="1219"/>
        <v>47.13</v>
      </c>
      <c r="AB1196" s="7">
        <f t="shared" si="1045"/>
        <v>5.9999999999931219E-3</v>
      </c>
    </row>
    <row r="1197" spans="1:28">
      <c r="A1197" s="1">
        <v>1196</v>
      </c>
      <c r="B1197" s="1" t="s">
        <v>2814</v>
      </c>
      <c r="C1197" s="2">
        <v>42628</v>
      </c>
      <c r="D1197" s="6" t="str">
        <f t="shared" si="1040"/>
        <v>Sep</v>
      </c>
      <c r="E1197" s="6" t="str">
        <f t="shared" si="1041"/>
        <v>Qtr 3</v>
      </c>
      <c r="F1197" s="5" t="s">
        <v>2815</v>
      </c>
      <c r="G1197" s="1" t="s">
        <v>1050</v>
      </c>
      <c r="H1197" s="1" t="s">
        <v>1664</v>
      </c>
      <c r="I1197" s="1" t="s">
        <v>1665</v>
      </c>
      <c r="J1197" s="1" t="str">
        <f ca="1">IFERROR(__xludf.DUMMYFUNCTION("split(I1197,"" "")"),"Nat")</f>
        <v>Nat</v>
      </c>
      <c r="K1197" s="1" t="str">
        <f ca="1">IFERROR(__xludf.DUMMYFUNCTION("""COMPUTED_VALUE"""),"Gilpin")</f>
        <v>Gilpin</v>
      </c>
      <c r="L1197" s="1"/>
      <c r="M1197" s="1" t="s">
        <v>41</v>
      </c>
      <c r="N1197" s="1" t="s">
        <v>30</v>
      </c>
      <c r="O1197" s="1" t="s">
        <v>2816</v>
      </c>
      <c r="P1197" s="1" t="str">
        <f t="shared" si="1042"/>
        <v>Coral Springs</v>
      </c>
      <c r="Q1197" s="1" t="s">
        <v>194</v>
      </c>
      <c r="R1197" s="1" t="str">
        <f t="shared" si="1043"/>
        <v>Florida</v>
      </c>
      <c r="S1197" s="1">
        <v>33065</v>
      </c>
      <c r="T1197" s="1" t="s">
        <v>33</v>
      </c>
      <c r="U1197" s="1" t="s">
        <v>1328</v>
      </c>
      <c r="V1197" s="1" t="s">
        <v>46</v>
      </c>
      <c r="W1197" s="7">
        <v>24.672000000000001</v>
      </c>
      <c r="X1197" s="1">
        <v>3</v>
      </c>
      <c r="Y1197" s="7">
        <v>23.88</v>
      </c>
      <c r="Z1197" s="7">
        <f t="shared" ref="Z1197:AA1197" si="1220">W1197*X1197</f>
        <v>74.016000000000005</v>
      </c>
      <c r="AA1197" s="7">
        <f t="shared" si="1220"/>
        <v>71.64</v>
      </c>
      <c r="AB1197" s="7">
        <f t="shared" si="1045"/>
        <v>2.3760000000000048</v>
      </c>
    </row>
    <row r="1198" spans="1:28">
      <c r="A1198" s="1">
        <v>1197</v>
      </c>
      <c r="B1198" s="1" t="s">
        <v>2814</v>
      </c>
      <c r="C1198" s="2">
        <v>42628</v>
      </c>
      <c r="D1198" s="6" t="str">
        <f t="shared" si="1040"/>
        <v>Sep</v>
      </c>
      <c r="E1198" s="6" t="str">
        <f t="shared" si="1041"/>
        <v>Qtr 3</v>
      </c>
      <c r="F1198" s="5" t="s">
        <v>2815</v>
      </c>
      <c r="G1198" s="1" t="s">
        <v>1050</v>
      </c>
      <c r="H1198" s="1" t="s">
        <v>1664</v>
      </c>
      <c r="I1198" s="1" t="s">
        <v>1665</v>
      </c>
      <c r="J1198" s="1" t="str">
        <f ca="1">IFERROR(__xludf.DUMMYFUNCTION("split(I1198,"" "")"),"Nat")</f>
        <v>Nat</v>
      </c>
      <c r="K1198" s="1" t="str">
        <f ca="1">IFERROR(__xludf.DUMMYFUNCTION("""COMPUTED_VALUE"""),"Gilpin")</f>
        <v>Gilpin</v>
      </c>
      <c r="L1198" s="1"/>
      <c r="M1198" s="1" t="s">
        <v>41</v>
      </c>
      <c r="N1198" s="1" t="s">
        <v>30</v>
      </c>
      <c r="O1198" s="1" t="s">
        <v>2816</v>
      </c>
      <c r="P1198" s="1" t="str">
        <f t="shared" si="1042"/>
        <v>Coral Springs</v>
      </c>
      <c r="Q1198" s="1" t="s">
        <v>194</v>
      </c>
      <c r="R1198" s="1" t="str">
        <f t="shared" si="1043"/>
        <v>Florida</v>
      </c>
      <c r="S1198" s="1">
        <v>33065</v>
      </c>
      <c r="T1198" s="1" t="s">
        <v>33</v>
      </c>
      <c r="U1198" s="1" t="s">
        <v>1847</v>
      </c>
      <c r="V1198" s="1" t="s">
        <v>35</v>
      </c>
      <c r="W1198" s="7">
        <v>55.968000000000004</v>
      </c>
      <c r="X1198" s="1">
        <v>3</v>
      </c>
      <c r="Y1198" s="7">
        <v>55.91</v>
      </c>
      <c r="Z1198" s="7">
        <f t="shared" ref="Z1198:AA1198" si="1221">W1198*X1198</f>
        <v>167.904</v>
      </c>
      <c r="AA1198" s="7">
        <f t="shared" si="1221"/>
        <v>167.73</v>
      </c>
      <c r="AB1198" s="7">
        <f t="shared" si="1045"/>
        <v>0.17400000000000659</v>
      </c>
    </row>
    <row r="1199" spans="1:28">
      <c r="A1199" s="1">
        <v>1198</v>
      </c>
      <c r="B1199" s="1" t="s">
        <v>2818</v>
      </c>
      <c r="C1199" s="2">
        <v>42951</v>
      </c>
      <c r="D1199" s="6" t="str">
        <f t="shared" si="1040"/>
        <v>Aug</v>
      </c>
      <c r="E1199" s="6" t="str">
        <f t="shared" si="1041"/>
        <v>Qtr 3</v>
      </c>
      <c r="F1199" s="5">
        <v>43073</v>
      </c>
      <c r="G1199" s="1" t="s">
        <v>49</v>
      </c>
      <c r="H1199" s="1" t="s">
        <v>1607</v>
      </c>
      <c r="I1199" s="1" t="s">
        <v>1608</v>
      </c>
      <c r="J1199" s="1" t="str">
        <f ca="1">IFERROR(__xludf.DUMMYFUNCTION("split(I1199,"" "")"),"Zuschuss")</f>
        <v>Zuschuss</v>
      </c>
      <c r="K1199" s="1" t="str">
        <f ca="1">IFERROR(__xludf.DUMMYFUNCTION("""COMPUTED_VALUE"""),"Carroll")</f>
        <v>Carroll</v>
      </c>
      <c r="L1199" s="1"/>
      <c r="M1199" s="1" t="s">
        <v>29</v>
      </c>
      <c r="N1199" s="1" t="s">
        <v>30</v>
      </c>
      <c r="O1199" s="1" t="s">
        <v>172</v>
      </c>
      <c r="P1199" s="1" t="str">
        <f t="shared" si="1042"/>
        <v>Houston</v>
      </c>
      <c r="Q1199" s="1" t="s">
        <v>89</v>
      </c>
      <c r="R1199" s="1" t="str">
        <f t="shared" si="1043"/>
        <v>Texas</v>
      </c>
      <c r="S1199" s="1">
        <v>77041</v>
      </c>
      <c r="T1199" s="1" t="s">
        <v>90</v>
      </c>
      <c r="U1199" s="1" t="s">
        <v>2819</v>
      </c>
      <c r="V1199" s="1" t="s">
        <v>64</v>
      </c>
      <c r="W1199" s="7">
        <v>431.928</v>
      </c>
      <c r="X1199" s="1">
        <v>7</v>
      </c>
      <c r="Y1199" s="7">
        <v>431.21</v>
      </c>
      <c r="Z1199" s="7">
        <f t="shared" ref="Z1199:AA1199" si="1222">W1199*X1199</f>
        <v>3023.4960000000001</v>
      </c>
      <c r="AA1199" s="7">
        <f t="shared" si="1222"/>
        <v>3018.47</v>
      </c>
      <c r="AB1199" s="7">
        <f t="shared" si="1045"/>
        <v>5.0260000000002947</v>
      </c>
    </row>
    <row r="1200" spans="1:28">
      <c r="A1200" s="1">
        <v>1199</v>
      </c>
      <c r="B1200" s="1" t="s">
        <v>2818</v>
      </c>
      <c r="C1200" s="2">
        <v>42951</v>
      </c>
      <c r="D1200" s="6" t="str">
        <f t="shared" si="1040"/>
        <v>Aug</v>
      </c>
      <c r="E1200" s="6" t="str">
        <f t="shared" si="1041"/>
        <v>Qtr 3</v>
      </c>
      <c r="F1200" s="5">
        <v>43073</v>
      </c>
      <c r="G1200" s="1" t="s">
        <v>49</v>
      </c>
      <c r="H1200" s="1" t="s">
        <v>1607</v>
      </c>
      <c r="I1200" s="1" t="s">
        <v>1608</v>
      </c>
      <c r="J1200" s="1" t="str">
        <f ca="1">IFERROR(__xludf.DUMMYFUNCTION("split(I1200,"" "")"),"Zuschuss")</f>
        <v>Zuschuss</v>
      </c>
      <c r="K1200" s="1" t="str">
        <f ca="1">IFERROR(__xludf.DUMMYFUNCTION("""COMPUTED_VALUE"""),"Carroll")</f>
        <v>Carroll</v>
      </c>
      <c r="L1200" s="1"/>
      <c r="M1200" s="1" t="s">
        <v>29</v>
      </c>
      <c r="N1200" s="1" t="s">
        <v>30</v>
      </c>
      <c r="O1200" s="1" t="s">
        <v>172</v>
      </c>
      <c r="P1200" s="1" t="str">
        <f t="shared" si="1042"/>
        <v>Houston</v>
      </c>
      <c r="Q1200" s="1" t="s">
        <v>89</v>
      </c>
      <c r="R1200" s="1" t="str">
        <f t="shared" si="1043"/>
        <v>Texas</v>
      </c>
      <c r="S1200" s="1">
        <v>77041</v>
      </c>
      <c r="T1200" s="1" t="s">
        <v>90</v>
      </c>
      <c r="U1200" s="1" t="s">
        <v>2820</v>
      </c>
      <c r="V1200" s="1" t="s">
        <v>35</v>
      </c>
      <c r="W1200" s="7">
        <v>95.983999999999995</v>
      </c>
      <c r="X1200" s="1">
        <v>7</v>
      </c>
      <c r="Y1200" s="7">
        <v>95.48</v>
      </c>
      <c r="Z1200" s="7">
        <f t="shared" ref="Z1200:AA1200" si="1223">W1200*X1200</f>
        <v>671.88799999999992</v>
      </c>
      <c r="AA1200" s="7">
        <f t="shared" si="1223"/>
        <v>668.36</v>
      </c>
      <c r="AB1200" s="7">
        <f t="shared" si="1045"/>
        <v>3.5279999999999063</v>
      </c>
    </row>
    <row r="1201" spans="1:28">
      <c r="A1201" s="1">
        <v>1200</v>
      </c>
      <c r="B1201" s="1" t="s">
        <v>2818</v>
      </c>
      <c r="C1201" s="2">
        <v>42951</v>
      </c>
      <c r="D1201" s="6" t="str">
        <f t="shared" si="1040"/>
        <v>Aug</v>
      </c>
      <c r="E1201" s="6" t="str">
        <f t="shared" si="1041"/>
        <v>Qtr 3</v>
      </c>
      <c r="F1201" s="5">
        <v>43073</v>
      </c>
      <c r="G1201" s="1" t="s">
        <v>49</v>
      </c>
      <c r="H1201" s="1" t="s">
        <v>1607</v>
      </c>
      <c r="I1201" s="1" t="s">
        <v>1608</v>
      </c>
      <c r="J1201" s="1" t="str">
        <f ca="1">IFERROR(__xludf.DUMMYFUNCTION("split(I1201,"" "")"),"Zuschuss")</f>
        <v>Zuschuss</v>
      </c>
      <c r="K1201" s="1" t="str">
        <f ca="1">IFERROR(__xludf.DUMMYFUNCTION("""COMPUTED_VALUE"""),"Carroll")</f>
        <v>Carroll</v>
      </c>
      <c r="L1201" s="1"/>
      <c r="M1201" s="1" t="s">
        <v>29</v>
      </c>
      <c r="N1201" s="1" t="s">
        <v>30</v>
      </c>
      <c r="O1201" s="1" t="s">
        <v>172</v>
      </c>
      <c r="P1201" s="1" t="str">
        <f t="shared" si="1042"/>
        <v>Houston</v>
      </c>
      <c r="Q1201" s="1" t="s">
        <v>89</v>
      </c>
      <c r="R1201" s="1" t="str">
        <f t="shared" si="1043"/>
        <v>Texas</v>
      </c>
      <c r="S1201" s="1">
        <v>77041</v>
      </c>
      <c r="T1201" s="1" t="s">
        <v>90</v>
      </c>
      <c r="U1201" s="1" t="s">
        <v>1021</v>
      </c>
      <c r="V1201" s="1" t="s">
        <v>46</v>
      </c>
      <c r="W1201" s="7">
        <v>1088.7919999999999</v>
      </c>
      <c r="X1201" s="1">
        <v>7</v>
      </c>
      <c r="Y1201" s="7">
        <v>1088.07</v>
      </c>
      <c r="Z1201" s="7">
        <f t="shared" ref="Z1201:AA1201" si="1224">W1201*X1201</f>
        <v>7621.5439999999999</v>
      </c>
      <c r="AA1201" s="7">
        <f t="shared" si="1224"/>
        <v>7616.49</v>
      </c>
      <c r="AB1201" s="7">
        <f t="shared" si="1045"/>
        <v>5.0540000000000873</v>
      </c>
    </row>
    <row r="1202" spans="1:28">
      <c r="A1202" s="1">
        <v>1201</v>
      </c>
      <c r="B1202" s="1" t="s">
        <v>2821</v>
      </c>
      <c r="C1202" s="2">
        <v>42934</v>
      </c>
      <c r="D1202" s="6" t="str">
        <f t="shared" si="1040"/>
        <v>Jul</v>
      </c>
      <c r="E1202" s="6" t="str">
        <f t="shared" si="1041"/>
        <v>Qtr 3</v>
      </c>
      <c r="F1202" s="5" t="s">
        <v>2692</v>
      </c>
      <c r="G1202" s="1" t="s">
        <v>49</v>
      </c>
      <c r="H1202" s="1" t="s">
        <v>2196</v>
      </c>
      <c r="I1202" s="1" t="s">
        <v>2197</v>
      </c>
      <c r="J1202" s="1" t="str">
        <f ca="1">IFERROR(__xludf.DUMMYFUNCTION("split(I1202,"" "")"),"Linda")</f>
        <v>Linda</v>
      </c>
      <c r="K1202" s="1" t="str">
        <f ca="1">IFERROR(__xludf.DUMMYFUNCTION("""COMPUTED_VALUE"""),"Southworth")</f>
        <v>Southworth</v>
      </c>
      <c r="L1202" s="1"/>
      <c r="M1202" s="1" t="s">
        <v>41</v>
      </c>
      <c r="N1202" s="1" t="s">
        <v>30</v>
      </c>
      <c r="O1202" s="1" t="s">
        <v>670</v>
      </c>
      <c r="P1202" s="1" t="str">
        <f t="shared" si="1042"/>
        <v>Denver</v>
      </c>
      <c r="Q1202" s="1" t="s">
        <v>386</v>
      </c>
      <c r="R1202" s="1" t="str">
        <f t="shared" si="1043"/>
        <v>Colorado</v>
      </c>
      <c r="S1202" s="1">
        <v>80219</v>
      </c>
      <c r="T1202" s="1" t="s">
        <v>44</v>
      </c>
      <c r="U1202" s="1" t="s">
        <v>2009</v>
      </c>
      <c r="V1202" s="1" t="s">
        <v>35</v>
      </c>
      <c r="W1202" s="7">
        <v>544.00800000000004</v>
      </c>
      <c r="X1202" s="1">
        <v>8</v>
      </c>
      <c r="Y1202" s="7">
        <v>543.35</v>
      </c>
      <c r="Z1202" s="7">
        <f t="shared" ref="Z1202:AA1202" si="1225">W1202*X1202</f>
        <v>4352.0640000000003</v>
      </c>
      <c r="AA1202" s="7">
        <f t="shared" si="1225"/>
        <v>4346.8</v>
      </c>
      <c r="AB1202" s="7">
        <f t="shared" si="1045"/>
        <v>5.2640000000001237</v>
      </c>
    </row>
    <row r="1203" spans="1:28">
      <c r="A1203" s="1">
        <v>1202</v>
      </c>
      <c r="B1203" s="1" t="s">
        <v>2821</v>
      </c>
      <c r="C1203" s="2">
        <v>42934</v>
      </c>
      <c r="D1203" s="6" t="str">
        <f t="shared" si="1040"/>
        <v>Jul</v>
      </c>
      <c r="E1203" s="6" t="str">
        <f t="shared" si="1041"/>
        <v>Qtr 3</v>
      </c>
      <c r="F1203" s="5" t="s">
        <v>2692</v>
      </c>
      <c r="G1203" s="1" t="s">
        <v>49</v>
      </c>
      <c r="H1203" s="1" t="s">
        <v>2196</v>
      </c>
      <c r="I1203" s="1" t="s">
        <v>2197</v>
      </c>
      <c r="J1203" s="1" t="str">
        <f ca="1">IFERROR(__xludf.DUMMYFUNCTION("split(I1203,"" "")"),"Linda")</f>
        <v>Linda</v>
      </c>
      <c r="K1203" s="1" t="str">
        <f ca="1">IFERROR(__xludf.DUMMYFUNCTION("""COMPUTED_VALUE"""),"Southworth")</f>
        <v>Southworth</v>
      </c>
      <c r="L1203" s="1"/>
      <c r="M1203" s="1" t="s">
        <v>41</v>
      </c>
      <c r="N1203" s="1" t="s">
        <v>30</v>
      </c>
      <c r="O1203" s="1" t="s">
        <v>670</v>
      </c>
      <c r="P1203" s="1" t="str">
        <f t="shared" si="1042"/>
        <v>Denver</v>
      </c>
      <c r="Q1203" s="1" t="s">
        <v>386</v>
      </c>
      <c r="R1203" s="1" t="str">
        <f t="shared" si="1043"/>
        <v>Colorado</v>
      </c>
      <c r="S1203" s="1">
        <v>80219</v>
      </c>
      <c r="T1203" s="1" t="s">
        <v>44</v>
      </c>
      <c r="U1203" s="1" t="s">
        <v>857</v>
      </c>
      <c r="V1203" s="1" t="s">
        <v>46</v>
      </c>
      <c r="W1203" s="7">
        <v>1.8720000000000001</v>
      </c>
      <c r="X1203" s="1">
        <v>8</v>
      </c>
      <c r="Y1203" s="7">
        <v>1.18</v>
      </c>
      <c r="Z1203" s="7">
        <f t="shared" ref="Z1203:AA1203" si="1226">W1203*X1203</f>
        <v>14.976000000000001</v>
      </c>
      <c r="AA1203" s="7">
        <f t="shared" si="1226"/>
        <v>9.44</v>
      </c>
      <c r="AB1203" s="7">
        <f t="shared" si="1045"/>
        <v>5.5360000000000014</v>
      </c>
    </row>
    <row r="1204" spans="1:28">
      <c r="A1204" s="1">
        <v>1203</v>
      </c>
      <c r="B1204" s="1" t="s">
        <v>2821</v>
      </c>
      <c r="C1204" s="2">
        <v>42934</v>
      </c>
      <c r="D1204" s="6" t="str">
        <f t="shared" si="1040"/>
        <v>Jul</v>
      </c>
      <c r="E1204" s="6" t="str">
        <f t="shared" si="1041"/>
        <v>Qtr 3</v>
      </c>
      <c r="F1204" s="5" t="s">
        <v>2692</v>
      </c>
      <c r="G1204" s="1" t="s">
        <v>49</v>
      </c>
      <c r="H1204" s="1" t="s">
        <v>2196</v>
      </c>
      <c r="I1204" s="1" t="s">
        <v>2197</v>
      </c>
      <c r="J1204" s="1" t="str">
        <f ca="1">IFERROR(__xludf.DUMMYFUNCTION("split(I1204,"" "")"),"Linda")</f>
        <v>Linda</v>
      </c>
      <c r="K1204" s="1" t="str">
        <f ca="1">IFERROR(__xludf.DUMMYFUNCTION("""COMPUTED_VALUE"""),"Southworth")</f>
        <v>Southworth</v>
      </c>
      <c r="L1204" s="1"/>
      <c r="M1204" s="1" t="s">
        <v>41</v>
      </c>
      <c r="N1204" s="1" t="s">
        <v>30</v>
      </c>
      <c r="O1204" s="1" t="s">
        <v>670</v>
      </c>
      <c r="P1204" s="1" t="str">
        <f t="shared" si="1042"/>
        <v>Denver</v>
      </c>
      <c r="Q1204" s="1" t="s">
        <v>386</v>
      </c>
      <c r="R1204" s="1" t="str">
        <f t="shared" si="1043"/>
        <v>Colorado</v>
      </c>
      <c r="S1204" s="1">
        <v>80219</v>
      </c>
      <c r="T1204" s="1" t="s">
        <v>44</v>
      </c>
      <c r="U1204" s="1" t="s">
        <v>1293</v>
      </c>
      <c r="V1204" s="1" t="s">
        <v>35</v>
      </c>
      <c r="W1204" s="7">
        <v>854.35199999999998</v>
      </c>
      <c r="X1204" s="1">
        <v>8</v>
      </c>
      <c r="Y1204" s="7">
        <v>853.99</v>
      </c>
      <c r="Z1204" s="7">
        <f t="shared" ref="Z1204:AA1204" si="1227">W1204*X1204</f>
        <v>6834.8159999999998</v>
      </c>
      <c r="AA1204" s="7">
        <f t="shared" si="1227"/>
        <v>6831.92</v>
      </c>
      <c r="AB1204" s="7">
        <f t="shared" si="1045"/>
        <v>2.8959999999997308</v>
      </c>
    </row>
    <row r="1205" spans="1:28">
      <c r="A1205" s="1">
        <v>1204</v>
      </c>
      <c r="B1205" s="1" t="s">
        <v>2821</v>
      </c>
      <c r="C1205" s="2">
        <v>42934</v>
      </c>
      <c r="D1205" s="6" t="str">
        <f t="shared" si="1040"/>
        <v>Jul</v>
      </c>
      <c r="E1205" s="6" t="str">
        <f t="shared" si="1041"/>
        <v>Qtr 3</v>
      </c>
      <c r="F1205" s="5" t="s">
        <v>2692</v>
      </c>
      <c r="G1205" s="1" t="s">
        <v>49</v>
      </c>
      <c r="H1205" s="1" t="s">
        <v>2196</v>
      </c>
      <c r="I1205" s="1" t="s">
        <v>2197</v>
      </c>
      <c r="J1205" s="1" t="str">
        <f ca="1">IFERROR(__xludf.DUMMYFUNCTION("split(I1205,"" "")"),"Linda")</f>
        <v>Linda</v>
      </c>
      <c r="K1205" s="1" t="str">
        <f ca="1">IFERROR(__xludf.DUMMYFUNCTION("""COMPUTED_VALUE"""),"Southworth")</f>
        <v>Southworth</v>
      </c>
      <c r="L1205" s="1"/>
      <c r="M1205" s="1" t="s">
        <v>41</v>
      </c>
      <c r="N1205" s="1" t="s">
        <v>30</v>
      </c>
      <c r="O1205" s="1" t="s">
        <v>670</v>
      </c>
      <c r="P1205" s="1" t="str">
        <f t="shared" si="1042"/>
        <v>Denver</v>
      </c>
      <c r="Q1205" s="1" t="s">
        <v>386</v>
      </c>
      <c r="R1205" s="1" t="str">
        <f t="shared" si="1043"/>
        <v>Colorado</v>
      </c>
      <c r="S1205" s="1">
        <v>80219</v>
      </c>
      <c r="T1205" s="1" t="s">
        <v>44</v>
      </c>
      <c r="U1205" s="1" t="s">
        <v>2822</v>
      </c>
      <c r="V1205" s="1" t="s">
        <v>46</v>
      </c>
      <c r="W1205" s="7">
        <v>593.56799999999998</v>
      </c>
      <c r="X1205" s="1">
        <v>8</v>
      </c>
      <c r="Y1205" s="7">
        <v>593.17999999999995</v>
      </c>
      <c r="Z1205" s="7">
        <f t="shared" ref="Z1205:AA1205" si="1228">W1205*X1205</f>
        <v>4748.5439999999999</v>
      </c>
      <c r="AA1205" s="7">
        <f t="shared" si="1228"/>
        <v>4745.4399999999996</v>
      </c>
      <c r="AB1205" s="7">
        <f t="shared" si="1045"/>
        <v>3.1040000000002692</v>
      </c>
    </row>
    <row r="1206" spans="1:28">
      <c r="A1206" s="1">
        <v>1205</v>
      </c>
      <c r="B1206" s="1" t="s">
        <v>2821</v>
      </c>
      <c r="C1206" s="2">
        <v>42934</v>
      </c>
      <c r="D1206" s="6" t="str">
        <f t="shared" si="1040"/>
        <v>Jul</v>
      </c>
      <c r="E1206" s="6" t="str">
        <f t="shared" si="1041"/>
        <v>Qtr 3</v>
      </c>
      <c r="F1206" s="5" t="s">
        <v>2692</v>
      </c>
      <c r="G1206" s="1" t="s">
        <v>49</v>
      </c>
      <c r="H1206" s="1" t="s">
        <v>2196</v>
      </c>
      <c r="I1206" s="1" t="s">
        <v>2197</v>
      </c>
      <c r="J1206" s="1" t="str">
        <f ca="1">IFERROR(__xludf.DUMMYFUNCTION("split(I1206,"" "")"),"Linda")</f>
        <v>Linda</v>
      </c>
      <c r="K1206" s="1" t="str">
        <f ca="1">IFERROR(__xludf.DUMMYFUNCTION("""COMPUTED_VALUE"""),"Southworth")</f>
        <v>Southworth</v>
      </c>
      <c r="L1206" s="1"/>
      <c r="M1206" s="1" t="s">
        <v>41</v>
      </c>
      <c r="N1206" s="1" t="s">
        <v>30</v>
      </c>
      <c r="O1206" s="1" t="s">
        <v>670</v>
      </c>
      <c r="P1206" s="1" t="str">
        <f t="shared" si="1042"/>
        <v>Denver</v>
      </c>
      <c r="Q1206" s="1" t="s">
        <v>386</v>
      </c>
      <c r="R1206" s="1" t="str">
        <f t="shared" si="1043"/>
        <v>Colorado</v>
      </c>
      <c r="S1206" s="1">
        <v>80219</v>
      </c>
      <c r="T1206" s="1" t="s">
        <v>44</v>
      </c>
      <c r="U1206" s="1" t="s">
        <v>1341</v>
      </c>
      <c r="V1206" s="1" t="s">
        <v>46</v>
      </c>
      <c r="W1206" s="7">
        <v>338.04</v>
      </c>
      <c r="X1206" s="1">
        <v>8</v>
      </c>
      <c r="Y1206" s="7">
        <v>337.21</v>
      </c>
      <c r="Z1206" s="7">
        <f t="shared" ref="Z1206:AA1206" si="1229">W1206*X1206</f>
        <v>2704.32</v>
      </c>
      <c r="AA1206" s="7">
        <f t="shared" si="1229"/>
        <v>2697.68</v>
      </c>
      <c r="AB1206" s="7">
        <f t="shared" si="1045"/>
        <v>6.6400000000003274</v>
      </c>
    </row>
    <row r="1207" spans="1:28">
      <c r="A1207" s="1">
        <v>1206</v>
      </c>
      <c r="B1207" s="1" t="s">
        <v>2823</v>
      </c>
      <c r="C1207" s="2">
        <v>43108</v>
      </c>
      <c r="D1207" s="6" t="str">
        <f t="shared" si="1040"/>
        <v>Jan</v>
      </c>
      <c r="E1207" s="6" t="str">
        <f t="shared" si="1041"/>
        <v>Qtr 1</v>
      </c>
      <c r="F1207" s="5">
        <v>43198</v>
      </c>
      <c r="G1207" s="1" t="s">
        <v>162</v>
      </c>
      <c r="H1207" s="1" t="s">
        <v>2824</v>
      </c>
      <c r="I1207" s="1" t="s">
        <v>2825</v>
      </c>
      <c r="J1207" s="1" t="str">
        <f ca="1">IFERROR(__xludf.DUMMYFUNCTION("split(I1207,"" "")"),"Larry")</f>
        <v>Larry</v>
      </c>
      <c r="K1207" s="1" t="str">
        <f ca="1">IFERROR(__xludf.DUMMYFUNCTION("""COMPUTED_VALUE"""),"Hughes")</f>
        <v>Hughes</v>
      </c>
      <c r="L1207" s="1"/>
      <c r="M1207" s="1" t="s">
        <v>29</v>
      </c>
      <c r="N1207" s="1" t="s">
        <v>30</v>
      </c>
      <c r="O1207" s="1" t="s">
        <v>394</v>
      </c>
      <c r="P1207" s="1" t="str">
        <f t="shared" si="1042"/>
        <v>Charlotte</v>
      </c>
      <c r="Q1207" s="1" t="s">
        <v>75</v>
      </c>
      <c r="R1207" s="1" t="str">
        <f t="shared" si="1043"/>
        <v>North Carolina</v>
      </c>
      <c r="S1207" s="1">
        <v>28205</v>
      </c>
      <c r="T1207" s="1" t="s">
        <v>33</v>
      </c>
      <c r="U1207" s="1" t="s">
        <v>2257</v>
      </c>
      <c r="V1207" s="1" t="s">
        <v>64</v>
      </c>
      <c r="W1207" s="7">
        <v>271.95999999999998</v>
      </c>
      <c r="X1207" s="1">
        <v>2</v>
      </c>
      <c r="Y1207" s="7">
        <v>271.26</v>
      </c>
      <c r="Z1207" s="7">
        <f t="shared" ref="Z1207:AA1207" si="1230">W1207*X1207</f>
        <v>543.91999999999996</v>
      </c>
      <c r="AA1207" s="7">
        <f t="shared" si="1230"/>
        <v>542.52</v>
      </c>
      <c r="AB1207" s="7">
        <f t="shared" si="1045"/>
        <v>1.3999999999999773</v>
      </c>
    </row>
    <row r="1208" spans="1:28">
      <c r="A1208" s="1">
        <v>1207</v>
      </c>
      <c r="B1208" s="1" t="s">
        <v>2826</v>
      </c>
      <c r="C1208" s="2">
        <v>42930</v>
      </c>
      <c r="D1208" s="6" t="str">
        <f t="shared" si="1040"/>
        <v>Jul</v>
      </c>
      <c r="E1208" s="6" t="str">
        <f t="shared" si="1041"/>
        <v>Qtr 3</v>
      </c>
      <c r="F1208" s="5" t="s">
        <v>2827</v>
      </c>
      <c r="G1208" s="1" t="s">
        <v>26</v>
      </c>
      <c r="H1208" s="1" t="s">
        <v>2828</v>
      </c>
      <c r="I1208" s="1" t="s">
        <v>2829</v>
      </c>
      <c r="J1208" s="1" t="str">
        <f ca="1">IFERROR(__xludf.DUMMYFUNCTION("split(I1208,"" "")"),"Steven")</f>
        <v>Steven</v>
      </c>
      <c r="K1208" s="1" t="str">
        <f ca="1">IFERROR(__xludf.DUMMYFUNCTION("""COMPUTED_VALUE"""),"Ward")</f>
        <v>Ward</v>
      </c>
      <c r="L1208" s="1"/>
      <c r="M1208" s="1" t="s">
        <v>41</v>
      </c>
      <c r="N1208" s="1" t="s">
        <v>30</v>
      </c>
      <c r="O1208" s="1" t="s">
        <v>233</v>
      </c>
      <c r="P1208" s="1" t="str">
        <f t="shared" si="1042"/>
        <v>New York City</v>
      </c>
      <c r="Q1208" s="1" t="s">
        <v>234</v>
      </c>
      <c r="R1208" s="1" t="str">
        <f t="shared" si="1043"/>
        <v>New York</v>
      </c>
      <c r="S1208" s="1">
        <v>10009</v>
      </c>
      <c r="T1208" s="1" t="s">
        <v>128</v>
      </c>
      <c r="U1208" s="1" t="s">
        <v>1921</v>
      </c>
      <c r="V1208" s="1" t="s">
        <v>46</v>
      </c>
      <c r="W1208" s="7">
        <v>11.21</v>
      </c>
      <c r="X1208" s="1">
        <v>1</v>
      </c>
      <c r="Y1208" s="7">
        <v>10.64</v>
      </c>
      <c r="Z1208" s="7">
        <f t="shared" ref="Z1208:AA1208" si="1231">W1208*X1208</f>
        <v>11.21</v>
      </c>
      <c r="AA1208" s="7">
        <f t="shared" si="1231"/>
        <v>10.64</v>
      </c>
      <c r="AB1208" s="7">
        <f t="shared" si="1045"/>
        <v>0.57000000000000028</v>
      </c>
    </row>
    <row r="1209" spans="1:28">
      <c r="A1209" s="1">
        <v>1208</v>
      </c>
      <c r="B1209" s="1" t="s">
        <v>2826</v>
      </c>
      <c r="C1209" s="2">
        <v>42930</v>
      </c>
      <c r="D1209" s="6" t="str">
        <f t="shared" si="1040"/>
        <v>Jul</v>
      </c>
      <c r="E1209" s="6" t="str">
        <f t="shared" si="1041"/>
        <v>Qtr 3</v>
      </c>
      <c r="F1209" s="5" t="s">
        <v>2827</v>
      </c>
      <c r="G1209" s="1" t="s">
        <v>26</v>
      </c>
      <c r="H1209" s="1" t="s">
        <v>2828</v>
      </c>
      <c r="I1209" s="1" t="s">
        <v>2829</v>
      </c>
      <c r="J1209" s="1" t="str">
        <f ca="1">IFERROR(__xludf.DUMMYFUNCTION("split(I1209,"" "")"),"Steven")</f>
        <v>Steven</v>
      </c>
      <c r="K1209" s="1" t="str">
        <f ca="1">IFERROR(__xludf.DUMMYFUNCTION("""COMPUTED_VALUE"""),"Ward")</f>
        <v>Ward</v>
      </c>
      <c r="L1209" s="1"/>
      <c r="M1209" s="1" t="s">
        <v>41</v>
      </c>
      <c r="N1209" s="1" t="s">
        <v>30</v>
      </c>
      <c r="O1209" s="1" t="s">
        <v>233</v>
      </c>
      <c r="P1209" s="1" t="str">
        <f t="shared" si="1042"/>
        <v>New York City</v>
      </c>
      <c r="Q1209" s="1" t="s">
        <v>234</v>
      </c>
      <c r="R1209" s="1" t="str">
        <f t="shared" si="1043"/>
        <v>New York</v>
      </c>
      <c r="S1209" s="1">
        <v>10009</v>
      </c>
      <c r="T1209" s="1" t="s">
        <v>128</v>
      </c>
      <c r="U1209" s="1" t="s">
        <v>1020</v>
      </c>
      <c r="V1209" s="1" t="s">
        <v>46</v>
      </c>
      <c r="W1209" s="7">
        <v>9.1440000000000001</v>
      </c>
      <c r="X1209" s="1">
        <v>1</v>
      </c>
      <c r="Y1209" s="7">
        <v>8.57</v>
      </c>
      <c r="Z1209" s="7">
        <f t="shared" ref="Z1209:AA1209" si="1232">W1209*X1209</f>
        <v>9.1440000000000001</v>
      </c>
      <c r="AA1209" s="7">
        <f t="shared" si="1232"/>
        <v>8.57</v>
      </c>
      <c r="AB1209" s="7">
        <f t="shared" si="1045"/>
        <v>0.57399999999999984</v>
      </c>
    </row>
    <row r="1210" spans="1:28">
      <c r="A1210" s="1">
        <v>1209</v>
      </c>
      <c r="B1210" s="1" t="s">
        <v>2826</v>
      </c>
      <c r="C1210" s="2">
        <v>42930</v>
      </c>
      <c r="D1210" s="6" t="str">
        <f t="shared" si="1040"/>
        <v>Jul</v>
      </c>
      <c r="E1210" s="6" t="str">
        <f t="shared" si="1041"/>
        <v>Qtr 3</v>
      </c>
      <c r="F1210" s="5" t="s">
        <v>2827</v>
      </c>
      <c r="G1210" s="1" t="s">
        <v>26</v>
      </c>
      <c r="H1210" s="1" t="s">
        <v>2828</v>
      </c>
      <c r="I1210" s="1" t="s">
        <v>2829</v>
      </c>
      <c r="J1210" s="1" t="str">
        <f ca="1">IFERROR(__xludf.DUMMYFUNCTION("split(I1210,"" "")"),"Steven")</f>
        <v>Steven</v>
      </c>
      <c r="K1210" s="1" t="str">
        <f ca="1">IFERROR(__xludf.DUMMYFUNCTION("""COMPUTED_VALUE"""),"Ward")</f>
        <v>Ward</v>
      </c>
      <c r="L1210" s="1"/>
      <c r="M1210" s="1" t="s">
        <v>41</v>
      </c>
      <c r="N1210" s="1" t="s">
        <v>30</v>
      </c>
      <c r="O1210" s="1" t="s">
        <v>233</v>
      </c>
      <c r="P1210" s="1" t="str">
        <f t="shared" si="1042"/>
        <v>New York City</v>
      </c>
      <c r="Q1210" s="1" t="s">
        <v>234</v>
      </c>
      <c r="R1210" s="1" t="str">
        <f t="shared" si="1043"/>
        <v>New York</v>
      </c>
      <c r="S1210" s="1">
        <v>10009</v>
      </c>
      <c r="T1210" s="1" t="s">
        <v>128</v>
      </c>
      <c r="U1210" s="1" t="s">
        <v>478</v>
      </c>
      <c r="V1210" s="1" t="s">
        <v>46</v>
      </c>
      <c r="W1210" s="7">
        <v>14.07</v>
      </c>
      <c r="X1210" s="1">
        <v>1</v>
      </c>
      <c r="Y1210" s="7">
        <v>13.85</v>
      </c>
      <c r="Z1210" s="7">
        <f t="shared" ref="Z1210:AA1210" si="1233">W1210*X1210</f>
        <v>14.07</v>
      </c>
      <c r="AA1210" s="7">
        <f t="shared" si="1233"/>
        <v>13.85</v>
      </c>
      <c r="AB1210" s="7">
        <f t="shared" si="1045"/>
        <v>0.22000000000000064</v>
      </c>
    </row>
    <row r="1211" spans="1:28">
      <c r="A1211" s="1">
        <v>1210</v>
      </c>
      <c r="B1211" s="1" t="s">
        <v>2826</v>
      </c>
      <c r="C1211" s="2">
        <v>42930</v>
      </c>
      <c r="D1211" s="6" t="str">
        <f t="shared" si="1040"/>
        <v>Jul</v>
      </c>
      <c r="E1211" s="6" t="str">
        <f t="shared" si="1041"/>
        <v>Qtr 3</v>
      </c>
      <c r="F1211" s="5" t="s">
        <v>2827</v>
      </c>
      <c r="G1211" s="1" t="s">
        <v>26</v>
      </c>
      <c r="H1211" s="1" t="s">
        <v>2828</v>
      </c>
      <c r="I1211" s="1" t="s">
        <v>2829</v>
      </c>
      <c r="J1211" s="1" t="str">
        <f ca="1">IFERROR(__xludf.DUMMYFUNCTION("split(I1211,"" "")"),"Steven")</f>
        <v>Steven</v>
      </c>
      <c r="K1211" s="1" t="str">
        <f ca="1">IFERROR(__xludf.DUMMYFUNCTION("""COMPUTED_VALUE"""),"Ward")</f>
        <v>Ward</v>
      </c>
      <c r="L1211" s="1"/>
      <c r="M1211" s="1" t="s">
        <v>41</v>
      </c>
      <c r="N1211" s="1" t="s">
        <v>30</v>
      </c>
      <c r="O1211" s="1" t="s">
        <v>233</v>
      </c>
      <c r="P1211" s="1" t="str">
        <f t="shared" si="1042"/>
        <v>New York City</v>
      </c>
      <c r="Q1211" s="1" t="s">
        <v>234</v>
      </c>
      <c r="R1211" s="1" t="str">
        <f t="shared" si="1043"/>
        <v>New York</v>
      </c>
      <c r="S1211" s="1">
        <v>10009</v>
      </c>
      <c r="T1211" s="1" t="s">
        <v>128</v>
      </c>
      <c r="U1211" s="1" t="s">
        <v>2830</v>
      </c>
      <c r="V1211" s="1" t="s">
        <v>46</v>
      </c>
      <c r="W1211" s="7">
        <v>41.86</v>
      </c>
      <c r="X1211" s="1">
        <v>1</v>
      </c>
      <c r="Y1211" s="7">
        <v>41.19</v>
      </c>
      <c r="Z1211" s="7">
        <f t="shared" ref="Z1211:AA1211" si="1234">W1211*X1211</f>
        <v>41.86</v>
      </c>
      <c r="AA1211" s="7">
        <f t="shared" si="1234"/>
        <v>41.19</v>
      </c>
      <c r="AB1211" s="7">
        <f t="shared" si="1045"/>
        <v>0.67000000000000171</v>
      </c>
    </row>
    <row r="1212" spans="1:28">
      <c r="A1212" s="1">
        <v>1211</v>
      </c>
      <c r="B1212" s="1" t="s">
        <v>2826</v>
      </c>
      <c r="C1212" s="2">
        <v>42930</v>
      </c>
      <c r="D1212" s="6" t="str">
        <f t="shared" si="1040"/>
        <v>Jul</v>
      </c>
      <c r="E1212" s="6" t="str">
        <f t="shared" si="1041"/>
        <v>Qtr 3</v>
      </c>
      <c r="F1212" s="5" t="s">
        <v>2827</v>
      </c>
      <c r="G1212" s="1" t="s">
        <v>26</v>
      </c>
      <c r="H1212" s="1" t="s">
        <v>2828</v>
      </c>
      <c r="I1212" s="1" t="s">
        <v>2829</v>
      </c>
      <c r="J1212" s="1" t="str">
        <f ca="1">IFERROR(__xludf.DUMMYFUNCTION("split(I1212,"" "")"),"Steven")</f>
        <v>Steven</v>
      </c>
      <c r="K1212" s="1" t="str">
        <f ca="1">IFERROR(__xludf.DUMMYFUNCTION("""COMPUTED_VALUE"""),"Ward")</f>
        <v>Ward</v>
      </c>
      <c r="L1212" s="1"/>
      <c r="M1212" s="1" t="s">
        <v>41</v>
      </c>
      <c r="N1212" s="1" t="s">
        <v>30</v>
      </c>
      <c r="O1212" s="1" t="s">
        <v>233</v>
      </c>
      <c r="P1212" s="1" t="str">
        <f t="shared" si="1042"/>
        <v>New York City</v>
      </c>
      <c r="Q1212" s="1" t="s">
        <v>234</v>
      </c>
      <c r="R1212" s="1" t="str">
        <f t="shared" si="1043"/>
        <v>New York</v>
      </c>
      <c r="S1212" s="1">
        <v>10009</v>
      </c>
      <c r="T1212" s="1" t="s">
        <v>128</v>
      </c>
      <c r="U1212" s="1" t="s">
        <v>2831</v>
      </c>
      <c r="V1212" s="1" t="s">
        <v>46</v>
      </c>
      <c r="W1212" s="7">
        <v>8.5440000000000005</v>
      </c>
      <c r="X1212" s="1">
        <v>1</v>
      </c>
      <c r="Y1212" s="7">
        <v>8.39</v>
      </c>
      <c r="Z1212" s="7">
        <f t="shared" ref="Z1212:AA1212" si="1235">W1212*X1212</f>
        <v>8.5440000000000005</v>
      </c>
      <c r="AA1212" s="7">
        <f t="shared" si="1235"/>
        <v>8.39</v>
      </c>
      <c r="AB1212" s="7">
        <f t="shared" si="1045"/>
        <v>0.15399999999999991</v>
      </c>
    </row>
    <row r="1213" spans="1:28">
      <c r="A1213" s="1">
        <v>1212</v>
      </c>
      <c r="B1213" s="1" t="s">
        <v>2826</v>
      </c>
      <c r="C1213" s="2">
        <v>42930</v>
      </c>
      <c r="D1213" s="6" t="str">
        <f t="shared" si="1040"/>
        <v>Jul</v>
      </c>
      <c r="E1213" s="6" t="str">
        <f t="shared" si="1041"/>
        <v>Qtr 3</v>
      </c>
      <c r="F1213" s="5" t="s">
        <v>2827</v>
      </c>
      <c r="G1213" s="1" t="s">
        <v>26</v>
      </c>
      <c r="H1213" s="1" t="s">
        <v>2828</v>
      </c>
      <c r="I1213" s="1" t="s">
        <v>2829</v>
      </c>
      <c r="J1213" s="1" t="str">
        <f ca="1">IFERROR(__xludf.DUMMYFUNCTION("split(I1213,"" "")"),"Steven")</f>
        <v>Steven</v>
      </c>
      <c r="K1213" s="1" t="str">
        <f ca="1">IFERROR(__xludf.DUMMYFUNCTION("""COMPUTED_VALUE"""),"Ward")</f>
        <v>Ward</v>
      </c>
      <c r="L1213" s="1"/>
      <c r="M1213" s="1" t="s">
        <v>41</v>
      </c>
      <c r="N1213" s="1" t="s">
        <v>30</v>
      </c>
      <c r="O1213" s="1" t="s">
        <v>233</v>
      </c>
      <c r="P1213" s="1" t="str">
        <f t="shared" si="1042"/>
        <v>New York City</v>
      </c>
      <c r="Q1213" s="1" t="s">
        <v>234</v>
      </c>
      <c r="R1213" s="1" t="str">
        <f t="shared" si="1043"/>
        <v>New York</v>
      </c>
      <c r="S1213" s="1">
        <v>10009</v>
      </c>
      <c r="T1213" s="1" t="s">
        <v>128</v>
      </c>
      <c r="U1213" s="1" t="s">
        <v>707</v>
      </c>
      <c r="V1213" s="1" t="s">
        <v>35</v>
      </c>
      <c r="W1213" s="7">
        <v>579.13599999999997</v>
      </c>
      <c r="X1213" s="1">
        <v>1</v>
      </c>
      <c r="Y1213" s="7">
        <v>578.54999999999995</v>
      </c>
      <c r="Z1213" s="7">
        <f t="shared" ref="Z1213:AA1213" si="1236">W1213*X1213</f>
        <v>579.13599999999997</v>
      </c>
      <c r="AA1213" s="7">
        <f t="shared" si="1236"/>
        <v>578.54999999999995</v>
      </c>
      <c r="AB1213" s="7">
        <f t="shared" si="1045"/>
        <v>0.58600000000001273</v>
      </c>
    </row>
    <row r="1214" spans="1:28">
      <c r="A1214" s="1">
        <v>1213</v>
      </c>
      <c r="B1214" s="1" t="s">
        <v>2832</v>
      </c>
      <c r="C1214" s="2">
        <v>43352</v>
      </c>
      <c r="D1214" s="6" t="str">
        <f t="shared" si="1040"/>
        <v>Sep</v>
      </c>
      <c r="E1214" s="6" t="str">
        <f t="shared" si="1041"/>
        <v>Qtr 3</v>
      </c>
      <c r="F1214" s="5" t="s">
        <v>2833</v>
      </c>
      <c r="G1214" s="1" t="s">
        <v>49</v>
      </c>
      <c r="H1214" s="1" t="s">
        <v>2834</v>
      </c>
      <c r="I1214" s="1" t="s">
        <v>2835</v>
      </c>
      <c r="J1214" s="1" t="str">
        <f ca="1">IFERROR(__xludf.DUMMYFUNCTION("split(I1214,"" "")"),"Stefania")</f>
        <v>Stefania</v>
      </c>
      <c r="K1214" s="1" t="str">
        <f ca="1">IFERROR(__xludf.DUMMYFUNCTION("""COMPUTED_VALUE"""),"Perrino")</f>
        <v>Perrino</v>
      </c>
      <c r="L1214" s="1"/>
      <c r="M1214" s="1" t="s">
        <v>41</v>
      </c>
      <c r="N1214" s="1" t="s">
        <v>30</v>
      </c>
      <c r="O1214" s="1" t="s">
        <v>126</v>
      </c>
      <c r="P1214" s="1" t="str">
        <f t="shared" si="1042"/>
        <v>Philadelphia</v>
      </c>
      <c r="Q1214" s="1" t="s">
        <v>127</v>
      </c>
      <c r="R1214" s="1" t="str">
        <f t="shared" si="1043"/>
        <v>Pennsylvania</v>
      </c>
      <c r="S1214" s="1">
        <v>19134</v>
      </c>
      <c r="T1214" s="1" t="s">
        <v>128</v>
      </c>
      <c r="U1214" s="1" t="s">
        <v>735</v>
      </c>
      <c r="V1214" s="1" t="s">
        <v>35</v>
      </c>
      <c r="W1214" s="7">
        <v>141.37200000000001</v>
      </c>
      <c r="X1214" s="1">
        <v>1</v>
      </c>
      <c r="Y1214" s="7">
        <v>141.09</v>
      </c>
      <c r="Z1214" s="7">
        <f t="shared" ref="Z1214:AA1214" si="1237">W1214*X1214</f>
        <v>141.37200000000001</v>
      </c>
      <c r="AA1214" s="7">
        <f t="shared" si="1237"/>
        <v>141.09</v>
      </c>
      <c r="AB1214" s="7">
        <f t="shared" si="1045"/>
        <v>0.28200000000001069</v>
      </c>
    </row>
    <row r="1215" spans="1:28">
      <c r="A1215" s="1">
        <v>1214</v>
      </c>
      <c r="B1215" s="1" t="s">
        <v>2832</v>
      </c>
      <c r="C1215" s="2">
        <v>43352</v>
      </c>
      <c r="D1215" s="6" t="str">
        <f t="shared" si="1040"/>
        <v>Sep</v>
      </c>
      <c r="E1215" s="6" t="str">
        <f t="shared" si="1041"/>
        <v>Qtr 3</v>
      </c>
      <c r="F1215" s="5" t="s">
        <v>2833</v>
      </c>
      <c r="G1215" s="1" t="s">
        <v>49</v>
      </c>
      <c r="H1215" s="1" t="s">
        <v>2834</v>
      </c>
      <c r="I1215" s="1" t="s">
        <v>2835</v>
      </c>
      <c r="J1215" s="1" t="str">
        <f ca="1">IFERROR(__xludf.DUMMYFUNCTION("split(I1215,"" "")"),"Stefania")</f>
        <v>Stefania</v>
      </c>
      <c r="K1215" s="1" t="str">
        <f ca="1">IFERROR(__xludf.DUMMYFUNCTION("""COMPUTED_VALUE"""),"Perrino")</f>
        <v>Perrino</v>
      </c>
      <c r="L1215" s="1"/>
      <c r="M1215" s="1" t="s">
        <v>41</v>
      </c>
      <c r="N1215" s="1" t="s">
        <v>30</v>
      </c>
      <c r="O1215" s="1" t="s">
        <v>126</v>
      </c>
      <c r="P1215" s="1" t="str">
        <f t="shared" si="1042"/>
        <v>Philadelphia</v>
      </c>
      <c r="Q1215" s="1" t="s">
        <v>127</v>
      </c>
      <c r="R1215" s="1" t="str">
        <f t="shared" si="1043"/>
        <v>Pennsylvania</v>
      </c>
      <c r="S1215" s="1">
        <v>19134</v>
      </c>
      <c r="T1215" s="1" t="s">
        <v>128</v>
      </c>
      <c r="U1215" s="1" t="s">
        <v>2836</v>
      </c>
      <c r="V1215" s="1" t="s">
        <v>46</v>
      </c>
      <c r="W1215" s="7">
        <v>3.036</v>
      </c>
      <c r="X1215" s="1">
        <v>1</v>
      </c>
      <c r="Y1215" s="7">
        <v>2.63</v>
      </c>
      <c r="Z1215" s="7">
        <f t="shared" ref="Z1215:AA1215" si="1238">W1215*X1215</f>
        <v>3.036</v>
      </c>
      <c r="AA1215" s="7">
        <f t="shared" si="1238"/>
        <v>2.63</v>
      </c>
      <c r="AB1215" s="7">
        <f t="shared" si="1045"/>
        <v>0.40600000000000014</v>
      </c>
    </row>
    <row r="1216" spans="1:28">
      <c r="A1216" s="1">
        <v>1215</v>
      </c>
      <c r="B1216" s="1" t="s">
        <v>2832</v>
      </c>
      <c r="C1216" s="2">
        <v>43352</v>
      </c>
      <c r="D1216" s="6" t="str">
        <f t="shared" si="1040"/>
        <v>Sep</v>
      </c>
      <c r="E1216" s="6" t="str">
        <f t="shared" si="1041"/>
        <v>Qtr 3</v>
      </c>
      <c r="F1216" s="5" t="s">
        <v>2833</v>
      </c>
      <c r="G1216" s="1" t="s">
        <v>49</v>
      </c>
      <c r="H1216" s="1" t="s">
        <v>2834</v>
      </c>
      <c r="I1216" s="1" t="s">
        <v>2835</v>
      </c>
      <c r="J1216" s="1" t="str">
        <f ca="1">IFERROR(__xludf.DUMMYFUNCTION("split(I1216,"" "")"),"Stefania")</f>
        <v>Stefania</v>
      </c>
      <c r="K1216" s="1" t="str">
        <f ca="1">IFERROR(__xludf.DUMMYFUNCTION("""COMPUTED_VALUE"""),"Perrino")</f>
        <v>Perrino</v>
      </c>
      <c r="L1216" s="1"/>
      <c r="M1216" s="1" t="s">
        <v>41</v>
      </c>
      <c r="N1216" s="1" t="s">
        <v>30</v>
      </c>
      <c r="O1216" s="1" t="s">
        <v>126</v>
      </c>
      <c r="P1216" s="1" t="str">
        <f t="shared" si="1042"/>
        <v>Philadelphia</v>
      </c>
      <c r="Q1216" s="1" t="s">
        <v>127</v>
      </c>
      <c r="R1216" s="1" t="str">
        <f t="shared" si="1043"/>
        <v>Pennsylvania</v>
      </c>
      <c r="S1216" s="1">
        <v>19134</v>
      </c>
      <c r="T1216" s="1" t="s">
        <v>128</v>
      </c>
      <c r="U1216" s="1" t="s">
        <v>1549</v>
      </c>
      <c r="V1216" s="1" t="s">
        <v>46</v>
      </c>
      <c r="W1216" s="7">
        <v>4.5030000000000001</v>
      </c>
      <c r="X1216" s="1">
        <v>1</v>
      </c>
      <c r="Y1216" s="7">
        <v>4.08</v>
      </c>
      <c r="Z1216" s="7">
        <f t="shared" ref="Z1216:AA1216" si="1239">W1216*X1216</f>
        <v>4.5030000000000001</v>
      </c>
      <c r="AA1216" s="7">
        <f t="shared" si="1239"/>
        <v>4.08</v>
      </c>
      <c r="AB1216" s="7">
        <f t="shared" si="1045"/>
        <v>0.42300000000000004</v>
      </c>
    </row>
    <row r="1217" spans="1:28">
      <c r="A1217" s="1">
        <v>1216</v>
      </c>
      <c r="B1217" s="1" t="s">
        <v>2832</v>
      </c>
      <c r="C1217" s="2">
        <v>43352</v>
      </c>
      <c r="D1217" s="6" t="str">
        <f t="shared" si="1040"/>
        <v>Sep</v>
      </c>
      <c r="E1217" s="6" t="str">
        <f t="shared" si="1041"/>
        <v>Qtr 3</v>
      </c>
      <c r="F1217" s="5" t="s">
        <v>2833</v>
      </c>
      <c r="G1217" s="1" t="s">
        <v>49</v>
      </c>
      <c r="H1217" s="1" t="s">
        <v>2834</v>
      </c>
      <c r="I1217" s="1" t="s">
        <v>2835</v>
      </c>
      <c r="J1217" s="1" t="str">
        <f ca="1">IFERROR(__xludf.DUMMYFUNCTION("split(I1217,"" "")"),"Stefania")</f>
        <v>Stefania</v>
      </c>
      <c r="K1217" s="1" t="str">
        <f ca="1">IFERROR(__xludf.DUMMYFUNCTION("""COMPUTED_VALUE"""),"Perrino")</f>
        <v>Perrino</v>
      </c>
      <c r="L1217" s="1"/>
      <c r="M1217" s="1" t="s">
        <v>41</v>
      </c>
      <c r="N1217" s="1" t="s">
        <v>30</v>
      </c>
      <c r="O1217" s="1" t="s">
        <v>126</v>
      </c>
      <c r="P1217" s="1" t="str">
        <f t="shared" si="1042"/>
        <v>Philadelphia</v>
      </c>
      <c r="Q1217" s="1" t="s">
        <v>127</v>
      </c>
      <c r="R1217" s="1" t="str">
        <f t="shared" si="1043"/>
        <v>Pennsylvania</v>
      </c>
      <c r="S1217" s="1">
        <v>19134</v>
      </c>
      <c r="T1217" s="1" t="s">
        <v>128</v>
      </c>
      <c r="U1217" s="1" t="s">
        <v>820</v>
      </c>
      <c r="V1217" s="1" t="s">
        <v>46</v>
      </c>
      <c r="W1217" s="7">
        <v>4.6719999999999997</v>
      </c>
      <c r="X1217" s="1">
        <v>1</v>
      </c>
      <c r="Y1217" s="7">
        <v>4.1500000000000004</v>
      </c>
      <c r="Z1217" s="7">
        <f t="shared" ref="Z1217:AA1217" si="1240">W1217*X1217</f>
        <v>4.6719999999999997</v>
      </c>
      <c r="AA1217" s="7">
        <f t="shared" si="1240"/>
        <v>4.1500000000000004</v>
      </c>
      <c r="AB1217" s="7">
        <f t="shared" si="1045"/>
        <v>0.52199999999999935</v>
      </c>
    </row>
    <row r="1218" spans="1:28">
      <c r="A1218" s="1">
        <v>1217</v>
      </c>
      <c r="B1218" s="1" t="s">
        <v>2832</v>
      </c>
      <c r="C1218" s="2">
        <v>43352</v>
      </c>
      <c r="D1218" s="6" t="str">
        <f t="shared" si="1040"/>
        <v>Sep</v>
      </c>
      <c r="E1218" s="6" t="str">
        <f t="shared" si="1041"/>
        <v>Qtr 3</v>
      </c>
      <c r="F1218" s="5" t="s">
        <v>2833</v>
      </c>
      <c r="G1218" s="1" t="s">
        <v>49</v>
      </c>
      <c r="H1218" s="1" t="s">
        <v>2834</v>
      </c>
      <c r="I1218" s="1" t="s">
        <v>2835</v>
      </c>
      <c r="J1218" s="1" t="str">
        <f ca="1">IFERROR(__xludf.DUMMYFUNCTION("split(I1218,"" "")"),"Stefania")</f>
        <v>Stefania</v>
      </c>
      <c r="K1218" s="1" t="str">
        <f ca="1">IFERROR(__xludf.DUMMYFUNCTION("""COMPUTED_VALUE"""),"Perrino")</f>
        <v>Perrino</v>
      </c>
      <c r="L1218" s="1"/>
      <c r="M1218" s="1" t="s">
        <v>41</v>
      </c>
      <c r="N1218" s="1" t="s">
        <v>30</v>
      </c>
      <c r="O1218" s="1" t="s">
        <v>126</v>
      </c>
      <c r="P1218" s="1" t="str">
        <f t="shared" si="1042"/>
        <v>Philadelphia</v>
      </c>
      <c r="Q1218" s="1" t="s">
        <v>127</v>
      </c>
      <c r="R1218" s="1" t="str">
        <f t="shared" si="1043"/>
        <v>Pennsylvania</v>
      </c>
      <c r="S1218" s="1">
        <v>19134</v>
      </c>
      <c r="T1218" s="1" t="s">
        <v>128</v>
      </c>
      <c r="U1218" s="1" t="s">
        <v>815</v>
      </c>
      <c r="V1218" s="1" t="s">
        <v>64</v>
      </c>
      <c r="W1218" s="7">
        <v>95.88</v>
      </c>
      <c r="X1218" s="1">
        <v>1</v>
      </c>
      <c r="Y1218" s="7">
        <v>95.3</v>
      </c>
      <c r="Z1218" s="7">
        <f t="shared" ref="Z1218:AA1218" si="1241">W1218*X1218</f>
        <v>95.88</v>
      </c>
      <c r="AA1218" s="7">
        <f t="shared" si="1241"/>
        <v>95.3</v>
      </c>
      <c r="AB1218" s="7">
        <f t="shared" si="1045"/>
        <v>0.57999999999999829</v>
      </c>
    </row>
    <row r="1219" spans="1:28">
      <c r="A1219" s="1">
        <v>1218</v>
      </c>
      <c r="B1219" s="1" t="s">
        <v>2832</v>
      </c>
      <c r="C1219" s="2">
        <v>43352</v>
      </c>
      <c r="D1219" s="6" t="str">
        <f t="shared" si="1040"/>
        <v>Sep</v>
      </c>
      <c r="E1219" s="6" t="str">
        <f t="shared" si="1041"/>
        <v>Qtr 3</v>
      </c>
      <c r="F1219" s="5" t="s">
        <v>2833</v>
      </c>
      <c r="G1219" s="1" t="s">
        <v>49</v>
      </c>
      <c r="H1219" s="1" t="s">
        <v>2834</v>
      </c>
      <c r="I1219" s="1" t="s">
        <v>2835</v>
      </c>
      <c r="J1219" s="1" t="str">
        <f ca="1">IFERROR(__xludf.DUMMYFUNCTION("split(I1219,"" "")"),"Stefania")</f>
        <v>Stefania</v>
      </c>
      <c r="K1219" s="1" t="str">
        <f ca="1">IFERROR(__xludf.DUMMYFUNCTION("""COMPUTED_VALUE"""),"Perrino")</f>
        <v>Perrino</v>
      </c>
      <c r="L1219" s="1"/>
      <c r="M1219" s="1" t="s">
        <v>41</v>
      </c>
      <c r="N1219" s="1" t="s">
        <v>30</v>
      </c>
      <c r="O1219" s="1" t="s">
        <v>126</v>
      </c>
      <c r="P1219" s="1" t="str">
        <f t="shared" si="1042"/>
        <v>Philadelphia</v>
      </c>
      <c r="Q1219" s="1" t="s">
        <v>127</v>
      </c>
      <c r="R1219" s="1" t="str">
        <f t="shared" si="1043"/>
        <v>Pennsylvania</v>
      </c>
      <c r="S1219" s="1">
        <v>19134</v>
      </c>
      <c r="T1219" s="1" t="s">
        <v>128</v>
      </c>
      <c r="U1219" s="1" t="s">
        <v>2837</v>
      </c>
      <c r="V1219" s="1" t="s">
        <v>35</v>
      </c>
      <c r="W1219" s="7">
        <v>17.024000000000001</v>
      </c>
      <c r="X1219" s="1">
        <v>1</v>
      </c>
      <c r="Y1219" s="7">
        <v>16.98</v>
      </c>
      <c r="Z1219" s="7">
        <f t="shared" ref="Z1219:AA1219" si="1242">W1219*X1219</f>
        <v>17.024000000000001</v>
      </c>
      <c r="AA1219" s="7">
        <f t="shared" si="1242"/>
        <v>16.98</v>
      </c>
      <c r="AB1219" s="7">
        <f t="shared" si="1045"/>
        <v>4.4000000000000483E-2</v>
      </c>
    </row>
    <row r="1220" spans="1:28">
      <c r="A1220" s="1">
        <v>1219</v>
      </c>
      <c r="B1220" s="1" t="s">
        <v>2832</v>
      </c>
      <c r="C1220" s="2">
        <v>43352</v>
      </c>
      <c r="D1220" s="6" t="str">
        <f t="shared" si="1040"/>
        <v>Sep</v>
      </c>
      <c r="E1220" s="6" t="str">
        <f t="shared" si="1041"/>
        <v>Qtr 3</v>
      </c>
      <c r="F1220" s="5" t="s">
        <v>2833</v>
      </c>
      <c r="G1220" s="1" t="s">
        <v>49</v>
      </c>
      <c r="H1220" s="1" t="s">
        <v>2834</v>
      </c>
      <c r="I1220" s="1" t="s">
        <v>2835</v>
      </c>
      <c r="J1220" s="1" t="str">
        <f ca="1">IFERROR(__xludf.DUMMYFUNCTION("split(I1220,"" "")"),"Stefania")</f>
        <v>Stefania</v>
      </c>
      <c r="K1220" s="1" t="str">
        <f ca="1">IFERROR(__xludf.DUMMYFUNCTION("""COMPUTED_VALUE"""),"Perrino")</f>
        <v>Perrino</v>
      </c>
      <c r="L1220" s="1"/>
      <c r="M1220" s="1" t="s">
        <v>41</v>
      </c>
      <c r="N1220" s="1" t="s">
        <v>30</v>
      </c>
      <c r="O1220" s="1" t="s">
        <v>126</v>
      </c>
      <c r="P1220" s="1" t="str">
        <f t="shared" si="1042"/>
        <v>Philadelphia</v>
      </c>
      <c r="Q1220" s="1" t="s">
        <v>127</v>
      </c>
      <c r="R1220" s="1" t="str">
        <f t="shared" si="1043"/>
        <v>Pennsylvania</v>
      </c>
      <c r="S1220" s="1">
        <v>19134</v>
      </c>
      <c r="T1220" s="1" t="s">
        <v>128</v>
      </c>
      <c r="U1220" s="1" t="s">
        <v>1985</v>
      </c>
      <c r="V1220" s="1" t="s">
        <v>64</v>
      </c>
      <c r="W1220" s="7">
        <v>258.69600000000003</v>
      </c>
      <c r="X1220" s="1">
        <v>1</v>
      </c>
      <c r="Y1220" s="7">
        <v>258.27</v>
      </c>
      <c r="Z1220" s="7">
        <f t="shared" ref="Z1220:AA1220" si="1243">W1220*X1220</f>
        <v>258.69600000000003</v>
      </c>
      <c r="AA1220" s="7">
        <f t="shared" si="1243"/>
        <v>258.27</v>
      </c>
      <c r="AB1220" s="7">
        <f t="shared" si="1045"/>
        <v>0.42600000000004457</v>
      </c>
    </row>
    <row r="1221" spans="1:28">
      <c r="A1221" s="1">
        <v>1220</v>
      </c>
      <c r="B1221" s="1" t="s">
        <v>2832</v>
      </c>
      <c r="C1221" s="2">
        <v>43352</v>
      </c>
      <c r="D1221" s="6" t="str">
        <f t="shared" si="1040"/>
        <v>Sep</v>
      </c>
      <c r="E1221" s="6" t="str">
        <f t="shared" si="1041"/>
        <v>Qtr 3</v>
      </c>
      <c r="F1221" s="5" t="s">
        <v>2833</v>
      </c>
      <c r="G1221" s="1" t="s">
        <v>49</v>
      </c>
      <c r="H1221" s="1" t="s">
        <v>2834</v>
      </c>
      <c r="I1221" s="1" t="s">
        <v>2835</v>
      </c>
      <c r="J1221" s="1" t="str">
        <f ca="1">IFERROR(__xludf.DUMMYFUNCTION("split(I1221,"" "")"),"Stefania")</f>
        <v>Stefania</v>
      </c>
      <c r="K1221" s="1" t="str">
        <f ca="1">IFERROR(__xludf.DUMMYFUNCTION("""COMPUTED_VALUE"""),"Perrino")</f>
        <v>Perrino</v>
      </c>
      <c r="L1221" s="1"/>
      <c r="M1221" s="1" t="s">
        <v>41</v>
      </c>
      <c r="N1221" s="1" t="s">
        <v>30</v>
      </c>
      <c r="O1221" s="1" t="s">
        <v>126</v>
      </c>
      <c r="P1221" s="1" t="str">
        <f t="shared" si="1042"/>
        <v>Philadelphia</v>
      </c>
      <c r="Q1221" s="1" t="s">
        <v>127</v>
      </c>
      <c r="R1221" s="1" t="str">
        <f t="shared" si="1043"/>
        <v>Pennsylvania</v>
      </c>
      <c r="S1221" s="1">
        <v>19134</v>
      </c>
      <c r="T1221" s="1" t="s">
        <v>128</v>
      </c>
      <c r="U1221" s="1" t="s">
        <v>2838</v>
      </c>
      <c r="V1221" s="1" t="s">
        <v>64</v>
      </c>
      <c r="W1221" s="7">
        <v>1931.9580000000001</v>
      </c>
      <c r="X1221" s="1">
        <v>1</v>
      </c>
      <c r="Y1221" s="7">
        <v>1931.76</v>
      </c>
      <c r="Z1221" s="7">
        <f t="shared" ref="Z1221:AA1221" si="1244">W1221*X1221</f>
        <v>1931.9580000000001</v>
      </c>
      <c r="AA1221" s="7">
        <f t="shared" si="1244"/>
        <v>1931.76</v>
      </c>
      <c r="AB1221" s="7">
        <f t="shared" si="1045"/>
        <v>0.19800000000009277</v>
      </c>
    </row>
    <row r="1222" spans="1:28">
      <c r="A1222" s="1">
        <v>1221</v>
      </c>
      <c r="B1222" s="1" t="s">
        <v>2839</v>
      </c>
      <c r="C1222" s="2">
        <v>42345</v>
      </c>
      <c r="D1222" s="6" t="str">
        <f t="shared" si="1040"/>
        <v>Dec</v>
      </c>
      <c r="E1222" s="6" t="str">
        <f t="shared" si="1041"/>
        <v>Qtr 4</v>
      </c>
      <c r="F1222" s="5" t="s">
        <v>2840</v>
      </c>
      <c r="G1222" s="1" t="s">
        <v>49</v>
      </c>
      <c r="H1222" s="1" t="s">
        <v>2841</v>
      </c>
      <c r="I1222" s="1" t="s">
        <v>2842</v>
      </c>
      <c r="J1222" s="1" t="str">
        <f ca="1">IFERROR(__xludf.DUMMYFUNCTION("split(I1222,"" "")"),"Ben")</f>
        <v>Ben</v>
      </c>
      <c r="K1222" s="1" t="str">
        <f ca="1">IFERROR(__xludf.DUMMYFUNCTION("""COMPUTED_VALUE"""),"Ferrer")</f>
        <v>Ferrer</v>
      </c>
      <c r="L1222" s="1"/>
      <c r="M1222" s="1" t="s">
        <v>87</v>
      </c>
      <c r="N1222" s="1" t="s">
        <v>30</v>
      </c>
      <c r="O1222" s="1" t="s">
        <v>42</v>
      </c>
      <c r="P1222" s="1" t="str">
        <f t="shared" si="1042"/>
        <v>Los Angeles</v>
      </c>
      <c r="Q1222" s="1" t="s">
        <v>68</v>
      </c>
      <c r="R1222" s="1" t="str">
        <f t="shared" si="1043"/>
        <v>California</v>
      </c>
      <c r="S1222" s="1">
        <v>90036</v>
      </c>
      <c r="T1222" s="1" t="s">
        <v>44</v>
      </c>
      <c r="U1222" s="1" t="s">
        <v>106</v>
      </c>
      <c r="V1222" s="1" t="s">
        <v>46</v>
      </c>
      <c r="W1222" s="7">
        <v>249.75</v>
      </c>
      <c r="X1222" s="1">
        <v>9</v>
      </c>
      <c r="Y1222" s="7">
        <v>249.31</v>
      </c>
      <c r="Z1222" s="7">
        <f t="shared" ref="Z1222:AA1222" si="1245">W1222*X1222</f>
        <v>2247.75</v>
      </c>
      <c r="AA1222" s="7">
        <f t="shared" si="1245"/>
        <v>2243.79</v>
      </c>
      <c r="AB1222" s="7">
        <f t="shared" si="1045"/>
        <v>3.9600000000000364</v>
      </c>
    </row>
    <row r="1223" spans="1:28">
      <c r="A1223" s="1">
        <v>1222</v>
      </c>
      <c r="B1223" s="1" t="s">
        <v>2839</v>
      </c>
      <c r="C1223" s="2">
        <v>42345</v>
      </c>
      <c r="D1223" s="6" t="str">
        <f t="shared" si="1040"/>
        <v>Dec</v>
      </c>
      <c r="E1223" s="6" t="str">
        <f t="shared" si="1041"/>
        <v>Qtr 4</v>
      </c>
      <c r="F1223" s="5" t="s">
        <v>2840</v>
      </c>
      <c r="G1223" s="1" t="s">
        <v>49</v>
      </c>
      <c r="H1223" s="1" t="s">
        <v>2841</v>
      </c>
      <c r="I1223" s="1" t="s">
        <v>2842</v>
      </c>
      <c r="J1223" s="1" t="str">
        <f ca="1">IFERROR(__xludf.DUMMYFUNCTION("split(I1223,"" "")"),"Ben")</f>
        <v>Ben</v>
      </c>
      <c r="K1223" s="1" t="str">
        <f ca="1">IFERROR(__xludf.DUMMYFUNCTION("""COMPUTED_VALUE"""),"Ferrer")</f>
        <v>Ferrer</v>
      </c>
      <c r="L1223" s="1"/>
      <c r="M1223" s="1" t="s">
        <v>87</v>
      </c>
      <c r="N1223" s="1" t="s">
        <v>30</v>
      </c>
      <c r="O1223" s="1" t="s">
        <v>42</v>
      </c>
      <c r="P1223" s="1" t="str">
        <f t="shared" si="1042"/>
        <v>Los Angeles</v>
      </c>
      <c r="Q1223" s="1" t="s">
        <v>68</v>
      </c>
      <c r="R1223" s="1" t="str">
        <f t="shared" si="1043"/>
        <v>California</v>
      </c>
      <c r="S1223" s="1">
        <v>90036</v>
      </c>
      <c r="T1223" s="1" t="s">
        <v>44</v>
      </c>
      <c r="U1223" s="1" t="s">
        <v>2843</v>
      </c>
      <c r="V1223" s="1" t="s">
        <v>64</v>
      </c>
      <c r="W1223" s="7">
        <v>255.93600000000001</v>
      </c>
      <c r="X1223" s="1">
        <v>9</v>
      </c>
      <c r="Y1223" s="7">
        <v>255.44</v>
      </c>
      <c r="Z1223" s="7">
        <f t="shared" ref="Z1223:AA1223" si="1246">W1223*X1223</f>
        <v>2303.424</v>
      </c>
      <c r="AA1223" s="7">
        <f t="shared" si="1246"/>
        <v>2298.96</v>
      </c>
      <c r="AB1223" s="7">
        <f t="shared" si="1045"/>
        <v>4.4639999999999418</v>
      </c>
    </row>
    <row r="1224" spans="1:28">
      <c r="A1224" s="1">
        <v>1223</v>
      </c>
      <c r="B1224" s="1" t="s">
        <v>2844</v>
      </c>
      <c r="C1224" s="2">
        <v>42837</v>
      </c>
      <c r="D1224" s="6" t="str">
        <f t="shared" si="1040"/>
        <v>Apr</v>
      </c>
      <c r="E1224" s="6" t="str">
        <f t="shared" si="1041"/>
        <v>Qtr 2</v>
      </c>
      <c r="F1224" s="5">
        <v>42867</v>
      </c>
      <c r="G1224" s="1" t="s">
        <v>162</v>
      </c>
      <c r="H1224" s="1" t="s">
        <v>563</v>
      </c>
      <c r="I1224" s="1" t="s">
        <v>564</v>
      </c>
      <c r="J1224" s="1" t="str">
        <f ca="1">IFERROR(__xludf.DUMMYFUNCTION("split(I1224,"" "")"),"Becky")</f>
        <v>Becky</v>
      </c>
      <c r="K1224" s="1" t="str">
        <f ca="1">IFERROR(__xludf.DUMMYFUNCTION("""COMPUTED_VALUE"""),"Martin")</f>
        <v>Martin</v>
      </c>
      <c r="L1224" s="1"/>
      <c r="M1224" s="1" t="s">
        <v>29</v>
      </c>
      <c r="N1224" s="1" t="s">
        <v>30</v>
      </c>
      <c r="O1224" s="1" t="s">
        <v>233</v>
      </c>
      <c r="P1224" s="1" t="str">
        <f t="shared" si="1042"/>
        <v>New York City</v>
      </c>
      <c r="Q1224" s="1" t="s">
        <v>234</v>
      </c>
      <c r="R1224" s="1" t="str">
        <f t="shared" si="1043"/>
        <v>New York</v>
      </c>
      <c r="S1224" s="1">
        <v>10024</v>
      </c>
      <c r="T1224" s="1" t="s">
        <v>128</v>
      </c>
      <c r="U1224" s="1" t="s">
        <v>2485</v>
      </c>
      <c r="V1224" s="1" t="s">
        <v>35</v>
      </c>
      <c r="W1224" s="7">
        <v>113.79</v>
      </c>
      <c r="X1224" s="1">
        <v>1</v>
      </c>
      <c r="Y1224" s="7">
        <v>113.62</v>
      </c>
      <c r="Z1224" s="7">
        <f t="shared" ref="Z1224:AA1224" si="1247">W1224*X1224</f>
        <v>113.79</v>
      </c>
      <c r="AA1224" s="7">
        <f t="shared" si="1247"/>
        <v>113.62</v>
      </c>
      <c r="AB1224" s="7">
        <f t="shared" si="1045"/>
        <v>0.17000000000000171</v>
      </c>
    </row>
    <row r="1225" spans="1:28">
      <c r="A1225" s="1">
        <v>1224</v>
      </c>
      <c r="B1225" s="1" t="s">
        <v>2844</v>
      </c>
      <c r="C1225" s="2">
        <v>42837</v>
      </c>
      <c r="D1225" s="6" t="str">
        <f t="shared" si="1040"/>
        <v>Apr</v>
      </c>
      <c r="E1225" s="6" t="str">
        <f t="shared" si="1041"/>
        <v>Qtr 2</v>
      </c>
      <c r="F1225" s="5">
        <v>42867</v>
      </c>
      <c r="G1225" s="1" t="s">
        <v>162</v>
      </c>
      <c r="H1225" s="1" t="s">
        <v>563</v>
      </c>
      <c r="I1225" s="1" t="s">
        <v>564</v>
      </c>
      <c r="J1225" s="1" t="str">
        <f ca="1">IFERROR(__xludf.DUMMYFUNCTION("split(I1225,"" "")"),"Becky")</f>
        <v>Becky</v>
      </c>
      <c r="K1225" s="1" t="str">
        <f ca="1">IFERROR(__xludf.DUMMYFUNCTION("""COMPUTED_VALUE"""),"Martin")</f>
        <v>Martin</v>
      </c>
      <c r="L1225" s="1"/>
      <c r="M1225" s="1" t="s">
        <v>29</v>
      </c>
      <c r="N1225" s="1" t="s">
        <v>30</v>
      </c>
      <c r="O1225" s="1" t="s">
        <v>233</v>
      </c>
      <c r="P1225" s="1" t="str">
        <f t="shared" si="1042"/>
        <v>New York City</v>
      </c>
      <c r="Q1225" s="1" t="s">
        <v>234</v>
      </c>
      <c r="R1225" s="1" t="str">
        <f t="shared" si="1043"/>
        <v>New York</v>
      </c>
      <c r="S1225" s="1">
        <v>10024</v>
      </c>
      <c r="T1225" s="1" t="s">
        <v>128</v>
      </c>
      <c r="U1225" s="1" t="s">
        <v>1501</v>
      </c>
      <c r="V1225" s="1" t="s">
        <v>64</v>
      </c>
      <c r="W1225" s="7">
        <v>78.150000000000006</v>
      </c>
      <c r="X1225" s="1">
        <v>1</v>
      </c>
      <c r="Y1225" s="7">
        <v>77.92</v>
      </c>
      <c r="Z1225" s="7">
        <f t="shared" ref="Z1225:AA1225" si="1248">W1225*X1225</f>
        <v>78.150000000000006</v>
      </c>
      <c r="AA1225" s="7">
        <f t="shared" si="1248"/>
        <v>77.92</v>
      </c>
      <c r="AB1225" s="7">
        <f t="shared" si="1045"/>
        <v>0.23000000000000398</v>
      </c>
    </row>
    <row r="1226" spans="1:28">
      <c r="A1226" s="1">
        <v>1225</v>
      </c>
      <c r="B1226" s="1" t="s">
        <v>2844</v>
      </c>
      <c r="C1226" s="2">
        <v>42837</v>
      </c>
      <c r="D1226" s="6" t="str">
        <f t="shared" si="1040"/>
        <v>Apr</v>
      </c>
      <c r="E1226" s="6" t="str">
        <f t="shared" si="1041"/>
        <v>Qtr 2</v>
      </c>
      <c r="F1226" s="5">
        <v>42867</v>
      </c>
      <c r="G1226" s="1" t="s">
        <v>162</v>
      </c>
      <c r="H1226" s="1" t="s">
        <v>563</v>
      </c>
      <c r="I1226" s="1" t="s">
        <v>564</v>
      </c>
      <c r="J1226" s="1" t="str">
        <f ca="1">IFERROR(__xludf.DUMMYFUNCTION("split(I1226,"" "")"),"Becky")</f>
        <v>Becky</v>
      </c>
      <c r="K1226" s="1" t="str">
        <f ca="1">IFERROR(__xludf.DUMMYFUNCTION("""COMPUTED_VALUE"""),"Martin")</f>
        <v>Martin</v>
      </c>
      <c r="L1226" s="1"/>
      <c r="M1226" s="1" t="s">
        <v>29</v>
      </c>
      <c r="N1226" s="1" t="s">
        <v>30</v>
      </c>
      <c r="O1226" s="1" t="s">
        <v>233</v>
      </c>
      <c r="P1226" s="1" t="str">
        <f t="shared" si="1042"/>
        <v>New York City</v>
      </c>
      <c r="Q1226" s="1" t="s">
        <v>234</v>
      </c>
      <c r="R1226" s="1" t="str">
        <f t="shared" si="1043"/>
        <v>New York</v>
      </c>
      <c r="S1226" s="1">
        <v>10024</v>
      </c>
      <c r="T1226" s="1" t="s">
        <v>128</v>
      </c>
      <c r="U1226" s="1" t="s">
        <v>2805</v>
      </c>
      <c r="V1226" s="1" t="s">
        <v>46</v>
      </c>
      <c r="W1226" s="7">
        <v>1.728</v>
      </c>
      <c r="X1226" s="1">
        <v>1</v>
      </c>
      <c r="Y1226" s="7">
        <v>1.33</v>
      </c>
      <c r="Z1226" s="7">
        <f t="shared" ref="Z1226:AA1226" si="1249">W1226*X1226</f>
        <v>1.728</v>
      </c>
      <c r="AA1226" s="7">
        <f t="shared" si="1249"/>
        <v>1.33</v>
      </c>
      <c r="AB1226" s="7">
        <f t="shared" si="1045"/>
        <v>0.39799999999999991</v>
      </c>
    </row>
    <row r="1227" spans="1:28">
      <c r="A1227" s="1">
        <v>1226</v>
      </c>
      <c r="B1227" s="1" t="s">
        <v>2844</v>
      </c>
      <c r="C1227" s="2">
        <v>42837</v>
      </c>
      <c r="D1227" s="6" t="str">
        <f t="shared" si="1040"/>
        <v>Apr</v>
      </c>
      <c r="E1227" s="6" t="str">
        <f t="shared" si="1041"/>
        <v>Qtr 2</v>
      </c>
      <c r="F1227" s="5">
        <v>42867</v>
      </c>
      <c r="G1227" s="1" t="s">
        <v>162</v>
      </c>
      <c r="H1227" s="1" t="s">
        <v>563</v>
      </c>
      <c r="I1227" s="1" t="s">
        <v>564</v>
      </c>
      <c r="J1227" s="1" t="str">
        <f ca="1">IFERROR(__xludf.DUMMYFUNCTION("split(I1227,"" "")"),"Becky")</f>
        <v>Becky</v>
      </c>
      <c r="K1227" s="1" t="str">
        <f ca="1">IFERROR(__xludf.DUMMYFUNCTION("""COMPUTED_VALUE"""),"Martin")</f>
        <v>Martin</v>
      </c>
      <c r="L1227" s="1"/>
      <c r="M1227" s="1" t="s">
        <v>29</v>
      </c>
      <c r="N1227" s="1" t="s">
        <v>30</v>
      </c>
      <c r="O1227" s="1" t="s">
        <v>233</v>
      </c>
      <c r="P1227" s="1" t="str">
        <f t="shared" si="1042"/>
        <v>New York City</v>
      </c>
      <c r="Q1227" s="1" t="s">
        <v>234</v>
      </c>
      <c r="R1227" s="1" t="str">
        <f t="shared" si="1043"/>
        <v>New York</v>
      </c>
      <c r="S1227" s="1">
        <v>10024</v>
      </c>
      <c r="T1227" s="1" t="s">
        <v>128</v>
      </c>
      <c r="U1227" s="1" t="s">
        <v>2845</v>
      </c>
      <c r="V1227" s="1" t="s">
        <v>46</v>
      </c>
      <c r="W1227" s="7">
        <v>40.56</v>
      </c>
      <c r="X1227" s="1">
        <v>1</v>
      </c>
      <c r="Y1227" s="7">
        <v>40.049999999999997</v>
      </c>
      <c r="Z1227" s="7">
        <f t="shared" ref="Z1227:AA1227" si="1250">W1227*X1227</f>
        <v>40.56</v>
      </c>
      <c r="AA1227" s="7">
        <f t="shared" si="1250"/>
        <v>40.049999999999997</v>
      </c>
      <c r="AB1227" s="7">
        <f t="shared" si="1045"/>
        <v>0.51000000000000512</v>
      </c>
    </row>
    <row r="1228" spans="1:28">
      <c r="A1228" s="1">
        <v>1227</v>
      </c>
      <c r="B1228" s="1" t="s">
        <v>2844</v>
      </c>
      <c r="C1228" s="2">
        <v>42837</v>
      </c>
      <c r="D1228" s="6" t="str">
        <f t="shared" si="1040"/>
        <v>Apr</v>
      </c>
      <c r="E1228" s="6" t="str">
        <f t="shared" si="1041"/>
        <v>Qtr 2</v>
      </c>
      <c r="F1228" s="5">
        <v>42867</v>
      </c>
      <c r="G1228" s="1" t="s">
        <v>162</v>
      </c>
      <c r="H1228" s="1" t="s">
        <v>563</v>
      </c>
      <c r="I1228" s="1" t="s">
        <v>564</v>
      </c>
      <c r="J1228" s="1" t="str">
        <f ca="1">IFERROR(__xludf.DUMMYFUNCTION("split(I1228,"" "")"),"Becky")</f>
        <v>Becky</v>
      </c>
      <c r="K1228" s="1" t="str">
        <f ca="1">IFERROR(__xludf.DUMMYFUNCTION("""COMPUTED_VALUE"""),"Martin")</f>
        <v>Martin</v>
      </c>
      <c r="L1228" s="1"/>
      <c r="M1228" s="1" t="s">
        <v>29</v>
      </c>
      <c r="N1228" s="1" t="s">
        <v>30</v>
      </c>
      <c r="O1228" s="1" t="s">
        <v>233</v>
      </c>
      <c r="P1228" s="1" t="str">
        <f t="shared" si="1042"/>
        <v>New York City</v>
      </c>
      <c r="Q1228" s="1" t="s">
        <v>234</v>
      </c>
      <c r="R1228" s="1" t="str">
        <f t="shared" si="1043"/>
        <v>New York</v>
      </c>
      <c r="S1228" s="1">
        <v>10024</v>
      </c>
      <c r="T1228" s="1" t="s">
        <v>128</v>
      </c>
      <c r="U1228" s="1" t="s">
        <v>2846</v>
      </c>
      <c r="V1228" s="1" t="s">
        <v>46</v>
      </c>
      <c r="W1228" s="7">
        <v>182.94</v>
      </c>
      <c r="X1228" s="1">
        <v>1</v>
      </c>
      <c r="Y1228" s="7">
        <v>182.91</v>
      </c>
      <c r="Z1228" s="7">
        <f t="shared" ref="Z1228:AA1228" si="1251">W1228*X1228</f>
        <v>182.94</v>
      </c>
      <c r="AA1228" s="7">
        <f t="shared" si="1251"/>
        <v>182.91</v>
      </c>
      <c r="AB1228" s="7">
        <f t="shared" si="1045"/>
        <v>3.0000000000001137E-2</v>
      </c>
    </row>
    <row r="1229" spans="1:28">
      <c r="A1229" s="1">
        <v>1228</v>
      </c>
      <c r="B1229" s="1" t="s">
        <v>2844</v>
      </c>
      <c r="C1229" s="2">
        <v>42837</v>
      </c>
      <c r="D1229" s="6" t="str">
        <f t="shared" si="1040"/>
        <v>Apr</v>
      </c>
      <c r="E1229" s="6" t="str">
        <f t="shared" si="1041"/>
        <v>Qtr 2</v>
      </c>
      <c r="F1229" s="5">
        <v>42867</v>
      </c>
      <c r="G1229" s="1" t="s">
        <v>162</v>
      </c>
      <c r="H1229" s="1" t="s">
        <v>563</v>
      </c>
      <c r="I1229" s="1" t="s">
        <v>564</v>
      </c>
      <c r="J1229" s="1" t="str">
        <f ca="1">IFERROR(__xludf.DUMMYFUNCTION("split(I1229,"" "")"),"Becky")</f>
        <v>Becky</v>
      </c>
      <c r="K1229" s="1" t="str">
        <f ca="1">IFERROR(__xludf.DUMMYFUNCTION("""COMPUTED_VALUE"""),"Martin")</f>
        <v>Martin</v>
      </c>
      <c r="L1229" s="1"/>
      <c r="M1229" s="1" t="s">
        <v>29</v>
      </c>
      <c r="N1229" s="1" t="s">
        <v>30</v>
      </c>
      <c r="O1229" s="1" t="s">
        <v>233</v>
      </c>
      <c r="P1229" s="1" t="str">
        <f t="shared" si="1042"/>
        <v>New York City</v>
      </c>
      <c r="Q1229" s="1" t="s">
        <v>234</v>
      </c>
      <c r="R1229" s="1" t="str">
        <f t="shared" si="1043"/>
        <v>New York</v>
      </c>
      <c r="S1229" s="1">
        <v>10024</v>
      </c>
      <c r="T1229" s="1" t="s">
        <v>128</v>
      </c>
      <c r="U1229" s="1" t="s">
        <v>2847</v>
      </c>
      <c r="V1229" s="1" t="s">
        <v>46</v>
      </c>
      <c r="W1229" s="7">
        <v>193.86</v>
      </c>
      <c r="X1229" s="1">
        <v>1</v>
      </c>
      <c r="Y1229" s="7">
        <v>193.73</v>
      </c>
      <c r="Z1229" s="7">
        <f t="shared" ref="Z1229:AA1229" si="1252">W1229*X1229</f>
        <v>193.86</v>
      </c>
      <c r="AA1229" s="7">
        <f t="shared" si="1252"/>
        <v>193.73</v>
      </c>
      <c r="AB1229" s="7">
        <f t="shared" si="1045"/>
        <v>0.13000000000002387</v>
      </c>
    </row>
    <row r="1230" spans="1:28">
      <c r="A1230" s="1">
        <v>1229</v>
      </c>
      <c r="B1230" s="1" t="s">
        <v>2848</v>
      </c>
      <c r="C1230" s="2">
        <v>43262</v>
      </c>
      <c r="D1230" s="6" t="str">
        <f t="shared" si="1040"/>
        <v>Jun</v>
      </c>
      <c r="E1230" s="6" t="str">
        <f t="shared" si="1041"/>
        <v>Qtr 2</v>
      </c>
      <c r="F1230" s="5">
        <v>43415</v>
      </c>
      <c r="G1230" s="1" t="s">
        <v>49</v>
      </c>
      <c r="H1230" s="1" t="s">
        <v>1607</v>
      </c>
      <c r="I1230" s="1" t="s">
        <v>1608</v>
      </c>
      <c r="J1230" s="1" t="str">
        <f ca="1">IFERROR(__xludf.DUMMYFUNCTION("split(I1230,"" "")"),"Zuschuss")</f>
        <v>Zuschuss</v>
      </c>
      <c r="K1230" s="1" t="str">
        <f ca="1">IFERROR(__xludf.DUMMYFUNCTION("""COMPUTED_VALUE"""),"Carroll")</f>
        <v>Carroll</v>
      </c>
      <c r="L1230" s="1"/>
      <c r="M1230" s="1" t="s">
        <v>29</v>
      </c>
      <c r="N1230" s="1" t="s">
        <v>30</v>
      </c>
      <c r="O1230" s="1" t="s">
        <v>42</v>
      </c>
      <c r="P1230" s="1" t="str">
        <f t="shared" si="1042"/>
        <v>Los Angeles</v>
      </c>
      <c r="Q1230" s="1" t="s">
        <v>68</v>
      </c>
      <c r="R1230" s="1" t="str">
        <f t="shared" si="1043"/>
        <v>California</v>
      </c>
      <c r="S1230" s="1">
        <v>90045</v>
      </c>
      <c r="T1230" s="1" t="s">
        <v>44</v>
      </c>
      <c r="U1230" s="1" t="s">
        <v>1870</v>
      </c>
      <c r="V1230" s="1" t="s">
        <v>46</v>
      </c>
      <c r="W1230" s="7">
        <v>15.28</v>
      </c>
      <c r="X1230" s="1">
        <v>9</v>
      </c>
      <c r="Y1230" s="7">
        <v>14.86</v>
      </c>
      <c r="Z1230" s="7">
        <f t="shared" ref="Z1230:AA1230" si="1253">W1230*X1230</f>
        <v>137.51999999999998</v>
      </c>
      <c r="AA1230" s="7">
        <f t="shared" si="1253"/>
        <v>133.74</v>
      </c>
      <c r="AB1230" s="7">
        <f t="shared" si="1045"/>
        <v>3.7799999999999727</v>
      </c>
    </row>
    <row r="1231" spans="1:28">
      <c r="A1231" s="1">
        <v>1230</v>
      </c>
      <c r="B1231" s="1" t="s">
        <v>2848</v>
      </c>
      <c r="C1231" s="2">
        <v>43262</v>
      </c>
      <c r="D1231" s="6" t="str">
        <f t="shared" si="1040"/>
        <v>Jun</v>
      </c>
      <c r="E1231" s="6" t="str">
        <f t="shared" si="1041"/>
        <v>Qtr 2</v>
      </c>
      <c r="F1231" s="5">
        <v>43415</v>
      </c>
      <c r="G1231" s="1" t="s">
        <v>49</v>
      </c>
      <c r="H1231" s="1" t="s">
        <v>1607</v>
      </c>
      <c r="I1231" s="1" t="s">
        <v>1608</v>
      </c>
      <c r="J1231" s="1" t="str">
        <f ca="1">IFERROR(__xludf.DUMMYFUNCTION("split(I1231,"" "")"),"Zuschuss")</f>
        <v>Zuschuss</v>
      </c>
      <c r="K1231" s="1" t="str">
        <f ca="1">IFERROR(__xludf.DUMMYFUNCTION("""COMPUTED_VALUE"""),"Carroll")</f>
        <v>Carroll</v>
      </c>
      <c r="L1231" s="1"/>
      <c r="M1231" s="1" t="s">
        <v>29</v>
      </c>
      <c r="N1231" s="1" t="s">
        <v>30</v>
      </c>
      <c r="O1231" s="1" t="s">
        <v>42</v>
      </c>
      <c r="P1231" s="1" t="str">
        <f t="shared" si="1042"/>
        <v>Los Angeles</v>
      </c>
      <c r="Q1231" s="1" t="s">
        <v>68</v>
      </c>
      <c r="R1231" s="1" t="str">
        <f t="shared" si="1043"/>
        <v>California</v>
      </c>
      <c r="S1231" s="1">
        <v>90045</v>
      </c>
      <c r="T1231" s="1" t="s">
        <v>44</v>
      </c>
      <c r="U1231" s="1" t="s">
        <v>2237</v>
      </c>
      <c r="V1231" s="1" t="s">
        <v>35</v>
      </c>
      <c r="W1231" s="7">
        <v>8.73</v>
      </c>
      <c r="X1231" s="1">
        <v>9</v>
      </c>
      <c r="Y1231" s="7">
        <v>8.27</v>
      </c>
      <c r="Z1231" s="7">
        <f t="shared" ref="Z1231:AA1231" si="1254">W1231*X1231</f>
        <v>78.570000000000007</v>
      </c>
      <c r="AA1231" s="7">
        <f t="shared" si="1254"/>
        <v>74.429999999999993</v>
      </c>
      <c r="AB1231" s="7">
        <f t="shared" si="1045"/>
        <v>4.1400000000000148</v>
      </c>
    </row>
    <row r="1232" spans="1:28">
      <c r="A1232" s="1">
        <v>1231</v>
      </c>
      <c r="B1232" s="1" t="s">
        <v>2848</v>
      </c>
      <c r="C1232" s="2">
        <v>43262</v>
      </c>
      <c r="D1232" s="6" t="str">
        <f t="shared" si="1040"/>
        <v>Jun</v>
      </c>
      <c r="E1232" s="6" t="str">
        <f t="shared" si="1041"/>
        <v>Qtr 2</v>
      </c>
      <c r="F1232" s="5">
        <v>43415</v>
      </c>
      <c r="G1232" s="1" t="s">
        <v>49</v>
      </c>
      <c r="H1232" s="1" t="s">
        <v>1607</v>
      </c>
      <c r="I1232" s="1" t="s">
        <v>1608</v>
      </c>
      <c r="J1232" s="1" t="str">
        <f ca="1">IFERROR(__xludf.DUMMYFUNCTION("split(I1232,"" "")"),"Zuschuss")</f>
        <v>Zuschuss</v>
      </c>
      <c r="K1232" s="1" t="str">
        <f ca="1">IFERROR(__xludf.DUMMYFUNCTION("""COMPUTED_VALUE"""),"Carroll")</f>
        <v>Carroll</v>
      </c>
      <c r="L1232" s="1"/>
      <c r="M1232" s="1" t="s">
        <v>29</v>
      </c>
      <c r="N1232" s="1" t="s">
        <v>30</v>
      </c>
      <c r="O1232" s="1" t="s">
        <v>42</v>
      </c>
      <c r="P1232" s="1" t="str">
        <f t="shared" si="1042"/>
        <v>Los Angeles</v>
      </c>
      <c r="Q1232" s="1" t="s">
        <v>68</v>
      </c>
      <c r="R1232" s="1" t="str">
        <f t="shared" si="1043"/>
        <v>California</v>
      </c>
      <c r="S1232" s="1">
        <v>90045</v>
      </c>
      <c r="T1232" s="1" t="s">
        <v>44</v>
      </c>
      <c r="U1232" s="1" t="s">
        <v>2849</v>
      </c>
      <c r="V1232" s="1" t="s">
        <v>46</v>
      </c>
      <c r="W1232" s="7">
        <v>5.68</v>
      </c>
      <c r="X1232" s="1">
        <v>9</v>
      </c>
      <c r="Y1232" s="7">
        <v>4.83</v>
      </c>
      <c r="Z1232" s="7">
        <f t="shared" ref="Z1232:AA1232" si="1255">W1232*X1232</f>
        <v>51.12</v>
      </c>
      <c r="AA1232" s="7">
        <f t="shared" si="1255"/>
        <v>43.47</v>
      </c>
      <c r="AB1232" s="7">
        <f t="shared" si="1045"/>
        <v>7.6499999999999986</v>
      </c>
    </row>
    <row r="1233" spans="1:28">
      <c r="A1233" s="1">
        <v>1232</v>
      </c>
      <c r="B1233" s="1" t="s">
        <v>2850</v>
      </c>
      <c r="C1233" s="2">
        <v>42674</v>
      </c>
      <c r="D1233" s="6" t="str">
        <f t="shared" si="1040"/>
        <v>Oct</v>
      </c>
      <c r="E1233" s="6" t="str">
        <f t="shared" si="1041"/>
        <v>Qtr 4</v>
      </c>
      <c r="F1233" s="5">
        <v>42411</v>
      </c>
      <c r="G1233" s="1" t="s">
        <v>26</v>
      </c>
      <c r="H1233" s="1" t="s">
        <v>2851</v>
      </c>
      <c r="I1233" s="1" t="s">
        <v>2852</v>
      </c>
      <c r="J1233" s="1" t="str">
        <f ca="1">IFERROR(__xludf.DUMMYFUNCTION("split(I1233,"" "")"),"Kean")</f>
        <v>Kean</v>
      </c>
      <c r="K1233" s="1" t="str">
        <f ca="1">IFERROR(__xludf.DUMMYFUNCTION("""COMPUTED_VALUE"""),"Thornton")</f>
        <v>Thornton</v>
      </c>
      <c r="L1233" s="1"/>
      <c r="M1233" s="1" t="s">
        <v>29</v>
      </c>
      <c r="N1233" s="1" t="s">
        <v>30</v>
      </c>
      <c r="O1233" s="1" t="s">
        <v>2853</v>
      </c>
      <c r="P1233" s="1" t="str">
        <f t="shared" si="1042"/>
        <v>Buffalo</v>
      </c>
      <c r="Q1233" s="1" t="s">
        <v>234</v>
      </c>
      <c r="R1233" s="1" t="str">
        <f t="shared" si="1043"/>
        <v>New York</v>
      </c>
      <c r="S1233" s="1">
        <v>14215</v>
      </c>
      <c r="T1233" s="1" t="s">
        <v>128</v>
      </c>
      <c r="U1233" s="1" t="s">
        <v>1227</v>
      </c>
      <c r="V1233" s="1" t="s">
        <v>46</v>
      </c>
      <c r="W1233" s="7">
        <v>2.78</v>
      </c>
      <c r="X1233" s="1">
        <v>1</v>
      </c>
      <c r="Y1233" s="7">
        <v>2.6</v>
      </c>
      <c r="Z1233" s="7">
        <f t="shared" ref="Z1233:AA1233" si="1256">W1233*X1233</f>
        <v>2.78</v>
      </c>
      <c r="AA1233" s="7">
        <f t="shared" si="1256"/>
        <v>2.6</v>
      </c>
      <c r="AB1233" s="7">
        <f t="shared" si="1045"/>
        <v>0.17999999999999972</v>
      </c>
    </row>
    <row r="1234" spans="1:28">
      <c r="A1234" s="1">
        <v>1233</v>
      </c>
      <c r="B1234" s="1" t="s">
        <v>2850</v>
      </c>
      <c r="C1234" s="2">
        <v>42674</v>
      </c>
      <c r="D1234" s="6" t="str">
        <f t="shared" si="1040"/>
        <v>Oct</v>
      </c>
      <c r="E1234" s="6" t="str">
        <f t="shared" si="1041"/>
        <v>Qtr 4</v>
      </c>
      <c r="F1234" s="5">
        <v>42411</v>
      </c>
      <c r="G1234" s="1" t="s">
        <v>26</v>
      </c>
      <c r="H1234" s="1" t="s">
        <v>2851</v>
      </c>
      <c r="I1234" s="1" t="s">
        <v>2852</v>
      </c>
      <c r="J1234" s="1" t="str">
        <f ca="1">IFERROR(__xludf.DUMMYFUNCTION("split(I1234,"" "")"),"Kean")</f>
        <v>Kean</v>
      </c>
      <c r="K1234" s="1" t="str">
        <f ca="1">IFERROR(__xludf.DUMMYFUNCTION("""COMPUTED_VALUE"""),"Thornton")</f>
        <v>Thornton</v>
      </c>
      <c r="L1234" s="1"/>
      <c r="M1234" s="1" t="s">
        <v>29</v>
      </c>
      <c r="N1234" s="1" t="s">
        <v>30</v>
      </c>
      <c r="O1234" s="1" t="s">
        <v>2853</v>
      </c>
      <c r="P1234" s="1" t="str">
        <f t="shared" si="1042"/>
        <v>Buffalo</v>
      </c>
      <c r="Q1234" s="1" t="s">
        <v>234</v>
      </c>
      <c r="R1234" s="1" t="str">
        <f t="shared" si="1043"/>
        <v>New York</v>
      </c>
      <c r="S1234" s="1">
        <v>14215</v>
      </c>
      <c r="T1234" s="1" t="s">
        <v>128</v>
      </c>
      <c r="U1234" s="1" t="s">
        <v>2854</v>
      </c>
      <c r="V1234" s="1" t="s">
        <v>46</v>
      </c>
      <c r="W1234" s="7">
        <v>79.959999999999994</v>
      </c>
      <c r="X1234" s="1">
        <v>1</v>
      </c>
      <c r="Y1234" s="7">
        <v>79.319999999999993</v>
      </c>
      <c r="Z1234" s="7">
        <f t="shared" ref="Z1234:AA1234" si="1257">W1234*X1234</f>
        <v>79.959999999999994</v>
      </c>
      <c r="AA1234" s="7">
        <f t="shared" si="1257"/>
        <v>79.319999999999993</v>
      </c>
      <c r="AB1234" s="7">
        <f t="shared" si="1045"/>
        <v>0.64000000000000057</v>
      </c>
    </row>
    <row r="1235" spans="1:28">
      <c r="A1235" s="1">
        <v>1234</v>
      </c>
      <c r="B1235" s="1" t="s">
        <v>2855</v>
      </c>
      <c r="C1235" s="2">
        <v>42885</v>
      </c>
      <c r="D1235" s="6" t="str">
        <f t="shared" si="1040"/>
        <v>May</v>
      </c>
      <c r="E1235" s="6" t="str">
        <f t="shared" si="1041"/>
        <v>Qtr 2</v>
      </c>
      <c r="F1235" s="5">
        <v>42741</v>
      </c>
      <c r="G1235" s="1" t="s">
        <v>162</v>
      </c>
      <c r="H1235" s="1" t="s">
        <v>2856</v>
      </c>
      <c r="I1235" s="1" t="s">
        <v>2857</v>
      </c>
      <c r="J1235" s="1" t="str">
        <f ca="1">IFERROR(__xludf.DUMMYFUNCTION("split(I1235,"" "")"),"Brooke")</f>
        <v>Brooke</v>
      </c>
      <c r="K1235" s="1" t="str">
        <f ca="1">IFERROR(__xludf.DUMMYFUNCTION("""COMPUTED_VALUE"""),"Gillingham")</f>
        <v>Gillingham</v>
      </c>
      <c r="L1235" s="1"/>
      <c r="M1235" s="1" t="s">
        <v>41</v>
      </c>
      <c r="N1235" s="1" t="s">
        <v>30</v>
      </c>
      <c r="O1235" s="1" t="s">
        <v>829</v>
      </c>
      <c r="P1235" s="1" t="str">
        <f t="shared" si="1042"/>
        <v>Cincinnati</v>
      </c>
      <c r="Q1235" s="1" t="s">
        <v>421</v>
      </c>
      <c r="R1235" s="1" t="str">
        <f t="shared" si="1043"/>
        <v>Ohio</v>
      </c>
      <c r="S1235" s="1">
        <v>45231</v>
      </c>
      <c r="T1235" s="1" t="s">
        <v>128</v>
      </c>
      <c r="U1235" s="1" t="s">
        <v>2858</v>
      </c>
      <c r="V1235" s="1" t="s">
        <v>64</v>
      </c>
      <c r="W1235" s="7">
        <v>839.98800000000006</v>
      </c>
      <c r="X1235" s="1">
        <v>4</v>
      </c>
      <c r="Y1235" s="7">
        <v>839.61</v>
      </c>
      <c r="Z1235" s="7">
        <f t="shared" ref="Z1235:AA1235" si="1258">W1235*X1235</f>
        <v>3359.9520000000002</v>
      </c>
      <c r="AA1235" s="7">
        <f t="shared" si="1258"/>
        <v>3358.44</v>
      </c>
      <c r="AB1235" s="7">
        <f t="shared" si="1045"/>
        <v>1.512000000000171</v>
      </c>
    </row>
    <row r="1236" spans="1:28">
      <c r="A1236" s="1">
        <v>1235</v>
      </c>
      <c r="B1236" s="1" t="s">
        <v>2859</v>
      </c>
      <c r="C1236" s="2">
        <v>43036</v>
      </c>
      <c r="D1236" s="6" t="str">
        <f t="shared" si="1040"/>
        <v>Oct</v>
      </c>
      <c r="E1236" s="6" t="str">
        <f t="shared" si="1041"/>
        <v>Qtr 4</v>
      </c>
      <c r="F1236" s="5" t="s">
        <v>2860</v>
      </c>
      <c r="G1236" s="1" t="s">
        <v>1050</v>
      </c>
      <c r="H1236" s="1" t="s">
        <v>2107</v>
      </c>
      <c r="I1236" s="1" t="s">
        <v>2108</v>
      </c>
      <c r="J1236" s="1" t="str">
        <f ca="1">IFERROR(__xludf.DUMMYFUNCTION("split(I1236,"" "")"),"Patrick")</f>
        <v>Patrick</v>
      </c>
      <c r="K1236" s="1" t="str">
        <f ca="1">IFERROR(__xludf.DUMMYFUNCTION("""COMPUTED_VALUE"""),"Gardner")</f>
        <v>Gardner</v>
      </c>
      <c r="L1236" s="1"/>
      <c r="M1236" s="1" t="s">
        <v>29</v>
      </c>
      <c r="N1236" s="1" t="s">
        <v>30</v>
      </c>
      <c r="O1236" s="1" t="s">
        <v>2861</v>
      </c>
      <c r="P1236" s="1" t="str">
        <f t="shared" si="1042"/>
        <v>Boynton Beach</v>
      </c>
      <c r="Q1236" s="1" t="s">
        <v>194</v>
      </c>
      <c r="R1236" s="1" t="str">
        <f t="shared" si="1043"/>
        <v>Florida</v>
      </c>
      <c r="S1236" s="1">
        <v>33437</v>
      </c>
      <c r="T1236" s="1" t="s">
        <v>33</v>
      </c>
      <c r="U1236" s="1" t="s">
        <v>2862</v>
      </c>
      <c r="V1236" s="1" t="s">
        <v>35</v>
      </c>
      <c r="W1236" s="7">
        <v>47.951999999999998</v>
      </c>
      <c r="X1236" s="1">
        <v>3</v>
      </c>
      <c r="Y1236" s="7">
        <v>47.56</v>
      </c>
      <c r="Z1236" s="7">
        <f t="shared" ref="Z1236:AA1236" si="1259">W1236*X1236</f>
        <v>143.85599999999999</v>
      </c>
      <c r="AA1236" s="7">
        <f t="shared" si="1259"/>
        <v>142.68</v>
      </c>
      <c r="AB1236" s="7">
        <f t="shared" si="1045"/>
        <v>1.1759999999999877</v>
      </c>
    </row>
    <row r="1237" spans="1:28">
      <c r="A1237" s="1">
        <v>1236</v>
      </c>
      <c r="B1237" s="1" t="s">
        <v>2859</v>
      </c>
      <c r="C1237" s="2">
        <v>43036</v>
      </c>
      <c r="D1237" s="6" t="str">
        <f t="shared" si="1040"/>
        <v>Oct</v>
      </c>
      <c r="E1237" s="6" t="str">
        <f t="shared" si="1041"/>
        <v>Qtr 4</v>
      </c>
      <c r="F1237" s="5" t="s">
        <v>2860</v>
      </c>
      <c r="G1237" s="1" t="s">
        <v>1050</v>
      </c>
      <c r="H1237" s="1" t="s">
        <v>2107</v>
      </c>
      <c r="I1237" s="1" t="s">
        <v>2108</v>
      </c>
      <c r="J1237" s="1" t="str">
        <f ca="1">IFERROR(__xludf.DUMMYFUNCTION("split(I1237,"" "")"),"Patrick")</f>
        <v>Patrick</v>
      </c>
      <c r="K1237" s="1" t="str">
        <f ca="1">IFERROR(__xludf.DUMMYFUNCTION("""COMPUTED_VALUE"""),"Gardner")</f>
        <v>Gardner</v>
      </c>
      <c r="L1237" s="1"/>
      <c r="M1237" s="1" t="s">
        <v>29</v>
      </c>
      <c r="N1237" s="1" t="s">
        <v>30</v>
      </c>
      <c r="O1237" s="1" t="s">
        <v>2861</v>
      </c>
      <c r="P1237" s="1" t="str">
        <f t="shared" si="1042"/>
        <v>Boynton Beach</v>
      </c>
      <c r="Q1237" s="1" t="s">
        <v>194</v>
      </c>
      <c r="R1237" s="1" t="str">
        <f t="shared" si="1043"/>
        <v>Florida</v>
      </c>
      <c r="S1237" s="1">
        <v>33437</v>
      </c>
      <c r="T1237" s="1" t="s">
        <v>33</v>
      </c>
      <c r="U1237" s="1" t="s">
        <v>2202</v>
      </c>
      <c r="V1237" s="1" t="s">
        <v>46</v>
      </c>
      <c r="W1237" s="7">
        <v>37.424999999999997</v>
      </c>
      <c r="X1237" s="1">
        <v>3</v>
      </c>
      <c r="Y1237" s="7">
        <v>36.86</v>
      </c>
      <c r="Z1237" s="7">
        <f t="shared" ref="Z1237:AA1237" si="1260">W1237*X1237</f>
        <v>112.27499999999999</v>
      </c>
      <c r="AA1237" s="7">
        <f t="shared" si="1260"/>
        <v>110.58</v>
      </c>
      <c r="AB1237" s="7">
        <f t="shared" si="1045"/>
        <v>1.6949999999999932</v>
      </c>
    </row>
    <row r="1238" spans="1:28">
      <c r="A1238" s="1">
        <v>1237</v>
      </c>
      <c r="B1238" s="1" t="s">
        <v>2859</v>
      </c>
      <c r="C1238" s="2">
        <v>43036</v>
      </c>
      <c r="D1238" s="6" t="str">
        <f t="shared" si="1040"/>
        <v>Oct</v>
      </c>
      <c r="E1238" s="6" t="str">
        <f t="shared" si="1041"/>
        <v>Qtr 4</v>
      </c>
      <c r="F1238" s="5" t="s">
        <v>2860</v>
      </c>
      <c r="G1238" s="1" t="s">
        <v>1050</v>
      </c>
      <c r="H1238" s="1" t="s">
        <v>2107</v>
      </c>
      <c r="I1238" s="1" t="s">
        <v>2108</v>
      </c>
      <c r="J1238" s="1" t="str">
        <f ca="1">IFERROR(__xludf.DUMMYFUNCTION("split(I1238,"" "")"),"Patrick")</f>
        <v>Patrick</v>
      </c>
      <c r="K1238" s="1" t="str">
        <f ca="1">IFERROR(__xludf.DUMMYFUNCTION("""COMPUTED_VALUE"""),"Gardner")</f>
        <v>Gardner</v>
      </c>
      <c r="L1238" s="1"/>
      <c r="M1238" s="1" t="s">
        <v>29</v>
      </c>
      <c r="N1238" s="1" t="s">
        <v>30</v>
      </c>
      <c r="O1238" s="1" t="s">
        <v>2861</v>
      </c>
      <c r="P1238" s="1" t="str">
        <f t="shared" si="1042"/>
        <v>Boynton Beach</v>
      </c>
      <c r="Q1238" s="1" t="s">
        <v>194</v>
      </c>
      <c r="R1238" s="1" t="str">
        <f t="shared" si="1043"/>
        <v>Florida</v>
      </c>
      <c r="S1238" s="1">
        <v>33437</v>
      </c>
      <c r="T1238" s="1" t="s">
        <v>33</v>
      </c>
      <c r="U1238" s="1" t="s">
        <v>2863</v>
      </c>
      <c r="V1238" s="1" t="s">
        <v>35</v>
      </c>
      <c r="W1238" s="7">
        <v>63.968000000000004</v>
      </c>
      <c r="X1238" s="1">
        <v>3</v>
      </c>
      <c r="Y1238" s="7">
        <v>63.54</v>
      </c>
      <c r="Z1238" s="7">
        <f t="shared" ref="Z1238:AA1238" si="1261">W1238*X1238</f>
        <v>191.904</v>
      </c>
      <c r="AA1238" s="7">
        <f t="shared" si="1261"/>
        <v>190.62</v>
      </c>
      <c r="AB1238" s="7">
        <f t="shared" si="1045"/>
        <v>1.2839999999999918</v>
      </c>
    </row>
    <row r="1239" spans="1:28">
      <c r="A1239" s="1">
        <v>1238</v>
      </c>
      <c r="B1239" s="1" t="s">
        <v>2859</v>
      </c>
      <c r="C1239" s="2">
        <v>43036</v>
      </c>
      <c r="D1239" s="6" t="str">
        <f t="shared" si="1040"/>
        <v>Oct</v>
      </c>
      <c r="E1239" s="6" t="str">
        <f t="shared" si="1041"/>
        <v>Qtr 4</v>
      </c>
      <c r="F1239" s="5" t="s">
        <v>2860</v>
      </c>
      <c r="G1239" s="1" t="s">
        <v>1050</v>
      </c>
      <c r="H1239" s="1" t="s">
        <v>2107</v>
      </c>
      <c r="I1239" s="1" t="s">
        <v>2108</v>
      </c>
      <c r="J1239" s="1" t="str">
        <f ca="1">IFERROR(__xludf.DUMMYFUNCTION("split(I1239,"" "")"),"Patrick")</f>
        <v>Patrick</v>
      </c>
      <c r="K1239" s="1" t="str">
        <f ca="1">IFERROR(__xludf.DUMMYFUNCTION("""COMPUTED_VALUE"""),"Gardner")</f>
        <v>Gardner</v>
      </c>
      <c r="L1239" s="1"/>
      <c r="M1239" s="1" t="s">
        <v>29</v>
      </c>
      <c r="N1239" s="1" t="s">
        <v>30</v>
      </c>
      <c r="O1239" s="1" t="s">
        <v>2861</v>
      </c>
      <c r="P1239" s="1" t="str">
        <f t="shared" si="1042"/>
        <v>Boynton Beach</v>
      </c>
      <c r="Q1239" s="1" t="s">
        <v>194</v>
      </c>
      <c r="R1239" s="1" t="str">
        <f t="shared" si="1043"/>
        <v>Florida</v>
      </c>
      <c r="S1239" s="1">
        <v>33437</v>
      </c>
      <c r="T1239" s="1" t="s">
        <v>33</v>
      </c>
      <c r="U1239" s="1" t="s">
        <v>1804</v>
      </c>
      <c r="V1239" s="1" t="s">
        <v>35</v>
      </c>
      <c r="W1239" s="7">
        <v>165.048</v>
      </c>
      <c r="X1239" s="1">
        <v>3</v>
      </c>
      <c r="Y1239" s="7">
        <v>164.12</v>
      </c>
      <c r="Z1239" s="7">
        <f t="shared" ref="Z1239:AA1239" si="1262">W1239*X1239</f>
        <v>495.14400000000001</v>
      </c>
      <c r="AA1239" s="7">
        <f t="shared" si="1262"/>
        <v>492.36</v>
      </c>
      <c r="AB1239" s="7">
        <f t="shared" si="1045"/>
        <v>2.7839999999999918</v>
      </c>
    </row>
    <row r="1240" spans="1:28">
      <c r="A1240" s="1">
        <v>1239</v>
      </c>
      <c r="B1240" s="1" t="s">
        <v>2864</v>
      </c>
      <c r="C1240" s="2">
        <v>42316</v>
      </c>
      <c r="D1240" s="6" t="str">
        <f t="shared" si="1040"/>
        <v>Nov</v>
      </c>
      <c r="E1240" s="6" t="str">
        <f t="shared" si="1041"/>
        <v>Qtr 4</v>
      </c>
      <c r="F1240" s="5" t="s">
        <v>1620</v>
      </c>
      <c r="G1240" s="1" t="s">
        <v>49</v>
      </c>
      <c r="H1240" s="1" t="s">
        <v>2865</v>
      </c>
      <c r="I1240" s="1" t="s">
        <v>2866</v>
      </c>
      <c r="J1240" s="1" t="str">
        <f ca="1">IFERROR(__xludf.DUMMYFUNCTION("split(I1240,"" "")"),"Greg")</f>
        <v>Greg</v>
      </c>
      <c r="K1240" s="1" t="str">
        <f ca="1">IFERROR(__xludf.DUMMYFUNCTION("""COMPUTED_VALUE"""),"Matthias")</f>
        <v>Matthias</v>
      </c>
      <c r="L1240" s="1"/>
      <c r="M1240" s="1" t="s">
        <v>29</v>
      </c>
      <c r="N1240" s="1" t="s">
        <v>30</v>
      </c>
      <c r="O1240" s="1" t="s">
        <v>80</v>
      </c>
      <c r="P1240" s="1" t="str">
        <f t="shared" si="1042"/>
        <v>Seattle</v>
      </c>
      <c r="Q1240" s="1" t="s">
        <v>81</v>
      </c>
      <c r="R1240" s="1" t="str">
        <f t="shared" si="1043"/>
        <v>Washington</v>
      </c>
      <c r="S1240" s="1">
        <v>98105</v>
      </c>
      <c r="T1240" s="1" t="s">
        <v>44</v>
      </c>
      <c r="U1240" s="1" t="s">
        <v>2867</v>
      </c>
      <c r="V1240" s="1" t="s">
        <v>35</v>
      </c>
      <c r="W1240" s="7">
        <v>12.35</v>
      </c>
      <c r="X1240" s="1">
        <v>9</v>
      </c>
      <c r="Y1240" s="7">
        <v>11.66</v>
      </c>
      <c r="Z1240" s="7">
        <f t="shared" ref="Z1240:AA1240" si="1263">W1240*X1240</f>
        <v>111.14999999999999</v>
      </c>
      <c r="AA1240" s="7">
        <f t="shared" si="1263"/>
        <v>104.94</v>
      </c>
      <c r="AB1240" s="7">
        <f t="shared" si="1045"/>
        <v>6.2099999999999937</v>
      </c>
    </row>
    <row r="1241" spans="1:28">
      <c r="A1241" s="1">
        <v>1240</v>
      </c>
      <c r="B1241" s="1" t="s">
        <v>2864</v>
      </c>
      <c r="C1241" s="2">
        <v>42316</v>
      </c>
      <c r="D1241" s="6" t="str">
        <f t="shared" si="1040"/>
        <v>Nov</v>
      </c>
      <c r="E1241" s="6" t="str">
        <f t="shared" si="1041"/>
        <v>Qtr 4</v>
      </c>
      <c r="F1241" s="5" t="s">
        <v>1620</v>
      </c>
      <c r="G1241" s="1" t="s">
        <v>49</v>
      </c>
      <c r="H1241" s="1" t="s">
        <v>2865</v>
      </c>
      <c r="I1241" s="1" t="s">
        <v>2866</v>
      </c>
      <c r="J1241" s="1" t="str">
        <f ca="1">IFERROR(__xludf.DUMMYFUNCTION("split(I1241,"" "")"),"Greg")</f>
        <v>Greg</v>
      </c>
      <c r="K1241" s="1" t="str">
        <f ca="1">IFERROR(__xludf.DUMMYFUNCTION("""COMPUTED_VALUE"""),"Matthias")</f>
        <v>Matthias</v>
      </c>
      <c r="L1241" s="1"/>
      <c r="M1241" s="1" t="s">
        <v>29</v>
      </c>
      <c r="N1241" s="1" t="s">
        <v>30</v>
      </c>
      <c r="O1241" s="1" t="s">
        <v>80</v>
      </c>
      <c r="P1241" s="1" t="str">
        <f t="shared" si="1042"/>
        <v>Seattle</v>
      </c>
      <c r="Q1241" s="1" t="s">
        <v>81</v>
      </c>
      <c r="R1241" s="1" t="str">
        <f t="shared" si="1043"/>
        <v>Washington</v>
      </c>
      <c r="S1241" s="1">
        <v>98105</v>
      </c>
      <c r="T1241" s="1" t="s">
        <v>44</v>
      </c>
      <c r="U1241" s="1" t="s">
        <v>2868</v>
      </c>
      <c r="V1241" s="1" t="s">
        <v>46</v>
      </c>
      <c r="W1241" s="7">
        <v>40.97</v>
      </c>
      <c r="X1241" s="1">
        <v>9</v>
      </c>
      <c r="Y1241" s="7">
        <v>40.24</v>
      </c>
      <c r="Z1241" s="7">
        <f t="shared" ref="Z1241:AA1241" si="1264">W1241*X1241</f>
        <v>368.73</v>
      </c>
      <c r="AA1241" s="7">
        <f t="shared" si="1264"/>
        <v>362.16</v>
      </c>
      <c r="AB1241" s="7">
        <f t="shared" si="1045"/>
        <v>6.5699999999999932</v>
      </c>
    </row>
    <row r="1242" spans="1:28">
      <c r="A1242" s="1">
        <v>1241</v>
      </c>
      <c r="B1242" s="1" t="s">
        <v>2864</v>
      </c>
      <c r="C1242" s="2">
        <v>42316</v>
      </c>
      <c r="D1242" s="6" t="str">
        <f t="shared" si="1040"/>
        <v>Nov</v>
      </c>
      <c r="E1242" s="6" t="str">
        <f t="shared" si="1041"/>
        <v>Qtr 4</v>
      </c>
      <c r="F1242" s="5" t="s">
        <v>1620</v>
      </c>
      <c r="G1242" s="1" t="s">
        <v>49</v>
      </c>
      <c r="H1242" s="1" t="s">
        <v>2865</v>
      </c>
      <c r="I1242" s="1" t="s">
        <v>2866</v>
      </c>
      <c r="J1242" s="1" t="str">
        <f ca="1">IFERROR(__xludf.DUMMYFUNCTION("split(I1242,"" "")"),"Greg")</f>
        <v>Greg</v>
      </c>
      <c r="K1242" s="1" t="str">
        <f ca="1">IFERROR(__xludf.DUMMYFUNCTION("""COMPUTED_VALUE"""),"Matthias")</f>
        <v>Matthias</v>
      </c>
      <c r="L1242" s="1"/>
      <c r="M1242" s="1" t="s">
        <v>29</v>
      </c>
      <c r="N1242" s="1" t="s">
        <v>30</v>
      </c>
      <c r="O1242" s="1" t="s">
        <v>80</v>
      </c>
      <c r="P1242" s="1" t="str">
        <f t="shared" si="1042"/>
        <v>Seattle</v>
      </c>
      <c r="Q1242" s="1" t="s">
        <v>81</v>
      </c>
      <c r="R1242" s="1" t="str">
        <f t="shared" si="1043"/>
        <v>Washington</v>
      </c>
      <c r="S1242" s="1">
        <v>98105</v>
      </c>
      <c r="T1242" s="1" t="s">
        <v>44</v>
      </c>
      <c r="U1242" s="1" t="s">
        <v>889</v>
      </c>
      <c r="V1242" s="1" t="s">
        <v>46</v>
      </c>
      <c r="W1242" s="7">
        <v>22.96</v>
      </c>
      <c r="X1242" s="1">
        <v>9</v>
      </c>
      <c r="Y1242" s="7">
        <v>22.13</v>
      </c>
      <c r="Z1242" s="7">
        <f t="shared" ref="Z1242:AA1242" si="1265">W1242*X1242</f>
        <v>206.64000000000001</v>
      </c>
      <c r="AA1242" s="7">
        <f t="shared" si="1265"/>
        <v>199.17</v>
      </c>
      <c r="AB1242" s="7">
        <f t="shared" si="1045"/>
        <v>7.4700000000000273</v>
      </c>
    </row>
    <row r="1243" spans="1:28">
      <c r="A1243" s="1">
        <v>1242</v>
      </c>
      <c r="B1243" s="1" t="s">
        <v>2869</v>
      </c>
      <c r="C1243" s="2">
        <v>42976</v>
      </c>
      <c r="D1243" s="6" t="str">
        <f t="shared" si="1040"/>
        <v>Aug</v>
      </c>
      <c r="E1243" s="6" t="str">
        <f t="shared" si="1041"/>
        <v>Qtr 3</v>
      </c>
      <c r="F1243" s="5">
        <v>42834</v>
      </c>
      <c r="G1243" s="1" t="s">
        <v>49</v>
      </c>
      <c r="H1243" s="1" t="s">
        <v>1683</v>
      </c>
      <c r="I1243" s="1" t="s">
        <v>1684</v>
      </c>
      <c r="J1243" s="1" t="str">
        <f ca="1">IFERROR(__xludf.DUMMYFUNCTION("split(I1243,"" "")"),"Meg")</f>
        <v>Meg</v>
      </c>
      <c r="K1243" s="1" t="str">
        <f ca="1">IFERROR(__xludf.DUMMYFUNCTION("""COMPUTED_VALUE"""),"O'Connel")</f>
        <v>O'Connel</v>
      </c>
      <c r="L1243" s="1"/>
      <c r="M1243" s="1" t="s">
        <v>87</v>
      </c>
      <c r="N1243" s="1" t="s">
        <v>30</v>
      </c>
      <c r="O1243" s="1" t="s">
        <v>233</v>
      </c>
      <c r="P1243" s="1" t="str">
        <f t="shared" si="1042"/>
        <v>New York City</v>
      </c>
      <c r="Q1243" s="1" t="s">
        <v>234</v>
      </c>
      <c r="R1243" s="1" t="str">
        <f t="shared" si="1043"/>
        <v>New York</v>
      </c>
      <c r="S1243" s="1">
        <v>10024</v>
      </c>
      <c r="T1243" s="1" t="s">
        <v>128</v>
      </c>
      <c r="U1243" s="1" t="s">
        <v>2870</v>
      </c>
      <c r="V1243" s="1" t="s">
        <v>64</v>
      </c>
      <c r="W1243" s="7">
        <v>22</v>
      </c>
      <c r="X1243" s="1">
        <v>1</v>
      </c>
      <c r="Y1243" s="7">
        <v>21.27</v>
      </c>
      <c r="Z1243" s="7">
        <f t="shared" ref="Z1243:AA1243" si="1266">W1243*X1243</f>
        <v>22</v>
      </c>
      <c r="AA1243" s="7">
        <f t="shared" si="1266"/>
        <v>21.27</v>
      </c>
      <c r="AB1243" s="7">
        <f t="shared" si="1045"/>
        <v>0.73000000000000043</v>
      </c>
    </row>
    <row r="1244" spans="1:28">
      <c r="A1244" s="1">
        <v>1243</v>
      </c>
      <c r="B1244" s="1" t="s">
        <v>2871</v>
      </c>
      <c r="C1244" s="2">
        <v>42781</v>
      </c>
      <c r="D1244" s="6" t="str">
        <f t="shared" si="1040"/>
        <v>Feb</v>
      </c>
      <c r="E1244" s="6" t="str">
        <f t="shared" si="1041"/>
        <v>Qtr 1</v>
      </c>
      <c r="F1244" s="5" t="s">
        <v>2872</v>
      </c>
      <c r="G1244" s="1" t="s">
        <v>49</v>
      </c>
      <c r="H1244" s="1" t="s">
        <v>2107</v>
      </c>
      <c r="I1244" s="1" t="s">
        <v>2108</v>
      </c>
      <c r="J1244" s="1" t="str">
        <f ca="1">IFERROR(__xludf.DUMMYFUNCTION("split(I1244,"" "")"),"Patrick")</f>
        <v>Patrick</v>
      </c>
      <c r="K1244" s="1" t="str">
        <f ca="1">IFERROR(__xludf.DUMMYFUNCTION("""COMPUTED_VALUE"""),"Gardner")</f>
        <v>Gardner</v>
      </c>
      <c r="L1244" s="1"/>
      <c r="M1244" s="1" t="s">
        <v>29</v>
      </c>
      <c r="N1244" s="1" t="s">
        <v>30</v>
      </c>
      <c r="O1244" s="1" t="s">
        <v>233</v>
      </c>
      <c r="P1244" s="1" t="str">
        <f t="shared" si="1042"/>
        <v>New York City</v>
      </c>
      <c r="Q1244" s="1" t="s">
        <v>234</v>
      </c>
      <c r="R1244" s="1" t="str">
        <f t="shared" si="1043"/>
        <v>New York</v>
      </c>
      <c r="S1244" s="1">
        <v>10009</v>
      </c>
      <c r="T1244" s="1" t="s">
        <v>128</v>
      </c>
      <c r="U1244" s="1" t="s">
        <v>2873</v>
      </c>
      <c r="V1244" s="1" t="s">
        <v>46</v>
      </c>
      <c r="W1244" s="7">
        <v>398.35199999999998</v>
      </c>
      <c r="X1244" s="1">
        <v>1</v>
      </c>
      <c r="Y1244" s="7">
        <v>397.73</v>
      </c>
      <c r="Z1244" s="7">
        <f t="shared" ref="Z1244:AA1244" si="1267">W1244*X1244</f>
        <v>398.35199999999998</v>
      </c>
      <c r="AA1244" s="7">
        <f t="shared" si="1267"/>
        <v>397.73</v>
      </c>
      <c r="AB1244" s="7">
        <f t="shared" si="1045"/>
        <v>0.62199999999995725</v>
      </c>
    </row>
    <row r="1245" spans="1:28">
      <c r="A1245" s="1">
        <v>1244</v>
      </c>
      <c r="B1245" s="1" t="s">
        <v>2871</v>
      </c>
      <c r="C1245" s="2">
        <v>42781</v>
      </c>
      <c r="D1245" s="6" t="str">
        <f t="shared" si="1040"/>
        <v>Feb</v>
      </c>
      <c r="E1245" s="6" t="str">
        <f t="shared" si="1041"/>
        <v>Qtr 1</v>
      </c>
      <c r="F1245" s="5" t="s">
        <v>2872</v>
      </c>
      <c r="G1245" s="1" t="s">
        <v>49</v>
      </c>
      <c r="H1245" s="1" t="s">
        <v>2107</v>
      </c>
      <c r="I1245" s="1" t="s">
        <v>2108</v>
      </c>
      <c r="J1245" s="1" t="str">
        <f ca="1">IFERROR(__xludf.DUMMYFUNCTION("split(I1245,"" "")"),"Patrick")</f>
        <v>Patrick</v>
      </c>
      <c r="K1245" s="1" t="str">
        <f ca="1">IFERROR(__xludf.DUMMYFUNCTION("""COMPUTED_VALUE"""),"Gardner")</f>
        <v>Gardner</v>
      </c>
      <c r="L1245" s="1"/>
      <c r="M1245" s="1" t="s">
        <v>29</v>
      </c>
      <c r="N1245" s="1" t="s">
        <v>30</v>
      </c>
      <c r="O1245" s="1" t="s">
        <v>233</v>
      </c>
      <c r="P1245" s="1" t="str">
        <f t="shared" si="1042"/>
        <v>New York City</v>
      </c>
      <c r="Q1245" s="1" t="s">
        <v>234</v>
      </c>
      <c r="R1245" s="1" t="str">
        <f t="shared" si="1043"/>
        <v>New York</v>
      </c>
      <c r="S1245" s="1">
        <v>10009</v>
      </c>
      <c r="T1245" s="1" t="s">
        <v>128</v>
      </c>
      <c r="U1245" s="1" t="s">
        <v>235</v>
      </c>
      <c r="V1245" s="1" t="s">
        <v>46</v>
      </c>
      <c r="W1245" s="7">
        <v>8.7200000000000006</v>
      </c>
      <c r="X1245" s="1">
        <v>1</v>
      </c>
      <c r="Y1245" s="7">
        <v>8.58</v>
      </c>
      <c r="Z1245" s="7">
        <f t="shared" ref="Z1245:AA1245" si="1268">W1245*X1245</f>
        <v>8.7200000000000006</v>
      </c>
      <c r="AA1245" s="7">
        <f t="shared" si="1268"/>
        <v>8.58</v>
      </c>
      <c r="AB1245" s="7">
        <f t="shared" si="1045"/>
        <v>0.14000000000000057</v>
      </c>
    </row>
    <row r="1246" spans="1:28">
      <c r="A1246" s="1">
        <v>1245</v>
      </c>
      <c r="B1246" s="1" t="s">
        <v>2874</v>
      </c>
      <c r="C1246" s="2">
        <v>43234</v>
      </c>
      <c r="D1246" s="6" t="str">
        <f t="shared" si="1040"/>
        <v>May</v>
      </c>
      <c r="E1246" s="6" t="str">
        <f t="shared" si="1041"/>
        <v>Qtr 2</v>
      </c>
      <c r="F1246" s="5" t="s">
        <v>2875</v>
      </c>
      <c r="G1246" s="1" t="s">
        <v>49</v>
      </c>
      <c r="H1246" s="1" t="s">
        <v>2876</v>
      </c>
      <c r="I1246" s="1" t="s">
        <v>2877</v>
      </c>
      <c r="J1246" s="1" t="str">
        <f ca="1">IFERROR(__xludf.DUMMYFUNCTION("split(I1246,"" "")"),"Eva")</f>
        <v>Eva</v>
      </c>
      <c r="K1246" s="1" t="str">
        <f ca="1">IFERROR(__xludf.DUMMYFUNCTION("""COMPUTED_VALUE"""),"Jacobs")</f>
        <v>Jacobs</v>
      </c>
      <c r="L1246" s="1"/>
      <c r="M1246" s="1" t="s">
        <v>29</v>
      </c>
      <c r="N1246" s="1" t="s">
        <v>30</v>
      </c>
      <c r="O1246" s="1" t="s">
        <v>2878</v>
      </c>
      <c r="P1246" s="1" t="str">
        <f t="shared" si="1042"/>
        <v>Gulfport</v>
      </c>
      <c r="Q1246" s="1" t="s">
        <v>1211</v>
      </c>
      <c r="R1246" s="1" t="str">
        <f t="shared" si="1043"/>
        <v>Mississippi</v>
      </c>
      <c r="S1246" s="1">
        <v>39503</v>
      </c>
      <c r="T1246" s="1" t="s">
        <v>33</v>
      </c>
      <c r="U1246" s="1" t="s">
        <v>2879</v>
      </c>
      <c r="V1246" s="1" t="s">
        <v>46</v>
      </c>
      <c r="W1246" s="7">
        <v>48.69</v>
      </c>
      <c r="X1246" s="1">
        <v>3</v>
      </c>
      <c r="Y1246" s="7">
        <v>48.2</v>
      </c>
      <c r="Z1246" s="7">
        <f t="shared" ref="Z1246:AA1246" si="1269">W1246*X1246</f>
        <v>146.07</v>
      </c>
      <c r="AA1246" s="7">
        <f t="shared" si="1269"/>
        <v>144.60000000000002</v>
      </c>
      <c r="AB1246" s="7">
        <f t="shared" si="1045"/>
        <v>1.4699999999999704</v>
      </c>
    </row>
    <row r="1247" spans="1:28">
      <c r="A1247" s="1">
        <v>1246</v>
      </c>
      <c r="B1247" s="1" t="s">
        <v>2880</v>
      </c>
      <c r="C1247" s="2">
        <v>42350</v>
      </c>
      <c r="D1247" s="6" t="str">
        <f t="shared" si="1040"/>
        <v>Dec</v>
      </c>
      <c r="E1247" s="6" t="str">
        <f t="shared" si="1041"/>
        <v>Qtr 4</v>
      </c>
      <c r="F1247" s="5" t="s">
        <v>2881</v>
      </c>
      <c r="G1247" s="1" t="s">
        <v>26</v>
      </c>
      <c r="H1247" s="1" t="s">
        <v>2882</v>
      </c>
      <c r="I1247" s="1" t="s">
        <v>2883</v>
      </c>
      <c r="J1247" s="1" t="str">
        <f ca="1">IFERROR(__xludf.DUMMYFUNCTION("split(I1247,"" "")"),"Nora")</f>
        <v>Nora</v>
      </c>
      <c r="K1247" s="1" t="str">
        <f ca="1">IFERROR(__xludf.DUMMYFUNCTION("""COMPUTED_VALUE"""),"Preis")</f>
        <v>Preis</v>
      </c>
      <c r="L1247" s="1"/>
      <c r="M1247" s="1" t="s">
        <v>29</v>
      </c>
      <c r="N1247" s="1" t="s">
        <v>30</v>
      </c>
      <c r="O1247" s="1" t="s">
        <v>2884</v>
      </c>
      <c r="P1247" s="1" t="str">
        <f t="shared" si="1042"/>
        <v>Fresno</v>
      </c>
      <c r="Q1247" s="1" t="s">
        <v>68</v>
      </c>
      <c r="R1247" s="1" t="str">
        <f t="shared" si="1043"/>
        <v>California</v>
      </c>
      <c r="S1247" s="1">
        <v>93727</v>
      </c>
      <c r="T1247" s="1" t="s">
        <v>44</v>
      </c>
      <c r="U1247" s="1" t="s">
        <v>2885</v>
      </c>
      <c r="V1247" s="1" t="s">
        <v>35</v>
      </c>
      <c r="W1247" s="7">
        <v>764.68799999999999</v>
      </c>
      <c r="X1247" s="1">
        <v>9</v>
      </c>
      <c r="Y1247" s="7">
        <v>764.45</v>
      </c>
      <c r="Z1247" s="7">
        <f t="shared" ref="Z1247:AA1247" si="1270">W1247*X1247</f>
        <v>6882.192</v>
      </c>
      <c r="AA1247" s="7">
        <f t="shared" si="1270"/>
        <v>6880.05</v>
      </c>
      <c r="AB1247" s="7">
        <f t="shared" si="1045"/>
        <v>2.1419999999998254</v>
      </c>
    </row>
    <row r="1248" spans="1:28">
      <c r="A1248" s="1">
        <v>1247</v>
      </c>
      <c r="B1248" s="1" t="s">
        <v>2880</v>
      </c>
      <c r="C1248" s="2">
        <v>42350</v>
      </c>
      <c r="D1248" s="6" t="str">
        <f t="shared" si="1040"/>
        <v>Dec</v>
      </c>
      <c r="E1248" s="6" t="str">
        <f t="shared" si="1041"/>
        <v>Qtr 4</v>
      </c>
      <c r="F1248" s="5" t="s">
        <v>2881</v>
      </c>
      <c r="G1248" s="1" t="s">
        <v>26</v>
      </c>
      <c r="H1248" s="1" t="s">
        <v>2882</v>
      </c>
      <c r="I1248" s="1" t="s">
        <v>2883</v>
      </c>
      <c r="J1248" s="1" t="str">
        <f ca="1">IFERROR(__xludf.DUMMYFUNCTION("split(I1248,"" "")"),"Nora")</f>
        <v>Nora</v>
      </c>
      <c r="K1248" s="1" t="str">
        <f ca="1">IFERROR(__xludf.DUMMYFUNCTION("""COMPUTED_VALUE"""),"Preis")</f>
        <v>Preis</v>
      </c>
      <c r="L1248" s="1"/>
      <c r="M1248" s="1" t="s">
        <v>29</v>
      </c>
      <c r="N1248" s="1" t="s">
        <v>30</v>
      </c>
      <c r="O1248" s="1" t="s">
        <v>2884</v>
      </c>
      <c r="P1248" s="1" t="str">
        <f t="shared" si="1042"/>
        <v>Fresno</v>
      </c>
      <c r="Q1248" s="1" t="s">
        <v>68</v>
      </c>
      <c r="R1248" s="1" t="str">
        <f t="shared" si="1043"/>
        <v>California</v>
      </c>
      <c r="S1248" s="1">
        <v>93727</v>
      </c>
      <c r="T1248" s="1" t="s">
        <v>44</v>
      </c>
      <c r="U1248" s="1" t="s">
        <v>745</v>
      </c>
      <c r="V1248" s="1" t="s">
        <v>35</v>
      </c>
      <c r="W1248" s="7">
        <v>3610.848</v>
      </c>
      <c r="X1248" s="1">
        <v>9</v>
      </c>
      <c r="Y1248" s="7">
        <v>3610.76</v>
      </c>
      <c r="Z1248" s="7">
        <f t="shared" ref="Z1248:AA1248" si="1271">W1248*X1248</f>
        <v>32497.631999999998</v>
      </c>
      <c r="AA1248" s="7">
        <f t="shared" si="1271"/>
        <v>32496.840000000004</v>
      </c>
      <c r="AB1248" s="7">
        <f t="shared" si="1045"/>
        <v>0.79199999999400461</v>
      </c>
    </row>
    <row r="1249" spans="1:28">
      <c r="A1249" s="1">
        <v>1248</v>
      </c>
      <c r="B1249" s="1" t="s">
        <v>2880</v>
      </c>
      <c r="C1249" s="2">
        <v>42350</v>
      </c>
      <c r="D1249" s="6" t="str">
        <f t="shared" si="1040"/>
        <v>Dec</v>
      </c>
      <c r="E1249" s="6" t="str">
        <f t="shared" si="1041"/>
        <v>Qtr 4</v>
      </c>
      <c r="F1249" s="5" t="s">
        <v>2881</v>
      </c>
      <c r="G1249" s="1" t="s">
        <v>26</v>
      </c>
      <c r="H1249" s="1" t="s">
        <v>2882</v>
      </c>
      <c r="I1249" s="1" t="s">
        <v>2883</v>
      </c>
      <c r="J1249" s="1" t="str">
        <f ca="1">IFERROR(__xludf.DUMMYFUNCTION("split(I1249,"" "")"),"Nora")</f>
        <v>Nora</v>
      </c>
      <c r="K1249" s="1" t="str">
        <f ca="1">IFERROR(__xludf.DUMMYFUNCTION("""COMPUTED_VALUE"""),"Preis")</f>
        <v>Preis</v>
      </c>
      <c r="L1249" s="1"/>
      <c r="M1249" s="1" t="s">
        <v>29</v>
      </c>
      <c r="N1249" s="1" t="s">
        <v>30</v>
      </c>
      <c r="O1249" s="1" t="s">
        <v>2884</v>
      </c>
      <c r="P1249" s="1" t="str">
        <f t="shared" si="1042"/>
        <v>Fresno</v>
      </c>
      <c r="Q1249" s="1" t="s">
        <v>68</v>
      </c>
      <c r="R1249" s="1" t="str">
        <f t="shared" si="1043"/>
        <v>California</v>
      </c>
      <c r="S1249" s="1">
        <v>93727</v>
      </c>
      <c r="T1249" s="1" t="s">
        <v>44</v>
      </c>
      <c r="U1249" s="1" t="s">
        <v>2886</v>
      </c>
      <c r="V1249" s="1" t="s">
        <v>35</v>
      </c>
      <c r="W1249" s="7">
        <v>254.97450000000001</v>
      </c>
      <c r="X1249" s="1">
        <v>9</v>
      </c>
      <c r="Y1249" s="7">
        <v>254.54</v>
      </c>
      <c r="Z1249" s="7">
        <f t="shared" ref="Z1249:AA1249" si="1272">W1249*X1249</f>
        <v>2294.7705000000001</v>
      </c>
      <c r="AA1249" s="7">
        <f t="shared" si="1272"/>
        <v>2290.86</v>
      </c>
      <c r="AB1249" s="7">
        <f t="shared" si="1045"/>
        <v>3.9104999999999563</v>
      </c>
    </row>
    <row r="1250" spans="1:28">
      <c r="A1250" s="1">
        <v>1249</v>
      </c>
      <c r="B1250" s="1" t="s">
        <v>2887</v>
      </c>
      <c r="C1250" s="2">
        <v>43452</v>
      </c>
      <c r="D1250" s="6" t="str">
        <f t="shared" si="1040"/>
        <v>Dec</v>
      </c>
      <c r="E1250" s="6" t="str">
        <f t="shared" si="1041"/>
        <v>Qtr 4</v>
      </c>
      <c r="F1250" s="5" t="s">
        <v>2888</v>
      </c>
      <c r="G1250" s="1" t="s">
        <v>49</v>
      </c>
      <c r="H1250" s="1" t="s">
        <v>1807</v>
      </c>
      <c r="I1250" s="1" t="s">
        <v>1808</v>
      </c>
      <c r="J1250" s="1" t="str">
        <f ca="1">IFERROR(__xludf.DUMMYFUNCTION("split(I1250,"" "")"),"Doug")</f>
        <v>Doug</v>
      </c>
      <c r="K1250" s="1" t="str">
        <f ca="1">IFERROR(__xludf.DUMMYFUNCTION("""COMPUTED_VALUE"""),"Jacobs")</f>
        <v>Jacobs</v>
      </c>
      <c r="L1250" s="1"/>
      <c r="M1250" s="1" t="s">
        <v>29</v>
      </c>
      <c r="N1250" s="1" t="s">
        <v>30</v>
      </c>
      <c r="O1250" s="1" t="s">
        <v>233</v>
      </c>
      <c r="P1250" s="1" t="str">
        <f t="shared" si="1042"/>
        <v>New York City</v>
      </c>
      <c r="Q1250" s="1" t="s">
        <v>234</v>
      </c>
      <c r="R1250" s="1" t="str">
        <f t="shared" si="1043"/>
        <v>New York</v>
      </c>
      <c r="S1250" s="1">
        <v>10009</v>
      </c>
      <c r="T1250" s="1" t="s">
        <v>128</v>
      </c>
      <c r="U1250" s="1" t="s">
        <v>2889</v>
      </c>
      <c r="V1250" s="1" t="s">
        <v>46</v>
      </c>
      <c r="W1250" s="7">
        <v>38.82</v>
      </c>
      <c r="X1250" s="1">
        <v>1</v>
      </c>
      <c r="Y1250" s="7">
        <v>37.869999999999997</v>
      </c>
      <c r="Z1250" s="7">
        <f t="shared" ref="Z1250:AA1250" si="1273">W1250*X1250</f>
        <v>38.82</v>
      </c>
      <c r="AA1250" s="7">
        <f t="shared" si="1273"/>
        <v>37.869999999999997</v>
      </c>
      <c r="AB1250" s="7">
        <f t="shared" si="1045"/>
        <v>0.95000000000000284</v>
      </c>
    </row>
    <row r="1251" spans="1:28">
      <c r="A1251" s="1">
        <v>1250</v>
      </c>
      <c r="B1251" s="1" t="s">
        <v>2887</v>
      </c>
      <c r="C1251" s="2">
        <v>43452</v>
      </c>
      <c r="D1251" s="6" t="str">
        <f t="shared" si="1040"/>
        <v>Dec</v>
      </c>
      <c r="E1251" s="6" t="str">
        <f t="shared" si="1041"/>
        <v>Qtr 4</v>
      </c>
      <c r="F1251" s="5" t="s">
        <v>2888</v>
      </c>
      <c r="G1251" s="1" t="s">
        <v>49</v>
      </c>
      <c r="H1251" s="1" t="s">
        <v>1807</v>
      </c>
      <c r="I1251" s="1" t="s">
        <v>1808</v>
      </c>
      <c r="J1251" s="1" t="str">
        <f ca="1">IFERROR(__xludf.DUMMYFUNCTION("split(I1251,"" "")"),"Doug")</f>
        <v>Doug</v>
      </c>
      <c r="K1251" s="1" t="str">
        <f ca="1">IFERROR(__xludf.DUMMYFUNCTION("""COMPUTED_VALUE"""),"Jacobs")</f>
        <v>Jacobs</v>
      </c>
      <c r="L1251" s="1"/>
      <c r="M1251" s="1" t="s">
        <v>29</v>
      </c>
      <c r="N1251" s="1" t="s">
        <v>30</v>
      </c>
      <c r="O1251" s="1" t="s">
        <v>233</v>
      </c>
      <c r="P1251" s="1" t="str">
        <f t="shared" si="1042"/>
        <v>New York City</v>
      </c>
      <c r="Q1251" s="1" t="s">
        <v>234</v>
      </c>
      <c r="R1251" s="1" t="str">
        <f t="shared" si="1043"/>
        <v>New York</v>
      </c>
      <c r="S1251" s="1">
        <v>10009</v>
      </c>
      <c r="T1251" s="1" t="s">
        <v>128</v>
      </c>
      <c r="U1251" s="1" t="s">
        <v>2890</v>
      </c>
      <c r="V1251" s="1" t="s">
        <v>35</v>
      </c>
      <c r="W1251" s="7">
        <v>1141.9380000000001</v>
      </c>
      <c r="X1251" s="1">
        <v>1</v>
      </c>
      <c r="Y1251" s="7">
        <v>1140.99</v>
      </c>
      <c r="Z1251" s="7">
        <f t="shared" ref="Z1251:AA1251" si="1274">W1251*X1251</f>
        <v>1141.9380000000001</v>
      </c>
      <c r="AA1251" s="7">
        <f t="shared" si="1274"/>
        <v>1140.99</v>
      </c>
      <c r="AB1251" s="7">
        <f t="shared" si="1045"/>
        <v>0.94800000000009277</v>
      </c>
    </row>
    <row r="1252" spans="1:28">
      <c r="A1252" s="1">
        <v>1251</v>
      </c>
      <c r="B1252" s="1" t="s">
        <v>2887</v>
      </c>
      <c r="C1252" s="2">
        <v>43452</v>
      </c>
      <c r="D1252" s="6" t="str">
        <f t="shared" si="1040"/>
        <v>Dec</v>
      </c>
      <c r="E1252" s="6" t="str">
        <f t="shared" si="1041"/>
        <v>Qtr 4</v>
      </c>
      <c r="F1252" s="5" t="s">
        <v>2888</v>
      </c>
      <c r="G1252" s="1" t="s">
        <v>49</v>
      </c>
      <c r="H1252" s="1" t="s">
        <v>1807</v>
      </c>
      <c r="I1252" s="1" t="s">
        <v>1808</v>
      </c>
      <c r="J1252" s="1" t="str">
        <f ca="1">IFERROR(__xludf.DUMMYFUNCTION("split(I1252,"" "")"),"Doug")</f>
        <v>Doug</v>
      </c>
      <c r="K1252" s="1" t="str">
        <f ca="1">IFERROR(__xludf.DUMMYFUNCTION("""COMPUTED_VALUE"""),"Jacobs")</f>
        <v>Jacobs</v>
      </c>
      <c r="L1252" s="1"/>
      <c r="M1252" s="1" t="s">
        <v>29</v>
      </c>
      <c r="N1252" s="1" t="s">
        <v>30</v>
      </c>
      <c r="O1252" s="1" t="s">
        <v>233</v>
      </c>
      <c r="P1252" s="1" t="str">
        <f t="shared" si="1042"/>
        <v>New York City</v>
      </c>
      <c r="Q1252" s="1" t="s">
        <v>234</v>
      </c>
      <c r="R1252" s="1" t="str">
        <f t="shared" si="1043"/>
        <v>New York</v>
      </c>
      <c r="S1252" s="1">
        <v>10009</v>
      </c>
      <c r="T1252" s="1" t="s">
        <v>128</v>
      </c>
      <c r="U1252" s="1" t="s">
        <v>583</v>
      </c>
      <c r="V1252" s="1" t="s">
        <v>46</v>
      </c>
      <c r="W1252" s="7">
        <v>1704.56</v>
      </c>
      <c r="X1252" s="1">
        <v>1</v>
      </c>
      <c r="Y1252" s="7">
        <v>1703.65</v>
      </c>
      <c r="Z1252" s="7">
        <f t="shared" ref="Z1252:AA1252" si="1275">W1252*X1252</f>
        <v>1704.56</v>
      </c>
      <c r="AA1252" s="7">
        <f t="shared" si="1275"/>
        <v>1703.65</v>
      </c>
      <c r="AB1252" s="7">
        <f t="shared" si="1045"/>
        <v>0.90999999999985448</v>
      </c>
    </row>
    <row r="1253" spans="1:28">
      <c r="A1253" s="1">
        <v>1252</v>
      </c>
      <c r="B1253" s="1" t="s">
        <v>2887</v>
      </c>
      <c r="C1253" s="2">
        <v>43452</v>
      </c>
      <c r="D1253" s="6" t="str">
        <f t="shared" si="1040"/>
        <v>Dec</v>
      </c>
      <c r="E1253" s="6" t="str">
        <f t="shared" si="1041"/>
        <v>Qtr 4</v>
      </c>
      <c r="F1253" s="5" t="s">
        <v>2888</v>
      </c>
      <c r="G1253" s="1" t="s">
        <v>49</v>
      </c>
      <c r="H1253" s="1" t="s">
        <v>1807</v>
      </c>
      <c r="I1253" s="1" t="s">
        <v>1808</v>
      </c>
      <c r="J1253" s="1" t="str">
        <f ca="1">IFERROR(__xludf.DUMMYFUNCTION("split(I1253,"" "")"),"Doug")</f>
        <v>Doug</v>
      </c>
      <c r="K1253" s="1" t="str">
        <f ca="1">IFERROR(__xludf.DUMMYFUNCTION("""COMPUTED_VALUE"""),"Jacobs")</f>
        <v>Jacobs</v>
      </c>
      <c r="L1253" s="1"/>
      <c r="M1253" s="1" t="s">
        <v>29</v>
      </c>
      <c r="N1253" s="1" t="s">
        <v>30</v>
      </c>
      <c r="O1253" s="1" t="s">
        <v>233</v>
      </c>
      <c r="P1253" s="1" t="str">
        <f t="shared" si="1042"/>
        <v>New York City</v>
      </c>
      <c r="Q1253" s="1" t="s">
        <v>234</v>
      </c>
      <c r="R1253" s="1" t="str">
        <f t="shared" si="1043"/>
        <v>New York</v>
      </c>
      <c r="S1253" s="1">
        <v>10009</v>
      </c>
      <c r="T1253" s="1" t="s">
        <v>128</v>
      </c>
      <c r="U1253" s="1" t="s">
        <v>2891</v>
      </c>
      <c r="V1253" s="1" t="s">
        <v>46</v>
      </c>
      <c r="W1253" s="7">
        <v>3.2</v>
      </c>
      <c r="X1253" s="1">
        <v>1</v>
      </c>
      <c r="Y1253" s="7">
        <v>2.62</v>
      </c>
      <c r="Z1253" s="7">
        <f t="shared" ref="Z1253:AA1253" si="1276">W1253*X1253</f>
        <v>3.2</v>
      </c>
      <c r="AA1253" s="7">
        <f t="shared" si="1276"/>
        <v>2.62</v>
      </c>
      <c r="AB1253" s="7">
        <f t="shared" si="1045"/>
        <v>0.58000000000000007</v>
      </c>
    </row>
    <row r="1254" spans="1:28">
      <c r="A1254" s="1">
        <v>1253</v>
      </c>
      <c r="B1254" s="1" t="s">
        <v>2892</v>
      </c>
      <c r="C1254" s="2">
        <v>42467</v>
      </c>
      <c r="D1254" s="6" t="str">
        <f t="shared" si="1040"/>
        <v>Apr</v>
      </c>
      <c r="E1254" s="6" t="str">
        <f t="shared" si="1041"/>
        <v>Qtr 2</v>
      </c>
      <c r="F1254" s="5">
        <v>42620</v>
      </c>
      <c r="G1254" s="1" t="s">
        <v>49</v>
      </c>
      <c r="H1254" s="1" t="s">
        <v>78</v>
      </c>
      <c r="I1254" s="1" t="s">
        <v>79</v>
      </c>
      <c r="J1254" s="1" t="str">
        <f ca="1">IFERROR(__xludf.DUMMYFUNCTION("split(I1254,"" "")"),"Irene")</f>
        <v>Irene</v>
      </c>
      <c r="K1254" s="1" t="str">
        <f ca="1">IFERROR(__xludf.DUMMYFUNCTION("""COMPUTED_VALUE"""),"Maddox")</f>
        <v>Maddox</v>
      </c>
      <c r="L1254" s="1"/>
      <c r="M1254" s="1" t="s">
        <v>29</v>
      </c>
      <c r="N1254" s="1" t="s">
        <v>30</v>
      </c>
      <c r="O1254" s="1" t="s">
        <v>2093</v>
      </c>
      <c r="P1254" s="1" t="str">
        <f t="shared" si="1042"/>
        <v>Milwaukee</v>
      </c>
      <c r="Q1254" s="1" t="s">
        <v>98</v>
      </c>
      <c r="R1254" s="1" t="str">
        <f t="shared" si="1043"/>
        <v>Wisconsin</v>
      </c>
      <c r="S1254" s="1">
        <v>53209</v>
      </c>
      <c r="T1254" s="1" t="s">
        <v>90</v>
      </c>
      <c r="U1254" s="1" t="s">
        <v>2893</v>
      </c>
      <c r="V1254" s="1" t="s">
        <v>64</v>
      </c>
      <c r="W1254" s="7">
        <v>1099.96</v>
      </c>
      <c r="X1254" s="1">
        <v>5</v>
      </c>
      <c r="Y1254" s="7">
        <v>1099.1300000000001</v>
      </c>
      <c r="Z1254" s="7">
        <f t="shared" ref="Z1254:AA1254" si="1277">W1254*X1254</f>
        <v>5499.8</v>
      </c>
      <c r="AA1254" s="7">
        <f t="shared" si="1277"/>
        <v>5495.6500000000005</v>
      </c>
      <c r="AB1254" s="7">
        <f t="shared" si="1045"/>
        <v>4.1499999999996362</v>
      </c>
    </row>
    <row r="1255" spans="1:28">
      <c r="A1255" s="1">
        <v>1254</v>
      </c>
      <c r="B1255" s="1" t="s">
        <v>2894</v>
      </c>
      <c r="C1255" s="2">
        <v>43376</v>
      </c>
      <c r="D1255" s="6" t="str">
        <f t="shared" si="1040"/>
        <v>Oct</v>
      </c>
      <c r="E1255" s="6" t="str">
        <f t="shared" si="1041"/>
        <v>Qtr 4</v>
      </c>
      <c r="F1255" s="5" t="s">
        <v>2895</v>
      </c>
      <c r="G1255" s="1" t="s">
        <v>49</v>
      </c>
      <c r="H1255" s="1" t="s">
        <v>2896</v>
      </c>
      <c r="I1255" s="1" t="s">
        <v>2897</v>
      </c>
      <c r="J1255" s="1" t="str">
        <f ca="1">IFERROR(__xludf.DUMMYFUNCTION("split(I1255,"" "")"),"Mick")</f>
        <v>Mick</v>
      </c>
      <c r="K1255" s="1" t="str">
        <f ca="1">IFERROR(__xludf.DUMMYFUNCTION("""COMPUTED_VALUE"""),"Hernandez")</f>
        <v>Hernandez</v>
      </c>
      <c r="L1255" s="1"/>
      <c r="M1255" s="1" t="s">
        <v>87</v>
      </c>
      <c r="N1255" s="1" t="s">
        <v>30</v>
      </c>
      <c r="O1255" s="1" t="s">
        <v>1840</v>
      </c>
      <c r="P1255" s="1" t="str">
        <f t="shared" si="1042"/>
        <v>Chester</v>
      </c>
      <c r="Q1255" s="1" t="s">
        <v>127</v>
      </c>
      <c r="R1255" s="1" t="str">
        <f t="shared" si="1043"/>
        <v>Pennsylvania</v>
      </c>
      <c r="S1255" s="1">
        <v>19013</v>
      </c>
      <c r="T1255" s="1" t="s">
        <v>128</v>
      </c>
      <c r="U1255" s="1" t="s">
        <v>2188</v>
      </c>
      <c r="V1255" s="1" t="s">
        <v>46</v>
      </c>
      <c r="W1255" s="7">
        <v>5.2480000000000002</v>
      </c>
      <c r="X1255" s="1">
        <v>1</v>
      </c>
      <c r="Y1255" s="7">
        <v>4.5199999999999996</v>
      </c>
      <c r="Z1255" s="7">
        <f t="shared" ref="Z1255:AA1255" si="1278">W1255*X1255</f>
        <v>5.2480000000000002</v>
      </c>
      <c r="AA1255" s="7">
        <f t="shared" si="1278"/>
        <v>4.5199999999999996</v>
      </c>
      <c r="AB1255" s="7">
        <f t="shared" si="1045"/>
        <v>0.72800000000000065</v>
      </c>
    </row>
    <row r="1256" spans="1:28">
      <c r="A1256" s="1">
        <v>1255</v>
      </c>
      <c r="B1256" s="1" t="s">
        <v>2894</v>
      </c>
      <c r="C1256" s="2">
        <v>43376</v>
      </c>
      <c r="D1256" s="6" t="str">
        <f t="shared" si="1040"/>
        <v>Oct</v>
      </c>
      <c r="E1256" s="6" t="str">
        <f t="shared" si="1041"/>
        <v>Qtr 4</v>
      </c>
      <c r="F1256" s="5" t="s">
        <v>2895</v>
      </c>
      <c r="G1256" s="1" t="s">
        <v>49</v>
      </c>
      <c r="H1256" s="1" t="s">
        <v>2896</v>
      </c>
      <c r="I1256" s="1" t="s">
        <v>2897</v>
      </c>
      <c r="J1256" s="1" t="str">
        <f ca="1">IFERROR(__xludf.DUMMYFUNCTION("split(I1256,"" "")"),"Mick")</f>
        <v>Mick</v>
      </c>
      <c r="K1256" s="1" t="str">
        <f ca="1">IFERROR(__xludf.DUMMYFUNCTION("""COMPUTED_VALUE"""),"Hernandez")</f>
        <v>Hernandez</v>
      </c>
      <c r="L1256" s="1"/>
      <c r="M1256" s="1" t="s">
        <v>87</v>
      </c>
      <c r="N1256" s="1" t="s">
        <v>30</v>
      </c>
      <c r="O1256" s="1" t="s">
        <v>1840</v>
      </c>
      <c r="P1256" s="1" t="str">
        <f t="shared" si="1042"/>
        <v>Chester</v>
      </c>
      <c r="Q1256" s="1" t="s">
        <v>127</v>
      </c>
      <c r="R1256" s="1" t="str">
        <f t="shared" si="1043"/>
        <v>Pennsylvania</v>
      </c>
      <c r="S1256" s="1">
        <v>19013</v>
      </c>
      <c r="T1256" s="1" t="s">
        <v>128</v>
      </c>
      <c r="U1256" s="1" t="s">
        <v>1333</v>
      </c>
      <c r="V1256" s="1" t="s">
        <v>64</v>
      </c>
      <c r="W1256" s="7">
        <v>35.909999999999997</v>
      </c>
      <c r="X1256" s="1">
        <v>1</v>
      </c>
      <c r="Y1256" s="7">
        <v>35.479999999999997</v>
      </c>
      <c r="Z1256" s="7">
        <f t="shared" ref="Z1256:AA1256" si="1279">W1256*X1256</f>
        <v>35.909999999999997</v>
      </c>
      <c r="AA1256" s="7">
        <f t="shared" si="1279"/>
        <v>35.479999999999997</v>
      </c>
      <c r="AB1256" s="7">
        <f t="shared" si="1045"/>
        <v>0.42999999999999972</v>
      </c>
    </row>
    <row r="1257" spans="1:28">
      <c r="A1257" s="1">
        <v>1256</v>
      </c>
      <c r="B1257" s="1" t="s">
        <v>2894</v>
      </c>
      <c r="C1257" s="2">
        <v>43376</v>
      </c>
      <c r="D1257" s="6" t="str">
        <f t="shared" si="1040"/>
        <v>Oct</v>
      </c>
      <c r="E1257" s="6" t="str">
        <f t="shared" si="1041"/>
        <v>Qtr 4</v>
      </c>
      <c r="F1257" s="5" t="s">
        <v>2895</v>
      </c>
      <c r="G1257" s="1" t="s">
        <v>49</v>
      </c>
      <c r="H1257" s="1" t="s">
        <v>2896</v>
      </c>
      <c r="I1257" s="1" t="s">
        <v>2897</v>
      </c>
      <c r="J1257" s="1" t="str">
        <f ca="1">IFERROR(__xludf.DUMMYFUNCTION("split(I1257,"" "")"),"Mick")</f>
        <v>Mick</v>
      </c>
      <c r="K1257" s="1" t="str">
        <f ca="1">IFERROR(__xludf.DUMMYFUNCTION("""COMPUTED_VALUE"""),"Hernandez")</f>
        <v>Hernandez</v>
      </c>
      <c r="L1257" s="1"/>
      <c r="M1257" s="1" t="s">
        <v>87</v>
      </c>
      <c r="N1257" s="1" t="s">
        <v>30</v>
      </c>
      <c r="O1257" s="1" t="s">
        <v>1840</v>
      </c>
      <c r="P1257" s="1" t="str">
        <f t="shared" si="1042"/>
        <v>Chester</v>
      </c>
      <c r="Q1257" s="1" t="s">
        <v>127</v>
      </c>
      <c r="R1257" s="1" t="str">
        <f t="shared" si="1043"/>
        <v>Pennsylvania</v>
      </c>
      <c r="S1257" s="1">
        <v>19013</v>
      </c>
      <c r="T1257" s="1" t="s">
        <v>128</v>
      </c>
      <c r="U1257" s="1" t="s">
        <v>2898</v>
      </c>
      <c r="V1257" s="1" t="s">
        <v>35</v>
      </c>
      <c r="W1257" s="7">
        <v>6.6959999999999997</v>
      </c>
      <c r="X1257" s="1">
        <v>1</v>
      </c>
      <c r="Y1257" s="7">
        <v>5.86</v>
      </c>
      <c r="Z1257" s="7">
        <f t="shared" ref="Z1257:AA1257" si="1280">W1257*X1257</f>
        <v>6.6959999999999997</v>
      </c>
      <c r="AA1257" s="7">
        <f t="shared" si="1280"/>
        <v>5.86</v>
      </c>
      <c r="AB1257" s="7">
        <f t="shared" si="1045"/>
        <v>0.83599999999999941</v>
      </c>
    </row>
    <row r="1258" spans="1:28">
      <c r="A1258" s="1">
        <v>1257</v>
      </c>
      <c r="B1258" s="1" t="s">
        <v>2894</v>
      </c>
      <c r="C1258" s="2">
        <v>43376</v>
      </c>
      <c r="D1258" s="6" t="str">
        <f t="shared" si="1040"/>
        <v>Oct</v>
      </c>
      <c r="E1258" s="6" t="str">
        <f t="shared" si="1041"/>
        <v>Qtr 4</v>
      </c>
      <c r="F1258" s="5" t="s">
        <v>2895</v>
      </c>
      <c r="G1258" s="1" t="s">
        <v>49</v>
      </c>
      <c r="H1258" s="1" t="s">
        <v>2896</v>
      </c>
      <c r="I1258" s="1" t="s">
        <v>2897</v>
      </c>
      <c r="J1258" s="1" t="str">
        <f ca="1">IFERROR(__xludf.DUMMYFUNCTION("split(I1258,"" "")"),"Mick")</f>
        <v>Mick</v>
      </c>
      <c r="K1258" s="1" t="str">
        <f ca="1">IFERROR(__xludf.DUMMYFUNCTION("""COMPUTED_VALUE"""),"Hernandez")</f>
        <v>Hernandez</v>
      </c>
      <c r="L1258" s="1"/>
      <c r="M1258" s="1" t="s">
        <v>87</v>
      </c>
      <c r="N1258" s="1" t="s">
        <v>30</v>
      </c>
      <c r="O1258" s="1" t="s">
        <v>1840</v>
      </c>
      <c r="P1258" s="1" t="str">
        <f t="shared" si="1042"/>
        <v>Chester</v>
      </c>
      <c r="Q1258" s="1" t="s">
        <v>127</v>
      </c>
      <c r="R1258" s="1" t="str">
        <f t="shared" si="1043"/>
        <v>Pennsylvania</v>
      </c>
      <c r="S1258" s="1">
        <v>19013</v>
      </c>
      <c r="T1258" s="1" t="s">
        <v>128</v>
      </c>
      <c r="U1258" s="1" t="s">
        <v>2899</v>
      </c>
      <c r="V1258" s="1" t="s">
        <v>35</v>
      </c>
      <c r="W1258" s="7">
        <v>43.872</v>
      </c>
      <c r="X1258" s="1">
        <v>1</v>
      </c>
      <c r="Y1258" s="7">
        <v>43.2</v>
      </c>
      <c r="Z1258" s="7">
        <f t="shared" ref="Z1258:AA1258" si="1281">W1258*X1258</f>
        <v>43.872</v>
      </c>
      <c r="AA1258" s="7">
        <f t="shared" si="1281"/>
        <v>43.2</v>
      </c>
      <c r="AB1258" s="7">
        <f t="shared" si="1045"/>
        <v>0.67199999999999704</v>
      </c>
    </row>
    <row r="1259" spans="1:28">
      <c r="A1259" s="1">
        <v>1258</v>
      </c>
      <c r="B1259" s="1" t="s">
        <v>2900</v>
      </c>
      <c r="C1259" s="2">
        <v>43093</v>
      </c>
      <c r="D1259" s="6" t="str">
        <f t="shared" si="1040"/>
        <v>Dec</v>
      </c>
      <c r="E1259" s="6" t="str">
        <f t="shared" si="1041"/>
        <v>Qtr 4</v>
      </c>
      <c r="F1259" s="5" t="s">
        <v>2901</v>
      </c>
      <c r="G1259" s="1" t="s">
        <v>26</v>
      </c>
      <c r="H1259" s="1" t="s">
        <v>1230</v>
      </c>
      <c r="I1259" s="1" t="s">
        <v>1231</v>
      </c>
      <c r="J1259" s="1" t="str">
        <f ca="1">IFERROR(__xludf.DUMMYFUNCTION("split(I1259,"" "")"),"Ross")</f>
        <v>Ross</v>
      </c>
      <c r="K1259" s="1" t="str">
        <f ca="1">IFERROR(__xludf.DUMMYFUNCTION("""COMPUTED_VALUE"""),"Baird")</f>
        <v>Baird</v>
      </c>
      <c r="L1259" s="1"/>
      <c r="M1259" s="1" t="s">
        <v>87</v>
      </c>
      <c r="N1259" s="1" t="s">
        <v>30</v>
      </c>
      <c r="O1259" s="1" t="s">
        <v>394</v>
      </c>
      <c r="P1259" s="1" t="str">
        <f t="shared" si="1042"/>
        <v>Charlotte</v>
      </c>
      <c r="Q1259" s="1" t="s">
        <v>75</v>
      </c>
      <c r="R1259" s="1" t="str">
        <f t="shared" si="1043"/>
        <v>North Carolina</v>
      </c>
      <c r="S1259" s="1">
        <v>28205</v>
      </c>
      <c r="T1259" s="1" t="s">
        <v>33</v>
      </c>
      <c r="U1259" s="1" t="s">
        <v>1844</v>
      </c>
      <c r="V1259" s="1" t="s">
        <v>46</v>
      </c>
      <c r="W1259" s="7">
        <v>27.882000000000001</v>
      </c>
      <c r="X1259" s="1">
        <v>2</v>
      </c>
      <c r="Y1259" s="7">
        <v>27.08</v>
      </c>
      <c r="Z1259" s="7">
        <f t="shared" ref="Z1259:AA1259" si="1282">W1259*X1259</f>
        <v>55.764000000000003</v>
      </c>
      <c r="AA1259" s="7">
        <f t="shared" si="1282"/>
        <v>54.16</v>
      </c>
      <c r="AB1259" s="7">
        <f t="shared" si="1045"/>
        <v>1.6040000000000063</v>
      </c>
    </row>
    <row r="1260" spans="1:28">
      <c r="A1260" s="1">
        <v>1259</v>
      </c>
      <c r="B1260" s="1" t="s">
        <v>2900</v>
      </c>
      <c r="C1260" s="2">
        <v>43093</v>
      </c>
      <c r="D1260" s="6" t="str">
        <f t="shared" si="1040"/>
        <v>Dec</v>
      </c>
      <c r="E1260" s="6" t="str">
        <f t="shared" si="1041"/>
        <v>Qtr 4</v>
      </c>
      <c r="F1260" s="5" t="s">
        <v>2901</v>
      </c>
      <c r="G1260" s="1" t="s">
        <v>26</v>
      </c>
      <c r="H1260" s="1" t="s">
        <v>1230</v>
      </c>
      <c r="I1260" s="1" t="s">
        <v>1231</v>
      </c>
      <c r="J1260" s="1" t="str">
        <f ca="1">IFERROR(__xludf.DUMMYFUNCTION("split(I1260,"" "")"),"Ross")</f>
        <v>Ross</v>
      </c>
      <c r="K1260" s="1" t="str">
        <f ca="1">IFERROR(__xludf.DUMMYFUNCTION("""COMPUTED_VALUE"""),"Baird")</f>
        <v>Baird</v>
      </c>
      <c r="L1260" s="1"/>
      <c r="M1260" s="1" t="s">
        <v>87</v>
      </c>
      <c r="N1260" s="1" t="s">
        <v>30</v>
      </c>
      <c r="O1260" s="1" t="s">
        <v>394</v>
      </c>
      <c r="P1260" s="1" t="str">
        <f t="shared" si="1042"/>
        <v>Charlotte</v>
      </c>
      <c r="Q1260" s="1" t="s">
        <v>75</v>
      </c>
      <c r="R1260" s="1" t="str">
        <f t="shared" si="1043"/>
        <v>North Carolina</v>
      </c>
      <c r="S1260" s="1">
        <v>28205</v>
      </c>
      <c r="T1260" s="1" t="s">
        <v>33</v>
      </c>
      <c r="U1260" s="1" t="s">
        <v>2902</v>
      </c>
      <c r="V1260" s="1" t="s">
        <v>46</v>
      </c>
      <c r="W1260" s="7">
        <v>540.048</v>
      </c>
      <c r="X1260" s="1">
        <v>2</v>
      </c>
      <c r="Y1260" s="7">
        <v>539.46</v>
      </c>
      <c r="Z1260" s="7">
        <f t="shared" ref="Z1260:AA1260" si="1283">W1260*X1260</f>
        <v>1080.096</v>
      </c>
      <c r="AA1260" s="7">
        <f t="shared" si="1283"/>
        <v>1078.92</v>
      </c>
      <c r="AB1260" s="7">
        <f t="shared" si="1045"/>
        <v>1.1759999999999309</v>
      </c>
    </row>
    <row r="1261" spans="1:28">
      <c r="A1261" s="1">
        <v>1260</v>
      </c>
      <c r="B1261" s="1" t="s">
        <v>2900</v>
      </c>
      <c r="C1261" s="2">
        <v>43093</v>
      </c>
      <c r="D1261" s="6" t="str">
        <f t="shared" si="1040"/>
        <v>Dec</v>
      </c>
      <c r="E1261" s="6" t="str">
        <f t="shared" si="1041"/>
        <v>Qtr 4</v>
      </c>
      <c r="F1261" s="5" t="s">
        <v>2901</v>
      </c>
      <c r="G1261" s="1" t="s">
        <v>26</v>
      </c>
      <c r="H1261" s="1" t="s">
        <v>1230</v>
      </c>
      <c r="I1261" s="1" t="s">
        <v>1231</v>
      </c>
      <c r="J1261" s="1" t="str">
        <f ca="1">IFERROR(__xludf.DUMMYFUNCTION("split(I1261,"" "")"),"Ross")</f>
        <v>Ross</v>
      </c>
      <c r="K1261" s="1" t="str">
        <f ca="1">IFERROR(__xludf.DUMMYFUNCTION("""COMPUTED_VALUE"""),"Baird")</f>
        <v>Baird</v>
      </c>
      <c r="L1261" s="1"/>
      <c r="M1261" s="1" t="s">
        <v>87</v>
      </c>
      <c r="N1261" s="1" t="s">
        <v>30</v>
      </c>
      <c r="O1261" s="1" t="s">
        <v>394</v>
      </c>
      <c r="P1261" s="1" t="str">
        <f t="shared" si="1042"/>
        <v>Charlotte</v>
      </c>
      <c r="Q1261" s="1" t="s">
        <v>75</v>
      </c>
      <c r="R1261" s="1" t="str">
        <f t="shared" si="1043"/>
        <v>North Carolina</v>
      </c>
      <c r="S1261" s="1">
        <v>28205</v>
      </c>
      <c r="T1261" s="1" t="s">
        <v>33</v>
      </c>
      <c r="U1261" s="1" t="s">
        <v>815</v>
      </c>
      <c r="V1261" s="1" t="s">
        <v>64</v>
      </c>
      <c r="W1261" s="7">
        <v>255.68</v>
      </c>
      <c r="X1261" s="1">
        <v>2</v>
      </c>
      <c r="Y1261" s="7">
        <v>255.03</v>
      </c>
      <c r="Z1261" s="7">
        <f t="shared" ref="Z1261:AA1261" si="1284">W1261*X1261</f>
        <v>511.36</v>
      </c>
      <c r="AA1261" s="7">
        <f t="shared" si="1284"/>
        <v>510.06</v>
      </c>
      <c r="AB1261" s="7">
        <f t="shared" si="1045"/>
        <v>1.3000000000000114</v>
      </c>
    </row>
    <row r="1262" spans="1:28">
      <c r="A1262" s="1">
        <v>1261</v>
      </c>
      <c r="B1262" s="1" t="s">
        <v>2903</v>
      </c>
      <c r="C1262" s="2">
        <v>43396</v>
      </c>
      <c r="D1262" s="6" t="str">
        <f t="shared" si="1040"/>
        <v>Oct</v>
      </c>
      <c r="E1262" s="6" t="str">
        <f t="shared" si="1041"/>
        <v>Qtr 4</v>
      </c>
      <c r="F1262" s="5" t="s">
        <v>2904</v>
      </c>
      <c r="G1262" s="1" t="s">
        <v>49</v>
      </c>
      <c r="H1262" s="1" t="s">
        <v>2905</v>
      </c>
      <c r="I1262" s="1" t="s">
        <v>2906</v>
      </c>
      <c r="J1262" s="1" t="str">
        <f ca="1">IFERROR(__xludf.DUMMYFUNCTION("split(I1262,"" "")"),"Jocasta")</f>
        <v>Jocasta</v>
      </c>
      <c r="K1262" s="1" t="str">
        <f ca="1">IFERROR(__xludf.DUMMYFUNCTION("""COMPUTED_VALUE"""),"Rupert")</f>
        <v>Rupert</v>
      </c>
      <c r="L1262" s="1"/>
      <c r="M1262" s="1" t="s">
        <v>29</v>
      </c>
      <c r="N1262" s="1" t="s">
        <v>30</v>
      </c>
      <c r="O1262" s="1" t="s">
        <v>1241</v>
      </c>
      <c r="P1262" s="1" t="str">
        <f t="shared" si="1042"/>
        <v>Jacksonville</v>
      </c>
      <c r="Q1262" s="1" t="s">
        <v>194</v>
      </c>
      <c r="R1262" s="1" t="str">
        <f t="shared" si="1043"/>
        <v>Florida</v>
      </c>
      <c r="S1262" s="1">
        <v>32216</v>
      </c>
      <c r="T1262" s="1" t="s">
        <v>33</v>
      </c>
      <c r="U1262" s="1" t="s">
        <v>2907</v>
      </c>
      <c r="V1262" s="1" t="s">
        <v>64</v>
      </c>
      <c r="W1262" s="7">
        <v>863.88</v>
      </c>
      <c r="X1262" s="1">
        <v>3</v>
      </c>
      <c r="Y1262" s="7">
        <v>863.17</v>
      </c>
      <c r="Z1262" s="7">
        <f t="shared" ref="Z1262:AA1262" si="1285">W1262*X1262</f>
        <v>2591.64</v>
      </c>
      <c r="AA1262" s="7">
        <f t="shared" si="1285"/>
        <v>2589.5099999999998</v>
      </c>
      <c r="AB1262" s="7">
        <f t="shared" si="1045"/>
        <v>2.1300000000001091</v>
      </c>
    </row>
    <row r="1263" spans="1:28">
      <c r="A1263" s="1">
        <v>1262</v>
      </c>
      <c r="B1263" s="1" t="s">
        <v>2908</v>
      </c>
      <c r="C1263" s="2">
        <v>43036</v>
      </c>
      <c r="D1263" s="6" t="str">
        <f t="shared" si="1040"/>
        <v>Oct</v>
      </c>
      <c r="E1263" s="6" t="str">
        <f t="shared" si="1041"/>
        <v>Qtr 4</v>
      </c>
      <c r="F1263" s="5">
        <v>42836</v>
      </c>
      <c r="G1263" s="1" t="s">
        <v>49</v>
      </c>
      <c r="H1263" s="1" t="s">
        <v>2909</v>
      </c>
      <c r="I1263" s="1" t="s">
        <v>2910</v>
      </c>
      <c r="J1263" s="1" t="str">
        <f ca="1">IFERROR(__xludf.DUMMYFUNCTION("split(I1263,"" "")"),"Suzanne")</f>
        <v>Suzanne</v>
      </c>
      <c r="K1263" s="1" t="str">
        <f ca="1">IFERROR(__xludf.DUMMYFUNCTION("""COMPUTED_VALUE"""),"McNair")</f>
        <v>McNair</v>
      </c>
      <c r="L1263" s="1"/>
      <c r="M1263" s="1" t="s">
        <v>41</v>
      </c>
      <c r="N1263" s="1" t="s">
        <v>30</v>
      </c>
      <c r="O1263" s="1" t="s">
        <v>2911</v>
      </c>
      <c r="P1263" s="1" t="str">
        <f t="shared" si="1042"/>
        <v>Greenville</v>
      </c>
      <c r="Q1263" s="1" t="s">
        <v>75</v>
      </c>
      <c r="R1263" s="1" t="str">
        <f t="shared" si="1043"/>
        <v>North Carolina</v>
      </c>
      <c r="S1263" s="1">
        <v>27834</v>
      </c>
      <c r="T1263" s="1" t="s">
        <v>33</v>
      </c>
      <c r="U1263" s="1" t="s">
        <v>2912</v>
      </c>
      <c r="V1263" s="1" t="s">
        <v>46</v>
      </c>
      <c r="W1263" s="7">
        <v>17.616</v>
      </c>
      <c r="X1263" s="1">
        <v>2</v>
      </c>
      <c r="Y1263" s="7">
        <v>16.71</v>
      </c>
      <c r="Z1263" s="7">
        <f t="shared" ref="Z1263:AA1263" si="1286">W1263*X1263</f>
        <v>35.231999999999999</v>
      </c>
      <c r="AA1263" s="7">
        <f t="shared" si="1286"/>
        <v>33.42</v>
      </c>
      <c r="AB1263" s="7">
        <f t="shared" si="1045"/>
        <v>1.8119999999999976</v>
      </c>
    </row>
    <row r="1264" spans="1:28">
      <c r="A1264" s="1">
        <v>1263</v>
      </c>
      <c r="B1264" s="1" t="s">
        <v>2913</v>
      </c>
      <c r="C1264" s="2">
        <v>43288</v>
      </c>
      <c r="D1264" s="6" t="str">
        <f t="shared" si="1040"/>
        <v>Jul</v>
      </c>
      <c r="E1264" s="6" t="str">
        <f t="shared" si="1041"/>
        <v>Qtr 3</v>
      </c>
      <c r="F1264" s="5">
        <v>43350</v>
      </c>
      <c r="G1264" s="1" t="s">
        <v>26</v>
      </c>
      <c r="H1264" s="1" t="s">
        <v>2696</v>
      </c>
      <c r="I1264" s="1" t="s">
        <v>2697</v>
      </c>
      <c r="J1264" s="1" t="str">
        <f ca="1">IFERROR(__xludf.DUMMYFUNCTION("split(I1264,"" "")"),"Christine")</f>
        <v>Christine</v>
      </c>
      <c r="K1264" s="1" t="str">
        <f ca="1">IFERROR(__xludf.DUMMYFUNCTION("""COMPUTED_VALUE"""),"Sundaresam")</f>
        <v>Sundaresam</v>
      </c>
      <c r="L1264" s="1"/>
      <c r="M1264" s="1" t="s">
        <v>29</v>
      </c>
      <c r="N1264" s="1" t="s">
        <v>30</v>
      </c>
      <c r="O1264" s="1" t="s">
        <v>955</v>
      </c>
      <c r="P1264" s="1" t="str">
        <f t="shared" si="1042"/>
        <v>Long Beach</v>
      </c>
      <c r="Q1264" s="1" t="s">
        <v>234</v>
      </c>
      <c r="R1264" s="1" t="str">
        <f t="shared" si="1043"/>
        <v>New York</v>
      </c>
      <c r="S1264" s="1">
        <v>11561</v>
      </c>
      <c r="T1264" s="1" t="s">
        <v>128</v>
      </c>
      <c r="U1264" s="1" t="s">
        <v>139</v>
      </c>
      <c r="V1264" s="1" t="s">
        <v>46</v>
      </c>
      <c r="W1264" s="7">
        <v>17.472000000000001</v>
      </c>
      <c r="X1264" s="1">
        <v>1</v>
      </c>
      <c r="Y1264" s="7">
        <v>17.28</v>
      </c>
      <c r="Z1264" s="7">
        <f t="shared" ref="Z1264:AA1264" si="1287">W1264*X1264</f>
        <v>17.472000000000001</v>
      </c>
      <c r="AA1264" s="7">
        <f t="shared" si="1287"/>
        <v>17.28</v>
      </c>
      <c r="AB1264" s="7">
        <f t="shared" si="1045"/>
        <v>0.19200000000000017</v>
      </c>
    </row>
    <row r="1265" spans="1:28">
      <c r="A1265" s="1">
        <v>1264</v>
      </c>
      <c r="B1265" s="1" t="s">
        <v>2914</v>
      </c>
      <c r="C1265" s="2">
        <v>42745</v>
      </c>
      <c r="D1265" s="6" t="str">
        <f t="shared" si="1040"/>
        <v>Jan</v>
      </c>
      <c r="E1265" s="6" t="str">
        <f t="shared" si="1041"/>
        <v>Qtr 1</v>
      </c>
      <c r="F1265" s="5">
        <v>42776</v>
      </c>
      <c r="G1265" s="1" t="s">
        <v>162</v>
      </c>
      <c r="H1265" s="1" t="s">
        <v>2915</v>
      </c>
      <c r="I1265" s="1" t="s">
        <v>2916</v>
      </c>
      <c r="J1265" s="1" t="str">
        <f ca="1">IFERROR(__xludf.DUMMYFUNCTION("split(I1265,"" "")"),"Chris")</f>
        <v>Chris</v>
      </c>
      <c r="K1265" s="1" t="str">
        <f ca="1">IFERROR(__xludf.DUMMYFUNCTION("""COMPUTED_VALUE"""),"Cortes")</f>
        <v>Cortes</v>
      </c>
      <c r="L1265" s="1"/>
      <c r="M1265" s="1" t="s">
        <v>29</v>
      </c>
      <c r="N1265" s="1" t="s">
        <v>30</v>
      </c>
      <c r="O1265" s="1" t="s">
        <v>2722</v>
      </c>
      <c r="P1265" s="1" t="str">
        <f t="shared" si="1042"/>
        <v>La Porte</v>
      </c>
      <c r="Q1265" s="1" t="s">
        <v>224</v>
      </c>
      <c r="R1265" s="1" t="str">
        <f t="shared" si="1043"/>
        <v>Indiana</v>
      </c>
      <c r="S1265" s="1">
        <v>46350</v>
      </c>
      <c r="T1265" s="1" t="s">
        <v>90</v>
      </c>
      <c r="U1265" s="1" t="s">
        <v>511</v>
      </c>
      <c r="V1265" s="1" t="s">
        <v>64</v>
      </c>
      <c r="W1265" s="7">
        <v>69.900000000000006</v>
      </c>
      <c r="X1265" s="1">
        <v>4</v>
      </c>
      <c r="Y1265" s="7">
        <v>69.37</v>
      </c>
      <c r="Z1265" s="7">
        <f t="shared" ref="Z1265:AA1265" si="1288">W1265*X1265</f>
        <v>279.60000000000002</v>
      </c>
      <c r="AA1265" s="7">
        <f t="shared" si="1288"/>
        <v>277.48</v>
      </c>
      <c r="AB1265" s="7">
        <f t="shared" si="1045"/>
        <v>2.1200000000000045</v>
      </c>
    </row>
    <row r="1266" spans="1:28">
      <c r="A1266" s="1">
        <v>1265</v>
      </c>
      <c r="B1266" s="1" t="s">
        <v>2914</v>
      </c>
      <c r="C1266" s="2">
        <v>42745</v>
      </c>
      <c r="D1266" s="6" t="str">
        <f t="shared" si="1040"/>
        <v>Jan</v>
      </c>
      <c r="E1266" s="6" t="str">
        <f t="shared" si="1041"/>
        <v>Qtr 1</v>
      </c>
      <c r="F1266" s="5">
        <v>42776</v>
      </c>
      <c r="G1266" s="1" t="s">
        <v>162</v>
      </c>
      <c r="H1266" s="1" t="s">
        <v>2915</v>
      </c>
      <c r="I1266" s="1" t="s">
        <v>2916</v>
      </c>
      <c r="J1266" s="1" t="str">
        <f ca="1">IFERROR(__xludf.DUMMYFUNCTION("split(I1266,"" "")"),"Chris")</f>
        <v>Chris</v>
      </c>
      <c r="K1266" s="1" t="str">
        <f ca="1">IFERROR(__xludf.DUMMYFUNCTION("""COMPUTED_VALUE"""),"Cortes")</f>
        <v>Cortes</v>
      </c>
      <c r="L1266" s="1"/>
      <c r="M1266" s="1" t="s">
        <v>29</v>
      </c>
      <c r="N1266" s="1" t="s">
        <v>30</v>
      </c>
      <c r="O1266" s="1" t="s">
        <v>2722</v>
      </c>
      <c r="P1266" s="1" t="str">
        <f t="shared" si="1042"/>
        <v>La Porte</v>
      </c>
      <c r="Q1266" s="1" t="s">
        <v>224</v>
      </c>
      <c r="R1266" s="1" t="str">
        <f t="shared" si="1043"/>
        <v>Indiana</v>
      </c>
      <c r="S1266" s="1">
        <v>46350</v>
      </c>
      <c r="T1266" s="1" t="s">
        <v>90</v>
      </c>
      <c r="U1266" s="1" t="s">
        <v>2898</v>
      </c>
      <c r="V1266" s="1" t="s">
        <v>35</v>
      </c>
      <c r="W1266" s="7">
        <v>41.85</v>
      </c>
      <c r="X1266" s="1">
        <v>4</v>
      </c>
      <c r="Y1266" s="7">
        <v>41.21</v>
      </c>
      <c r="Z1266" s="7">
        <f t="shared" ref="Z1266:AA1266" si="1289">W1266*X1266</f>
        <v>167.4</v>
      </c>
      <c r="AA1266" s="7">
        <f t="shared" si="1289"/>
        <v>164.84</v>
      </c>
      <c r="AB1266" s="7">
        <f t="shared" si="1045"/>
        <v>2.5600000000000023</v>
      </c>
    </row>
    <row r="1267" spans="1:28">
      <c r="A1267" s="1">
        <v>1266</v>
      </c>
      <c r="B1267" s="1" t="s">
        <v>2917</v>
      </c>
      <c r="C1267" s="2">
        <v>43140</v>
      </c>
      <c r="D1267" s="6" t="str">
        <f t="shared" si="1040"/>
        <v>Feb</v>
      </c>
      <c r="E1267" s="6" t="str">
        <f t="shared" si="1041"/>
        <v>Qtr 1</v>
      </c>
      <c r="F1267" s="5">
        <v>43290</v>
      </c>
      <c r="G1267" s="1" t="s">
        <v>49</v>
      </c>
      <c r="H1267" s="1" t="s">
        <v>2918</v>
      </c>
      <c r="I1267" s="1" t="s">
        <v>2919</v>
      </c>
      <c r="J1267" s="1" t="str">
        <f ca="1">IFERROR(__xludf.DUMMYFUNCTION("split(I1267,"" "")"),"Phillip")</f>
        <v>Phillip</v>
      </c>
      <c r="K1267" s="1" t="str">
        <f ca="1">IFERROR(__xludf.DUMMYFUNCTION("""COMPUTED_VALUE"""),"Flathmann")</f>
        <v>Flathmann</v>
      </c>
      <c r="L1267" s="1"/>
      <c r="M1267" s="1" t="s">
        <v>29</v>
      </c>
      <c r="N1267" s="1" t="s">
        <v>30</v>
      </c>
      <c r="O1267" s="1" t="s">
        <v>110</v>
      </c>
      <c r="P1267" s="1" t="str">
        <f t="shared" si="1042"/>
        <v>San Francisco</v>
      </c>
      <c r="Q1267" s="1" t="s">
        <v>68</v>
      </c>
      <c r="R1267" s="1" t="str">
        <f t="shared" si="1043"/>
        <v>California</v>
      </c>
      <c r="S1267" s="1">
        <v>94122</v>
      </c>
      <c r="T1267" s="1" t="s">
        <v>44</v>
      </c>
      <c r="U1267" s="1" t="s">
        <v>2920</v>
      </c>
      <c r="V1267" s="1" t="s">
        <v>46</v>
      </c>
      <c r="W1267" s="7">
        <v>6.57</v>
      </c>
      <c r="X1267" s="1">
        <v>9</v>
      </c>
      <c r="Y1267" s="7">
        <v>6.47</v>
      </c>
      <c r="Z1267" s="7">
        <f t="shared" ref="Z1267:AA1267" si="1290">W1267*X1267</f>
        <v>59.13</v>
      </c>
      <c r="AA1267" s="7">
        <f t="shared" si="1290"/>
        <v>58.23</v>
      </c>
      <c r="AB1267" s="7">
        <f t="shared" si="1045"/>
        <v>0.90000000000000568</v>
      </c>
    </row>
    <row r="1268" spans="1:28">
      <c r="A1268" s="1">
        <v>1267</v>
      </c>
      <c r="B1268" s="1" t="s">
        <v>2921</v>
      </c>
      <c r="C1268" s="2">
        <v>42362</v>
      </c>
      <c r="D1268" s="6" t="str">
        <f t="shared" si="1040"/>
        <v>Dec</v>
      </c>
      <c r="E1268" s="6" t="str">
        <f t="shared" si="1041"/>
        <v>Qtr 4</v>
      </c>
      <c r="F1268" s="5" t="s">
        <v>2922</v>
      </c>
      <c r="G1268" s="1" t="s">
        <v>49</v>
      </c>
      <c r="H1268" s="1" t="s">
        <v>314</v>
      </c>
      <c r="I1268" s="1" t="s">
        <v>315</v>
      </c>
      <c r="J1268" s="1" t="str">
        <f ca="1">IFERROR(__xludf.DUMMYFUNCTION("split(I1268,"" "")"),"Julie")</f>
        <v>Julie</v>
      </c>
      <c r="K1268" s="1" t="str">
        <f ca="1">IFERROR(__xludf.DUMMYFUNCTION("""COMPUTED_VALUE"""),"Creighton")</f>
        <v>Creighton</v>
      </c>
      <c r="L1268" s="1"/>
      <c r="M1268" s="1" t="s">
        <v>41</v>
      </c>
      <c r="N1268" s="1" t="s">
        <v>30</v>
      </c>
      <c r="O1268" s="1" t="s">
        <v>42</v>
      </c>
      <c r="P1268" s="1" t="str">
        <f t="shared" si="1042"/>
        <v>Los Angeles</v>
      </c>
      <c r="Q1268" s="1" t="s">
        <v>68</v>
      </c>
      <c r="R1268" s="1" t="str">
        <f t="shared" si="1043"/>
        <v>California</v>
      </c>
      <c r="S1268" s="1">
        <v>90045</v>
      </c>
      <c r="T1268" s="1" t="s">
        <v>44</v>
      </c>
      <c r="U1268" s="1" t="s">
        <v>1236</v>
      </c>
      <c r="V1268" s="1" t="s">
        <v>46</v>
      </c>
      <c r="W1268" s="7">
        <v>142.86000000000001</v>
      </c>
      <c r="X1268" s="1">
        <v>9</v>
      </c>
      <c r="Y1268" s="7">
        <v>142.19</v>
      </c>
      <c r="Z1268" s="7">
        <f t="shared" ref="Z1268:AA1268" si="1291">W1268*X1268</f>
        <v>1285.7400000000002</v>
      </c>
      <c r="AA1268" s="7">
        <f t="shared" si="1291"/>
        <v>1279.71</v>
      </c>
      <c r="AB1268" s="7">
        <f t="shared" si="1045"/>
        <v>6.0300000000002001</v>
      </c>
    </row>
    <row r="1269" spans="1:28">
      <c r="A1269" s="1">
        <v>1268</v>
      </c>
      <c r="B1269" s="1" t="s">
        <v>2921</v>
      </c>
      <c r="C1269" s="2">
        <v>42362</v>
      </c>
      <c r="D1269" s="6" t="str">
        <f t="shared" si="1040"/>
        <v>Dec</v>
      </c>
      <c r="E1269" s="6" t="str">
        <f t="shared" si="1041"/>
        <v>Qtr 4</v>
      </c>
      <c r="F1269" s="5" t="s">
        <v>2922</v>
      </c>
      <c r="G1269" s="1" t="s">
        <v>49</v>
      </c>
      <c r="H1269" s="1" t="s">
        <v>314</v>
      </c>
      <c r="I1269" s="1" t="s">
        <v>315</v>
      </c>
      <c r="J1269" s="1" t="str">
        <f ca="1">IFERROR(__xludf.DUMMYFUNCTION("split(I1269,"" "")"),"Julie")</f>
        <v>Julie</v>
      </c>
      <c r="K1269" s="1" t="str">
        <f ca="1">IFERROR(__xludf.DUMMYFUNCTION("""COMPUTED_VALUE"""),"Creighton")</f>
        <v>Creighton</v>
      </c>
      <c r="L1269" s="1"/>
      <c r="M1269" s="1" t="s">
        <v>41</v>
      </c>
      <c r="N1269" s="1" t="s">
        <v>30</v>
      </c>
      <c r="O1269" s="1" t="s">
        <v>42</v>
      </c>
      <c r="P1269" s="1" t="str">
        <f t="shared" si="1042"/>
        <v>Los Angeles</v>
      </c>
      <c r="Q1269" s="1" t="s">
        <v>68</v>
      </c>
      <c r="R1269" s="1" t="str">
        <f t="shared" si="1043"/>
        <v>California</v>
      </c>
      <c r="S1269" s="1">
        <v>90045</v>
      </c>
      <c r="T1269" s="1" t="s">
        <v>44</v>
      </c>
      <c r="U1269" s="1" t="s">
        <v>260</v>
      </c>
      <c r="V1269" s="1" t="s">
        <v>35</v>
      </c>
      <c r="W1269" s="7">
        <v>292.27199999999999</v>
      </c>
      <c r="X1269" s="1">
        <v>9</v>
      </c>
      <c r="Y1269" s="7">
        <v>291.82</v>
      </c>
      <c r="Z1269" s="7">
        <f t="shared" ref="Z1269:AA1269" si="1292">W1269*X1269</f>
        <v>2630.4479999999999</v>
      </c>
      <c r="AA1269" s="7">
        <f t="shared" si="1292"/>
        <v>2626.38</v>
      </c>
      <c r="AB1269" s="7">
        <f t="shared" si="1045"/>
        <v>4.0679999999997563</v>
      </c>
    </row>
    <row r="1270" spans="1:28">
      <c r="A1270" s="1">
        <v>1269</v>
      </c>
      <c r="B1270" s="1" t="s">
        <v>2923</v>
      </c>
      <c r="C1270" s="2">
        <v>43366</v>
      </c>
      <c r="D1270" s="6" t="str">
        <f t="shared" si="1040"/>
        <v>Sep</v>
      </c>
      <c r="E1270" s="6" t="str">
        <f t="shared" si="1041"/>
        <v>Qtr 3</v>
      </c>
      <c r="F1270" s="5" t="s">
        <v>2924</v>
      </c>
      <c r="G1270" s="1" t="s">
        <v>49</v>
      </c>
      <c r="H1270" s="1" t="s">
        <v>2856</v>
      </c>
      <c r="I1270" s="1" t="s">
        <v>2857</v>
      </c>
      <c r="J1270" s="1" t="str">
        <f ca="1">IFERROR(__xludf.DUMMYFUNCTION("split(I1270,"" "")"),"Brooke")</f>
        <v>Brooke</v>
      </c>
      <c r="K1270" s="1" t="str">
        <f ca="1">IFERROR(__xludf.DUMMYFUNCTION("""COMPUTED_VALUE"""),"Gillingham")</f>
        <v>Gillingham</v>
      </c>
      <c r="L1270" s="1"/>
      <c r="M1270" s="1" t="s">
        <v>41</v>
      </c>
      <c r="N1270" s="1" t="s">
        <v>30</v>
      </c>
      <c r="O1270" s="1" t="s">
        <v>1199</v>
      </c>
      <c r="P1270" s="1" t="str">
        <f t="shared" si="1042"/>
        <v>Louisville</v>
      </c>
      <c r="Q1270" s="1" t="s">
        <v>386</v>
      </c>
      <c r="R1270" s="1" t="str">
        <f t="shared" si="1043"/>
        <v>Colorado</v>
      </c>
      <c r="S1270" s="1">
        <v>80027</v>
      </c>
      <c r="T1270" s="1" t="s">
        <v>44</v>
      </c>
      <c r="U1270" s="1" t="s">
        <v>1258</v>
      </c>
      <c r="V1270" s="1" t="s">
        <v>35</v>
      </c>
      <c r="W1270" s="7">
        <v>29.327999999999999</v>
      </c>
      <c r="X1270" s="1">
        <v>8</v>
      </c>
      <c r="Y1270" s="7">
        <v>28.51</v>
      </c>
      <c r="Z1270" s="7">
        <f t="shared" ref="Z1270:AA1270" si="1293">W1270*X1270</f>
        <v>234.624</v>
      </c>
      <c r="AA1270" s="7">
        <f t="shared" si="1293"/>
        <v>228.08</v>
      </c>
      <c r="AB1270" s="7">
        <f t="shared" si="1045"/>
        <v>6.5439999999999827</v>
      </c>
    </row>
    <row r="1271" spans="1:28">
      <c r="A1271" s="1">
        <v>1270</v>
      </c>
      <c r="B1271" s="1" t="s">
        <v>2925</v>
      </c>
      <c r="C1271" s="2">
        <v>43196</v>
      </c>
      <c r="D1271" s="6" t="str">
        <f t="shared" si="1040"/>
        <v>Apr</v>
      </c>
      <c r="E1271" s="6" t="str">
        <f t="shared" si="1041"/>
        <v>Qtr 2</v>
      </c>
      <c r="F1271" s="5">
        <v>43318</v>
      </c>
      <c r="G1271" s="1" t="s">
        <v>49</v>
      </c>
      <c r="H1271" s="1" t="s">
        <v>2926</v>
      </c>
      <c r="I1271" s="1" t="s">
        <v>2927</v>
      </c>
      <c r="J1271" s="1" t="str">
        <f ca="1">IFERROR(__xludf.DUMMYFUNCTION("split(I1271,"" "")"),"Dan")</f>
        <v>Dan</v>
      </c>
      <c r="K1271" s="1" t="str">
        <f ca="1">IFERROR(__xludf.DUMMYFUNCTION("""COMPUTED_VALUE"""),"Campbell")</f>
        <v>Campbell</v>
      </c>
      <c r="L1271" s="1"/>
      <c r="M1271" s="1" t="s">
        <v>29</v>
      </c>
      <c r="N1271" s="1" t="s">
        <v>30</v>
      </c>
      <c r="O1271" s="1" t="s">
        <v>2117</v>
      </c>
      <c r="P1271" s="1" t="str">
        <f t="shared" si="1042"/>
        <v>Florence</v>
      </c>
      <c r="Q1271" s="1" t="s">
        <v>304</v>
      </c>
      <c r="R1271" s="1" t="str">
        <f t="shared" si="1043"/>
        <v>Alabama</v>
      </c>
      <c r="S1271" s="1">
        <v>35630</v>
      </c>
      <c r="T1271" s="1" t="s">
        <v>33</v>
      </c>
      <c r="U1271" s="1" t="s">
        <v>2928</v>
      </c>
      <c r="V1271" s="1" t="s">
        <v>46</v>
      </c>
      <c r="W1271" s="7">
        <v>12.48</v>
      </c>
      <c r="X1271" s="1">
        <v>3</v>
      </c>
      <c r="Y1271" s="7">
        <v>11.51</v>
      </c>
      <c r="Z1271" s="7">
        <f t="shared" ref="Z1271:AA1271" si="1294">W1271*X1271</f>
        <v>37.44</v>
      </c>
      <c r="AA1271" s="7">
        <f t="shared" si="1294"/>
        <v>34.53</v>
      </c>
      <c r="AB1271" s="7">
        <f t="shared" si="1045"/>
        <v>2.9099999999999966</v>
      </c>
    </row>
    <row r="1272" spans="1:28">
      <c r="A1272" s="1">
        <v>1271</v>
      </c>
      <c r="B1272" s="1" t="s">
        <v>2929</v>
      </c>
      <c r="C1272" s="2">
        <v>42846</v>
      </c>
      <c r="D1272" s="6" t="str">
        <f t="shared" si="1040"/>
        <v>Apr</v>
      </c>
      <c r="E1272" s="6" t="str">
        <f t="shared" si="1041"/>
        <v>Qtr 2</v>
      </c>
      <c r="F1272" s="5" t="s">
        <v>2531</v>
      </c>
      <c r="G1272" s="1" t="s">
        <v>49</v>
      </c>
      <c r="H1272" s="1" t="s">
        <v>1773</v>
      </c>
      <c r="I1272" s="1" t="s">
        <v>1774</v>
      </c>
      <c r="J1272" s="1" t="str">
        <f ca="1">IFERROR(__xludf.DUMMYFUNCTION("split(I1272,"" "")"),"Sibella")</f>
        <v>Sibella</v>
      </c>
      <c r="K1272" s="1" t="str">
        <f ca="1">IFERROR(__xludf.DUMMYFUNCTION("""COMPUTED_VALUE"""),"Parks")</f>
        <v>Parks</v>
      </c>
      <c r="L1272" s="1"/>
      <c r="M1272" s="1" t="s">
        <v>41</v>
      </c>
      <c r="N1272" s="1" t="s">
        <v>30</v>
      </c>
      <c r="O1272" s="1" t="s">
        <v>259</v>
      </c>
      <c r="P1272" s="1" t="str">
        <f t="shared" si="1042"/>
        <v>Chicago</v>
      </c>
      <c r="Q1272" s="1" t="s">
        <v>182</v>
      </c>
      <c r="R1272" s="1" t="str">
        <f t="shared" si="1043"/>
        <v>Illinois</v>
      </c>
      <c r="S1272" s="1">
        <v>60623</v>
      </c>
      <c r="T1272" s="1" t="s">
        <v>90</v>
      </c>
      <c r="U1272" s="1" t="s">
        <v>2930</v>
      </c>
      <c r="V1272" s="1" t="s">
        <v>46</v>
      </c>
      <c r="W1272" s="7">
        <v>102.336</v>
      </c>
      <c r="X1272" s="1">
        <v>6</v>
      </c>
      <c r="Y1272" s="7">
        <v>102.03</v>
      </c>
      <c r="Z1272" s="7">
        <f t="shared" ref="Z1272:AA1272" si="1295">W1272*X1272</f>
        <v>614.01599999999996</v>
      </c>
      <c r="AA1272" s="7">
        <f t="shared" si="1295"/>
        <v>612.18000000000006</v>
      </c>
      <c r="AB1272" s="7">
        <f t="shared" si="1045"/>
        <v>1.835999999999899</v>
      </c>
    </row>
    <row r="1273" spans="1:28">
      <c r="A1273" s="1">
        <v>1272</v>
      </c>
      <c r="B1273" s="1" t="s">
        <v>2929</v>
      </c>
      <c r="C1273" s="2">
        <v>42846</v>
      </c>
      <c r="D1273" s="6" t="str">
        <f t="shared" si="1040"/>
        <v>Apr</v>
      </c>
      <c r="E1273" s="6" t="str">
        <f t="shared" si="1041"/>
        <v>Qtr 2</v>
      </c>
      <c r="F1273" s="5" t="s">
        <v>2531</v>
      </c>
      <c r="G1273" s="1" t="s">
        <v>49</v>
      </c>
      <c r="H1273" s="1" t="s">
        <v>1773</v>
      </c>
      <c r="I1273" s="1" t="s">
        <v>1774</v>
      </c>
      <c r="J1273" s="1" t="str">
        <f ca="1">IFERROR(__xludf.DUMMYFUNCTION("split(I1273,"" "")"),"Sibella")</f>
        <v>Sibella</v>
      </c>
      <c r="K1273" s="1" t="str">
        <f ca="1">IFERROR(__xludf.DUMMYFUNCTION("""COMPUTED_VALUE"""),"Parks")</f>
        <v>Parks</v>
      </c>
      <c r="L1273" s="1"/>
      <c r="M1273" s="1" t="s">
        <v>41</v>
      </c>
      <c r="N1273" s="1" t="s">
        <v>30</v>
      </c>
      <c r="O1273" s="1" t="s">
        <v>259</v>
      </c>
      <c r="P1273" s="1" t="str">
        <f t="shared" si="1042"/>
        <v>Chicago</v>
      </c>
      <c r="Q1273" s="1" t="s">
        <v>182</v>
      </c>
      <c r="R1273" s="1" t="str">
        <f t="shared" si="1043"/>
        <v>Illinois</v>
      </c>
      <c r="S1273" s="1">
        <v>60623</v>
      </c>
      <c r="T1273" s="1" t="s">
        <v>90</v>
      </c>
      <c r="U1273" s="1" t="s">
        <v>2318</v>
      </c>
      <c r="V1273" s="1" t="s">
        <v>46</v>
      </c>
      <c r="W1273" s="7">
        <v>48.792000000000002</v>
      </c>
      <c r="X1273" s="1">
        <v>6</v>
      </c>
      <c r="Y1273" s="7">
        <v>48.47</v>
      </c>
      <c r="Z1273" s="7">
        <f t="shared" ref="Z1273:AA1273" si="1296">W1273*X1273</f>
        <v>292.75200000000001</v>
      </c>
      <c r="AA1273" s="7">
        <f t="shared" si="1296"/>
        <v>290.82</v>
      </c>
      <c r="AB1273" s="7">
        <f t="shared" si="1045"/>
        <v>1.9320000000000164</v>
      </c>
    </row>
    <row r="1274" spans="1:28">
      <c r="A1274" s="1">
        <v>1273</v>
      </c>
      <c r="B1274" s="1" t="s">
        <v>2929</v>
      </c>
      <c r="C1274" s="2">
        <v>42846</v>
      </c>
      <c r="D1274" s="6" t="str">
        <f t="shared" si="1040"/>
        <v>Apr</v>
      </c>
      <c r="E1274" s="6" t="str">
        <f t="shared" si="1041"/>
        <v>Qtr 2</v>
      </c>
      <c r="F1274" s="5" t="s">
        <v>2531</v>
      </c>
      <c r="G1274" s="1" t="s">
        <v>49</v>
      </c>
      <c r="H1274" s="1" t="s">
        <v>1773</v>
      </c>
      <c r="I1274" s="1" t="s">
        <v>1774</v>
      </c>
      <c r="J1274" s="1" t="str">
        <f ca="1">IFERROR(__xludf.DUMMYFUNCTION("split(I1274,"" "")"),"Sibella")</f>
        <v>Sibella</v>
      </c>
      <c r="K1274" s="1" t="str">
        <f ca="1">IFERROR(__xludf.DUMMYFUNCTION("""COMPUTED_VALUE"""),"Parks")</f>
        <v>Parks</v>
      </c>
      <c r="L1274" s="1"/>
      <c r="M1274" s="1" t="s">
        <v>41</v>
      </c>
      <c r="N1274" s="1" t="s">
        <v>30</v>
      </c>
      <c r="O1274" s="1" t="s">
        <v>259</v>
      </c>
      <c r="P1274" s="1" t="str">
        <f t="shared" si="1042"/>
        <v>Chicago</v>
      </c>
      <c r="Q1274" s="1" t="s">
        <v>182</v>
      </c>
      <c r="R1274" s="1" t="str">
        <f t="shared" si="1043"/>
        <v>Illinois</v>
      </c>
      <c r="S1274" s="1">
        <v>60623</v>
      </c>
      <c r="T1274" s="1" t="s">
        <v>90</v>
      </c>
      <c r="U1274" s="1" t="s">
        <v>2931</v>
      </c>
      <c r="V1274" s="1" t="s">
        <v>46</v>
      </c>
      <c r="W1274" s="7">
        <v>44.847999999999999</v>
      </c>
      <c r="X1274" s="1">
        <v>6</v>
      </c>
      <c r="Y1274" s="7">
        <v>44.72</v>
      </c>
      <c r="Z1274" s="7">
        <f t="shared" ref="Z1274:AA1274" si="1297">W1274*X1274</f>
        <v>269.08799999999997</v>
      </c>
      <c r="AA1274" s="7">
        <f t="shared" si="1297"/>
        <v>268.32</v>
      </c>
      <c r="AB1274" s="7">
        <f t="shared" si="1045"/>
        <v>0.76799999999997226</v>
      </c>
    </row>
    <row r="1275" spans="1:28">
      <c r="A1275" s="1">
        <v>1274</v>
      </c>
      <c r="B1275" s="1" t="s">
        <v>2932</v>
      </c>
      <c r="C1275" s="2">
        <v>42881</v>
      </c>
      <c r="D1275" s="6" t="str">
        <f t="shared" si="1040"/>
        <v>May</v>
      </c>
      <c r="E1275" s="6" t="str">
        <f t="shared" si="1041"/>
        <v>Qtr 2</v>
      </c>
      <c r="F1275" s="5" t="s">
        <v>2933</v>
      </c>
      <c r="G1275" s="1" t="s">
        <v>1050</v>
      </c>
      <c r="H1275" s="1" t="s">
        <v>2617</v>
      </c>
      <c r="I1275" s="1" t="s">
        <v>2618</v>
      </c>
      <c r="J1275" s="1" t="str">
        <f ca="1">IFERROR(__xludf.DUMMYFUNCTION("split(I1275,"" "")"),"Maurice")</f>
        <v>Maurice</v>
      </c>
      <c r="K1275" s="1" t="str">
        <f ca="1">IFERROR(__xludf.DUMMYFUNCTION("""COMPUTED_VALUE"""),"Satty")</f>
        <v>Satty</v>
      </c>
      <c r="L1275" s="1"/>
      <c r="M1275" s="1" t="s">
        <v>29</v>
      </c>
      <c r="N1275" s="1" t="s">
        <v>30</v>
      </c>
      <c r="O1275" s="1" t="s">
        <v>88</v>
      </c>
      <c r="P1275" s="1" t="str">
        <f t="shared" si="1042"/>
        <v>Fort Worth</v>
      </c>
      <c r="Q1275" s="1" t="s">
        <v>89</v>
      </c>
      <c r="R1275" s="1" t="str">
        <f t="shared" si="1043"/>
        <v>Texas</v>
      </c>
      <c r="S1275" s="1">
        <v>76106</v>
      </c>
      <c r="T1275" s="1" t="s">
        <v>90</v>
      </c>
      <c r="U1275" s="1" t="s">
        <v>2409</v>
      </c>
      <c r="V1275" s="1" t="s">
        <v>46</v>
      </c>
      <c r="W1275" s="7">
        <v>10.368</v>
      </c>
      <c r="X1275" s="1">
        <v>7</v>
      </c>
      <c r="Y1275" s="7">
        <v>9.44</v>
      </c>
      <c r="Z1275" s="7">
        <f t="shared" ref="Z1275:AA1275" si="1298">W1275*X1275</f>
        <v>72.576000000000008</v>
      </c>
      <c r="AA1275" s="7">
        <f t="shared" si="1298"/>
        <v>66.08</v>
      </c>
      <c r="AB1275" s="7">
        <f t="shared" si="1045"/>
        <v>6.4960000000000093</v>
      </c>
    </row>
    <row r="1276" spans="1:28">
      <c r="A1276" s="1">
        <v>1275</v>
      </c>
      <c r="B1276" s="1" t="s">
        <v>2932</v>
      </c>
      <c r="C1276" s="2">
        <v>42881</v>
      </c>
      <c r="D1276" s="6" t="str">
        <f t="shared" si="1040"/>
        <v>May</v>
      </c>
      <c r="E1276" s="6" t="str">
        <f t="shared" si="1041"/>
        <v>Qtr 2</v>
      </c>
      <c r="F1276" s="5" t="s">
        <v>2933</v>
      </c>
      <c r="G1276" s="1" t="s">
        <v>1050</v>
      </c>
      <c r="H1276" s="1" t="s">
        <v>2617</v>
      </c>
      <c r="I1276" s="1" t="s">
        <v>2618</v>
      </c>
      <c r="J1276" s="1" t="str">
        <f ca="1">IFERROR(__xludf.DUMMYFUNCTION("split(I1276,"" "")"),"Maurice")</f>
        <v>Maurice</v>
      </c>
      <c r="K1276" s="1" t="str">
        <f ca="1">IFERROR(__xludf.DUMMYFUNCTION("""COMPUTED_VALUE"""),"Satty")</f>
        <v>Satty</v>
      </c>
      <c r="L1276" s="1"/>
      <c r="M1276" s="1" t="s">
        <v>29</v>
      </c>
      <c r="N1276" s="1" t="s">
        <v>30</v>
      </c>
      <c r="O1276" s="1" t="s">
        <v>88</v>
      </c>
      <c r="P1276" s="1" t="str">
        <f t="shared" si="1042"/>
        <v>Fort Worth</v>
      </c>
      <c r="Q1276" s="1" t="s">
        <v>89</v>
      </c>
      <c r="R1276" s="1" t="str">
        <f t="shared" si="1043"/>
        <v>Texas</v>
      </c>
      <c r="S1276" s="1">
        <v>76106</v>
      </c>
      <c r="T1276" s="1" t="s">
        <v>90</v>
      </c>
      <c r="U1276" s="1" t="s">
        <v>2934</v>
      </c>
      <c r="V1276" s="1" t="s">
        <v>35</v>
      </c>
      <c r="W1276" s="7">
        <v>388.43</v>
      </c>
      <c r="X1276" s="1">
        <v>7</v>
      </c>
      <c r="Y1276" s="7">
        <v>388.36</v>
      </c>
      <c r="Z1276" s="7">
        <f t="shared" ref="Z1276:AA1276" si="1299">W1276*X1276</f>
        <v>2719.01</v>
      </c>
      <c r="AA1276" s="7">
        <f t="shared" si="1299"/>
        <v>2718.52</v>
      </c>
      <c r="AB1276" s="7">
        <f t="shared" si="1045"/>
        <v>0.49000000000023647</v>
      </c>
    </row>
    <row r="1277" spans="1:28">
      <c r="A1277" s="1">
        <v>1276</v>
      </c>
      <c r="B1277" s="1" t="s">
        <v>2932</v>
      </c>
      <c r="C1277" s="2">
        <v>42881</v>
      </c>
      <c r="D1277" s="6" t="str">
        <f t="shared" ref="D1277:D1501" si="1300">TEXT(C1277,"MMM")</f>
        <v>May</v>
      </c>
      <c r="E1277" s="6" t="str">
        <f t="shared" ref="E1277:E1501" si="1301">"Qtr "&amp;INT((MONTH(C1277)+2)/3)</f>
        <v>Qtr 2</v>
      </c>
      <c r="F1277" s="5" t="s">
        <v>2933</v>
      </c>
      <c r="G1277" s="1" t="s">
        <v>1050</v>
      </c>
      <c r="H1277" s="1" t="s">
        <v>2617</v>
      </c>
      <c r="I1277" s="1" t="s">
        <v>2618</v>
      </c>
      <c r="J1277" s="1" t="str">
        <f ca="1">IFERROR(__xludf.DUMMYFUNCTION("split(I1277,"" "")"),"Maurice")</f>
        <v>Maurice</v>
      </c>
      <c r="K1277" s="1" t="str">
        <f ca="1">IFERROR(__xludf.DUMMYFUNCTION("""COMPUTED_VALUE"""),"Satty")</f>
        <v>Satty</v>
      </c>
      <c r="L1277" s="1"/>
      <c r="M1277" s="1" t="s">
        <v>29</v>
      </c>
      <c r="N1277" s="1" t="s">
        <v>30</v>
      </c>
      <c r="O1277" s="1" t="s">
        <v>88</v>
      </c>
      <c r="P1277" s="1" t="str">
        <f t="shared" ref="P1277:P1501" si="1302">PROPER(O1277)</f>
        <v>Fort Worth</v>
      </c>
      <c r="Q1277" s="1" t="s">
        <v>89</v>
      </c>
      <c r="R1277" s="1" t="str">
        <f t="shared" ref="R1277:R1501" si="1303">PROPER(Q1277)</f>
        <v>Texas</v>
      </c>
      <c r="S1277" s="1">
        <v>76106</v>
      </c>
      <c r="T1277" s="1" t="s">
        <v>90</v>
      </c>
      <c r="U1277" s="1" t="s">
        <v>380</v>
      </c>
      <c r="V1277" s="1" t="s">
        <v>46</v>
      </c>
      <c r="W1277" s="7">
        <v>14.352</v>
      </c>
      <c r="X1277" s="1">
        <v>7</v>
      </c>
      <c r="Y1277" s="7">
        <v>13.52</v>
      </c>
      <c r="Z1277" s="7">
        <f t="shared" ref="Z1277:AA1277" si="1304">W1277*X1277</f>
        <v>100.464</v>
      </c>
      <c r="AA1277" s="7">
        <f t="shared" si="1304"/>
        <v>94.64</v>
      </c>
      <c r="AB1277" s="7">
        <f t="shared" ref="AB1277:AB1501" si="1305">Z1277-AA1277</f>
        <v>5.8239999999999981</v>
      </c>
    </row>
    <row r="1278" spans="1:28">
      <c r="A1278" s="1">
        <v>1277</v>
      </c>
      <c r="B1278" s="1" t="s">
        <v>2932</v>
      </c>
      <c r="C1278" s="2">
        <v>42881</v>
      </c>
      <c r="D1278" s="6" t="str">
        <f t="shared" si="1300"/>
        <v>May</v>
      </c>
      <c r="E1278" s="6" t="str">
        <f t="shared" si="1301"/>
        <v>Qtr 2</v>
      </c>
      <c r="F1278" s="5" t="s">
        <v>2933</v>
      </c>
      <c r="G1278" s="1" t="s">
        <v>1050</v>
      </c>
      <c r="H1278" s="1" t="s">
        <v>2617</v>
      </c>
      <c r="I1278" s="1" t="s">
        <v>2618</v>
      </c>
      <c r="J1278" s="1" t="str">
        <f ca="1">IFERROR(__xludf.DUMMYFUNCTION("split(I1278,"" "")"),"Maurice")</f>
        <v>Maurice</v>
      </c>
      <c r="K1278" s="1" t="str">
        <f ca="1">IFERROR(__xludf.DUMMYFUNCTION("""COMPUTED_VALUE"""),"Satty")</f>
        <v>Satty</v>
      </c>
      <c r="L1278" s="1"/>
      <c r="M1278" s="1" t="s">
        <v>29</v>
      </c>
      <c r="N1278" s="1" t="s">
        <v>30</v>
      </c>
      <c r="O1278" s="1" t="s">
        <v>88</v>
      </c>
      <c r="P1278" s="1" t="str">
        <f t="shared" si="1302"/>
        <v>Fort Worth</v>
      </c>
      <c r="Q1278" s="1" t="s">
        <v>89</v>
      </c>
      <c r="R1278" s="1" t="str">
        <f t="shared" si="1303"/>
        <v>Texas</v>
      </c>
      <c r="S1278" s="1">
        <v>76106</v>
      </c>
      <c r="T1278" s="1" t="s">
        <v>90</v>
      </c>
      <c r="U1278" s="1" t="s">
        <v>2935</v>
      </c>
      <c r="V1278" s="1" t="s">
        <v>64</v>
      </c>
      <c r="W1278" s="7">
        <v>63.991999999999997</v>
      </c>
      <c r="X1278" s="1">
        <v>7</v>
      </c>
      <c r="Y1278" s="7">
        <v>63.77</v>
      </c>
      <c r="Z1278" s="7">
        <f t="shared" ref="Z1278:AA1278" si="1306">W1278*X1278</f>
        <v>447.94399999999996</v>
      </c>
      <c r="AA1278" s="7">
        <f t="shared" si="1306"/>
        <v>446.39000000000004</v>
      </c>
      <c r="AB1278" s="7">
        <f t="shared" si="1305"/>
        <v>1.5539999999999168</v>
      </c>
    </row>
    <row r="1279" spans="1:28">
      <c r="A1279" s="1">
        <v>1278</v>
      </c>
      <c r="B1279" s="1" t="s">
        <v>2936</v>
      </c>
      <c r="C1279" s="2">
        <v>42771</v>
      </c>
      <c r="D1279" s="6" t="str">
        <f t="shared" si="1300"/>
        <v>Feb</v>
      </c>
      <c r="E1279" s="6" t="str">
        <f t="shared" si="1301"/>
        <v>Qtr 1</v>
      </c>
      <c r="F1279" s="5">
        <v>42921</v>
      </c>
      <c r="G1279" s="1" t="s">
        <v>49</v>
      </c>
      <c r="H1279" s="1" t="s">
        <v>2937</v>
      </c>
      <c r="I1279" s="1" t="s">
        <v>2938</v>
      </c>
      <c r="J1279" s="1" t="str">
        <f ca="1">IFERROR(__xludf.DUMMYFUNCTION("split(I1279,"" "")"),"Bryan")</f>
        <v>Bryan</v>
      </c>
      <c r="K1279" s="1" t="str">
        <f ca="1">IFERROR(__xludf.DUMMYFUNCTION("""COMPUTED_VALUE"""),"Davis")</f>
        <v>Davis</v>
      </c>
      <c r="L1279" s="1"/>
      <c r="M1279" s="1" t="s">
        <v>29</v>
      </c>
      <c r="N1279" s="1" t="s">
        <v>30</v>
      </c>
      <c r="O1279" s="1" t="s">
        <v>172</v>
      </c>
      <c r="P1279" s="1" t="str">
        <f t="shared" si="1302"/>
        <v>Houston</v>
      </c>
      <c r="Q1279" s="1" t="s">
        <v>89</v>
      </c>
      <c r="R1279" s="1" t="str">
        <f t="shared" si="1303"/>
        <v>Texas</v>
      </c>
      <c r="S1279" s="1">
        <v>77070</v>
      </c>
      <c r="T1279" s="1" t="s">
        <v>90</v>
      </c>
      <c r="U1279" s="1" t="s">
        <v>2939</v>
      </c>
      <c r="V1279" s="1" t="s">
        <v>46</v>
      </c>
      <c r="W1279" s="7">
        <v>86.352000000000004</v>
      </c>
      <c r="X1279" s="1">
        <v>7</v>
      </c>
      <c r="Y1279" s="7">
        <v>85.45</v>
      </c>
      <c r="Z1279" s="7">
        <f t="shared" ref="Z1279:AA1279" si="1307">W1279*X1279</f>
        <v>604.46400000000006</v>
      </c>
      <c r="AA1279" s="7">
        <f t="shared" si="1307"/>
        <v>598.15</v>
      </c>
      <c r="AB1279" s="7">
        <f t="shared" si="1305"/>
        <v>6.3140000000000782</v>
      </c>
    </row>
    <row r="1280" spans="1:28">
      <c r="A1280" s="1">
        <v>1279</v>
      </c>
      <c r="B1280" s="1" t="s">
        <v>2940</v>
      </c>
      <c r="C1280" s="2">
        <v>42225</v>
      </c>
      <c r="D1280" s="6" t="str">
        <f t="shared" si="1300"/>
        <v>Aug</v>
      </c>
      <c r="E1280" s="6" t="str">
        <f t="shared" si="1301"/>
        <v>Qtr 3</v>
      </c>
      <c r="F1280" s="5">
        <v>42317</v>
      </c>
      <c r="G1280" s="1" t="s">
        <v>162</v>
      </c>
      <c r="H1280" s="1" t="s">
        <v>2356</v>
      </c>
      <c r="I1280" s="1" t="s">
        <v>2357</v>
      </c>
      <c r="J1280" s="1" t="str">
        <f ca="1">IFERROR(__xludf.DUMMYFUNCTION("split(I1280,"" "")"),"Karen")</f>
        <v>Karen</v>
      </c>
      <c r="K1280" s="1" t="str">
        <f ca="1">IFERROR(__xludf.DUMMYFUNCTION("""COMPUTED_VALUE"""),"Carlisle")</f>
        <v>Carlisle</v>
      </c>
      <c r="L1280" s="1"/>
      <c r="M1280" s="1" t="s">
        <v>41</v>
      </c>
      <c r="N1280" s="1" t="s">
        <v>30</v>
      </c>
      <c r="O1280" s="1" t="s">
        <v>2941</v>
      </c>
      <c r="P1280" s="1" t="str">
        <f t="shared" si="1302"/>
        <v>Macon</v>
      </c>
      <c r="Q1280" s="1" t="s">
        <v>1035</v>
      </c>
      <c r="R1280" s="1" t="str">
        <f t="shared" si="1303"/>
        <v>Georgia</v>
      </c>
      <c r="S1280" s="1">
        <v>31204</v>
      </c>
      <c r="T1280" s="1" t="s">
        <v>33</v>
      </c>
      <c r="U1280" s="1" t="s">
        <v>2942</v>
      </c>
      <c r="V1280" s="1" t="s">
        <v>64</v>
      </c>
      <c r="W1280" s="7">
        <v>32.97</v>
      </c>
      <c r="X1280" s="1">
        <v>3</v>
      </c>
      <c r="Y1280" s="7">
        <v>32.51</v>
      </c>
      <c r="Z1280" s="7">
        <f t="shared" ref="Z1280:AA1280" si="1308">W1280*X1280</f>
        <v>98.91</v>
      </c>
      <c r="AA1280" s="7">
        <f t="shared" si="1308"/>
        <v>97.53</v>
      </c>
      <c r="AB1280" s="7">
        <f t="shared" si="1305"/>
        <v>1.3799999999999955</v>
      </c>
    </row>
    <row r="1281" spans="1:28">
      <c r="A1281" s="1">
        <v>1280</v>
      </c>
      <c r="B1281" s="1" t="s">
        <v>2940</v>
      </c>
      <c r="C1281" s="2">
        <v>42225</v>
      </c>
      <c r="D1281" s="6" t="str">
        <f t="shared" si="1300"/>
        <v>Aug</v>
      </c>
      <c r="E1281" s="6" t="str">
        <f t="shared" si="1301"/>
        <v>Qtr 3</v>
      </c>
      <c r="F1281" s="5">
        <v>42317</v>
      </c>
      <c r="G1281" s="1" t="s">
        <v>162</v>
      </c>
      <c r="H1281" s="1" t="s">
        <v>2356</v>
      </c>
      <c r="I1281" s="1" t="s">
        <v>2357</v>
      </c>
      <c r="J1281" s="1" t="str">
        <f ca="1">IFERROR(__xludf.DUMMYFUNCTION("split(I1281,"" "")"),"Karen")</f>
        <v>Karen</v>
      </c>
      <c r="K1281" s="1" t="str">
        <f ca="1">IFERROR(__xludf.DUMMYFUNCTION("""COMPUTED_VALUE"""),"Carlisle")</f>
        <v>Carlisle</v>
      </c>
      <c r="L1281" s="1"/>
      <c r="M1281" s="1" t="s">
        <v>41</v>
      </c>
      <c r="N1281" s="1" t="s">
        <v>30</v>
      </c>
      <c r="O1281" s="1" t="s">
        <v>2941</v>
      </c>
      <c r="P1281" s="1" t="str">
        <f t="shared" si="1302"/>
        <v>Macon</v>
      </c>
      <c r="Q1281" s="1" t="s">
        <v>1035</v>
      </c>
      <c r="R1281" s="1" t="str">
        <f t="shared" si="1303"/>
        <v>Georgia</v>
      </c>
      <c r="S1281" s="1">
        <v>31204</v>
      </c>
      <c r="T1281" s="1" t="s">
        <v>33</v>
      </c>
      <c r="U1281" s="1" t="s">
        <v>2943</v>
      </c>
      <c r="V1281" s="1" t="s">
        <v>64</v>
      </c>
      <c r="W1281" s="7">
        <v>83.88</v>
      </c>
      <c r="X1281" s="1">
        <v>3</v>
      </c>
      <c r="Y1281" s="7">
        <v>83.08</v>
      </c>
      <c r="Z1281" s="7">
        <f t="shared" ref="Z1281:AA1281" si="1309">W1281*X1281</f>
        <v>251.64</v>
      </c>
      <c r="AA1281" s="7">
        <f t="shared" si="1309"/>
        <v>249.24</v>
      </c>
      <c r="AB1281" s="7">
        <f t="shared" si="1305"/>
        <v>2.3999999999999773</v>
      </c>
    </row>
    <row r="1282" spans="1:28">
      <c r="A1282" s="1">
        <v>1281</v>
      </c>
      <c r="B1282" s="1" t="s">
        <v>2944</v>
      </c>
      <c r="C1282" s="2">
        <v>42864</v>
      </c>
      <c r="D1282" s="6" t="str">
        <f t="shared" si="1300"/>
        <v>May</v>
      </c>
      <c r="E1282" s="6" t="str">
        <f t="shared" si="1301"/>
        <v>Qtr 2</v>
      </c>
      <c r="F1282" s="5">
        <v>42895</v>
      </c>
      <c r="G1282" s="1" t="s">
        <v>162</v>
      </c>
      <c r="H1282" s="1" t="s">
        <v>2103</v>
      </c>
      <c r="I1282" s="1" t="s">
        <v>2104</v>
      </c>
      <c r="J1282" s="1" t="str">
        <f ca="1">IFERROR(__xludf.DUMMYFUNCTION("split(I1282,"" "")"),"Toby")</f>
        <v>Toby</v>
      </c>
      <c r="K1282" s="1" t="str">
        <f ca="1">IFERROR(__xludf.DUMMYFUNCTION("""COMPUTED_VALUE"""),"Ritter")</f>
        <v>Ritter</v>
      </c>
      <c r="L1282" s="1"/>
      <c r="M1282" s="1" t="s">
        <v>29</v>
      </c>
      <c r="N1282" s="1" t="s">
        <v>30</v>
      </c>
      <c r="O1282" s="1" t="s">
        <v>2945</v>
      </c>
      <c r="P1282" s="1" t="str">
        <f t="shared" si="1302"/>
        <v>Cedar Rapids</v>
      </c>
      <c r="Q1282" s="1" t="s">
        <v>413</v>
      </c>
      <c r="R1282" s="1" t="str">
        <f t="shared" si="1303"/>
        <v>Iowa</v>
      </c>
      <c r="S1282" s="1">
        <v>52402</v>
      </c>
      <c r="T1282" s="1" t="s">
        <v>90</v>
      </c>
      <c r="U1282" s="1" t="s">
        <v>2946</v>
      </c>
      <c r="V1282" s="1" t="s">
        <v>64</v>
      </c>
      <c r="W1282" s="7">
        <v>278.39999999999998</v>
      </c>
      <c r="X1282" s="1">
        <v>5</v>
      </c>
      <c r="Y1282" s="7">
        <v>278.20999999999998</v>
      </c>
      <c r="Z1282" s="7">
        <f t="shared" ref="Z1282:AA1282" si="1310">W1282*X1282</f>
        <v>1392</v>
      </c>
      <c r="AA1282" s="7">
        <f t="shared" si="1310"/>
        <v>1391.05</v>
      </c>
      <c r="AB1282" s="7">
        <f t="shared" si="1305"/>
        <v>0.95000000000004547</v>
      </c>
    </row>
    <row r="1283" spans="1:28">
      <c r="A1283" s="1">
        <v>1282</v>
      </c>
      <c r="B1283" s="1" t="s">
        <v>2947</v>
      </c>
      <c r="C1283" s="2">
        <v>43347</v>
      </c>
      <c r="D1283" s="6" t="str">
        <f t="shared" si="1300"/>
        <v>Sep</v>
      </c>
      <c r="E1283" s="6" t="str">
        <f t="shared" si="1301"/>
        <v>Qtr 3</v>
      </c>
      <c r="F1283" s="5">
        <v>43408</v>
      </c>
      <c r="G1283" s="1" t="s">
        <v>162</v>
      </c>
      <c r="H1283" s="1" t="s">
        <v>1359</v>
      </c>
      <c r="I1283" s="1" t="s">
        <v>1360</v>
      </c>
      <c r="J1283" s="1" t="str">
        <f ca="1">IFERROR(__xludf.DUMMYFUNCTION("split(I1283,"" "")"),"Sue")</f>
        <v>Sue</v>
      </c>
      <c r="K1283" s="1" t="str">
        <f ca="1">IFERROR(__xludf.DUMMYFUNCTION("""COMPUTED_VALUE"""),"Ann")</f>
        <v>Ann</v>
      </c>
      <c r="L1283" s="1" t="str">
        <f ca="1">IFERROR(__xludf.DUMMYFUNCTION("""COMPUTED_VALUE"""),"Reed")</f>
        <v>Reed</v>
      </c>
      <c r="M1283" s="1" t="s">
        <v>29</v>
      </c>
      <c r="N1283" s="1" t="s">
        <v>30</v>
      </c>
      <c r="O1283" s="1" t="s">
        <v>1241</v>
      </c>
      <c r="P1283" s="1" t="str">
        <f t="shared" si="1302"/>
        <v>Jacksonville</v>
      </c>
      <c r="Q1283" s="1" t="s">
        <v>194</v>
      </c>
      <c r="R1283" s="1" t="str">
        <f t="shared" si="1303"/>
        <v>Florida</v>
      </c>
      <c r="S1283" s="1">
        <v>32216</v>
      </c>
      <c r="T1283" s="1" t="s">
        <v>33</v>
      </c>
      <c r="U1283" s="1" t="s">
        <v>2948</v>
      </c>
      <c r="V1283" s="1" t="s">
        <v>46</v>
      </c>
      <c r="W1283" s="7">
        <v>15.12</v>
      </c>
      <c r="X1283" s="1">
        <v>3</v>
      </c>
      <c r="Y1283" s="7">
        <v>14.77</v>
      </c>
      <c r="Z1283" s="7">
        <f t="shared" ref="Z1283:AA1283" si="1311">W1283*X1283</f>
        <v>45.36</v>
      </c>
      <c r="AA1283" s="7">
        <f t="shared" si="1311"/>
        <v>44.31</v>
      </c>
      <c r="AB1283" s="7">
        <f t="shared" si="1305"/>
        <v>1.0499999999999972</v>
      </c>
    </row>
    <row r="1284" spans="1:28">
      <c r="A1284" s="1">
        <v>1283</v>
      </c>
      <c r="B1284" s="1" t="s">
        <v>2947</v>
      </c>
      <c r="C1284" s="2">
        <v>43347</v>
      </c>
      <c r="D1284" s="6" t="str">
        <f t="shared" si="1300"/>
        <v>Sep</v>
      </c>
      <c r="E1284" s="6" t="str">
        <f t="shared" si="1301"/>
        <v>Qtr 3</v>
      </c>
      <c r="F1284" s="5">
        <v>43408</v>
      </c>
      <c r="G1284" s="1" t="s">
        <v>162</v>
      </c>
      <c r="H1284" s="1" t="s">
        <v>1359</v>
      </c>
      <c r="I1284" s="1" t="s">
        <v>1360</v>
      </c>
      <c r="J1284" s="1" t="str">
        <f ca="1">IFERROR(__xludf.DUMMYFUNCTION("split(I1284,"" "")"),"Sue")</f>
        <v>Sue</v>
      </c>
      <c r="K1284" s="1" t="str">
        <f ca="1">IFERROR(__xludf.DUMMYFUNCTION("""COMPUTED_VALUE"""),"Ann")</f>
        <v>Ann</v>
      </c>
      <c r="L1284" s="1" t="str">
        <f ca="1">IFERROR(__xludf.DUMMYFUNCTION("""COMPUTED_VALUE"""),"Reed")</f>
        <v>Reed</v>
      </c>
      <c r="M1284" s="1" t="s">
        <v>29</v>
      </c>
      <c r="N1284" s="1" t="s">
        <v>30</v>
      </c>
      <c r="O1284" s="1" t="s">
        <v>1241</v>
      </c>
      <c r="P1284" s="1" t="str">
        <f t="shared" si="1302"/>
        <v>Jacksonville</v>
      </c>
      <c r="Q1284" s="1" t="s">
        <v>194</v>
      </c>
      <c r="R1284" s="1" t="str">
        <f t="shared" si="1303"/>
        <v>Florida</v>
      </c>
      <c r="S1284" s="1">
        <v>32216</v>
      </c>
      <c r="T1284" s="1" t="s">
        <v>33</v>
      </c>
      <c r="U1284" s="1" t="s">
        <v>2949</v>
      </c>
      <c r="V1284" s="1" t="s">
        <v>46</v>
      </c>
      <c r="W1284" s="7">
        <v>17.43</v>
      </c>
      <c r="X1284" s="1">
        <v>3</v>
      </c>
      <c r="Y1284" s="7">
        <v>17.32</v>
      </c>
      <c r="Z1284" s="7">
        <f t="shared" ref="Z1284:AA1284" si="1312">W1284*X1284</f>
        <v>52.29</v>
      </c>
      <c r="AA1284" s="7">
        <f t="shared" si="1312"/>
        <v>51.96</v>
      </c>
      <c r="AB1284" s="7">
        <f t="shared" si="1305"/>
        <v>0.32999999999999829</v>
      </c>
    </row>
    <row r="1285" spans="1:28">
      <c r="A1285" s="1">
        <v>1284</v>
      </c>
      <c r="B1285" s="1" t="s">
        <v>2947</v>
      </c>
      <c r="C1285" s="2">
        <v>43347</v>
      </c>
      <c r="D1285" s="6" t="str">
        <f t="shared" si="1300"/>
        <v>Sep</v>
      </c>
      <c r="E1285" s="6" t="str">
        <f t="shared" si="1301"/>
        <v>Qtr 3</v>
      </c>
      <c r="F1285" s="5">
        <v>43408</v>
      </c>
      <c r="G1285" s="1" t="s">
        <v>162</v>
      </c>
      <c r="H1285" s="1" t="s">
        <v>1359</v>
      </c>
      <c r="I1285" s="1" t="s">
        <v>1360</v>
      </c>
      <c r="J1285" s="1" t="str">
        <f ca="1">IFERROR(__xludf.DUMMYFUNCTION("split(I1285,"" "")"),"Sue")</f>
        <v>Sue</v>
      </c>
      <c r="K1285" s="1" t="str">
        <f ca="1">IFERROR(__xludf.DUMMYFUNCTION("""COMPUTED_VALUE"""),"Ann")</f>
        <v>Ann</v>
      </c>
      <c r="L1285" s="1" t="str">
        <f ca="1">IFERROR(__xludf.DUMMYFUNCTION("""COMPUTED_VALUE"""),"Reed")</f>
        <v>Reed</v>
      </c>
      <c r="M1285" s="1" t="s">
        <v>29</v>
      </c>
      <c r="N1285" s="1" t="s">
        <v>30</v>
      </c>
      <c r="O1285" s="1" t="s">
        <v>1241</v>
      </c>
      <c r="P1285" s="1" t="str">
        <f t="shared" si="1302"/>
        <v>Jacksonville</v>
      </c>
      <c r="Q1285" s="1" t="s">
        <v>194</v>
      </c>
      <c r="R1285" s="1" t="str">
        <f t="shared" si="1303"/>
        <v>Florida</v>
      </c>
      <c r="S1285" s="1">
        <v>32216</v>
      </c>
      <c r="T1285" s="1" t="s">
        <v>33</v>
      </c>
      <c r="U1285" s="1" t="s">
        <v>2950</v>
      </c>
      <c r="V1285" s="1" t="s">
        <v>46</v>
      </c>
      <c r="W1285" s="7">
        <v>251.64</v>
      </c>
      <c r="X1285" s="1">
        <v>3</v>
      </c>
      <c r="Y1285" s="7">
        <v>251.01</v>
      </c>
      <c r="Z1285" s="7">
        <f t="shared" ref="Z1285:AA1285" si="1313">W1285*X1285</f>
        <v>754.92</v>
      </c>
      <c r="AA1285" s="7">
        <f t="shared" si="1313"/>
        <v>753.03</v>
      </c>
      <c r="AB1285" s="7">
        <f t="shared" si="1305"/>
        <v>1.8899999999999864</v>
      </c>
    </row>
    <row r="1286" spans="1:28">
      <c r="A1286" s="1">
        <v>1285</v>
      </c>
      <c r="B1286" s="1" t="s">
        <v>2951</v>
      </c>
      <c r="C1286" s="2">
        <v>42533</v>
      </c>
      <c r="D1286" s="6" t="str">
        <f t="shared" si="1300"/>
        <v>Jun</v>
      </c>
      <c r="E1286" s="6" t="str">
        <f t="shared" si="1301"/>
        <v>Qtr 2</v>
      </c>
      <c r="F1286" s="5">
        <v>42716</v>
      </c>
      <c r="G1286" s="1" t="s">
        <v>49</v>
      </c>
      <c r="H1286" s="1" t="s">
        <v>1039</v>
      </c>
      <c r="I1286" s="1" t="s">
        <v>1040</v>
      </c>
      <c r="J1286" s="1" t="str">
        <f ca="1">IFERROR(__xludf.DUMMYFUNCTION("split(I1286,"" "")"),"Katrina")</f>
        <v>Katrina</v>
      </c>
      <c r="K1286" s="1" t="str">
        <f ca="1">IFERROR(__xludf.DUMMYFUNCTION("""COMPUTED_VALUE"""),"Willman")</f>
        <v>Willman</v>
      </c>
      <c r="L1286" s="1"/>
      <c r="M1286" s="1" t="s">
        <v>29</v>
      </c>
      <c r="N1286" s="1" t="s">
        <v>30</v>
      </c>
      <c r="O1286" s="1" t="s">
        <v>1005</v>
      </c>
      <c r="P1286" s="1" t="str">
        <f t="shared" si="1302"/>
        <v>Austin</v>
      </c>
      <c r="Q1286" s="1" t="s">
        <v>89</v>
      </c>
      <c r="R1286" s="1" t="str">
        <f t="shared" si="1303"/>
        <v>Texas</v>
      </c>
      <c r="S1286" s="1">
        <v>78745</v>
      </c>
      <c r="T1286" s="1" t="s">
        <v>90</v>
      </c>
      <c r="U1286" s="1" t="s">
        <v>2952</v>
      </c>
      <c r="V1286" s="1" t="s">
        <v>46</v>
      </c>
      <c r="W1286" s="7">
        <v>2.7719999999999998</v>
      </c>
      <c r="X1286" s="1">
        <v>7</v>
      </c>
      <c r="Y1286" s="7">
        <v>2.4300000000000002</v>
      </c>
      <c r="Z1286" s="7">
        <f t="shared" ref="Z1286:AA1286" si="1314">W1286*X1286</f>
        <v>19.404</v>
      </c>
      <c r="AA1286" s="7">
        <f t="shared" si="1314"/>
        <v>17.010000000000002</v>
      </c>
      <c r="AB1286" s="7">
        <f t="shared" si="1305"/>
        <v>2.3939999999999984</v>
      </c>
    </row>
    <row r="1287" spans="1:28">
      <c r="A1287" s="1">
        <v>1286</v>
      </c>
      <c r="B1287" s="1" t="s">
        <v>2953</v>
      </c>
      <c r="C1287" s="2">
        <v>42912</v>
      </c>
      <c r="D1287" s="6" t="str">
        <f t="shared" si="1300"/>
        <v>Jun</v>
      </c>
      <c r="E1287" s="6" t="str">
        <f t="shared" si="1301"/>
        <v>Qtr 2</v>
      </c>
      <c r="F1287" s="5">
        <v>42801</v>
      </c>
      <c r="G1287" s="1" t="s">
        <v>49</v>
      </c>
      <c r="H1287" s="1" t="s">
        <v>2954</v>
      </c>
      <c r="I1287" s="1" t="s">
        <v>2955</v>
      </c>
      <c r="J1287" s="1" t="str">
        <f ca="1">IFERROR(__xludf.DUMMYFUNCTION("split(I1287,"" "")"),"Gene")</f>
        <v>Gene</v>
      </c>
      <c r="K1287" s="1" t="str">
        <f ca="1">IFERROR(__xludf.DUMMYFUNCTION("""COMPUTED_VALUE"""),"McClure")</f>
        <v>McClure</v>
      </c>
      <c r="L1287" s="1"/>
      <c r="M1287" s="1" t="s">
        <v>29</v>
      </c>
      <c r="N1287" s="1" t="s">
        <v>30</v>
      </c>
      <c r="O1287" s="1" t="s">
        <v>2956</v>
      </c>
      <c r="P1287" s="1" t="str">
        <f t="shared" si="1302"/>
        <v>Providence</v>
      </c>
      <c r="Q1287" s="1" t="s">
        <v>1141</v>
      </c>
      <c r="R1287" s="1" t="str">
        <f t="shared" si="1303"/>
        <v>Rhode Island</v>
      </c>
      <c r="S1287" s="1">
        <v>2908</v>
      </c>
      <c r="T1287" s="1" t="s">
        <v>128</v>
      </c>
      <c r="U1287" s="1" t="s">
        <v>1234</v>
      </c>
      <c r="V1287" s="1" t="s">
        <v>46</v>
      </c>
      <c r="W1287" s="7">
        <v>14.9</v>
      </c>
      <c r="X1287" s="1">
        <v>2</v>
      </c>
      <c r="Y1287" s="7">
        <v>14.79</v>
      </c>
      <c r="Z1287" s="7">
        <f t="shared" ref="Z1287:AA1287" si="1315">W1287*X1287</f>
        <v>29.8</v>
      </c>
      <c r="AA1287" s="7">
        <f t="shared" si="1315"/>
        <v>29.58</v>
      </c>
      <c r="AB1287" s="7">
        <f t="shared" si="1305"/>
        <v>0.22000000000000242</v>
      </c>
    </row>
    <row r="1288" spans="1:28">
      <c r="A1288" s="1">
        <v>1287</v>
      </c>
      <c r="B1288" s="1" t="s">
        <v>2957</v>
      </c>
      <c r="C1288" s="2">
        <v>42467</v>
      </c>
      <c r="D1288" s="6" t="str">
        <f t="shared" si="1300"/>
        <v>Apr</v>
      </c>
      <c r="E1288" s="6" t="str">
        <f t="shared" si="1301"/>
        <v>Qtr 2</v>
      </c>
      <c r="F1288" s="5">
        <v>42589</v>
      </c>
      <c r="G1288" s="1" t="s">
        <v>49</v>
      </c>
      <c r="H1288" s="1" t="s">
        <v>445</v>
      </c>
      <c r="I1288" s="1" t="s">
        <v>446</v>
      </c>
      <c r="J1288" s="1" t="str">
        <f ca="1">IFERROR(__xludf.DUMMYFUNCTION("split(I1288,"" "")"),"Alan")</f>
        <v>Alan</v>
      </c>
      <c r="K1288" s="1" t="str">
        <f ca="1">IFERROR(__xludf.DUMMYFUNCTION("""COMPUTED_VALUE"""),"Dominguez")</f>
        <v>Dominguez</v>
      </c>
      <c r="L1288" s="1"/>
      <c r="M1288" s="1" t="s">
        <v>87</v>
      </c>
      <c r="N1288" s="1" t="s">
        <v>30</v>
      </c>
      <c r="O1288" s="1" t="s">
        <v>233</v>
      </c>
      <c r="P1288" s="1" t="str">
        <f t="shared" si="1302"/>
        <v>New York City</v>
      </c>
      <c r="Q1288" s="1" t="s">
        <v>234</v>
      </c>
      <c r="R1288" s="1" t="str">
        <f t="shared" si="1303"/>
        <v>New York</v>
      </c>
      <c r="S1288" s="1">
        <v>10035</v>
      </c>
      <c r="T1288" s="1" t="s">
        <v>128</v>
      </c>
      <c r="U1288" s="1" t="s">
        <v>2958</v>
      </c>
      <c r="V1288" s="1" t="s">
        <v>46</v>
      </c>
      <c r="W1288" s="7">
        <v>15.48</v>
      </c>
      <c r="X1288" s="1">
        <v>1</v>
      </c>
      <c r="Y1288" s="7">
        <v>14.59</v>
      </c>
      <c r="Z1288" s="7">
        <f t="shared" ref="Z1288:AA1288" si="1316">W1288*X1288</f>
        <v>15.48</v>
      </c>
      <c r="AA1288" s="7">
        <f t="shared" si="1316"/>
        <v>14.59</v>
      </c>
      <c r="AB1288" s="7">
        <f t="shared" si="1305"/>
        <v>0.89000000000000057</v>
      </c>
    </row>
    <row r="1289" spans="1:28">
      <c r="A1289" s="1">
        <v>1288</v>
      </c>
      <c r="B1289" s="1" t="s">
        <v>2959</v>
      </c>
      <c r="C1289" s="2">
        <v>43061</v>
      </c>
      <c r="D1289" s="6" t="str">
        <f t="shared" si="1300"/>
        <v>Nov</v>
      </c>
      <c r="E1289" s="6" t="str">
        <f t="shared" si="1301"/>
        <v>Qtr 4</v>
      </c>
      <c r="F1289" s="5" t="s">
        <v>2960</v>
      </c>
      <c r="G1289" s="1" t="s">
        <v>49</v>
      </c>
      <c r="H1289" s="1" t="s">
        <v>2961</v>
      </c>
      <c r="I1289" s="1" t="s">
        <v>2962</v>
      </c>
      <c r="J1289" s="1" t="str">
        <f ca="1">IFERROR(__xludf.DUMMYFUNCTION("split(I1289,"" "")"),"Todd")</f>
        <v>Todd</v>
      </c>
      <c r="K1289" s="1" t="str">
        <f ca="1">IFERROR(__xludf.DUMMYFUNCTION("""COMPUTED_VALUE"""),"Boyes")</f>
        <v>Boyes</v>
      </c>
      <c r="L1289" s="1"/>
      <c r="M1289" s="1" t="s">
        <v>41</v>
      </c>
      <c r="N1289" s="1" t="s">
        <v>30</v>
      </c>
      <c r="O1289" s="1" t="s">
        <v>233</v>
      </c>
      <c r="P1289" s="1" t="str">
        <f t="shared" si="1302"/>
        <v>New York City</v>
      </c>
      <c r="Q1289" s="1" t="s">
        <v>234</v>
      </c>
      <c r="R1289" s="1" t="str">
        <f t="shared" si="1303"/>
        <v>New York</v>
      </c>
      <c r="S1289" s="1">
        <v>10009</v>
      </c>
      <c r="T1289" s="1" t="s">
        <v>128</v>
      </c>
      <c r="U1289" s="1" t="s">
        <v>255</v>
      </c>
      <c r="V1289" s="1" t="s">
        <v>35</v>
      </c>
      <c r="W1289" s="7">
        <v>39.880000000000003</v>
      </c>
      <c r="X1289" s="1">
        <v>1</v>
      </c>
      <c r="Y1289" s="7">
        <v>39.11</v>
      </c>
      <c r="Z1289" s="7">
        <f t="shared" ref="Z1289:AA1289" si="1317">W1289*X1289</f>
        <v>39.880000000000003</v>
      </c>
      <c r="AA1289" s="7">
        <f t="shared" si="1317"/>
        <v>39.11</v>
      </c>
      <c r="AB1289" s="7">
        <f t="shared" si="1305"/>
        <v>0.77000000000000313</v>
      </c>
    </row>
    <row r="1290" spans="1:28">
      <c r="A1290" s="1">
        <v>1289</v>
      </c>
      <c r="B1290" s="1" t="s">
        <v>2959</v>
      </c>
      <c r="C1290" s="2">
        <v>43061</v>
      </c>
      <c r="D1290" s="6" t="str">
        <f t="shared" si="1300"/>
        <v>Nov</v>
      </c>
      <c r="E1290" s="6" t="str">
        <f t="shared" si="1301"/>
        <v>Qtr 4</v>
      </c>
      <c r="F1290" s="5" t="s">
        <v>2960</v>
      </c>
      <c r="G1290" s="1" t="s">
        <v>49</v>
      </c>
      <c r="H1290" s="1" t="s">
        <v>2961</v>
      </c>
      <c r="I1290" s="1" t="s">
        <v>2962</v>
      </c>
      <c r="J1290" s="1" t="str">
        <f ca="1">IFERROR(__xludf.DUMMYFUNCTION("split(I1290,"" "")"),"Todd")</f>
        <v>Todd</v>
      </c>
      <c r="K1290" s="1" t="str">
        <f ca="1">IFERROR(__xludf.DUMMYFUNCTION("""COMPUTED_VALUE"""),"Boyes")</f>
        <v>Boyes</v>
      </c>
      <c r="L1290" s="1"/>
      <c r="M1290" s="1" t="s">
        <v>41</v>
      </c>
      <c r="N1290" s="1" t="s">
        <v>30</v>
      </c>
      <c r="O1290" s="1" t="s">
        <v>233</v>
      </c>
      <c r="P1290" s="1" t="str">
        <f t="shared" si="1302"/>
        <v>New York City</v>
      </c>
      <c r="Q1290" s="1" t="s">
        <v>234</v>
      </c>
      <c r="R1290" s="1" t="str">
        <f t="shared" si="1303"/>
        <v>New York</v>
      </c>
      <c r="S1290" s="1">
        <v>10009</v>
      </c>
      <c r="T1290" s="1" t="s">
        <v>128</v>
      </c>
      <c r="U1290" s="1" t="s">
        <v>1692</v>
      </c>
      <c r="V1290" s="1" t="s">
        <v>46</v>
      </c>
      <c r="W1290" s="7">
        <v>12.192</v>
      </c>
      <c r="X1290" s="1">
        <v>1</v>
      </c>
      <c r="Y1290" s="7">
        <v>11.29</v>
      </c>
      <c r="Z1290" s="7">
        <f t="shared" ref="Z1290:AA1290" si="1318">W1290*X1290</f>
        <v>12.192</v>
      </c>
      <c r="AA1290" s="7">
        <f t="shared" si="1318"/>
        <v>11.29</v>
      </c>
      <c r="AB1290" s="7">
        <f t="shared" si="1305"/>
        <v>0.90200000000000102</v>
      </c>
    </row>
    <row r="1291" spans="1:28">
      <c r="A1291" s="1">
        <v>1290</v>
      </c>
      <c r="B1291" s="1" t="s">
        <v>2959</v>
      </c>
      <c r="C1291" s="2">
        <v>43061</v>
      </c>
      <c r="D1291" s="6" t="str">
        <f t="shared" si="1300"/>
        <v>Nov</v>
      </c>
      <c r="E1291" s="6" t="str">
        <f t="shared" si="1301"/>
        <v>Qtr 4</v>
      </c>
      <c r="F1291" s="5" t="s">
        <v>2960</v>
      </c>
      <c r="G1291" s="1" t="s">
        <v>49</v>
      </c>
      <c r="H1291" s="1" t="s">
        <v>2961</v>
      </c>
      <c r="I1291" s="1" t="s">
        <v>2962</v>
      </c>
      <c r="J1291" s="1" t="str">
        <f ca="1">IFERROR(__xludf.DUMMYFUNCTION("split(I1291,"" "")"),"Todd")</f>
        <v>Todd</v>
      </c>
      <c r="K1291" s="1" t="str">
        <f ca="1">IFERROR(__xludf.DUMMYFUNCTION("""COMPUTED_VALUE"""),"Boyes")</f>
        <v>Boyes</v>
      </c>
      <c r="L1291" s="1"/>
      <c r="M1291" s="1" t="s">
        <v>41</v>
      </c>
      <c r="N1291" s="1" t="s">
        <v>30</v>
      </c>
      <c r="O1291" s="1" t="s">
        <v>233</v>
      </c>
      <c r="P1291" s="1" t="str">
        <f t="shared" si="1302"/>
        <v>New York City</v>
      </c>
      <c r="Q1291" s="1" t="s">
        <v>234</v>
      </c>
      <c r="R1291" s="1" t="str">
        <f t="shared" si="1303"/>
        <v>New York</v>
      </c>
      <c r="S1291" s="1">
        <v>10009</v>
      </c>
      <c r="T1291" s="1" t="s">
        <v>128</v>
      </c>
      <c r="U1291" s="1" t="s">
        <v>2963</v>
      </c>
      <c r="V1291" s="1" t="s">
        <v>46</v>
      </c>
      <c r="W1291" s="7">
        <v>20.82</v>
      </c>
      <c r="X1291" s="1">
        <v>1</v>
      </c>
      <c r="Y1291" s="7">
        <v>20.78</v>
      </c>
      <c r="Z1291" s="7">
        <f t="shared" ref="Z1291:AA1291" si="1319">W1291*X1291</f>
        <v>20.82</v>
      </c>
      <c r="AA1291" s="7">
        <f t="shared" si="1319"/>
        <v>20.78</v>
      </c>
      <c r="AB1291" s="7">
        <f t="shared" si="1305"/>
        <v>3.9999999999999147E-2</v>
      </c>
    </row>
    <row r="1292" spans="1:28">
      <c r="A1292" s="1">
        <v>1291</v>
      </c>
      <c r="B1292" s="1" t="s">
        <v>2964</v>
      </c>
      <c r="C1292" s="2">
        <v>43019</v>
      </c>
      <c r="D1292" s="6" t="str">
        <f t="shared" si="1300"/>
        <v>Oct</v>
      </c>
      <c r="E1292" s="6" t="str">
        <f t="shared" si="1301"/>
        <v>Qtr 4</v>
      </c>
      <c r="F1292" s="5">
        <v>43080</v>
      </c>
      <c r="G1292" s="1" t="s">
        <v>162</v>
      </c>
      <c r="H1292" s="1" t="s">
        <v>1738</v>
      </c>
      <c r="I1292" s="1" t="s">
        <v>1739</v>
      </c>
      <c r="J1292" s="1" t="str">
        <f ca="1">IFERROR(__xludf.DUMMYFUNCTION("split(I1292,"" "")"),"Chuck")</f>
        <v>Chuck</v>
      </c>
      <c r="K1292" s="1" t="str">
        <f ca="1">IFERROR(__xludf.DUMMYFUNCTION("""COMPUTED_VALUE"""),"Clark")</f>
        <v>Clark</v>
      </c>
      <c r="L1292" s="1"/>
      <c r="M1292" s="1" t="s">
        <v>87</v>
      </c>
      <c r="N1292" s="1" t="s">
        <v>30</v>
      </c>
      <c r="O1292" s="1" t="s">
        <v>110</v>
      </c>
      <c r="P1292" s="1" t="str">
        <f t="shared" si="1302"/>
        <v>San Francisco</v>
      </c>
      <c r="Q1292" s="1" t="s">
        <v>68</v>
      </c>
      <c r="R1292" s="1" t="str">
        <f t="shared" si="1303"/>
        <v>California</v>
      </c>
      <c r="S1292" s="1">
        <v>94122</v>
      </c>
      <c r="T1292" s="1" t="s">
        <v>44</v>
      </c>
      <c r="U1292" s="1" t="s">
        <v>2965</v>
      </c>
      <c r="V1292" s="1" t="s">
        <v>46</v>
      </c>
      <c r="W1292" s="7">
        <v>13.215999999999999</v>
      </c>
      <c r="X1292" s="1">
        <v>9</v>
      </c>
      <c r="Y1292" s="7">
        <v>13.11</v>
      </c>
      <c r="Z1292" s="7">
        <f t="shared" ref="Z1292:AA1292" si="1320">W1292*X1292</f>
        <v>118.94399999999999</v>
      </c>
      <c r="AA1292" s="7">
        <f t="shared" si="1320"/>
        <v>117.99</v>
      </c>
      <c r="AB1292" s="7">
        <f t="shared" si="1305"/>
        <v>0.95399999999999352</v>
      </c>
    </row>
    <row r="1293" spans="1:28">
      <c r="A1293" s="1">
        <v>1292</v>
      </c>
      <c r="B1293" s="1" t="s">
        <v>2964</v>
      </c>
      <c r="C1293" s="2">
        <v>43019</v>
      </c>
      <c r="D1293" s="6" t="str">
        <f t="shared" si="1300"/>
        <v>Oct</v>
      </c>
      <c r="E1293" s="6" t="str">
        <f t="shared" si="1301"/>
        <v>Qtr 4</v>
      </c>
      <c r="F1293" s="5">
        <v>43080</v>
      </c>
      <c r="G1293" s="1" t="s">
        <v>162</v>
      </c>
      <c r="H1293" s="1" t="s">
        <v>1738</v>
      </c>
      <c r="I1293" s="1" t="s">
        <v>1739</v>
      </c>
      <c r="J1293" s="1" t="str">
        <f ca="1">IFERROR(__xludf.DUMMYFUNCTION("split(I1293,"" "")"),"Chuck")</f>
        <v>Chuck</v>
      </c>
      <c r="K1293" s="1" t="str">
        <f ca="1">IFERROR(__xludf.DUMMYFUNCTION("""COMPUTED_VALUE"""),"Clark")</f>
        <v>Clark</v>
      </c>
      <c r="L1293" s="1"/>
      <c r="M1293" s="1" t="s">
        <v>87</v>
      </c>
      <c r="N1293" s="1" t="s">
        <v>30</v>
      </c>
      <c r="O1293" s="1" t="s">
        <v>110</v>
      </c>
      <c r="P1293" s="1" t="str">
        <f t="shared" si="1302"/>
        <v>San Francisco</v>
      </c>
      <c r="Q1293" s="1" t="s">
        <v>68</v>
      </c>
      <c r="R1293" s="1" t="str">
        <f t="shared" si="1303"/>
        <v>California</v>
      </c>
      <c r="S1293" s="1">
        <v>94122</v>
      </c>
      <c r="T1293" s="1" t="s">
        <v>44</v>
      </c>
      <c r="U1293" s="1" t="s">
        <v>2770</v>
      </c>
      <c r="V1293" s="1" t="s">
        <v>46</v>
      </c>
      <c r="W1293" s="7">
        <v>32.4</v>
      </c>
      <c r="X1293" s="1">
        <v>9</v>
      </c>
      <c r="Y1293" s="7">
        <v>32.35</v>
      </c>
      <c r="Z1293" s="7">
        <f t="shared" ref="Z1293:AA1293" si="1321">W1293*X1293</f>
        <v>291.59999999999997</v>
      </c>
      <c r="AA1293" s="7">
        <f t="shared" si="1321"/>
        <v>291.15000000000003</v>
      </c>
      <c r="AB1293" s="7">
        <f t="shared" si="1305"/>
        <v>0.44999999999993179</v>
      </c>
    </row>
    <row r="1294" spans="1:28">
      <c r="A1294" s="1">
        <v>1293</v>
      </c>
      <c r="B1294" s="1" t="s">
        <v>2966</v>
      </c>
      <c r="C1294" s="2">
        <v>42609</v>
      </c>
      <c r="D1294" s="6" t="str">
        <f t="shared" si="1300"/>
        <v>Aug</v>
      </c>
      <c r="E1294" s="6" t="str">
        <f t="shared" si="1301"/>
        <v>Qtr 3</v>
      </c>
      <c r="F1294" s="5">
        <v>42378</v>
      </c>
      <c r="G1294" s="1" t="s">
        <v>49</v>
      </c>
      <c r="H1294" s="1" t="s">
        <v>450</v>
      </c>
      <c r="I1294" s="1" t="s">
        <v>451</v>
      </c>
      <c r="J1294" s="1" t="str">
        <f ca="1">IFERROR(__xludf.DUMMYFUNCTION("split(I1294,"" "")"),"Philip")</f>
        <v>Philip</v>
      </c>
      <c r="K1294" s="1" t="str">
        <f ca="1">IFERROR(__xludf.DUMMYFUNCTION("""COMPUTED_VALUE"""),"Fox")</f>
        <v>Fox</v>
      </c>
      <c r="L1294" s="1"/>
      <c r="M1294" s="1" t="s">
        <v>29</v>
      </c>
      <c r="N1294" s="1" t="s">
        <v>30</v>
      </c>
      <c r="O1294" s="1" t="s">
        <v>778</v>
      </c>
      <c r="P1294" s="1" t="str">
        <f t="shared" si="1302"/>
        <v>San Diego</v>
      </c>
      <c r="Q1294" s="1" t="s">
        <v>68</v>
      </c>
      <c r="R1294" s="1" t="str">
        <f t="shared" si="1303"/>
        <v>California</v>
      </c>
      <c r="S1294" s="1">
        <v>92105</v>
      </c>
      <c r="T1294" s="1" t="s">
        <v>44</v>
      </c>
      <c r="U1294" s="1" t="s">
        <v>480</v>
      </c>
      <c r="V1294" s="1" t="s">
        <v>46</v>
      </c>
      <c r="W1294" s="7">
        <v>32.94</v>
      </c>
      <c r="X1294" s="1">
        <v>9</v>
      </c>
      <c r="Y1294" s="7">
        <v>32.26</v>
      </c>
      <c r="Z1294" s="7">
        <f t="shared" ref="Z1294:AA1294" si="1322">W1294*X1294</f>
        <v>296.45999999999998</v>
      </c>
      <c r="AA1294" s="7">
        <f t="shared" si="1322"/>
        <v>290.33999999999997</v>
      </c>
      <c r="AB1294" s="7">
        <f t="shared" si="1305"/>
        <v>6.1200000000000045</v>
      </c>
    </row>
    <row r="1295" spans="1:28">
      <c r="A1295" s="1">
        <v>1294</v>
      </c>
      <c r="B1295" s="1" t="s">
        <v>2966</v>
      </c>
      <c r="C1295" s="2">
        <v>42609</v>
      </c>
      <c r="D1295" s="6" t="str">
        <f t="shared" si="1300"/>
        <v>Aug</v>
      </c>
      <c r="E1295" s="6" t="str">
        <f t="shared" si="1301"/>
        <v>Qtr 3</v>
      </c>
      <c r="F1295" s="5">
        <v>42378</v>
      </c>
      <c r="G1295" s="1" t="s">
        <v>49</v>
      </c>
      <c r="H1295" s="1" t="s">
        <v>450</v>
      </c>
      <c r="I1295" s="1" t="s">
        <v>451</v>
      </c>
      <c r="J1295" s="1" t="str">
        <f ca="1">IFERROR(__xludf.DUMMYFUNCTION("split(I1295,"" "")"),"Philip")</f>
        <v>Philip</v>
      </c>
      <c r="K1295" s="1" t="str">
        <f ca="1">IFERROR(__xludf.DUMMYFUNCTION("""COMPUTED_VALUE"""),"Fox")</f>
        <v>Fox</v>
      </c>
      <c r="L1295" s="1"/>
      <c r="M1295" s="1" t="s">
        <v>29</v>
      </c>
      <c r="N1295" s="1" t="s">
        <v>30</v>
      </c>
      <c r="O1295" s="1" t="s">
        <v>778</v>
      </c>
      <c r="P1295" s="1" t="str">
        <f t="shared" si="1302"/>
        <v>San Diego</v>
      </c>
      <c r="Q1295" s="1" t="s">
        <v>68</v>
      </c>
      <c r="R1295" s="1" t="str">
        <f t="shared" si="1303"/>
        <v>California</v>
      </c>
      <c r="S1295" s="1">
        <v>92105</v>
      </c>
      <c r="T1295" s="1" t="s">
        <v>44</v>
      </c>
      <c r="U1295" s="1" t="s">
        <v>2967</v>
      </c>
      <c r="V1295" s="1" t="s">
        <v>46</v>
      </c>
      <c r="W1295" s="7">
        <v>114.2</v>
      </c>
      <c r="X1295" s="1">
        <v>9</v>
      </c>
      <c r="Y1295" s="7">
        <v>113.35</v>
      </c>
      <c r="Z1295" s="7">
        <f t="shared" ref="Z1295:AA1295" si="1323">W1295*X1295</f>
        <v>1027.8</v>
      </c>
      <c r="AA1295" s="7">
        <f t="shared" si="1323"/>
        <v>1020.15</v>
      </c>
      <c r="AB1295" s="7">
        <f t="shared" si="1305"/>
        <v>7.6499999999999773</v>
      </c>
    </row>
    <row r="1296" spans="1:28">
      <c r="A1296" s="1">
        <v>1295</v>
      </c>
      <c r="B1296" s="1" t="s">
        <v>2966</v>
      </c>
      <c r="C1296" s="2">
        <v>42609</v>
      </c>
      <c r="D1296" s="6" t="str">
        <f t="shared" si="1300"/>
        <v>Aug</v>
      </c>
      <c r="E1296" s="6" t="str">
        <f t="shared" si="1301"/>
        <v>Qtr 3</v>
      </c>
      <c r="F1296" s="5">
        <v>42378</v>
      </c>
      <c r="G1296" s="1" t="s">
        <v>49</v>
      </c>
      <c r="H1296" s="1" t="s">
        <v>450</v>
      </c>
      <c r="I1296" s="1" t="s">
        <v>451</v>
      </c>
      <c r="J1296" s="1" t="str">
        <f ca="1">IFERROR(__xludf.DUMMYFUNCTION("split(I1296,"" "")"),"Philip")</f>
        <v>Philip</v>
      </c>
      <c r="K1296" s="1" t="str">
        <f ca="1">IFERROR(__xludf.DUMMYFUNCTION("""COMPUTED_VALUE"""),"Fox")</f>
        <v>Fox</v>
      </c>
      <c r="L1296" s="1"/>
      <c r="M1296" s="1" t="s">
        <v>29</v>
      </c>
      <c r="N1296" s="1" t="s">
        <v>30</v>
      </c>
      <c r="O1296" s="1" t="s">
        <v>778</v>
      </c>
      <c r="P1296" s="1" t="str">
        <f t="shared" si="1302"/>
        <v>San Diego</v>
      </c>
      <c r="Q1296" s="1" t="s">
        <v>68</v>
      </c>
      <c r="R1296" s="1" t="str">
        <f t="shared" si="1303"/>
        <v>California</v>
      </c>
      <c r="S1296" s="1">
        <v>92105</v>
      </c>
      <c r="T1296" s="1" t="s">
        <v>44</v>
      </c>
      <c r="U1296" s="1" t="s">
        <v>333</v>
      </c>
      <c r="V1296" s="1" t="s">
        <v>46</v>
      </c>
      <c r="W1296" s="7">
        <v>3.08</v>
      </c>
      <c r="X1296" s="1">
        <v>9</v>
      </c>
      <c r="Y1296" s="7">
        <v>3.07</v>
      </c>
      <c r="Z1296" s="7">
        <f t="shared" ref="Z1296:AA1296" si="1324">W1296*X1296</f>
        <v>27.72</v>
      </c>
      <c r="AA1296" s="7">
        <f t="shared" si="1324"/>
        <v>27.63</v>
      </c>
      <c r="AB1296" s="7">
        <f t="shared" si="1305"/>
        <v>8.9999999999999858E-2</v>
      </c>
    </row>
    <row r="1297" spans="1:28">
      <c r="A1297" s="1">
        <v>1296</v>
      </c>
      <c r="B1297" s="1" t="s">
        <v>2968</v>
      </c>
      <c r="C1297" s="2">
        <v>42515</v>
      </c>
      <c r="D1297" s="6" t="str">
        <f t="shared" si="1300"/>
        <v>May</v>
      </c>
      <c r="E1297" s="6" t="str">
        <f t="shared" si="1301"/>
        <v>Qtr 2</v>
      </c>
      <c r="F1297" s="5" t="s">
        <v>2969</v>
      </c>
      <c r="G1297" s="1" t="s">
        <v>49</v>
      </c>
      <c r="H1297" s="1" t="s">
        <v>2970</v>
      </c>
      <c r="I1297" s="1" t="s">
        <v>2971</v>
      </c>
      <c r="J1297" s="1" t="str">
        <f ca="1">IFERROR(__xludf.DUMMYFUNCTION("split(I1297,"" "")"),"Justin")</f>
        <v>Justin</v>
      </c>
      <c r="K1297" s="1" t="str">
        <f ca="1">IFERROR(__xludf.DUMMYFUNCTION("""COMPUTED_VALUE"""),"Hirsh")</f>
        <v>Hirsh</v>
      </c>
      <c r="L1297" s="1"/>
      <c r="M1297" s="1" t="s">
        <v>29</v>
      </c>
      <c r="N1297" s="1" t="s">
        <v>30</v>
      </c>
      <c r="O1297" s="1" t="s">
        <v>2972</v>
      </c>
      <c r="P1297" s="1" t="str">
        <f t="shared" si="1302"/>
        <v>Pueblo</v>
      </c>
      <c r="Q1297" s="1" t="s">
        <v>386</v>
      </c>
      <c r="R1297" s="1" t="str">
        <f t="shared" si="1303"/>
        <v>Colorado</v>
      </c>
      <c r="S1297" s="1">
        <v>81001</v>
      </c>
      <c r="T1297" s="1" t="s">
        <v>44</v>
      </c>
      <c r="U1297" s="1" t="s">
        <v>2318</v>
      </c>
      <c r="V1297" s="1" t="s">
        <v>46</v>
      </c>
      <c r="W1297" s="7">
        <v>845.72799999999995</v>
      </c>
      <c r="X1297" s="1">
        <v>8</v>
      </c>
      <c r="Y1297" s="7">
        <v>844.99</v>
      </c>
      <c r="Z1297" s="7">
        <f t="shared" ref="Z1297:AA1297" si="1325">W1297*X1297</f>
        <v>6765.8239999999996</v>
      </c>
      <c r="AA1297" s="7">
        <f t="shared" si="1325"/>
        <v>6759.92</v>
      </c>
      <c r="AB1297" s="7">
        <f t="shared" si="1305"/>
        <v>5.9039999999995416</v>
      </c>
    </row>
    <row r="1298" spans="1:28">
      <c r="A1298" s="1">
        <v>1297</v>
      </c>
      <c r="B1298" s="1" t="s">
        <v>2973</v>
      </c>
      <c r="C1298" s="2">
        <v>43464</v>
      </c>
      <c r="D1298" s="6" t="str">
        <f t="shared" si="1300"/>
        <v>Dec</v>
      </c>
      <c r="E1298" s="6" t="str">
        <f t="shared" si="1301"/>
        <v>Qtr 4</v>
      </c>
      <c r="F1298" s="5">
        <v>43525</v>
      </c>
      <c r="G1298" s="1" t="s">
        <v>49</v>
      </c>
      <c r="H1298" s="1" t="s">
        <v>2974</v>
      </c>
      <c r="I1298" s="1" t="s">
        <v>2975</v>
      </c>
      <c r="J1298" s="1" t="str">
        <f ca="1">IFERROR(__xludf.DUMMYFUNCTION("split(I1298,"" "")"),"Erica")</f>
        <v>Erica</v>
      </c>
      <c r="K1298" s="1" t="str">
        <f ca="1">IFERROR(__xludf.DUMMYFUNCTION("""COMPUTED_VALUE"""),"Bern")</f>
        <v>Bern</v>
      </c>
      <c r="L1298" s="1"/>
      <c r="M1298" s="1" t="s">
        <v>41</v>
      </c>
      <c r="N1298" s="1" t="s">
        <v>30</v>
      </c>
      <c r="O1298" s="1" t="s">
        <v>616</v>
      </c>
      <c r="P1298" s="1" t="str">
        <f t="shared" si="1302"/>
        <v>Fairfield</v>
      </c>
      <c r="Q1298" s="1" t="s">
        <v>68</v>
      </c>
      <c r="R1298" s="1" t="str">
        <f t="shared" si="1303"/>
        <v>California</v>
      </c>
      <c r="S1298" s="1">
        <v>94533</v>
      </c>
      <c r="T1298" s="1" t="s">
        <v>44</v>
      </c>
      <c r="U1298" s="1" t="s">
        <v>1674</v>
      </c>
      <c r="V1298" s="1" t="s">
        <v>46</v>
      </c>
      <c r="W1298" s="7">
        <v>13.904</v>
      </c>
      <c r="X1298" s="1">
        <v>9</v>
      </c>
      <c r="Y1298" s="7">
        <v>13.62</v>
      </c>
      <c r="Z1298" s="7">
        <f t="shared" ref="Z1298:AA1298" si="1326">W1298*X1298</f>
        <v>125.136</v>
      </c>
      <c r="AA1298" s="7">
        <f t="shared" si="1326"/>
        <v>122.58</v>
      </c>
      <c r="AB1298" s="7">
        <f t="shared" si="1305"/>
        <v>2.5559999999999974</v>
      </c>
    </row>
    <row r="1299" spans="1:28">
      <c r="A1299" s="1">
        <v>1298</v>
      </c>
      <c r="B1299" s="1" t="s">
        <v>2973</v>
      </c>
      <c r="C1299" s="2">
        <v>43464</v>
      </c>
      <c r="D1299" s="6" t="str">
        <f t="shared" si="1300"/>
        <v>Dec</v>
      </c>
      <c r="E1299" s="6" t="str">
        <f t="shared" si="1301"/>
        <v>Qtr 4</v>
      </c>
      <c r="F1299" s="5">
        <v>43525</v>
      </c>
      <c r="G1299" s="1" t="s">
        <v>49</v>
      </c>
      <c r="H1299" s="1" t="s">
        <v>2974</v>
      </c>
      <c r="I1299" s="1" t="s">
        <v>2975</v>
      </c>
      <c r="J1299" s="1" t="str">
        <f ca="1">IFERROR(__xludf.DUMMYFUNCTION("split(I1299,"" "")"),"Erica")</f>
        <v>Erica</v>
      </c>
      <c r="K1299" s="1" t="str">
        <f ca="1">IFERROR(__xludf.DUMMYFUNCTION("""COMPUTED_VALUE"""),"Bern")</f>
        <v>Bern</v>
      </c>
      <c r="L1299" s="1"/>
      <c r="M1299" s="1" t="s">
        <v>41</v>
      </c>
      <c r="N1299" s="1" t="s">
        <v>30</v>
      </c>
      <c r="O1299" s="1" t="s">
        <v>616</v>
      </c>
      <c r="P1299" s="1" t="str">
        <f t="shared" si="1302"/>
        <v>Fairfield</v>
      </c>
      <c r="Q1299" s="1" t="s">
        <v>68</v>
      </c>
      <c r="R1299" s="1" t="str">
        <f t="shared" si="1303"/>
        <v>California</v>
      </c>
      <c r="S1299" s="1">
        <v>94533</v>
      </c>
      <c r="T1299" s="1" t="s">
        <v>44</v>
      </c>
      <c r="U1299" s="1" t="s">
        <v>1805</v>
      </c>
      <c r="V1299" s="1" t="s">
        <v>46</v>
      </c>
      <c r="W1299" s="7">
        <v>20.72</v>
      </c>
      <c r="X1299" s="1">
        <v>9</v>
      </c>
      <c r="Y1299" s="7">
        <v>19.89</v>
      </c>
      <c r="Z1299" s="7">
        <f t="shared" ref="Z1299:AA1299" si="1327">W1299*X1299</f>
        <v>186.48</v>
      </c>
      <c r="AA1299" s="7">
        <f t="shared" si="1327"/>
        <v>179.01</v>
      </c>
      <c r="AB1299" s="7">
        <f t="shared" si="1305"/>
        <v>7.4699999999999989</v>
      </c>
    </row>
    <row r="1300" spans="1:28">
      <c r="A1300" s="1">
        <v>1299</v>
      </c>
      <c r="B1300" s="1" t="s">
        <v>2976</v>
      </c>
      <c r="C1300" s="2">
        <v>42959</v>
      </c>
      <c r="D1300" s="6" t="str">
        <f t="shared" si="1300"/>
        <v>Aug</v>
      </c>
      <c r="E1300" s="6" t="str">
        <f t="shared" si="1301"/>
        <v>Qtr 3</v>
      </c>
      <c r="F1300" s="5">
        <v>43081</v>
      </c>
      <c r="G1300" s="1" t="s">
        <v>26</v>
      </c>
      <c r="H1300" s="1" t="s">
        <v>2977</v>
      </c>
      <c r="I1300" s="1" t="s">
        <v>2978</v>
      </c>
      <c r="J1300" s="1" t="str">
        <f ca="1">IFERROR(__xludf.DUMMYFUNCTION("split(I1300,"" "")"),"Quincy")</f>
        <v>Quincy</v>
      </c>
      <c r="K1300" s="1" t="str">
        <f ca="1">IFERROR(__xludf.DUMMYFUNCTION("""COMPUTED_VALUE"""),"Jones")</f>
        <v>Jones</v>
      </c>
      <c r="L1300" s="1"/>
      <c r="M1300" s="1" t="s">
        <v>41</v>
      </c>
      <c r="N1300" s="1" t="s">
        <v>30</v>
      </c>
      <c r="O1300" s="1" t="s">
        <v>369</v>
      </c>
      <c r="P1300" s="1" t="str">
        <f t="shared" si="1302"/>
        <v>Saint Paul</v>
      </c>
      <c r="Q1300" s="1" t="s">
        <v>201</v>
      </c>
      <c r="R1300" s="1" t="str">
        <f t="shared" si="1303"/>
        <v>Minnesota</v>
      </c>
      <c r="S1300" s="1">
        <v>55106</v>
      </c>
      <c r="T1300" s="1" t="s">
        <v>90</v>
      </c>
      <c r="U1300" s="1" t="s">
        <v>1450</v>
      </c>
      <c r="V1300" s="1" t="s">
        <v>64</v>
      </c>
      <c r="W1300" s="7">
        <v>114.95</v>
      </c>
      <c r="X1300" s="1">
        <v>5</v>
      </c>
      <c r="Y1300" s="7">
        <v>113.97</v>
      </c>
      <c r="Z1300" s="7">
        <f t="shared" ref="Z1300:AA1300" si="1328">W1300*X1300</f>
        <v>574.75</v>
      </c>
      <c r="AA1300" s="7">
        <f t="shared" si="1328"/>
        <v>569.85</v>
      </c>
      <c r="AB1300" s="7">
        <f t="shared" si="1305"/>
        <v>4.8999999999999773</v>
      </c>
    </row>
    <row r="1301" spans="1:28">
      <c r="A1301" s="1">
        <v>1300</v>
      </c>
      <c r="B1301" s="1" t="s">
        <v>2979</v>
      </c>
      <c r="C1301" s="2">
        <v>42470</v>
      </c>
      <c r="D1301" s="6" t="str">
        <f t="shared" si="1300"/>
        <v>Apr</v>
      </c>
      <c r="E1301" s="6" t="str">
        <f t="shared" si="1301"/>
        <v>Qtr 2</v>
      </c>
      <c r="F1301" s="5">
        <v>42561</v>
      </c>
      <c r="G1301" s="1" t="s">
        <v>162</v>
      </c>
      <c r="H1301" s="1" t="s">
        <v>2753</v>
      </c>
      <c r="I1301" s="1" t="s">
        <v>2754</v>
      </c>
      <c r="J1301" s="1" t="str">
        <f ca="1">IFERROR(__xludf.DUMMYFUNCTION("split(I1301,"" "")"),"Alex")</f>
        <v>Alex</v>
      </c>
      <c r="K1301" s="1" t="str">
        <f ca="1">IFERROR(__xludf.DUMMYFUNCTION("""COMPUTED_VALUE"""),"Avila")</f>
        <v>Avila</v>
      </c>
      <c r="L1301" s="1"/>
      <c r="M1301" s="1" t="s">
        <v>29</v>
      </c>
      <c r="N1301" s="1" t="s">
        <v>30</v>
      </c>
      <c r="O1301" s="1" t="s">
        <v>110</v>
      </c>
      <c r="P1301" s="1" t="str">
        <f t="shared" si="1302"/>
        <v>San Francisco</v>
      </c>
      <c r="Q1301" s="1" t="s">
        <v>68</v>
      </c>
      <c r="R1301" s="1" t="str">
        <f t="shared" si="1303"/>
        <v>California</v>
      </c>
      <c r="S1301" s="1">
        <v>94109</v>
      </c>
      <c r="T1301" s="1" t="s">
        <v>44</v>
      </c>
      <c r="U1301" s="1" t="s">
        <v>527</v>
      </c>
      <c r="V1301" s="1" t="s">
        <v>46</v>
      </c>
      <c r="W1301" s="7">
        <v>26.96</v>
      </c>
      <c r="X1301" s="1">
        <v>9</v>
      </c>
      <c r="Y1301" s="7">
        <v>26.06</v>
      </c>
      <c r="Z1301" s="7">
        <f t="shared" ref="Z1301:AA1301" si="1329">W1301*X1301</f>
        <v>242.64000000000001</v>
      </c>
      <c r="AA1301" s="7">
        <f t="shared" si="1329"/>
        <v>234.54</v>
      </c>
      <c r="AB1301" s="7">
        <f t="shared" si="1305"/>
        <v>8.1000000000000227</v>
      </c>
    </row>
    <row r="1302" spans="1:28">
      <c r="A1302" s="1">
        <v>1301</v>
      </c>
      <c r="B1302" s="1" t="s">
        <v>2980</v>
      </c>
      <c r="C1302" s="2">
        <v>43092</v>
      </c>
      <c r="D1302" s="6" t="str">
        <f t="shared" si="1300"/>
        <v>Dec</v>
      </c>
      <c r="E1302" s="6" t="str">
        <f t="shared" si="1301"/>
        <v>Qtr 4</v>
      </c>
      <c r="F1302" s="5" t="s">
        <v>2981</v>
      </c>
      <c r="G1302" s="1" t="s">
        <v>26</v>
      </c>
      <c r="H1302" s="1" t="s">
        <v>675</v>
      </c>
      <c r="I1302" s="1" t="s">
        <v>676</v>
      </c>
      <c r="J1302" s="1" t="str">
        <f ca="1">IFERROR(__xludf.DUMMYFUNCTION("split(I1302,"" "")"),"Logan")</f>
        <v>Logan</v>
      </c>
      <c r="K1302" s="1" t="str">
        <f ca="1">IFERROR(__xludf.DUMMYFUNCTION("""COMPUTED_VALUE"""),"Currie")</f>
        <v>Currie</v>
      </c>
      <c r="L1302" s="1"/>
      <c r="M1302" s="1" t="s">
        <v>29</v>
      </c>
      <c r="N1302" s="1" t="s">
        <v>30</v>
      </c>
      <c r="O1302" s="1" t="s">
        <v>271</v>
      </c>
      <c r="P1302" s="1" t="str">
        <f t="shared" si="1302"/>
        <v>Springfield</v>
      </c>
      <c r="Q1302" s="1" t="s">
        <v>272</v>
      </c>
      <c r="R1302" s="1" t="str">
        <f t="shared" si="1303"/>
        <v>Virginia</v>
      </c>
      <c r="S1302" s="1">
        <v>22153</v>
      </c>
      <c r="T1302" s="1" t="s">
        <v>33</v>
      </c>
      <c r="U1302" s="1" t="s">
        <v>167</v>
      </c>
      <c r="V1302" s="1" t="s">
        <v>35</v>
      </c>
      <c r="W1302" s="7">
        <v>572.76</v>
      </c>
      <c r="X1302" s="1">
        <v>2</v>
      </c>
      <c r="Y1302" s="7">
        <v>572.23</v>
      </c>
      <c r="Z1302" s="7">
        <f t="shared" ref="Z1302:AA1302" si="1330">W1302*X1302</f>
        <v>1145.52</v>
      </c>
      <c r="AA1302" s="7">
        <f t="shared" si="1330"/>
        <v>1144.46</v>
      </c>
      <c r="AB1302" s="7">
        <f t="shared" si="1305"/>
        <v>1.0599999999999454</v>
      </c>
    </row>
    <row r="1303" spans="1:28">
      <c r="A1303" s="1">
        <v>1302</v>
      </c>
      <c r="B1303" s="1" t="s">
        <v>2980</v>
      </c>
      <c r="C1303" s="2">
        <v>43092</v>
      </c>
      <c r="D1303" s="6" t="str">
        <f t="shared" si="1300"/>
        <v>Dec</v>
      </c>
      <c r="E1303" s="6" t="str">
        <f t="shared" si="1301"/>
        <v>Qtr 4</v>
      </c>
      <c r="F1303" s="5" t="s">
        <v>2981</v>
      </c>
      <c r="G1303" s="1" t="s">
        <v>26</v>
      </c>
      <c r="H1303" s="1" t="s">
        <v>675</v>
      </c>
      <c r="I1303" s="1" t="s">
        <v>676</v>
      </c>
      <c r="J1303" s="1" t="str">
        <f ca="1">IFERROR(__xludf.DUMMYFUNCTION("split(I1303,"" "")"),"Logan")</f>
        <v>Logan</v>
      </c>
      <c r="K1303" s="1" t="str">
        <f ca="1">IFERROR(__xludf.DUMMYFUNCTION("""COMPUTED_VALUE"""),"Currie")</f>
        <v>Currie</v>
      </c>
      <c r="L1303" s="1"/>
      <c r="M1303" s="1" t="s">
        <v>29</v>
      </c>
      <c r="N1303" s="1" t="s">
        <v>30</v>
      </c>
      <c r="O1303" s="1" t="s">
        <v>271</v>
      </c>
      <c r="P1303" s="1" t="str">
        <f t="shared" si="1302"/>
        <v>Springfield</v>
      </c>
      <c r="Q1303" s="1" t="s">
        <v>272</v>
      </c>
      <c r="R1303" s="1" t="str">
        <f t="shared" si="1303"/>
        <v>Virginia</v>
      </c>
      <c r="S1303" s="1">
        <v>22153</v>
      </c>
      <c r="T1303" s="1" t="s">
        <v>33</v>
      </c>
      <c r="U1303" s="1" t="s">
        <v>167</v>
      </c>
      <c r="V1303" s="1" t="s">
        <v>35</v>
      </c>
      <c r="W1303" s="7">
        <v>286.38</v>
      </c>
      <c r="X1303" s="1">
        <v>2</v>
      </c>
      <c r="Y1303" s="7">
        <v>285.56</v>
      </c>
      <c r="Z1303" s="7">
        <f t="shared" ref="Z1303:AA1303" si="1331">W1303*X1303</f>
        <v>572.76</v>
      </c>
      <c r="AA1303" s="7">
        <f t="shared" si="1331"/>
        <v>571.12</v>
      </c>
      <c r="AB1303" s="7">
        <f t="shared" si="1305"/>
        <v>1.6399999999999864</v>
      </c>
    </row>
    <row r="1304" spans="1:28">
      <c r="A1304" s="1">
        <v>1303</v>
      </c>
      <c r="B1304" s="1" t="s">
        <v>2982</v>
      </c>
      <c r="C1304" s="2">
        <v>42632</v>
      </c>
      <c r="D1304" s="6" t="str">
        <f t="shared" si="1300"/>
        <v>Sep</v>
      </c>
      <c r="E1304" s="6" t="str">
        <f t="shared" si="1301"/>
        <v>Qtr 3</v>
      </c>
      <c r="F1304" s="5" t="s">
        <v>2983</v>
      </c>
      <c r="G1304" s="1" t="s">
        <v>26</v>
      </c>
      <c r="H1304" s="1" t="s">
        <v>2984</v>
      </c>
      <c r="I1304" s="1" t="s">
        <v>2985</v>
      </c>
      <c r="J1304" s="1" t="str">
        <f ca="1">IFERROR(__xludf.DUMMYFUNCTION("split(I1304,"" "")"),"Tracy")</f>
        <v>Tracy</v>
      </c>
      <c r="K1304" s="1" t="str">
        <f ca="1">IFERROR(__xludf.DUMMYFUNCTION("""COMPUTED_VALUE"""),"Collins")</f>
        <v>Collins</v>
      </c>
      <c r="L1304" s="1"/>
      <c r="M1304" s="1" t="s">
        <v>87</v>
      </c>
      <c r="N1304" s="1" t="s">
        <v>30</v>
      </c>
      <c r="O1304" s="1" t="s">
        <v>917</v>
      </c>
      <c r="P1304" s="1" t="str">
        <f t="shared" si="1302"/>
        <v>Arlington</v>
      </c>
      <c r="Q1304" s="1" t="s">
        <v>272</v>
      </c>
      <c r="R1304" s="1" t="str">
        <f t="shared" si="1303"/>
        <v>Virginia</v>
      </c>
      <c r="S1304" s="1">
        <v>22204</v>
      </c>
      <c r="T1304" s="1" t="s">
        <v>33</v>
      </c>
      <c r="U1304" s="1" t="s">
        <v>2986</v>
      </c>
      <c r="V1304" s="1" t="s">
        <v>35</v>
      </c>
      <c r="W1304" s="7">
        <v>61.96</v>
      </c>
      <c r="X1304" s="1">
        <v>2</v>
      </c>
      <c r="Y1304" s="7">
        <v>61.66</v>
      </c>
      <c r="Z1304" s="7">
        <f t="shared" ref="Z1304:AA1304" si="1332">W1304*X1304</f>
        <v>123.92</v>
      </c>
      <c r="AA1304" s="7">
        <f t="shared" si="1332"/>
        <v>123.32</v>
      </c>
      <c r="AB1304" s="7">
        <f t="shared" si="1305"/>
        <v>0.60000000000000853</v>
      </c>
    </row>
    <row r="1305" spans="1:28">
      <c r="A1305" s="1">
        <v>1304</v>
      </c>
      <c r="B1305" s="1" t="s">
        <v>2987</v>
      </c>
      <c r="C1305" s="2">
        <v>43166</v>
      </c>
      <c r="D1305" s="6" t="str">
        <f t="shared" si="1300"/>
        <v>Mar</v>
      </c>
      <c r="E1305" s="6" t="str">
        <f t="shared" si="1301"/>
        <v>Qtr 1</v>
      </c>
      <c r="F1305" s="5">
        <v>43288</v>
      </c>
      <c r="G1305" s="1" t="s">
        <v>49</v>
      </c>
      <c r="H1305" s="1" t="s">
        <v>2988</v>
      </c>
      <c r="I1305" s="1" t="s">
        <v>2989</v>
      </c>
      <c r="J1305" s="1" t="str">
        <f ca="1">IFERROR(__xludf.DUMMYFUNCTION("split(I1305,"" "")"),"Chuck")</f>
        <v>Chuck</v>
      </c>
      <c r="K1305" s="1" t="str">
        <f ca="1">IFERROR(__xludf.DUMMYFUNCTION("""COMPUTED_VALUE"""),"Sachs")</f>
        <v>Sachs</v>
      </c>
      <c r="L1305" s="1"/>
      <c r="M1305" s="1" t="s">
        <v>29</v>
      </c>
      <c r="N1305" s="1" t="s">
        <v>30</v>
      </c>
      <c r="O1305" s="1" t="s">
        <v>420</v>
      </c>
      <c r="P1305" s="1" t="str">
        <f t="shared" si="1302"/>
        <v>Columbus</v>
      </c>
      <c r="Q1305" s="1" t="s">
        <v>1035</v>
      </c>
      <c r="R1305" s="1" t="str">
        <f t="shared" si="1303"/>
        <v>Georgia</v>
      </c>
      <c r="S1305" s="1">
        <v>31907</v>
      </c>
      <c r="T1305" s="1" t="s">
        <v>33</v>
      </c>
      <c r="U1305" s="1" t="s">
        <v>2990</v>
      </c>
      <c r="V1305" s="1" t="s">
        <v>35</v>
      </c>
      <c r="W1305" s="7">
        <v>23.99</v>
      </c>
      <c r="X1305" s="1">
        <v>3</v>
      </c>
      <c r="Y1305" s="7">
        <v>23.25</v>
      </c>
      <c r="Z1305" s="7">
        <f t="shared" ref="Z1305:AA1305" si="1333">W1305*X1305</f>
        <v>71.97</v>
      </c>
      <c r="AA1305" s="7">
        <f t="shared" si="1333"/>
        <v>69.75</v>
      </c>
      <c r="AB1305" s="7">
        <f t="shared" si="1305"/>
        <v>2.2199999999999989</v>
      </c>
    </row>
    <row r="1306" spans="1:28">
      <c r="A1306" s="1">
        <v>1305</v>
      </c>
      <c r="B1306" s="1" t="s">
        <v>2987</v>
      </c>
      <c r="C1306" s="2">
        <v>43166</v>
      </c>
      <c r="D1306" s="6" t="str">
        <f t="shared" si="1300"/>
        <v>Mar</v>
      </c>
      <c r="E1306" s="6" t="str">
        <f t="shared" si="1301"/>
        <v>Qtr 1</v>
      </c>
      <c r="F1306" s="5">
        <v>43288</v>
      </c>
      <c r="G1306" s="1" t="s">
        <v>49</v>
      </c>
      <c r="H1306" s="1" t="s">
        <v>2988</v>
      </c>
      <c r="I1306" s="1" t="s">
        <v>2989</v>
      </c>
      <c r="J1306" s="1" t="str">
        <f ca="1">IFERROR(__xludf.DUMMYFUNCTION("split(I1306,"" "")"),"Chuck")</f>
        <v>Chuck</v>
      </c>
      <c r="K1306" s="1" t="str">
        <f ca="1">IFERROR(__xludf.DUMMYFUNCTION("""COMPUTED_VALUE"""),"Sachs")</f>
        <v>Sachs</v>
      </c>
      <c r="L1306" s="1"/>
      <c r="M1306" s="1" t="s">
        <v>29</v>
      </c>
      <c r="N1306" s="1" t="s">
        <v>30</v>
      </c>
      <c r="O1306" s="1" t="s">
        <v>420</v>
      </c>
      <c r="P1306" s="1" t="str">
        <f t="shared" si="1302"/>
        <v>Columbus</v>
      </c>
      <c r="Q1306" s="1" t="s">
        <v>1035</v>
      </c>
      <c r="R1306" s="1" t="str">
        <f t="shared" si="1303"/>
        <v>Georgia</v>
      </c>
      <c r="S1306" s="1">
        <v>31907</v>
      </c>
      <c r="T1306" s="1" t="s">
        <v>33</v>
      </c>
      <c r="U1306" s="1" t="s">
        <v>2120</v>
      </c>
      <c r="V1306" s="1" t="s">
        <v>64</v>
      </c>
      <c r="W1306" s="7">
        <v>287.97000000000003</v>
      </c>
      <c r="X1306" s="1">
        <v>3</v>
      </c>
      <c r="Y1306" s="7">
        <v>287.77999999999997</v>
      </c>
      <c r="Z1306" s="7">
        <f t="shared" ref="Z1306:AA1306" si="1334">W1306*X1306</f>
        <v>863.91000000000008</v>
      </c>
      <c r="AA1306" s="7">
        <f t="shared" si="1334"/>
        <v>863.33999999999992</v>
      </c>
      <c r="AB1306" s="7">
        <f t="shared" si="1305"/>
        <v>0.57000000000016371</v>
      </c>
    </row>
    <row r="1307" spans="1:28">
      <c r="A1307" s="1">
        <v>1306</v>
      </c>
      <c r="B1307" s="1" t="s">
        <v>2991</v>
      </c>
      <c r="C1307" s="2">
        <v>42930</v>
      </c>
      <c r="D1307" s="6" t="str">
        <f t="shared" si="1300"/>
        <v>Jul</v>
      </c>
      <c r="E1307" s="6" t="str">
        <f t="shared" si="1301"/>
        <v>Qtr 3</v>
      </c>
      <c r="F1307" s="5" t="s">
        <v>1481</v>
      </c>
      <c r="G1307" s="1" t="s">
        <v>26</v>
      </c>
      <c r="H1307" s="1" t="s">
        <v>2012</v>
      </c>
      <c r="I1307" s="1" t="s">
        <v>2013</v>
      </c>
      <c r="J1307" s="1" t="str">
        <f ca="1">IFERROR(__xludf.DUMMYFUNCTION("split(I1307,"" "")"),"Bryan")</f>
        <v>Bryan</v>
      </c>
      <c r="K1307" s="1" t="str">
        <f ca="1">IFERROR(__xludf.DUMMYFUNCTION("""COMPUTED_VALUE"""),"Mills")</f>
        <v>Mills</v>
      </c>
      <c r="L1307" s="1"/>
      <c r="M1307" s="1" t="s">
        <v>29</v>
      </c>
      <c r="N1307" s="1" t="s">
        <v>30</v>
      </c>
      <c r="O1307" s="1" t="s">
        <v>172</v>
      </c>
      <c r="P1307" s="1" t="str">
        <f t="shared" si="1302"/>
        <v>Houston</v>
      </c>
      <c r="Q1307" s="1" t="s">
        <v>89</v>
      </c>
      <c r="R1307" s="1" t="str">
        <f t="shared" si="1303"/>
        <v>Texas</v>
      </c>
      <c r="S1307" s="1">
        <v>77036</v>
      </c>
      <c r="T1307" s="1" t="s">
        <v>90</v>
      </c>
      <c r="U1307" s="1" t="s">
        <v>2992</v>
      </c>
      <c r="V1307" s="1" t="s">
        <v>64</v>
      </c>
      <c r="W1307" s="7">
        <v>419.94400000000002</v>
      </c>
      <c r="X1307" s="1">
        <v>7</v>
      </c>
      <c r="Y1307" s="7">
        <v>419.72</v>
      </c>
      <c r="Z1307" s="7">
        <f t="shared" ref="Z1307:AA1307" si="1335">W1307*X1307</f>
        <v>2939.6080000000002</v>
      </c>
      <c r="AA1307" s="7">
        <f t="shared" si="1335"/>
        <v>2938.04</v>
      </c>
      <c r="AB1307" s="7">
        <f t="shared" si="1305"/>
        <v>1.568000000000211</v>
      </c>
    </row>
    <row r="1308" spans="1:28">
      <c r="A1308" s="1">
        <v>1307</v>
      </c>
      <c r="B1308" s="1" t="s">
        <v>2993</v>
      </c>
      <c r="C1308" s="2">
        <v>42906</v>
      </c>
      <c r="D1308" s="6" t="str">
        <f t="shared" si="1300"/>
        <v>Jun</v>
      </c>
      <c r="E1308" s="6" t="str">
        <f t="shared" si="1301"/>
        <v>Qtr 2</v>
      </c>
      <c r="F1308" s="5" t="s">
        <v>2994</v>
      </c>
      <c r="G1308" s="1" t="s">
        <v>162</v>
      </c>
      <c r="H1308" s="1" t="s">
        <v>807</v>
      </c>
      <c r="I1308" s="1" t="s">
        <v>808</v>
      </c>
      <c r="J1308" s="1" t="str">
        <f ca="1">IFERROR(__xludf.DUMMYFUNCTION("split(I1308,"" "")"),"Roy")</f>
        <v>Roy</v>
      </c>
      <c r="K1308" s="1" t="str">
        <f ca="1">IFERROR(__xludf.DUMMYFUNCTION("""COMPUTED_VALUE"""),"Collins")</f>
        <v>Collins</v>
      </c>
      <c r="L1308" s="1"/>
      <c r="M1308" s="1" t="s">
        <v>29</v>
      </c>
      <c r="N1308" s="1" t="s">
        <v>30</v>
      </c>
      <c r="O1308" s="1" t="s">
        <v>500</v>
      </c>
      <c r="P1308" s="1" t="str">
        <f t="shared" si="1302"/>
        <v>Pasadena</v>
      </c>
      <c r="Q1308" s="1" t="s">
        <v>68</v>
      </c>
      <c r="R1308" s="1" t="str">
        <f t="shared" si="1303"/>
        <v>California</v>
      </c>
      <c r="S1308" s="1">
        <v>91104</v>
      </c>
      <c r="T1308" s="1" t="s">
        <v>44</v>
      </c>
      <c r="U1308" s="1" t="s">
        <v>1519</v>
      </c>
      <c r="V1308" s="1" t="s">
        <v>46</v>
      </c>
      <c r="W1308" s="7">
        <v>46.76</v>
      </c>
      <c r="X1308" s="1">
        <v>9</v>
      </c>
      <c r="Y1308" s="7">
        <v>46.62</v>
      </c>
      <c r="Z1308" s="7">
        <f t="shared" ref="Z1308:AA1308" si="1336">W1308*X1308</f>
        <v>420.84</v>
      </c>
      <c r="AA1308" s="7">
        <f t="shared" si="1336"/>
        <v>419.58</v>
      </c>
      <c r="AB1308" s="7">
        <f t="shared" si="1305"/>
        <v>1.2599999999999909</v>
      </c>
    </row>
    <row r="1309" spans="1:28">
      <c r="A1309" s="1">
        <v>1308</v>
      </c>
      <c r="B1309" s="1" t="s">
        <v>2993</v>
      </c>
      <c r="C1309" s="2">
        <v>42906</v>
      </c>
      <c r="D1309" s="6" t="str">
        <f t="shared" si="1300"/>
        <v>Jun</v>
      </c>
      <c r="E1309" s="6" t="str">
        <f t="shared" si="1301"/>
        <v>Qtr 2</v>
      </c>
      <c r="F1309" s="5" t="s">
        <v>2994</v>
      </c>
      <c r="G1309" s="1" t="s">
        <v>162</v>
      </c>
      <c r="H1309" s="1" t="s">
        <v>807</v>
      </c>
      <c r="I1309" s="1" t="s">
        <v>808</v>
      </c>
      <c r="J1309" s="1" t="str">
        <f ca="1">IFERROR(__xludf.DUMMYFUNCTION("split(I1309,"" "")"),"Roy")</f>
        <v>Roy</v>
      </c>
      <c r="K1309" s="1" t="str">
        <f ca="1">IFERROR(__xludf.DUMMYFUNCTION("""COMPUTED_VALUE"""),"Collins")</f>
        <v>Collins</v>
      </c>
      <c r="L1309" s="1"/>
      <c r="M1309" s="1" t="s">
        <v>29</v>
      </c>
      <c r="N1309" s="1" t="s">
        <v>30</v>
      </c>
      <c r="O1309" s="1" t="s">
        <v>500</v>
      </c>
      <c r="P1309" s="1" t="str">
        <f t="shared" si="1302"/>
        <v>Pasadena</v>
      </c>
      <c r="Q1309" s="1" t="s">
        <v>68</v>
      </c>
      <c r="R1309" s="1" t="str">
        <f t="shared" si="1303"/>
        <v>California</v>
      </c>
      <c r="S1309" s="1">
        <v>91104</v>
      </c>
      <c r="T1309" s="1" t="s">
        <v>44</v>
      </c>
      <c r="U1309" s="1" t="s">
        <v>2513</v>
      </c>
      <c r="V1309" s="1" t="s">
        <v>46</v>
      </c>
      <c r="W1309" s="7">
        <v>17.712</v>
      </c>
      <c r="X1309" s="1">
        <v>9</v>
      </c>
      <c r="Y1309" s="7">
        <v>17.71</v>
      </c>
      <c r="Z1309" s="7">
        <f t="shared" ref="Z1309:AA1309" si="1337">W1309*X1309</f>
        <v>159.40799999999999</v>
      </c>
      <c r="AA1309" s="7">
        <f t="shared" si="1337"/>
        <v>159.39000000000001</v>
      </c>
      <c r="AB1309" s="7">
        <f t="shared" si="1305"/>
        <v>1.799999999997226E-2</v>
      </c>
    </row>
    <row r="1310" spans="1:28">
      <c r="A1310" s="1">
        <v>1309</v>
      </c>
      <c r="B1310" s="1" t="s">
        <v>2993</v>
      </c>
      <c r="C1310" s="2">
        <v>42906</v>
      </c>
      <c r="D1310" s="6" t="str">
        <f t="shared" si="1300"/>
        <v>Jun</v>
      </c>
      <c r="E1310" s="6" t="str">
        <f t="shared" si="1301"/>
        <v>Qtr 2</v>
      </c>
      <c r="F1310" s="5" t="s">
        <v>2994</v>
      </c>
      <c r="G1310" s="1" t="s">
        <v>162</v>
      </c>
      <c r="H1310" s="1" t="s">
        <v>807</v>
      </c>
      <c r="I1310" s="1" t="s">
        <v>808</v>
      </c>
      <c r="J1310" s="1" t="str">
        <f ca="1">IFERROR(__xludf.DUMMYFUNCTION("split(I1310,"" "")"),"Roy")</f>
        <v>Roy</v>
      </c>
      <c r="K1310" s="1" t="str">
        <f ca="1">IFERROR(__xludf.DUMMYFUNCTION("""COMPUTED_VALUE"""),"Collins")</f>
        <v>Collins</v>
      </c>
      <c r="L1310" s="1"/>
      <c r="M1310" s="1" t="s">
        <v>29</v>
      </c>
      <c r="N1310" s="1" t="s">
        <v>30</v>
      </c>
      <c r="O1310" s="1" t="s">
        <v>500</v>
      </c>
      <c r="P1310" s="1" t="str">
        <f t="shared" si="1302"/>
        <v>Pasadena</v>
      </c>
      <c r="Q1310" s="1" t="s">
        <v>68</v>
      </c>
      <c r="R1310" s="1" t="str">
        <f t="shared" si="1303"/>
        <v>California</v>
      </c>
      <c r="S1310" s="1">
        <v>91104</v>
      </c>
      <c r="T1310" s="1" t="s">
        <v>44</v>
      </c>
      <c r="U1310" s="1" t="s">
        <v>2995</v>
      </c>
      <c r="V1310" s="1" t="s">
        <v>46</v>
      </c>
      <c r="W1310" s="7">
        <v>21.78</v>
      </c>
      <c r="X1310" s="1">
        <v>9</v>
      </c>
      <c r="Y1310" s="7">
        <v>21.26</v>
      </c>
      <c r="Z1310" s="7">
        <f t="shared" ref="Z1310:AA1310" si="1338">W1310*X1310</f>
        <v>196.02</v>
      </c>
      <c r="AA1310" s="7">
        <f t="shared" si="1338"/>
        <v>191.34</v>
      </c>
      <c r="AB1310" s="7">
        <f t="shared" si="1305"/>
        <v>4.6800000000000068</v>
      </c>
    </row>
    <row r="1311" spans="1:28">
      <c r="A1311" s="1">
        <v>1310</v>
      </c>
      <c r="B1311" s="1" t="s">
        <v>2993</v>
      </c>
      <c r="C1311" s="2">
        <v>42906</v>
      </c>
      <c r="D1311" s="6" t="str">
        <f t="shared" si="1300"/>
        <v>Jun</v>
      </c>
      <c r="E1311" s="6" t="str">
        <f t="shared" si="1301"/>
        <v>Qtr 2</v>
      </c>
      <c r="F1311" s="5" t="s">
        <v>2994</v>
      </c>
      <c r="G1311" s="1" t="s">
        <v>162</v>
      </c>
      <c r="H1311" s="1" t="s">
        <v>807</v>
      </c>
      <c r="I1311" s="1" t="s">
        <v>808</v>
      </c>
      <c r="J1311" s="1" t="str">
        <f ca="1">IFERROR(__xludf.DUMMYFUNCTION("split(I1311,"" "")"),"Roy")</f>
        <v>Roy</v>
      </c>
      <c r="K1311" s="1" t="str">
        <f ca="1">IFERROR(__xludf.DUMMYFUNCTION("""COMPUTED_VALUE"""),"Collins")</f>
        <v>Collins</v>
      </c>
      <c r="L1311" s="1"/>
      <c r="M1311" s="1" t="s">
        <v>29</v>
      </c>
      <c r="N1311" s="1" t="s">
        <v>30</v>
      </c>
      <c r="O1311" s="1" t="s">
        <v>500</v>
      </c>
      <c r="P1311" s="1" t="str">
        <f t="shared" si="1302"/>
        <v>Pasadena</v>
      </c>
      <c r="Q1311" s="1" t="s">
        <v>68</v>
      </c>
      <c r="R1311" s="1" t="str">
        <f t="shared" si="1303"/>
        <v>California</v>
      </c>
      <c r="S1311" s="1">
        <v>91104</v>
      </c>
      <c r="T1311" s="1" t="s">
        <v>44</v>
      </c>
      <c r="U1311" s="1" t="s">
        <v>1274</v>
      </c>
      <c r="V1311" s="1" t="s">
        <v>46</v>
      </c>
      <c r="W1311" s="7">
        <v>161.94</v>
      </c>
      <c r="X1311" s="1">
        <v>9</v>
      </c>
      <c r="Y1311" s="7">
        <v>161.44999999999999</v>
      </c>
      <c r="Z1311" s="7">
        <f t="shared" ref="Z1311:AA1311" si="1339">W1311*X1311</f>
        <v>1457.46</v>
      </c>
      <c r="AA1311" s="7">
        <f t="shared" si="1339"/>
        <v>1453.05</v>
      </c>
      <c r="AB1311" s="7">
        <f t="shared" si="1305"/>
        <v>4.4100000000000819</v>
      </c>
    </row>
    <row r="1312" spans="1:28">
      <c r="A1312" s="1">
        <v>1311</v>
      </c>
      <c r="B1312" s="1" t="s">
        <v>2993</v>
      </c>
      <c r="C1312" s="2">
        <v>42906</v>
      </c>
      <c r="D1312" s="6" t="str">
        <f t="shared" si="1300"/>
        <v>Jun</v>
      </c>
      <c r="E1312" s="6" t="str">
        <f t="shared" si="1301"/>
        <v>Qtr 2</v>
      </c>
      <c r="F1312" s="5" t="s">
        <v>2994</v>
      </c>
      <c r="G1312" s="1" t="s">
        <v>162</v>
      </c>
      <c r="H1312" s="1" t="s">
        <v>807</v>
      </c>
      <c r="I1312" s="1" t="s">
        <v>808</v>
      </c>
      <c r="J1312" s="1" t="str">
        <f ca="1">IFERROR(__xludf.DUMMYFUNCTION("split(I1312,"" "")"),"Roy")</f>
        <v>Roy</v>
      </c>
      <c r="K1312" s="1" t="str">
        <f ca="1">IFERROR(__xludf.DUMMYFUNCTION("""COMPUTED_VALUE"""),"Collins")</f>
        <v>Collins</v>
      </c>
      <c r="L1312" s="1"/>
      <c r="M1312" s="1" t="s">
        <v>29</v>
      </c>
      <c r="N1312" s="1" t="s">
        <v>30</v>
      </c>
      <c r="O1312" s="1" t="s">
        <v>500</v>
      </c>
      <c r="P1312" s="1" t="str">
        <f t="shared" si="1302"/>
        <v>Pasadena</v>
      </c>
      <c r="Q1312" s="1" t="s">
        <v>68</v>
      </c>
      <c r="R1312" s="1" t="str">
        <f t="shared" si="1303"/>
        <v>California</v>
      </c>
      <c r="S1312" s="1">
        <v>91104</v>
      </c>
      <c r="T1312" s="1" t="s">
        <v>44</v>
      </c>
      <c r="U1312" s="1" t="s">
        <v>2996</v>
      </c>
      <c r="V1312" s="1" t="s">
        <v>35</v>
      </c>
      <c r="W1312" s="7">
        <v>161.56800000000001</v>
      </c>
      <c r="X1312" s="1">
        <v>9</v>
      </c>
      <c r="Y1312" s="7">
        <v>161.22</v>
      </c>
      <c r="Z1312" s="7">
        <f t="shared" ref="Z1312:AA1312" si="1340">W1312*X1312</f>
        <v>1454.1120000000001</v>
      </c>
      <c r="AA1312" s="7">
        <f t="shared" si="1340"/>
        <v>1450.98</v>
      </c>
      <c r="AB1312" s="7">
        <f t="shared" si="1305"/>
        <v>3.1320000000000618</v>
      </c>
    </row>
    <row r="1313" spans="1:28">
      <c r="A1313" s="1">
        <v>1312</v>
      </c>
      <c r="B1313" s="1" t="s">
        <v>2997</v>
      </c>
      <c r="C1313" s="2">
        <v>42990</v>
      </c>
      <c r="D1313" s="6" t="str">
        <f t="shared" si="1300"/>
        <v>Sep</v>
      </c>
      <c r="E1313" s="6" t="str">
        <f t="shared" si="1301"/>
        <v>Qtr 3</v>
      </c>
      <c r="F1313" s="5" t="s">
        <v>115</v>
      </c>
      <c r="G1313" s="1" t="s">
        <v>49</v>
      </c>
      <c r="H1313" s="1" t="s">
        <v>1694</v>
      </c>
      <c r="I1313" s="1" t="s">
        <v>1695</v>
      </c>
      <c r="J1313" s="1" t="str">
        <f ca="1">IFERROR(__xludf.DUMMYFUNCTION("split(I1313,"" "")"),"Fred")</f>
        <v>Fred</v>
      </c>
      <c r="K1313" s="1" t="str">
        <f ca="1">IFERROR(__xludf.DUMMYFUNCTION("""COMPUTED_VALUE"""),"McMath")</f>
        <v>McMath</v>
      </c>
      <c r="L1313" s="1"/>
      <c r="M1313" s="1" t="s">
        <v>29</v>
      </c>
      <c r="N1313" s="1" t="s">
        <v>30</v>
      </c>
      <c r="O1313" s="1" t="s">
        <v>1204</v>
      </c>
      <c r="P1313" s="1" t="str">
        <f t="shared" si="1302"/>
        <v>Lawrence</v>
      </c>
      <c r="Q1313" s="1" t="s">
        <v>1014</v>
      </c>
      <c r="R1313" s="1" t="str">
        <f t="shared" si="1303"/>
        <v>Massachusetts</v>
      </c>
      <c r="S1313" s="1">
        <v>1841</v>
      </c>
      <c r="T1313" s="1" t="s">
        <v>128</v>
      </c>
      <c r="U1313" s="1" t="s">
        <v>2998</v>
      </c>
      <c r="V1313" s="1" t="s">
        <v>46</v>
      </c>
      <c r="W1313" s="7">
        <v>3.69</v>
      </c>
      <c r="X1313" s="1">
        <v>1</v>
      </c>
      <c r="Y1313" s="7">
        <v>2.7</v>
      </c>
      <c r="Z1313" s="7">
        <f t="shared" ref="Z1313:AA1313" si="1341">W1313*X1313</f>
        <v>3.69</v>
      </c>
      <c r="AA1313" s="7">
        <f t="shared" si="1341"/>
        <v>2.7</v>
      </c>
      <c r="AB1313" s="7">
        <f t="shared" si="1305"/>
        <v>0.98999999999999977</v>
      </c>
    </row>
    <row r="1314" spans="1:28">
      <c r="A1314" s="1">
        <v>1313</v>
      </c>
      <c r="B1314" s="1" t="s">
        <v>2997</v>
      </c>
      <c r="C1314" s="2">
        <v>42990</v>
      </c>
      <c r="D1314" s="6" t="str">
        <f t="shared" si="1300"/>
        <v>Sep</v>
      </c>
      <c r="E1314" s="6" t="str">
        <f t="shared" si="1301"/>
        <v>Qtr 3</v>
      </c>
      <c r="F1314" s="5" t="s">
        <v>115</v>
      </c>
      <c r="G1314" s="1" t="s">
        <v>49</v>
      </c>
      <c r="H1314" s="1" t="s">
        <v>1694</v>
      </c>
      <c r="I1314" s="1" t="s">
        <v>1695</v>
      </c>
      <c r="J1314" s="1" t="str">
        <f ca="1">IFERROR(__xludf.DUMMYFUNCTION("split(I1314,"" "")"),"Fred")</f>
        <v>Fred</v>
      </c>
      <c r="K1314" s="1" t="str">
        <f ca="1">IFERROR(__xludf.DUMMYFUNCTION("""COMPUTED_VALUE"""),"McMath")</f>
        <v>McMath</v>
      </c>
      <c r="L1314" s="1"/>
      <c r="M1314" s="1" t="s">
        <v>29</v>
      </c>
      <c r="N1314" s="1" t="s">
        <v>30</v>
      </c>
      <c r="O1314" s="1" t="s">
        <v>1204</v>
      </c>
      <c r="P1314" s="1" t="str">
        <f t="shared" si="1302"/>
        <v>Lawrence</v>
      </c>
      <c r="Q1314" s="1" t="s">
        <v>1014</v>
      </c>
      <c r="R1314" s="1" t="str">
        <f t="shared" si="1303"/>
        <v>Massachusetts</v>
      </c>
      <c r="S1314" s="1">
        <v>1841</v>
      </c>
      <c r="T1314" s="1" t="s">
        <v>128</v>
      </c>
      <c r="U1314" s="1" t="s">
        <v>2999</v>
      </c>
      <c r="V1314" s="1" t="s">
        <v>46</v>
      </c>
      <c r="W1314" s="7">
        <v>122.12</v>
      </c>
      <c r="X1314" s="1">
        <v>1</v>
      </c>
      <c r="Y1314" s="7">
        <v>121.37</v>
      </c>
      <c r="Z1314" s="7">
        <f t="shared" ref="Z1314:AA1314" si="1342">W1314*X1314</f>
        <v>122.12</v>
      </c>
      <c r="AA1314" s="7">
        <f t="shared" si="1342"/>
        <v>121.37</v>
      </c>
      <c r="AB1314" s="7">
        <f t="shared" si="1305"/>
        <v>0.75</v>
      </c>
    </row>
    <row r="1315" spans="1:28">
      <c r="A1315" s="1">
        <v>1314</v>
      </c>
      <c r="B1315" s="1" t="s">
        <v>3000</v>
      </c>
      <c r="C1315" s="2">
        <v>43002</v>
      </c>
      <c r="D1315" s="6" t="str">
        <f t="shared" si="1300"/>
        <v>Sep</v>
      </c>
      <c r="E1315" s="6" t="str">
        <f t="shared" si="1301"/>
        <v>Qtr 3</v>
      </c>
      <c r="F1315" s="5">
        <v>42745</v>
      </c>
      <c r="G1315" s="1" t="s">
        <v>49</v>
      </c>
      <c r="H1315" s="1" t="s">
        <v>95</v>
      </c>
      <c r="I1315" s="1" t="s">
        <v>96</v>
      </c>
      <c r="J1315" s="1" t="str">
        <f ca="1">IFERROR(__xludf.DUMMYFUNCTION("split(I1315,"" "")"),"Pete")</f>
        <v>Pete</v>
      </c>
      <c r="K1315" s="1" t="str">
        <f ca="1">IFERROR(__xludf.DUMMYFUNCTION("""COMPUTED_VALUE"""),"Kriz")</f>
        <v>Kriz</v>
      </c>
      <c r="L1315" s="1"/>
      <c r="M1315" s="1" t="s">
        <v>29</v>
      </c>
      <c r="N1315" s="1" t="s">
        <v>30</v>
      </c>
      <c r="O1315" s="1" t="s">
        <v>420</v>
      </c>
      <c r="P1315" s="1" t="str">
        <f t="shared" si="1302"/>
        <v>Columbus</v>
      </c>
      <c r="Q1315" s="1" t="s">
        <v>421</v>
      </c>
      <c r="R1315" s="1" t="str">
        <f t="shared" si="1303"/>
        <v>Ohio</v>
      </c>
      <c r="S1315" s="1">
        <v>43229</v>
      </c>
      <c r="T1315" s="1" t="s">
        <v>128</v>
      </c>
      <c r="U1315" s="1" t="s">
        <v>2031</v>
      </c>
      <c r="V1315" s="1" t="s">
        <v>35</v>
      </c>
      <c r="W1315" s="7">
        <v>155.37200000000001</v>
      </c>
      <c r="X1315" s="1">
        <v>4</v>
      </c>
      <c r="Y1315" s="7">
        <v>154.79</v>
      </c>
      <c r="Z1315" s="7">
        <f t="shared" ref="Z1315:AA1315" si="1343">W1315*X1315</f>
        <v>621.48800000000006</v>
      </c>
      <c r="AA1315" s="7">
        <f t="shared" si="1343"/>
        <v>619.16</v>
      </c>
      <c r="AB1315" s="7">
        <f t="shared" si="1305"/>
        <v>2.3280000000000882</v>
      </c>
    </row>
    <row r="1316" spans="1:28">
      <c r="A1316" s="1">
        <v>1315</v>
      </c>
      <c r="B1316" s="1" t="s">
        <v>3001</v>
      </c>
      <c r="C1316" s="2">
        <v>43087</v>
      </c>
      <c r="D1316" s="6" t="str">
        <f t="shared" si="1300"/>
        <v>Dec</v>
      </c>
      <c r="E1316" s="6" t="str">
        <f t="shared" si="1301"/>
        <v>Qtr 4</v>
      </c>
      <c r="F1316" s="5" t="s">
        <v>3002</v>
      </c>
      <c r="G1316" s="1" t="s">
        <v>49</v>
      </c>
      <c r="H1316" s="1" t="s">
        <v>3003</v>
      </c>
      <c r="I1316" s="1" t="s">
        <v>3004</v>
      </c>
      <c r="J1316" s="1" t="str">
        <f ca="1">IFERROR(__xludf.DUMMYFUNCTION("split(I1316,"" "")"),"Henry")</f>
        <v>Henry</v>
      </c>
      <c r="K1316" s="1" t="str">
        <f ca="1">IFERROR(__xludf.DUMMYFUNCTION("""COMPUTED_VALUE"""),"Goldwyn")</f>
        <v>Goldwyn</v>
      </c>
      <c r="L1316" s="1"/>
      <c r="M1316" s="1" t="s">
        <v>41</v>
      </c>
      <c r="N1316" s="1" t="s">
        <v>30</v>
      </c>
      <c r="O1316" s="1" t="s">
        <v>42</v>
      </c>
      <c r="P1316" s="1" t="str">
        <f t="shared" si="1302"/>
        <v>Los Angeles</v>
      </c>
      <c r="Q1316" s="1" t="s">
        <v>68</v>
      </c>
      <c r="R1316" s="1" t="str">
        <f t="shared" si="1303"/>
        <v>California</v>
      </c>
      <c r="S1316" s="1">
        <v>90032</v>
      </c>
      <c r="T1316" s="1" t="s">
        <v>44</v>
      </c>
      <c r="U1316" s="1" t="s">
        <v>3005</v>
      </c>
      <c r="V1316" s="1" t="s">
        <v>46</v>
      </c>
      <c r="W1316" s="7">
        <v>38.880000000000003</v>
      </c>
      <c r="X1316" s="1">
        <v>9</v>
      </c>
      <c r="Y1316" s="7">
        <v>38</v>
      </c>
      <c r="Z1316" s="7">
        <f t="shared" ref="Z1316:AA1316" si="1344">W1316*X1316</f>
        <v>349.92</v>
      </c>
      <c r="AA1316" s="7">
        <f t="shared" si="1344"/>
        <v>342</v>
      </c>
      <c r="AB1316" s="7">
        <f t="shared" si="1305"/>
        <v>7.9200000000000159</v>
      </c>
    </row>
    <row r="1317" spans="1:28">
      <c r="A1317" s="1">
        <v>1316</v>
      </c>
      <c r="B1317" s="1" t="s">
        <v>3001</v>
      </c>
      <c r="C1317" s="2">
        <v>43087</v>
      </c>
      <c r="D1317" s="6" t="str">
        <f t="shared" si="1300"/>
        <v>Dec</v>
      </c>
      <c r="E1317" s="6" t="str">
        <f t="shared" si="1301"/>
        <v>Qtr 4</v>
      </c>
      <c r="F1317" s="5" t="s">
        <v>3002</v>
      </c>
      <c r="G1317" s="1" t="s">
        <v>49</v>
      </c>
      <c r="H1317" s="1" t="s">
        <v>3003</v>
      </c>
      <c r="I1317" s="1" t="s">
        <v>3004</v>
      </c>
      <c r="J1317" s="1" t="str">
        <f ca="1">IFERROR(__xludf.DUMMYFUNCTION("split(I1317,"" "")"),"Henry")</f>
        <v>Henry</v>
      </c>
      <c r="K1317" s="1" t="str">
        <f ca="1">IFERROR(__xludf.DUMMYFUNCTION("""COMPUTED_VALUE"""),"Goldwyn")</f>
        <v>Goldwyn</v>
      </c>
      <c r="L1317" s="1"/>
      <c r="M1317" s="1" t="s">
        <v>41</v>
      </c>
      <c r="N1317" s="1" t="s">
        <v>30</v>
      </c>
      <c r="O1317" s="1" t="s">
        <v>42</v>
      </c>
      <c r="P1317" s="1" t="str">
        <f t="shared" si="1302"/>
        <v>Los Angeles</v>
      </c>
      <c r="Q1317" s="1" t="s">
        <v>68</v>
      </c>
      <c r="R1317" s="1" t="str">
        <f t="shared" si="1303"/>
        <v>California</v>
      </c>
      <c r="S1317" s="1">
        <v>90032</v>
      </c>
      <c r="T1317" s="1" t="s">
        <v>44</v>
      </c>
      <c r="U1317" s="1" t="s">
        <v>3006</v>
      </c>
      <c r="V1317" s="1" t="s">
        <v>35</v>
      </c>
      <c r="W1317" s="7">
        <v>183.84</v>
      </c>
      <c r="X1317" s="1">
        <v>9</v>
      </c>
      <c r="Y1317" s="7">
        <v>183.21</v>
      </c>
      <c r="Z1317" s="7">
        <f t="shared" ref="Z1317:AA1317" si="1345">W1317*X1317</f>
        <v>1654.56</v>
      </c>
      <c r="AA1317" s="7">
        <f t="shared" si="1345"/>
        <v>1648.89</v>
      </c>
      <c r="AB1317" s="7">
        <f t="shared" si="1305"/>
        <v>5.6699999999998454</v>
      </c>
    </row>
    <row r="1318" spans="1:28">
      <c r="A1318" s="1">
        <v>1317</v>
      </c>
      <c r="B1318" s="1" t="s">
        <v>3001</v>
      </c>
      <c r="C1318" s="2">
        <v>43087</v>
      </c>
      <c r="D1318" s="6" t="str">
        <f t="shared" si="1300"/>
        <v>Dec</v>
      </c>
      <c r="E1318" s="6" t="str">
        <f t="shared" si="1301"/>
        <v>Qtr 4</v>
      </c>
      <c r="F1318" s="5" t="s">
        <v>3002</v>
      </c>
      <c r="G1318" s="1" t="s">
        <v>49</v>
      </c>
      <c r="H1318" s="1" t="s">
        <v>3003</v>
      </c>
      <c r="I1318" s="1" t="s">
        <v>3004</v>
      </c>
      <c r="J1318" s="1" t="str">
        <f ca="1">IFERROR(__xludf.DUMMYFUNCTION("split(I1318,"" "")"),"Henry")</f>
        <v>Henry</v>
      </c>
      <c r="K1318" s="1" t="str">
        <f ca="1">IFERROR(__xludf.DUMMYFUNCTION("""COMPUTED_VALUE"""),"Goldwyn")</f>
        <v>Goldwyn</v>
      </c>
      <c r="L1318" s="1"/>
      <c r="M1318" s="1" t="s">
        <v>41</v>
      </c>
      <c r="N1318" s="1" t="s">
        <v>30</v>
      </c>
      <c r="O1318" s="1" t="s">
        <v>42</v>
      </c>
      <c r="P1318" s="1" t="str">
        <f t="shared" si="1302"/>
        <v>Los Angeles</v>
      </c>
      <c r="Q1318" s="1" t="s">
        <v>68</v>
      </c>
      <c r="R1318" s="1" t="str">
        <f t="shared" si="1303"/>
        <v>California</v>
      </c>
      <c r="S1318" s="1">
        <v>90032</v>
      </c>
      <c r="T1318" s="1" t="s">
        <v>44</v>
      </c>
      <c r="U1318" s="1" t="s">
        <v>1305</v>
      </c>
      <c r="V1318" s="1" t="s">
        <v>46</v>
      </c>
      <c r="W1318" s="7">
        <v>579.29999999999995</v>
      </c>
      <c r="X1318" s="1">
        <v>9</v>
      </c>
      <c r="Y1318" s="7">
        <v>579.25</v>
      </c>
      <c r="Z1318" s="7">
        <f t="shared" ref="Z1318:AA1318" si="1346">W1318*X1318</f>
        <v>5213.7</v>
      </c>
      <c r="AA1318" s="7">
        <f t="shared" si="1346"/>
        <v>5213.25</v>
      </c>
      <c r="AB1318" s="7">
        <f t="shared" si="1305"/>
        <v>0.4499999999998181</v>
      </c>
    </row>
    <row r="1319" spans="1:28">
      <c r="A1319" s="1">
        <v>1318</v>
      </c>
      <c r="B1319" s="1" t="s">
        <v>3007</v>
      </c>
      <c r="C1319" s="2">
        <v>43385</v>
      </c>
      <c r="D1319" s="6" t="str">
        <f t="shared" si="1300"/>
        <v>Oct</v>
      </c>
      <c r="E1319" s="6" t="str">
        <f t="shared" si="1301"/>
        <v>Qtr 4</v>
      </c>
      <c r="F1319" s="5" t="s">
        <v>684</v>
      </c>
      <c r="G1319" s="1" t="s">
        <v>49</v>
      </c>
      <c r="H1319" s="1" t="s">
        <v>498</v>
      </c>
      <c r="I1319" s="1" t="s">
        <v>499</v>
      </c>
      <c r="J1319" s="1" t="str">
        <f ca="1">IFERROR(__xludf.DUMMYFUNCTION("split(I1319,"" "")"),"Helen")</f>
        <v>Helen</v>
      </c>
      <c r="K1319" s="1" t="str">
        <f ca="1">IFERROR(__xludf.DUMMYFUNCTION("""COMPUTED_VALUE"""),"Andreada")</f>
        <v>Andreada</v>
      </c>
      <c r="L1319" s="1"/>
      <c r="M1319" s="1" t="s">
        <v>29</v>
      </c>
      <c r="N1319" s="1" t="s">
        <v>30</v>
      </c>
      <c r="O1319" s="1" t="s">
        <v>126</v>
      </c>
      <c r="P1319" s="1" t="str">
        <f t="shared" si="1302"/>
        <v>Philadelphia</v>
      </c>
      <c r="Q1319" s="1" t="s">
        <v>127</v>
      </c>
      <c r="R1319" s="1" t="str">
        <f t="shared" si="1303"/>
        <v>Pennsylvania</v>
      </c>
      <c r="S1319" s="1">
        <v>19120</v>
      </c>
      <c r="T1319" s="1" t="s">
        <v>128</v>
      </c>
      <c r="U1319" s="1" t="s">
        <v>3008</v>
      </c>
      <c r="V1319" s="1" t="s">
        <v>64</v>
      </c>
      <c r="W1319" s="7">
        <v>14.2</v>
      </c>
      <c r="X1319" s="1">
        <v>1</v>
      </c>
      <c r="Y1319" s="7">
        <v>13.64</v>
      </c>
      <c r="Z1319" s="7">
        <f t="shared" ref="Z1319:AA1319" si="1347">W1319*X1319</f>
        <v>14.2</v>
      </c>
      <c r="AA1319" s="7">
        <f t="shared" si="1347"/>
        <v>13.64</v>
      </c>
      <c r="AB1319" s="7">
        <f t="shared" si="1305"/>
        <v>0.55999999999999872</v>
      </c>
    </row>
    <row r="1320" spans="1:28">
      <c r="A1320" s="1">
        <v>1319</v>
      </c>
      <c r="B1320" s="1" t="s">
        <v>3009</v>
      </c>
      <c r="C1320" s="2">
        <v>42011</v>
      </c>
      <c r="D1320" s="6" t="str">
        <f t="shared" si="1300"/>
        <v>Jan</v>
      </c>
      <c r="E1320" s="6" t="str">
        <f t="shared" si="1301"/>
        <v>Qtr 1</v>
      </c>
      <c r="F1320" s="5">
        <v>42131</v>
      </c>
      <c r="G1320" s="1" t="s">
        <v>49</v>
      </c>
      <c r="H1320" s="1" t="s">
        <v>3010</v>
      </c>
      <c r="I1320" s="1" t="s">
        <v>3011</v>
      </c>
      <c r="J1320" s="1" t="str">
        <f ca="1">IFERROR(__xludf.DUMMYFUNCTION("split(I1320,"" "")"),"Laurel")</f>
        <v>Laurel</v>
      </c>
      <c r="K1320" s="1" t="str">
        <f ca="1">IFERROR(__xludf.DUMMYFUNCTION("""COMPUTED_VALUE"""),"Workman")</f>
        <v>Workman</v>
      </c>
      <c r="L1320" s="1"/>
      <c r="M1320" s="1" t="s">
        <v>41</v>
      </c>
      <c r="N1320" s="1" t="s">
        <v>30</v>
      </c>
      <c r="O1320" s="1" t="s">
        <v>3012</v>
      </c>
      <c r="P1320" s="1" t="str">
        <f t="shared" si="1302"/>
        <v>Deltona</v>
      </c>
      <c r="Q1320" s="1" t="s">
        <v>194</v>
      </c>
      <c r="R1320" s="1" t="str">
        <f t="shared" si="1303"/>
        <v>Florida</v>
      </c>
      <c r="S1320" s="1">
        <v>32725</v>
      </c>
      <c r="T1320" s="1" t="s">
        <v>33</v>
      </c>
      <c r="U1320" s="1" t="s">
        <v>2907</v>
      </c>
      <c r="V1320" s="1" t="s">
        <v>64</v>
      </c>
      <c r="W1320" s="7">
        <v>575.91999999999996</v>
      </c>
      <c r="X1320" s="1">
        <v>3</v>
      </c>
      <c r="Y1320" s="7">
        <v>574.96</v>
      </c>
      <c r="Z1320" s="7">
        <f t="shared" ref="Z1320:AA1320" si="1348">W1320*X1320</f>
        <v>1727.7599999999998</v>
      </c>
      <c r="AA1320" s="7">
        <f t="shared" si="1348"/>
        <v>1724.88</v>
      </c>
      <c r="AB1320" s="7">
        <f t="shared" si="1305"/>
        <v>2.8799999999996544</v>
      </c>
    </row>
    <row r="1321" spans="1:28">
      <c r="A1321" s="1">
        <v>1320</v>
      </c>
      <c r="B1321" s="1" t="s">
        <v>3009</v>
      </c>
      <c r="C1321" s="2">
        <v>42011</v>
      </c>
      <c r="D1321" s="6" t="str">
        <f t="shared" si="1300"/>
        <v>Jan</v>
      </c>
      <c r="E1321" s="6" t="str">
        <f t="shared" si="1301"/>
        <v>Qtr 1</v>
      </c>
      <c r="F1321" s="5">
        <v>42131</v>
      </c>
      <c r="G1321" s="1" t="s">
        <v>49</v>
      </c>
      <c r="H1321" s="1" t="s">
        <v>3010</v>
      </c>
      <c r="I1321" s="1" t="s">
        <v>3011</v>
      </c>
      <c r="J1321" s="1" t="str">
        <f ca="1">IFERROR(__xludf.DUMMYFUNCTION("split(I1321,"" "")"),"Laurel")</f>
        <v>Laurel</v>
      </c>
      <c r="K1321" s="1" t="str">
        <f ca="1">IFERROR(__xludf.DUMMYFUNCTION("""COMPUTED_VALUE"""),"Workman")</f>
        <v>Workman</v>
      </c>
      <c r="L1321" s="1"/>
      <c r="M1321" s="1" t="s">
        <v>41</v>
      </c>
      <c r="N1321" s="1" t="s">
        <v>30</v>
      </c>
      <c r="O1321" s="1" t="s">
        <v>3012</v>
      </c>
      <c r="P1321" s="1" t="str">
        <f t="shared" si="1302"/>
        <v>Deltona</v>
      </c>
      <c r="Q1321" s="1" t="s">
        <v>194</v>
      </c>
      <c r="R1321" s="1" t="str">
        <f t="shared" si="1303"/>
        <v>Florida</v>
      </c>
      <c r="S1321" s="1">
        <v>32725</v>
      </c>
      <c r="T1321" s="1" t="s">
        <v>33</v>
      </c>
      <c r="U1321" s="1" t="s">
        <v>1953</v>
      </c>
      <c r="V1321" s="1" t="s">
        <v>46</v>
      </c>
      <c r="W1321" s="7">
        <v>5.1840000000000002</v>
      </c>
      <c r="X1321" s="1">
        <v>3</v>
      </c>
      <c r="Y1321" s="7">
        <v>4.82</v>
      </c>
      <c r="Z1321" s="7">
        <f t="shared" ref="Z1321:AA1321" si="1349">W1321*X1321</f>
        <v>15.552</v>
      </c>
      <c r="AA1321" s="7">
        <f t="shared" si="1349"/>
        <v>14.46</v>
      </c>
      <c r="AB1321" s="7">
        <f t="shared" si="1305"/>
        <v>1.0919999999999987</v>
      </c>
    </row>
    <row r="1322" spans="1:28">
      <c r="A1322" s="1">
        <v>1321</v>
      </c>
      <c r="B1322" s="1" t="s">
        <v>3013</v>
      </c>
      <c r="C1322" s="2">
        <v>43161</v>
      </c>
      <c r="D1322" s="6" t="str">
        <f t="shared" si="1300"/>
        <v>Mar</v>
      </c>
      <c r="E1322" s="6" t="str">
        <f t="shared" si="1301"/>
        <v>Qtr 1</v>
      </c>
      <c r="F1322" s="5">
        <v>43314</v>
      </c>
      <c r="G1322" s="1" t="s">
        <v>49</v>
      </c>
      <c r="H1322" s="1" t="s">
        <v>3014</v>
      </c>
      <c r="I1322" s="1" t="s">
        <v>3015</v>
      </c>
      <c r="J1322" s="1" t="str">
        <f ca="1">IFERROR(__xludf.DUMMYFUNCTION("split(I1322,"" "")"),"Matt")</f>
        <v>Matt</v>
      </c>
      <c r="K1322" s="1" t="str">
        <f ca="1">IFERROR(__xludf.DUMMYFUNCTION("""COMPUTED_VALUE"""),"Collins")</f>
        <v>Collins</v>
      </c>
      <c r="L1322" s="1"/>
      <c r="M1322" s="1" t="s">
        <v>29</v>
      </c>
      <c r="N1322" s="1" t="s">
        <v>30</v>
      </c>
      <c r="O1322" s="1" t="s">
        <v>829</v>
      </c>
      <c r="P1322" s="1" t="str">
        <f t="shared" si="1302"/>
        <v>Cincinnati</v>
      </c>
      <c r="Q1322" s="1" t="s">
        <v>421</v>
      </c>
      <c r="R1322" s="1" t="str">
        <f t="shared" si="1303"/>
        <v>Ohio</v>
      </c>
      <c r="S1322" s="1">
        <v>45231</v>
      </c>
      <c r="T1322" s="1" t="s">
        <v>128</v>
      </c>
      <c r="U1322" s="1" t="s">
        <v>2242</v>
      </c>
      <c r="V1322" s="1" t="s">
        <v>46</v>
      </c>
      <c r="W1322" s="7">
        <v>5.2290000000000001</v>
      </c>
      <c r="X1322" s="1">
        <v>4</v>
      </c>
      <c r="Y1322" s="7">
        <v>4.59</v>
      </c>
      <c r="Z1322" s="7">
        <f t="shared" ref="Z1322:AA1322" si="1350">W1322*X1322</f>
        <v>20.916</v>
      </c>
      <c r="AA1322" s="7">
        <f t="shared" si="1350"/>
        <v>18.36</v>
      </c>
      <c r="AB1322" s="7">
        <f t="shared" si="1305"/>
        <v>2.5560000000000009</v>
      </c>
    </row>
    <row r="1323" spans="1:28">
      <c r="A1323" s="1">
        <v>1322</v>
      </c>
      <c r="B1323" s="1" t="s">
        <v>3013</v>
      </c>
      <c r="C1323" s="2">
        <v>43161</v>
      </c>
      <c r="D1323" s="6" t="str">
        <f t="shared" si="1300"/>
        <v>Mar</v>
      </c>
      <c r="E1323" s="6" t="str">
        <f t="shared" si="1301"/>
        <v>Qtr 1</v>
      </c>
      <c r="F1323" s="5">
        <v>43314</v>
      </c>
      <c r="G1323" s="1" t="s">
        <v>49</v>
      </c>
      <c r="H1323" s="1" t="s">
        <v>3014</v>
      </c>
      <c r="I1323" s="1" t="s">
        <v>3015</v>
      </c>
      <c r="J1323" s="1" t="str">
        <f ca="1">IFERROR(__xludf.DUMMYFUNCTION("split(I1323,"" "")"),"Matt")</f>
        <v>Matt</v>
      </c>
      <c r="K1323" s="1" t="str">
        <f ca="1">IFERROR(__xludf.DUMMYFUNCTION("""COMPUTED_VALUE"""),"Collins")</f>
        <v>Collins</v>
      </c>
      <c r="L1323" s="1"/>
      <c r="M1323" s="1" t="s">
        <v>29</v>
      </c>
      <c r="N1323" s="1" t="s">
        <v>30</v>
      </c>
      <c r="O1323" s="1" t="s">
        <v>829</v>
      </c>
      <c r="P1323" s="1" t="str">
        <f t="shared" si="1302"/>
        <v>Cincinnati</v>
      </c>
      <c r="Q1323" s="1" t="s">
        <v>421</v>
      </c>
      <c r="R1323" s="1" t="str">
        <f t="shared" si="1303"/>
        <v>Ohio</v>
      </c>
      <c r="S1323" s="1">
        <v>45231</v>
      </c>
      <c r="T1323" s="1" t="s">
        <v>128</v>
      </c>
      <c r="U1323" s="1" t="s">
        <v>1639</v>
      </c>
      <c r="V1323" s="1" t="s">
        <v>46</v>
      </c>
      <c r="W1323" s="7">
        <v>285.55200000000002</v>
      </c>
      <c r="X1323" s="1">
        <v>4</v>
      </c>
      <c r="Y1323" s="7">
        <v>285.41000000000003</v>
      </c>
      <c r="Z1323" s="7">
        <f t="shared" ref="Z1323:AA1323" si="1351">W1323*X1323</f>
        <v>1142.2080000000001</v>
      </c>
      <c r="AA1323" s="7">
        <f t="shared" si="1351"/>
        <v>1141.6400000000001</v>
      </c>
      <c r="AB1323" s="7">
        <f t="shared" si="1305"/>
        <v>0.56799999999998363</v>
      </c>
    </row>
    <row r="1324" spans="1:28">
      <c r="A1324" s="1">
        <v>1323</v>
      </c>
      <c r="B1324" s="1" t="s">
        <v>3016</v>
      </c>
      <c r="C1324" s="2">
        <v>43162</v>
      </c>
      <c r="D1324" s="6" t="str">
        <f t="shared" si="1300"/>
        <v>Mar</v>
      </c>
      <c r="E1324" s="6" t="str">
        <f t="shared" si="1301"/>
        <v>Qtr 1</v>
      </c>
      <c r="F1324" s="5">
        <v>43315</v>
      </c>
      <c r="G1324" s="1" t="s">
        <v>49</v>
      </c>
      <c r="H1324" s="1" t="s">
        <v>3017</v>
      </c>
      <c r="I1324" s="1" t="s">
        <v>3018</v>
      </c>
      <c r="J1324" s="1" t="str">
        <f ca="1">IFERROR(__xludf.DUMMYFUNCTION("split(I1324,"" "")"),"Liz")</f>
        <v>Liz</v>
      </c>
      <c r="K1324" s="1" t="str">
        <f ca="1">IFERROR(__xludf.DUMMYFUNCTION("""COMPUTED_VALUE"""),"Preis")</f>
        <v>Preis</v>
      </c>
      <c r="L1324" s="1"/>
      <c r="M1324" s="1" t="s">
        <v>29</v>
      </c>
      <c r="N1324" s="1" t="s">
        <v>30</v>
      </c>
      <c r="O1324" s="1" t="s">
        <v>3019</v>
      </c>
      <c r="P1324" s="1" t="str">
        <f t="shared" si="1302"/>
        <v>Murray</v>
      </c>
      <c r="Q1324" s="1" t="s">
        <v>32</v>
      </c>
      <c r="R1324" s="1" t="str">
        <f t="shared" si="1303"/>
        <v>Kentucky</v>
      </c>
      <c r="S1324" s="1">
        <v>42071</v>
      </c>
      <c r="T1324" s="1" t="s">
        <v>33</v>
      </c>
      <c r="U1324" s="1" t="s">
        <v>3020</v>
      </c>
      <c r="V1324" s="1" t="s">
        <v>46</v>
      </c>
      <c r="W1324" s="7">
        <v>72.8</v>
      </c>
      <c r="X1324" s="1">
        <v>4</v>
      </c>
      <c r="Y1324" s="7">
        <v>72.63</v>
      </c>
      <c r="Z1324" s="7">
        <f t="shared" ref="Z1324:AA1324" si="1352">W1324*X1324</f>
        <v>291.2</v>
      </c>
      <c r="AA1324" s="7">
        <f t="shared" si="1352"/>
        <v>290.52</v>
      </c>
      <c r="AB1324" s="7">
        <f t="shared" si="1305"/>
        <v>0.68000000000000682</v>
      </c>
    </row>
    <row r="1325" spans="1:28">
      <c r="A1325" s="1">
        <v>1324</v>
      </c>
      <c r="B1325" s="1" t="s">
        <v>3021</v>
      </c>
      <c r="C1325" s="2">
        <v>43353</v>
      </c>
      <c r="D1325" s="6" t="str">
        <f t="shared" si="1300"/>
        <v>Sep</v>
      </c>
      <c r="E1325" s="6" t="str">
        <f t="shared" si="1301"/>
        <v>Qtr 3</v>
      </c>
      <c r="F1325" s="5">
        <v>43383</v>
      </c>
      <c r="G1325" s="1" t="s">
        <v>162</v>
      </c>
      <c r="H1325" s="1" t="s">
        <v>3022</v>
      </c>
      <c r="I1325" s="1" t="s">
        <v>3023</v>
      </c>
      <c r="J1325" s="1" t="str">
        <f ca="1">IFERROR(__xludf.DUMMYFUNCTION("split(I1325,"" "")"),"Evan")</f>
        <v>Evan</v>
      </c>
      <c r="K1325" s="1" t="str">
        <f ca="1">IFERROR(__xludf.DUMMYFUNCTION("""COMPUTED_VALUE"""),"Bailliet")</f>
        <v>Bailliet</v>
      </c>
      <c r="L1325" s="1"/>
      <c r="M1325" s="1" t="s">
        <v>29</v>
      </c>
      <c r="N1325" s="1" t="s">
        <v>30</v>
      </c>
      <c r="O1325" s="1" t="s">
        <v>438</v>
      </c>
      <c r="P1325" s="1" t="str">
        <f t="shared" si="1302"/>
        <v>Wilmington</v>
      </c>
      <c r="Q1325" s="1" t="s">
        <v>75</v>
      </c>
      <c r="R1325" s="1" t="str">
        <f t="shared" si="1303"/>
        <v>North Carolina</v>
      </c>
      <c r="S1325" s="1">
        <v>28403</v>
      </c>
      <c r="T1325" s="1" t="s">
        <v>33</v>
      </c>
      <c r="U1325" s="1" t="s">
        <v>3024</v>
      </c>
      <c r="V1325" s="1" t="s">
        <v>46</v>
      </c>
      <c r="W1325" s="7">
        <v>10.816000000000001</v>
      </c>
      <c r="X1325" s="1">
        <v>2</v>
      </c>
      <c r="Y1325" s="7">
        <v>10.77</v>
      </c>
      <c r="Z1325" s="7">
        <f t="shared" ref="Z1325:AA1325" si="1353">W1325*X1325</f>
        <v>21.632000000000001</v>
      </c>
      <c r="AA1325" s="7">
        <f t="shared" si="1353"/>
        <v>21.54</v>
      </c>
      <c r="AB1325" s="7">
        <f t="shared" si="1305"/>
        <v>9.2000000000002302E-2</v>
      </c>
    </row>
    <row r="1326" spans="1:28">
      <c r="A1326" s="1">
        <v>1325</v>
      </c>
      <c r="B1326" s="1" t="s">
        <v>3025</v>
      </c>
      <c r="C1326" s="2">
        <v>42275</v>
      </c>
      <c r="D1326" s="6" t="str">
        <f t="shared" si="1300"/>
        <v>Sep</v>
      </c>
      <c r="E1326" s="6" t="str">
        <f t="shared" si="1301"/>
        <v>Qtr 3</v>
      </c>
      <c r="F1326" s="5">
        <v>42073</v>
      </c>
      <c r="G1326" s="1" t="s">
        <v>49</v>
      </c>
      <c r="H1326" s="1" t="s">
        <v>3026</v>
      </c>
      <c r="I1326" s="1" t="s">
        <v>3027</v>
      </c>
      <c r="J1326" s="1" t="str">
        <f ca="1">IFERROR(__xludf.DUMMYFUNCTION("split(I1326,"" "")"),"George")</f>
        <v>George</v>
      </c>
      <c r="K1326" s="1" t="str">
        <f ca="1">IFERROR(__xludf.DUMMYFUNCTION("""COMPUTED_VALUE"""),"Zrebassa")</f>
        <v>Zrebassa</v>
      </c>
      <c r="L1326" s="1"/>
      <c r="M1326" s="1" t="s">
        <v>41</v>
      </c>
      <c r="N1326" s="1" t="s">
        <v>30</v>
      </c>
      <c r="O1326" s="1" t="s">
        <v>1204</v>
      </c>
      <c r="P1326" s="1" t="str">
        <f t="shared" si="1302"/>
        <v>Lawrence</v>
      </c>
      <c r="Q1326" s="1" t="s">
        <v>1014</v>
      </c>
      <c r="R1326" s="1" t="str">
        <f t="shared" si="1303"/>
        <v>Massachusetts</v>
      </c>
      <c r="S1326" s="1">
        <v>1841</v>
      </c>
      <c r="T1326" s="1" t="s">
        <v>128</v>
      </c>
      <c r="U1326" s="1" t="s">
        <v>1328</v>
      </c>
      <c r="V1326" s="1" t="s">
        <v>46</v>
      </c>
      <c r="W1326" s="7">
        <v>46.26</v>
      </c>
      <c r="X1326" s="1">
        <v>1</v>
      </c>
      <c r="Y1326" s="7">
        <v>45.29</v>
      </c>
      <c r="Z1326" s="7">
        <f t="shared" ref="Z1326:AA1326" si="1354">W1326*X1326</f>
        <v>46.26</v>
      </c>
      <c r="AA1326" s="7">
        <f t="shared" si="1354"/>
        <v>45.29</v>
      </c>
      <c r="AB1326" s="7">
        <f t="shared" si="1305"/>
        <v>0.96999999999999886</v>
      </c>
    </row>
    <row r="1327" spans="1:28">
      <c r="A1327" s="1">
        <v>1326</v>
      </c>
      <c r="B1327" s="1" t="s">
        <v>3028</v>
      </c>
      <c r="C1327" s="2">
        <v>42151</v>
      </c>
      <c r="D1327" s="6" t="str">
        <f t="shared" si="1300"/>
        <v>May</v>
      </c>
      <c r="E1327" s="6" t="str">
        <f t="shared" si="1301"/>
        <v>Qtr 2</v>
      </c>
      <c r="F1327" s="5" t="s">
        <v>3029</v>
      </c>
      <c r="G1327" s="1" t="s">
        <v>162</v>
      </c>
      <c r="H1327" s="1" t="s">
        <v>685</v>
      </c>
      <c r="I1327" s="1" t="s">
        <v>686</v>
      </c>
      <c r="J1327" s="1" t="str">
        <f ca="1">IFERROR(__xludf.DUMMYFUNCTION("split(I1327,"" "")"),"Laurel")</f>
        <v>Laurel</v>
      </c>
      <c r="K1327" s="1" t="str">
        <f ca="1">IFERROR(__xludf.DUMMYFUNCTION("""COMPUTED_VALUE"""),"Elliston")</f>
        <v>Elliston</v>
      </c>
      <c r="L1327" s="1"/>
      <c r="M1327" s="1" t="s">
        <v>29</v>
      </c>
      <c r="N1327" s="1" t="s">
        <v>30</v>
      </c>
      <c r="O1327" s="1" t="s">
        <v>259</v>
      </c>
      <c r="P1327" s="1" t="str">
        <f t="shared" si="1302"/>
        <v>Chicago</v>
      </c>
      <c r="Q1327" s="1" t="s">
        <v>182</v>
      </c>
      <c r="R1327" s="1" t="str">
        <f t="shared" si="1303"/>
        <v>Illinois</v>
      </c>
      <c r="S1327" s="1">
        <v>60653</v>
      </c>
      <c r="T1327" s="1" t="s">
        <v>90</v>
      </c>
      <c r="U1327" s="1" t="s">
        <v>3030</v>
      </c>
      <c r="V1327" s="1" t="s">
        <v>46</v>
      </c>
      <c r="W1327" s="7">
        <v>17.46</v>
      </c>
      <c r="X1327" s="1">
        <v>6</v>
      </c>
      <c r="Y1327" s="7">
        <v>16.75</v>
      </c>
      <c r="Z1327" s="7">
        <f t="shared" ref="Z1327:AA1327" si="1355">W1327*X1327</f>
        <v>104.76</v>
      </c>
      <c r="AA1327" s="7">
        <f t="shared" si="1355"/>
        <v>100.5</v>
      </c>
      <c r="AB1327" s="7">
        <f t="shared" si="1305"/>
        <v>4.2600000000000051</v>
      </c>
    </row>
    <row r="1328" spans="1:28">
      <c r="A1328" s="1">
        <v>1327</v>
      </c>
      <c r="B1328" s="1" t="s">
        <v>3031</v>
      </c>
      <c r="C1328" s="2">
        <v>42535</v>
      </c>
      <c r="D1328" s="6" t="str">
        <f t="shared" si="1300"/>
        <v>Jun</v>
      </c>
      <c r="E1328" s="6" t="str">
        <f t="shared" si="1301"/>
        <v>Qtr 2</v>
      </c>
      <c r="F1328" s="5" t="s">
        <v>3032</v>
      </c>
      <c r="G1328" s="1" t="s">
        <v>49</v>
      </c>
      <c r="H1328" s="1" t="s">
        <v>445</v>
      </c>
      <c r="I1328" s="1" t="s">
        <v>446</v>
      </c>
      <c r="J1328" s="1" t="str">
        <f ca="1">IFERROR(__xludf.DUMMYFUNCTION("split(I1328,"" "")"),"Alan")</f>
        <v>Alan</v>
      </c>
      <c r="K1328" s="1" t="str">
        <f ca="1">IFERROR(__xludf.DUMMYFUNCTION("""COMPUTED_VALUE"""),"Dominguez")</f>
        <v>Dominguez</v>
      </c>
      <c r="L1328" s="1"/>
      <c r="M1328" s="1" t="s">
        <v>87</v>
      </c>
      <c r="N1328" s="1" t="s">
        <v>30</v>
      </c>
      <c r="O1328" s="1" t="s">
        <v>126</v>
      </c>
      <c r="P1328" s="1" t="str">
        <f t="shared" si="1302"/>
        <v>Philadelphia</v>
      </c>
      <c r="Q1328" s="1" t="s">
        <v>127</v>
      </c>
      <c r="R1328" s="1" t="str">
        <f t="shared" si="1303"/>
        <v>Pennsylvania</v>
      </c>
      <c r="S1328" s="1">
        <v>19120</v>
      </c>
      <c r="T1328" s="1" t="s">
        <v>128</v>
      </c>
      <c r="U1328" s="1" t="s">
        <v>2837</v>
      </c>
      <c r="V1328" s="1" t="s">
        <v>35</v>
      </c>
      <c r="W1328" s="7">
        <v>51.072000000000003</v>
      </c>
      <c r="X1328" s="1">
        <v>1</v>
      </c>
      <c r="Y1328" s="7">
        <v>50.77</v>
      </c>
      <c r="Z1328" s="7">
        <f t="shared" ref="Z1328:AA1328" si="1356">W1328*X1328</f>
        <v>51.072000000000003</v>
      </c>
      <c r="AA1328" s="7">
        <f t="shared" si="1356"/>
        <v>50.77</v>
      </c>
      <c r="AB1328" s="7">
        <f t="shared" si="1305"/>
        <v>0.3019999999999996</v>
      </c>
    </row>
    <row r="1329" spans="1:28">
      <c r="A1329" s="1">
        <v>1328</v>
      </c>
      <c r="B1329" s="1" t="s">
        <v>3033</v>
      </c>
      <c r="C1329" s="2">
        <v>42824</v>
      </c>
      <c r="D1329" s="6" t="str">
        <f t="shared" si="1300"/>
        <v>Mar</v>
      </c>
      <c r="E1329" s="6" t="str">
        <f t="shared" si="1301"/>
        <v>Qtr 1</v>
      </c>
      <c r="F1329" s="5">
        <v>42739</v>
      </c>
      <c r="G1329" s="1" t="s">
        <v>162</v>
      </c>
      <c r="H1329" s="1" t="s">
        <v>3034</v>
      </c>
      <c r="I1329" s="1" t="s">
        <v>3035</v>
      </c>
      <c r="J1329" s="1" t="str">
        <f ca="1">IFERROR(__xludf.DUMMYFUNCTION("split(I1329,"" "")"),"Cathy")</f>
        <v>Cathy</v>
      </c>
      <c r="K1329" s="1" t="str">
        <f ca="1">IFERROR(__xludf.DUMMYFUNCTION("""COMPUTED_VALUE"""),"Prescott")</f>
        <v>Prescott</v>
      </c>
      <c r="L1329" s="1"/>
      <c r="M1329" s="1" t="s">
        <v>41</v>
      </c>
      <c r="N1329" s="1" t="s">
        <v>30</v>
      </c>
      <c r="O1329" s="1" t="s">
        <v>2300</v>
      </c>
      <c r="P1329" s="1" t="str">
        <f t="shared" si="1302"/>
        <v>Norwich</v>
      </c>
      <c r="Q1329" s="1" t="s">
        <v>617</v>
      </c>
      <c r="R1329" s="1" t="str">
        <f t="shared" si="1303"/>
        <v>Connecticut</v>
      </c>
      <c r="S1329" s="1">
        <v>6360</v>
      </c>
      <c r="T1329" s="1" t="s">
        <v>128</v>
      </c>
      <c r="U1329" s="1" t="s">
        <v>2425</v>
      </c>
      <c r="V1329" s="1" t="s">
        <v>46</v>
      </c>
      <c r="W1329" s="7">
        <v>11.34</v>
      </c>
      <c r="X1329" s="1">
        <v>6</v>
      </c>
      <c r="Y1329" s="7">
        <v>11.27</v>
      </c>
      <c r="Z1329" s="7">
        <f t="shared" ref="Z1329:AA1329" si="1357">W1329*X1329</f>
        <v>68.039999999999992</v>
      </c>
      <c r="AA1329" s="7">
        <f t="shared" si="1357"/>
        <v>67.62</v>
      </c>
      <c r="AB1329" s="7">
        <f t="shared" si="1305"/>
        <v>0.41999999999998749</v>
      </c>
    </row>
    <row r="1330" spans="1:28">
      <c r="A1330" s="1">
        <v>1329</v>
      </c>
      <c r="B1330" s="1" t="s">
        <v>3036</v>
      </c>
      <c r="C1330" s="2">
        <v>43388</v>
      </c>
      <c r="D1330" s="6" t="str">
        <f t="shared" si="1300"/>
        <v>Oct</v>
      </c>
      <c r="E1330" s="6" t="str">
        <f t="shared" si="1301"/>
        <v>Qtr 4</v>
      </c>
      <c r="F1330" s="5" t="s">
        <v>3037</v>
      </c>
      <c r="G1330" s="1" t="s">
        <v>26</v>
      </c>
      <c r="H1330" s="1" t="s">
        <v>3038</v>
      </c>
      <c r="I1330" s="1" t="s">
        <v>3039</v>
      </c>
      <c r="J1330" s="1" t="str">
        <f ca="1">IFERROR(__xludf.DUMMYFUNCTION("split(I1330,"" "")"),"Frank")</f>
        <v>Frank</v>
      </c>
      <c r="K1330" s="1" t="str">
        <f ca="1">IFERROR(__xludf.DUMMYFUNCTION("""COMPUTED_VALUE"""),"Gastineau")</f>
        <v>Gastineau</v>
      </c>
      <c r="L1330" s="1"/>
      <c r="M1330" s="1" t="s">
        <v>87</v>
      </c>
      <c r="N1330" s="1" t="s">
        <v>30</v>
      </c>
      <c r="O1330" s="1" t="s">
        <v>110</v>
      </c>
      <c r="P1330" s="1" t="str">
        <f t="shared" si="1302"/>
        <v>San Francisco</v>
      </c>
      <c r="Q1330" s="1" t="s">
        <v>68</v>
      </c>
      <c r="R1330" s="1" t="str">
        <f t="shared" si="1303"/>
        <v>California</v>
      </c>
      <c r="S1330" s="1">
        <v>94110</v>
      </c>
      <c r="T1330" s="1" t="s">
        <v>44</v>
      </c>
      <c r="U1330" s="1" t="s">
        <v>3040</v>
      </c>
      <c r="V1330" s="1" t="s">
        <v>46</v>
      </c>
      <c r="W1330" s="7">
        <v>87.92</v>
      </c>
      <c r="X1330" s="1">
        <v>9</v>
      </c>
      <c r="Y1330" s="7">
        <v>87.9</v>
      </c>
      <c r="Z1330" s="7">
        <f t="shared" ref="Z1330:AA1330" si="1358">W1330*X1330</f>
        <v>791.28</v>
      </c>
      <c r="AA1330" s="7">
        <f t="shared" si="1358"/>
        <v>791.1</v>
      </c>
      <c r="AB1330" s="7">
        <f t="shared" si="1305"/>
        <v>0.17999999999994998</v>
      </c>
    </row>
    <row r="1331" spans="1:28">
      <c r="A1331" s="1">
        <v>1330</v>
      </c>
      <c r="B1331" s="1" t="s">
        <v>3041</v>
      </c>
      <c r="C1331" s="2">
        <v>42878</v>
      </c>
      <c r="D1331" s="6" t="str">
        <f t="shared" si="1300"/>
        <v>May</v>
      </c>
      <c r="E1331" s="6" t="str">
        <f t="shared" si="1301"/>
        <v>Qtr 2</v>
      </c>
      <c r="F1331" s="5" t="s">
        <v>3042</v>
      </c>
      <c r="G1331" s="1" t="s">
        <v>49</v>
      </c>
      <c r="H1331" s="1" t="s">
        <v>3043</v>
      </c>
      <c r="I1331" s="1" t="s">
        <v>3044</v>
      </c>
      <c r="J1331" s="1" t="str">
        <f ca="1">IFERROR(__xludf.DUMMYFUNCTION("split(I1331,"" "")"),"Lisa")</f>
        <v>Lisa</v>
      </c>
      <c r="K1331" s="1" t="str">
        <f ca="1">IFERROR(__xludf.DUMMYFUNCTION("""COMPUTED_VALUE"""),"DeCherney")</f>
        <v>DeCherney</v>
      </c>
      <c r="L1331" s="1"/>
      <c r="M1331" s="1" t="s">
        <v>29</v>
      </c>
      <c r="N1331" s="1" t="s">
        <v>30</v>
      </c>
      <c r="O1331" s="1" t="s">
        <v>110</v>
      </c>
      <c r="P1331" s="1" t="str">
        <f t="shared" si="1302"/>
        <v>San Francisco</v>
      </c>
      <c r="Q1331" s="1" t="s">
        <v>68</v>
      </c>
      <c r="R1331" s="1" t="str">
        <f t="shared" si="1303"/>
        <v>California</v>
      </c>
      <c r="S1331" s="1">
        <v>94109</v>
      </c>
      <c r="T1331" s="1" t="s">
        <v>44</v>
      </c>
      <c r="U1331" s="1" t="s">
        <v>2867</v>
      </c>
      <c r="V1331" s="1" t="s">
        <v>35</v>
      </c>
      <c r="W1331" s="7">
        <v>37.049999999999997</v>
      </c>
      <c r="X1331" s="1">
        <v>9</v>
      </c>
      <c r="Y1331" s="7">
        <v>36.89</v>
      </c>
      <c r="Z1331" s="7">
        <f t="shared" ref="Z1331:AA1331" si="1359">W1331*X1331</f>
        <v>333.45</v>
      </c>
      <c r="AA1331" s="7">
        <f t="shared" si="1359"/>
        <v>332.01</v>
      </c>
      <c r="AB1331" s="7">
        <f t="shared" si="1305"/>
        <v>1.4399999999999977</v>
      </c>
    </row>
    <row r="1332" spans="1:28">
      <c r="A1332" s="1">
        <v>1331</v>
      </c>
      <c r="B1332" s="1" t="s">
        <v>3045</v>
      </c>
      <c r="C1332" s="2">
        <v>43137</v>
      </c>
      <c r="D1332" s="6" t="str">
        <f t="shared" si="1300"/>
        <v>Feb</v>
      </c>
      <c r="E1332" s="6" t="str">
        <f t="shared" si="1301"/>
        <v>Qtr 1</v>
      </c>
      <c r="F1332" s="5">
        <v>43257</v>
      </c>
      <c r="G1332" s="1" t="s">
        <v>49</v>
      </c>
      <c r="H1332" s="1" t="s">
        <v>3046</v>
      </c>
      <c r="I1332" s="1" t="s">
        <v>3047</v>
      </c>
      <c r="J1332" s="1" t="str">
        <f ca="1">IFERROR(__xludf.DUMMYFUNCTION("split(I1332,"" "")"),"Alejandro")</f>
        <v>Alejandro</v>
      </c>
      <c r="K1332" s="1" t="str">
        <f ca="1">IFERROR(__xludf.DUMMYFUNCTION("""COMPUTED_VALUE"""),"Ballentine")</f>
        <v>Ballentine</v>
      </c>
      <c r="L1332" s="1"/>
      <c r="M1332" s="1" t="s">
        <v>87</v>
      </c>
      <c r="N1332" s="1" t="s">
        <v>30</v>
      </c>
      <c r="O1332" s="1" t="s">
        <v>2154</v>
      </c>
      <c r="P1332" s="1" t="str">
        <f t="shared" si="1302"/>
        <v>Lorain</v>
      </c>
      <c r="Q1332" s="1" t="s">
        <v>421</v>
      </c>
      <c r="R1332" s="1" t="str">
        <f t="shared" si="1303"/>
        <v>Ohio</v>
      </c>
      <c r="S1332" s="1">
        <v>44052</v>
      </c>
      <c r="T1332" s="1" t="s">
        <v>128</v>
      </c>
      <c r="U1332" s="1" t="s">
        <v>1574</v>
      </c>
      <c r="V1332" s="1" t="s">
        <v>64</v>
      </c>
      <c r="W1332" s="7">
        <v>2.97</v>
      </c>
      <c r="X1332" s="1">
        <v>4</v>
      </c>
      <c r="Y1332" s="7">
        <v>2.87</v>
      </c>
      <c r="Z1332" s="7">
        <f t="shared" ref="Z1332:AA1332" si="1360">W1332*X1332</f>
        <v>11.88</v>
      </c>
      <c r="AA1332" s="7">
        <f t="shared" si="1360"/>
        <v>11.48</v>
      </c>
      <c r="AB1332" s="7">
        <f t="shared" si="1305"/>
        <v>0.40000000000000036</v>
      </c>
    </row>
    <row r="1333" spans="1:28">
      <c r="A1333" s="1">
        <v>1332</v>
      </c>
      <c r="B1333" s="1" t="s">
        <v>3045</v>
      </c>
      <c r="C1333" s="2">
        <v>43137</v>
      </c>
      <c r="D1333" s="6" t="str">
        <f t="shared" si="1300"/>
        <v>Feb</v>
      </c>
      <c r="E1333" s="6" t="str">
        <f t="shared" si="1301"/>
        <v>Qtr 1</v>
      </c>
      <c r="F1333" s="5">
        <v>43257</v>
      </c>
      <c r="G1333" s="1" t="s">
        <v>49</v>
      </c>
      <c r="H1333" s="1" t="s">
        <v>3046</v>
      </c>
      <c r="I1333" s="1" t="s">
        <v>3047</v>
      </c>
      <c r="J1333" s="1" t="str">
        <f ca="1">IFERROR(__xludf.DUMMYFUNCTION("split(I1333,"" "")"),"Alejandro")</f>
        <v>Alejandro</v>
      </c>
      <c r="K1333" s="1" t="str">
        <f ca="1">IFERROR(__xludf.DUMMYFUNCTION("""COMPUTED_VALUE"""),"Ballentine")</f>
        <v>Ballentine</v>
      </c>
      <c r="L1333" s="1"/>
      <c r="M1333" s="1" t="s">
        <v>87</v>
      </c>
      <c r="N1333" s="1" t="s">
        <v>30</v>
      </c>
      <c r="O1333" s="1" t="s">
        <v>2154</v>
      </c>
      <c r="P1333" s="1" t="str">
        <f t="shared" si="1302"/>
        <v>Lorain</v>
      </c>
      <c r="Q1333" s="1" t="s">
        <v>421</v>
      </c>
      <c r="R1333" s="1" t="str">
        <f t="shared" si="1303"/>
        <v>Ohio</v>
      </c>
      <c r="S1333" s="1">
        <v>44052</v>
      </c>
      <c r="T1333" s="1" t="s">
        <v>128</v>
      </c>
      <c r="U1333" s="1" t="s">
        <v>1435</v>
      </c>
      <c r="V1333" s="1" t="s">
        <v>46</v>
      </c>
      <c r="W1333" s="7">
        <v>27.44</v>
      </c>
      <c r="X1333" s="1">
        <v>4</v>
      </c>
      <c r="Y1333" s="7">
        <v>27.29</v>
      </c>
      <c r="Z1333" s="7">
        <f t="shared" ref="Z1333:AA1333" si="1361">W1333*X1333</f>
        <v>109.76</v>
      </c>
      <c r="AA1333" s="7">
        <f t="shared" si="1361"/>
        <v>109.16</v>
      </c>
      <c r="AB1333" s="7">
        <f t="shared" si="1305"/>
        <v>0.60000000000000853</v>
      </c>
    </row>
    <row r="1334" spans="1:28">
      <c r="A1334" s="1">
        <v>1333</v>
      </c>
      <c r="B1334" s="1" t="s">
        <v>3048</v>
      </c>
      <c r="C1334" s="2">
        <v>42051</v>
      </c>
      <c r="D1334" s="6" t="str">
        <f t="shared" si="1300"/>
        <v>Feb</v>
      </c>
      <c r="E1334" s="6" t="str">
        <f t="shared" si="1301"/>
        <v>Qtr 1</v>
      </c>
      <c r="F1334" s="5" t="s">
        <v>3049</v>
      </c>
      <c r="G1334" s="1" t="s">
        <v>49</v>
      </c>
      <c r="H1334" s="1" t="s">
        <v>3050</v>
      </c>
      <c r="I1334" s="1" t="s">
        <v>3051</v>
      </c>
      <c r="J1334" s="1" t="str">
        <f ca="1">IFERROR(__xludf.DUMMYFUNCTION("split(I1334,"" "")"),"Michael")</f>
        <v>Michael</v>
      </c>
      <c r="K1334" s="1" t="str">
        <f ca="1">IFERROR(__xludf.DUMMYFUNCTION("""COMPUTED_VALUE"""),"Nguyen")</f>
        <v>Nguyen</v>
      </c>
      <c r="L1334" s="1"/>
      <c r="M1334" s="1" t="s">
        <v>29</v>
      </c>
      <c r="N1334" s="1" t="s">
        <v>30</v>
      </c>
      <c r="O1334" s="1" t="s">
        <v>677</v>
      </c>
      <c r="P1334" s="1" t="str">
        <f t="shared" si="1302"/>
        <v>Dallas</v>
      </c>
      <c r="Q1334" s="1" t="s">
        <v>89</v>
      </c>
      <c r="R1334" s="1" t="str">
        <f t="shared" si="1303"/>
        <v>Texas</v>
      </c>
      <c r="S1334" s="1">
        <v>75220</v>
      </c>
      <c r="T1334" s="1" t="s">
        <v>90</v>
      </c>
      <c r="U1334" s="1" t="s">
        <v>2418</v>
      </c>
      <c r="V1334" s="1" t="s">
        <v>46</v>
      </c>
      <c r="W1334" s="7">
        <v>1.08</v>
      </c>
      <c r="X1334" s="1">
        <v>7</v>
      </c>
      <c r="Y1334" s="7">
        <v>0.93</v>
      </c>
      <c r="Z1334" s="7">
        <f t="shared" ref="Z1334:AA1334" si="1362">W1334*X1334</f>
        <v>7.5600000000000005</v>
      </c>
      <c r="AA1334" s="7">
        <f t="shared" si="1362"/>
        <v>6.5100000000000007</v>
      </c>
      <c r="AB1334" s="7">
        <f t="shared" si="1305"/>
        <v>1.0499999999999998</v>
      </c>
    </row>
    <row r="1335" spans="1:28">
      <c r="A1335" s="1">
        <v>1334</v>
      </c>
      <c r="B1335" s="1" t="s">
        <v>3048</v>
      </c>
      <c r="C1335" s="2">
        <v>42051</v>
      </c>
      <c r="D1335" s="6" t="str">
        <f t="shared" si="1300"/>
        <v>Feb</v>
      </c>
      <c r="E1335" s="6" t="str">
        <f t="shared" si="1301"/>
        <v>Qtr 1</v>
      </c>
      <c r="F1335" s="5" t="s">
        <v>3049</v>
      </c>
      <c r="G1335" s="1" t="s">
        <v>49</v>
      </c>
      <c r="H1335" s="1" t="s">
        <v>3050</v>
      </c>
      <c r="I1335" s="1" t="s">
        <v>3051</v>
      </c>
      <c r="J1335" s="1" t="str">
        <f ca="1">IFERROR(__xludf.DUMMYFUNCTION("split(I1335,"" "")"),"Michael")</f>
        <v>Michael</v>
      </c>
      <c r="K1335" s="1" t="str">
        <f ca="1">IFERROR(__xludf.DUMMYFUNCTION("""COMPUTED_VALUE"""),"Nguyen")</f>
        <v>Nguyen</v>
      </c>
      <c r="L1335" s="1"/>
      <c r="M1335" s="1" t="s">
        <v>29</v>
      </c>
      <c r="N1335" s="1" t="s">
        <v>30</v>
      </c>
      <c r="O1335" s="1" t="s">
        <v>677</v>
      </c>
      <c r="P1335" s="1" t="str">
        <f t="shared" si="1302"/>
        <v>Dallas</v>
      </c>
      <c r="Q1335" s="1" t="s">
        <v>89</v>
      </c>
      <c r="R1335" s="1" t="str">
        <f t="shared" si="1303"/>
        <v>Texas</v>
      </c>
      <c r="S1335" s="1">
        <v>75220</v>
      </c>
      <c r="T1335" s="1" t="s">
        <v>90</v>
      </c>
      <c r="U1335" s="1" t="s">
        <v>3052</v>
      </c>
      <c r="V1335" s="1" t="s">
        <v>46</v>
      </c>
      <c r="W1335" s="7">
        <v>7.96</v>
      </c>
      <c r="X1335" s="1">
        <v>7</v>
      </c>
      <c r="Y1335" s="7">
        <v>7.64</v>
      </c>
      <c r="Z1335" s="7">
        <f t="shared" ref="Z1335:AA1335" si="1363">W1335*X1335</f>
        <v>55.72</v>
      </c>
      <c r="AA1335" s="7">
        <f t="shared" si="1363"/>
        <v>53.48</v>
      </c>
      <c r="AB1335" s="7">
        <f t="shared" si="1305"/>
        <v>2.240000000000002</v>
      </c>
    </row>
    <row r="1336" spans="1:28">
      <c r="A1336" s="1">
        <v>1335</v>
      </c>
      <c r="B1336" s="1" t="s">
        <v>3053</v>
      </c>
      <c r="C1336" s="2">
        <v>42160</v>
      </c>
      <c r="D1336" s="6" t="str">
        <f t="shared" si="1300"/>
        <v>Jun</v>
      </c>
      <c r="E1336" s="6" t="str">
        <f t="shared" si="1301"/>
        <v>Qtr 2</v>
      </c>
      <c r="F1336" s="5">
        <v>42282</v>
      </c>
      <c r="G1336" s="1" t="s">
        <v>49</v>
      </c>
      <c r="H1336" s="1" t="s">
        <v>85</v>
      </c>
      <c r="I1336" s="1" t="s">
        <v>86</v>
      </c>
      <c r="J1336" s="1" t="str">
        <f ca="1">IFERROR(__xludf.DUMMYFUNCTION("split(I1336,"" "")"),"Harold")</f>
        <v>Harold</v>
      </c>
      <c r="K1336" s="1" t="str">
        <f ca="1">IFERROR(__xludf.DUMMYFUNCTION("""COMPUTED_VALUE"""),"Pawlan")</f>
        <v>Pawlan</v>
      </c>
      <c r="L1336" s="1"/>
      <c r="M1336" s="1" t="s">
        <v>87</v>
      </c>
      <c r="N1336" s="1" t="s">
        <v>30</v>
      </c>
      <c r="O1336" s="1" t="s">
        <v>42</v>
      </c>
      <c r="P1336" s="1" t="str">
        <f t="shared" si="1302"/>
        <v>Los Angeles</v>
      </c>
      <c r="Q1336" s="1" t="s">
        <v>68</v>
      </c>
      <c r="R1336" s="1" t="str">
        <f t="shared" si="1303"/>
        <v>California</v>
      </c>
      <c r="S1336" s="1">
        <v>90049</v>
      </c>
      <c r="T1336" s="1" t="s">
        <v>44</v>
      </c>
      <c r="U1336" s="1" t="s">
        <v>2290</v>
      </c>
      <c r="V1336" s="1" t="s">
        <v>46</v>
      </c>
      <c r="W1336" s="7">
        <v>140.73599999999999</v>
      </c>
      <c r="X1336" s="1">
        <v>9</v>
      </c>
      <c r="Y1336" s="7">
        <v>139.83000000000001</v>
      </c>
      <c r="Z1336" s="7">
        <f t="shared" ref="Z1336:AA1336" si="1364">W1336*X1336</f>
        <v>1266.6239999999998</v>
      </c>
      <c r="AA1336" s="7">
        <f t="shared" si="1364"/>
        <v>1258.47</v>
      </c>
      <c r="AB1336" s="7">
        <f t="shared" si="1305"/>
        <v>8.153999999999769</v>
      </c>
    </row>
    <row r="1337" spans="1:28">
      <c r="A1337" s="1">
        <v>1336</v>
      </c>
      <c r="B1337" s="1" t="s">
        <v>3054</v>
      </c>
      <c r="C1337" s="2">
        <v>42871</v>
      </c>
      <c r="D1337" s="6" t="str">
        <f t="shared" si="1300"/>
        <v>May</v>
      </c>
      <c r="E1337" s="6" t="str">
        <f t="shared" si="1301"/>
        <v>Qtr 2</v>
      </c>
      <c r="F1337" s="5" t="s">
        <v>1449</v>
      </c>
      <c r="G1337" s="1" t="s">
        <v>49</v>
      </c>
      <c r="H1337" s="1" t="s">
        <v>3055</v>
      </c>
      <c r="I1337" s="1" t="s">
        <v>3056</v>
      </c>
      <c r="J1337" s="1" t="str">
        <f ca="1">IFERROR(__xludf.DUMMYFUNCTION("split(I1337,"" "")"),"Jim")</f>
        <v>Jim</v>
      </c>
      <c r="K1337" s="1" t="str">
        <f ca="1">IFERROR(__xludf.DUMMYFUNCTION("""COMPUTED_VALUE"""),"Radford")</f>
        <v>Radford</v>
      </c>
      <c r="L1337" s="1"/>
      <c r="M1337" s="1" t="s">
        <v>29</v>
      </c>
      <c r="N1337" s="1" t="s">
        <v>30</v>
      </c>
      <c r="O1337" s="1" t="s">
        <v>3057</v>
      </c>
      <c r="P1337" s="1" t="str">
        <f t="shared" si="1302"/>
        <v>Middletown</v>
      </c>
      <c r="Q1337" s="1" t="s">
        <v>617</v>
      </c>
      <c r="R1337" s="1" t="str">
        <f t="shared" si="1303"/>
        <v>Connecticut</v>
      </c>
      <c r="S1337" s="1">
        <v>6457</v>
      </c>
      <c r="T1337" s="1" t="s">
        <v>128</v>
      </c>
      <c r="U1337" s="1" t="s">
        <v>3058</v>
      </c>
      <c r="V1337" s="1" t="s">
        <v>46</v>
      </c>
      <c r="W1337" s="7">
        <v>552.55999999999995</v>
      </c>
      <c r="X1337" s="1">
        <v>6</v>
      </c>
      <c r="Y1337" s="7">
        <v>551.95000000000005</v>
      </c>
      <c r="Z1337" s="7">
        <f t="shared" ref="Z1337:AA1337" si="1365">W1337*X1337</f>
        <v>3315.3599999999997</v>
      </c>
      <c r="AA1337" s="7">
        <f t="shared" si="1365"/>
        <v>3311.7000000000003</v>
      </c>
      <c r="AB1337" s="7">
        <f t="shared" si="1305"/>
        <v>3.6599999999993997</v>
      </c>
    </row>
    <row r="1338" spans="1:28">
      <c r="A1338" s="1">
        <v>1337</v>
      </c>
      <c r="B1338" s="1" t="s">
        <v>3059</v>
      </c>
      <c r="C1338" s="2">
        <v>43135</v>
      </c>
      <c r="D1338" s="6" t="str">
        <f t="shared" si="1300"/>
        <v>Feb</v>
      </c>
      <c r="E1338" s="6" t="str">
        <f t="shared" si="1301"/>
        <v>Qtr 1</v>
      </c>
      <c r="F1338" s="5">
        <v>43285</v>
      </c>
      <c r="G1338" s="1" t="s">
        <v>49</v>
      </c>
      <c r="H1338" s="1" t="s">
        <v>3060</v>
      </c>
      <c r="I1338" s="1" t="s">
        <v>3061</v>
      </c>
      <c r="J1338" s="1" t="str">
        <f ca="1">IFERROR(__xludf.DUMMYFUNCTION("split(I1338,"" "")"),"Jamie")</f>
        <v>Jamie</v>
      </c>
      <c r="K1338" s="1" t="str">
        <f ca="1">IFERROR(__xludf.DUMMYFUNCTION("""COMPUTED_VALUE"""),"Frazer")</f>
        <v>Frazer</v>
      </c>
      <c r="L1338" s="1"/>
      <c r="M1338" s="1" t="s">
        <v>29</v>
      </c>
      <c r="N1338" s="1" t="s">
        <v>30</v>
      </c>
      <c r="O1338" s="1" t="s">
        <v>42</v>
      </c>
      <c r="P1338" s="1" t="str">
        <f t="shared" si="1302"/>
        <v>Los Angeles</v>
      </c>
      <c r="Q1338" s="1" t="s">
        <v>68</v>
      </c>
      <c r="R1338" s="1" t="str">
        <f t="shared" si="1303"/>
        <v>California</v>
      </c>
      <c r="S1338" s="1">
        <v>90008</v>
      </c>
      <c r="T1338" s="1" t="s">
        <v>44</v>
      </c>
      <c r="U1338" s="1" t="s">
        <v>2898</v>
      </c>
      <c r="V1338" s="1" t="s">
        <v>35</v>
      </c>
      <c r="W1338" s="7">
        <v>25.11</v>
      </c>
      <c r="X1338" s="1">
        <v>9</v>
      </c>
      <c r="Y1338" s="7">
        <v>24.28</v>
      </c>
      <c r="Z1338" s="7">
        <f t="shared" ref="Z1338:AA1338" si="1366">W1338*X1338</f>
        <v>225.99</v>
      </c>
      <c r="AA1338" s="7">
        <f t="shared" si="1366"/>
        <v>218.52</v>
      </c>
      <c r="AB1338" s="7">
        <f t="shared" si="1305"/>
        <v>7.4699999999999989</v>
      </c>
    </row>
    <row r="1339" spans="1:28">
      <c r="A1339" s="1">
        <v>1338</v>
      </c>
      <c r="B1339" s="1" t="s">
        <v>3062</v>
      </c>
      <c r="C1339" s="2">
        <v>43190</v>
      </c>
      <c r="D1339" s="6" t="str">
        <f t="shared" si="1300"/>
        <v>Mar</v>
      </c>
      <c r="E1339" s="6" t="str">
        <f t="shared" si="1301"/>
        <v>Qtr 1</v>
      </c>
      <c r="F1339" s="5">
        <v>43135</v>
      </c>
      <c r="G1339" s="1" t="s">
        <v>26</v>
      </c>
      <c r="H1339" s="1" t="s">
        <v>3063</v>
      </c>
      <c r="I1339" s="1" t="s">
        <v>3064</v>
      </c>
      <c r="J1339" s="1" t="str">
        <f ca="1">IFERROR(__xludf.DUMMYFUNCTION("split(I1339,"" "")"),"Chad")</f>
        <v>Chad</v>
      </c>
      <c r="K1339" s="1" t="str">
        <f ca="1">IFERROR(__xludf.DUMMYFUNCTION("""COMPUTED_VALUE"""),"McGuire")</f>
        <v>McGuire</v>
      </c>
      <c r="L1339" s="1"/>
      <c r="M1339" s="1" t="s">
        <v>29</v>
      </c>
      <c r="N1339" s="1" t="s">
        <v>30</v>
      </c>
      <c r="O1339" s="1" t="s">
        <v>233</v>
      </c>
      <c r="P1339" s="1" t="str">
        <f t="shared" si="1302"/>
        <v>New York City</v>
      </c>
      <c r="Q1339" s="1" t="s">
        <v>234</v>
      </c>
      <c r="R1339" s="1" t="str">
        <f t="shared" si="1303"/>
        <v>New York</v>
      </c>
      <c r="S1339" s="1">
        <v>10011</v>
      </c>
      <c r="T1339" s="1" t="s">
        <v>128</v>
      </c>
      <c r="U1339" s="1" t="s">
        <v>3065</v>
      </c>
      <c r="V1339" s="1" t="s">
        <v>35</v>
      </c>
      <c r="W1339" s="7">
        <v>29.78</v>
      </c>
      <c r="X1339" s="1">
        <v>1</v>
      </c>
      <c r="Y1339" s="7">
        <v>29.58</v>
      </c>
      <c r="Z1339" s="7">
        <f t="shared" ref="Z1339:AA1339" si="1367">W1339*X1339</f>
        <v>29.78</v>
      </c>
      <c r="AA1339" s="7">
        <f t="shared" si="1367"/>
        <v>29.58</v>
      </c>
      <c r="AB1339" s="7">
        <f t="shared" si="1305"/>
        <v>0.20000000000000284</v>
      </c>
    </row>
    <row r="1340" spans="1:28">
      <c r="A1340" s="1">
        <v>1339</v>
      </c>
      <c r="B1340" s="1" t="s">
        <v>3062</v>
      </c>
      <c r="C1340" s="2">
        <v>43190</v>
      </c>
      <c r="D1340" s="6" t="str">
        <f t="shared" si="1300"/>
        <v>Mar</v>
      </c>
      <c r="E1340" s="6" t="str">
        <f t="shared" si="1301"/>
        <v>Qtr 1</v>
      </c>
      <c r="F1340" s="5">
        <v>43135</v>
      </c>
      <c r="G1340" s="1" t="s">
        <v>26</v>
      </c>
      <c r="H1340" s="1" t="s">
        <v>3063</v>
      </c>
      <c r="I1340" s="1" t="s">
        <v>3064</v>
      </c>
      <c r="J1340" s="1" t="str">
        <f ca="1">IFERROR(__xludf.DUMMYFUNCTION("split(I1340,"" "")"),"Chad")</f>
        <v>Chad</v>
      </c>
      <c r="K1340" s="1" t="str">
        <f ca="1">IFERROR(__xludf.DUMMYFUNCTION("""COMPUTED_VALUE"""),"McGuire")</f>
        <v>McGuire</v>
      </c>
      <c r="L1340" s="1"/>
      <c r="M1340" s="1" t="s">
        <v>29</v>
      </c>
      <c r="N1340" s="1" t="s">
        <v>30</v>
      </c>
      <c r="O1340" s="1" t="s">
        <v>233</v>
      </c>
      <c r="P1340" s="1" t="str">
        <f t="shared" si="1302"/>
        <v>New York City</v>
      </c>
      <c r="Q1340" s="1" t="s">
        <v>234</v>
      </c>
      <c r="R1340" s="1" t="str">
        <f t="shared" si="1303"/>
        <v>New York</v>
      </c>
      <c r="S1340" s="1">
        <v>10011</v>
      </c>
      <c r="T1340" s="1" t="s">
        <v>128</v>
      </c>
      <c r="U1340" s="1" t="s">
        <v>3066</v>
      </c>
      <c r="V1340" s="1" t="s">
        <v>64</v>
      </c>
      <c r="W1340" s="7">
        <v>677.58</v>
      </c>
      <c r="X1340" s="1">
        <v>1</v>
      </c>
      <c r="Y1340" s="7">
        <v>677.48</v>
      </c>
      <c r="Z1340" s="7">
        <f t="shared" ref="Z1340:AA1340" si="1368">W1340*X1340</f>
        <v>677.58</v>
      </c>
      <c r="AA1340" s="7">
        <f t="shared" si="1368"/>
        <v>677.48</v>
      </c>
      <c r="AB1340" s="7">
        <f t="shared" si="1305"/>
        <v>0.10000000000002274</v>
      </c>
    </row>
    <row r="1341" spans="1:28">
      <c r="A1341" s="1">
        <v>1340</v>
      </c>
      <c r="B1341" s="1" t="s">
        <v>3062</v>
      </c>
      <c r="C1341" s="2">
        <v>43190</v>
      </c>
      <c r="D1341" s="6" t="str">
        <f t="shared" si="1300"/>
        <v>Mar</v>
      </c>
      <c r="E1341" s="6" t="str">
        <f t="shared" si="1301"/>
        <v>Qtr 1</v>
      </c>
      <c r="F1341" s="5">
        <v>43135</v>
      </c>
      <c r="G1341" s="1" t="s">
        <v>26</v>
      </c>
      <c r="H1341" s="1" t="s">
        <v>3063</v>
      </c>
      <c r="I1341" s="1" t="s">
        <v>3064</v>
      </c>
      <c r="J1341" s="1" t="str">
        <f ca="1">IFERROR(__xludf.DUMMYFUNCTION("split(I1341,"" "")"),"Chad")</f>
        <v>Chad</v>
      </c>
      <c r="K1341" s="1" t="str">
        <f ca="1">IFERROR(__xludf.DUMMYFUNCTION("""COMPUTED_VALUE"""),"McGuire")</f>
        <v>McGuire</v>
      </c>
      <c r="L1341" s="1"/>
      <c r="M1341" s="1" t="s">
        <v>29</v>
      </c>
      <c r="N1341" s="1" t="s">
        <v>30</v>
      </c>
      <c r="O1341" s="1" t="s">
        <v>233</v>
      </c>
      <c r="P1341" s="1" t="str">
        <f t="shared" si="1302"/>
        <v>New York City</v>
      </c>
      <c r="Q1341" s="1" t="s">
        <v>234</v>
      </c>
      <c r="R1341" s="1" t="str">
        <f t="shared" si="1303"/>
        <v>New York</v>
      </c>
      <c r="S1341" s="1">
        <v>10011</v>
      </c>
      <c r="T1341" s="1" t="s">
        <v>128</v>
      </c>
      <c r="U1341" s="1" t="s">
        <v>3067</v>
      </c>
      <c r="V1341" s="1" t="s">
        <v>46</v>
      </c>
      <c r="W1341" s="7">
        <v>75.040000000000006</v>
      </c>
      <c r="X1341" s="1">
        <v>1</v>
      </c>
      <c r="Y1341" s="7">
        <v>74.14</v>
      </c>
      <c r="Z1341" s="7">
        <f t="shared" ref="Z1341:AA1341" si="1369">W1341*X1341</f>
        <v>75.040000000000006</v>
      </c>
      <c r="AA1341" s="7">
        <f t="shared" si="1369"/>
        <v>74.14</v>
      </c>
      <c r="AB1341" s="7">
        <f t="shared" si="1305"/>
        <v>0.90000000000000568</v>
      </c>
    </row>
    <row r="1342" spans="1:28">
      <c r="A1342" s="1">
        <v>1341</v>
      </c>
      <c r="B1342" s="1" t="s">
        <v>3068</v>
      </c>
      <c r="C1342" s="2">
        <v>43132</v>
      </c>
      <c r="D1342" s="6" t="str">
        <f t="shared" si="1300"/>
        <v>Feb</v>
      </c>
      <c r="E1342" s="6" t="str">
        <f t="shared" si="1301"/>
        <v>Qtr 1</v>
      </c>
      <c r="F1342" s="5">
        <v>43191</v>
      </c>
      <c r="G1342" s="1" t="s">
        <v>162</v>
      </c>
      <c r="H1342" s="1" t="s">
        <v>3069</v>
      </c>
      <c r="I1342" s="1" t="s">
        <v>3070</v>
      </c>
      <c r="J1342" s="1" t="str">
        <f ca="1">IFERROR(__xludf.DUMMYFUNCTION("split(I1342,"" "")"),"Aaron")</f>
        <v>Aaron</v>
      </c>
      <c r="K1342" s="1" t="str">
        <f ca="1">IFERROR(__xludf.DUMMYFUNCTION("""COMPUTED_VALUE"""),"Smayling")</f>
        <v>Smayling</v>
      </c>
      <c r="L1342" s="1"/>
      <c r="M1342" s="1" t="s">
        <v>41</v>
      </c>
      <c r="N1342" s="1" t="s">
        <v>30</v>
      </c>
      <c r="O1342" s="1" t="s">
        <v>1241</v>
      </c>
      <c r="P1342" s="1" t="str">
        <f t="shared" si="1302"/>
        <v>Jacksonville</v>
      </c>
      <c r="Q1342" s="1" t="s">
        <v>75</v>
      </c>
      <c r="R1342" s="1" t="str">
        <f t="shared" si="1303"/>
        <v>North Carolina</v>
      </c>
      <c r="S1342" s="1">
        <v>28540</v>
      </c>
      <c r="T1342" s="1" t="s">
        <v>33</v>
      </c>
      <c r="U1342" s="1" t="s">
        <v>3071</v>
      </c>
      <c r="V1342" s="1" t="s">
        <v>64</v>
      </c>
      <c r="W1342" s="7">
        <v>695.7</v>
      </c>
      <c r="X1342" s="1">
        <v>2</v>
      </c>
      <c r="Y1342" s="7">
        <v>695.28</v>
      </c>
      <c r="Z1342" s="7">
        <f t="shared" ref="Z1342:AA1342" si="1370">W1342*X1342</f>
        <v>1391.4</v>
      </c>
      <c r="AA1342" s="7">
        <f t="shared" si="1370"/>
        <v>1390.56</v>
      </c>
      <c r="AB1342" s="7">
        <f t="shared" si="1305"/>
        <v>0.84000000000014552</v>
      </c>
    </row>
    <row r="1343" spans="1:28">
      <c r="A1343" s="1">
        <v>1342</v>
      </c>
      <c r="B1343" s="1" t="s">
        <v>3068</v>
      </c>
      <c r="C1343" s="2">
        <v>43132</v>
      </c>
      <c r="D1343" s="6" t="str">
        <f t="shared" si="1300"/>
        <v>Feb</v>
      </c>
      <c r="E1343" s="6" t="str">
        <f t="shared" si="1301"/>
        <v>Qtr 1</v>
      </c>
      <c r="F1343" s="5">
        <v>43191</v>
      </c>
      <c r="G1343" s="1" t="s">
        <v>162</v>
      </c>
      <c r="H1343" s="1" t="s">
        <v>3069</v>
      </c>
      <c r="I1343" s="1" t="s">
        <v>3070</v>
      </c>
      <c r="J1343" s="1" t="str">
        <f ca="1">IFERROR(__xludf.DUMMYFUNCTION("split(I1343,"" "")"),"Aaron")</f>
        <v>Aaron</v>
      </c>
      <c r="K1343" s="1" t="str">
        <f ca="1">IFERROR(__xludf.DUMMYFUNCTION("""COMPUTED_VALUE"""),"Smayling")</f>
        <v>Smayling</v>
      </c>
      <c r="L1343" s="1"/>
      <c r="M1343" s="1" t="s">
        <v>41</v>
      </c>
      <c r="N1343" s="1" t="s">
        <v>30</v>
      </c>
      <c r="O1343" s="1" t="s">
        <v>1241</v>
      </c>
      <c r="P1343" s="1" t="str">
        <f t="shared" si="1302"/>
        <v>Jacksonville</v>
      </c>
      <c r="Q1343" s="1" t="s">
        <v>75</v>
      </c>
      <c r="R1343" s="1" t="str">
        <f t="shared" si="1303"/>
        <v>North Carolina</v>
      </c>
      <c r="S1343" s="1">
        <v>28540</v>
      </c>
      <c r="T1343" s="1" t="s">
        <v>33</v>
      </c>
      <c r="U1343" s="1" t="s">
        <v>2783</v>
      </c>
      <c r="V1343" s="1" t="s">
        <v>46</v>
      </c>
      <c r="W1343" s="7">
        <v>15.66</v>
      </c>
      <c r="X1343" s="1">
        <v>2</v>
      </c>
      <c r="Y1343" s="7">
        <v>14.93</v>
      </c>
      <c r="Z1343" s="7">
        <f t="shared" ref="Z1343:AA1343" si="1371">W1343*X1343</f>
        <v>31.32</v>
      </c>
      <c r="AA1343" s="7">
        <f t="shared" si="1371"/>
        <v>29.86</v>
      </c>
      <c r="AB1343" s="7">
        <f t="shared" si="1305"/>
        <v>1.4600000000000009</v>
      </c>
    </row>
    <row r="1344" spans="1:28">
      <c r="A1344" s="1">
        <v>1343</v>
      </c>
      <c r="B1344" s="1" t="s">
        <v>3068</v>
      </c>
      <c r="C1344" s="2">
        <v>43132</v>
      </c>
      <c r="D1344" s="6" t="str">
        <f t="shared" si="1300"/>
        <v>Feb</v>
      </c>
      <c r="E1344" s="6" t="str">
        <f t="shared" si="1301"/>
        <v>Qtr 1</v>
      </c>
      <c r="F1344" s="5">
        <v>43191</v>
      </c>
      <c r="G1344" s="1" t="s">
        <v>162</v>
      </c>
      <c r="H1344" s="1" t="s">
        <v>3069</v>
      </c>
      <c r="I1344" s="1" t="s">
        <v>3070</v>
      </c>
      <c r="J1344" s="1" t="str">
        <f ca="1">IFERROR(__xludf.DUMMYFUNCTION("split(I1344,"" "")"),"Aaron")</f>
        <v>Aaron</v>
      </c>
      <c r="K1344" s="1" t="str">
        <f ca="1">IFERROR(__xludf.DUMMYFUNCTION("""COMPUTED_VALUE"""),"Smayling")</f>
        <v>Smayling</v>
      </c>
      <c r="L1344" s="1"/>
      <c r="M1344" s="1" t="s">
        <v>41</v>
      </c>
      <c r="N1344" s="1" t="s">
        <v>30</v>
      </c>
      <c r="O1344" s="1" t="s">
        <v>1241</v>
      </c>
      <c r="P1344" s="1" t="str">
        <f t="shared" si="1302"/>
        <v>Jacksonville</v>
      </c>
      <c r="Q1344" s="1" t="s">
        <v>75</v>
      </c>
      <c r="R1344" s="1" t="str">
        <f t="shared" si="1303"/>
        <v>North Carolina</v>
      </c>
      <c r="S1344" s="1">
        <v>28540</v>
      </c>
      <c r="T1344" s="1" t="s">
        <v>33</v>
      </c>
      <c r="U1344" s="1" t="s">
        <v>149</v>
      </c>
      <c r="V1344" s="1" t="s">
        <v>46</v>
      </c>
      <c r="W1344" s="7">
        <v>28.853999999999999</v>
      </c>
      <c r="X1344" s="1">
        <v>2</v>
      </c>
      <c r="Y1344" s="7">
        <v>28.41</v>
      </c>
      <c r="Z1344" s="7">
        <f t="shared" ref="Z1344:AA1344" si="1372">W1344*X1344</f>
        <v>57.707999999999998</v>
      </c>
      <c r="AA1344" s="7">
        <f t="shared" si="1372"/>
        <v>56.82</v>
      </c>
      <c r="AB1344" s="7">
        <f t="shared" si="1305"/>
        <v>0.88799999999999812</v>
      </c>
    </row>
    <row r="1345" spans="1:28">
      <c r="A1345" s="1">
        <v>1344</v>
      </c>
      <c r="B1345" s="1" t="s">
        <v>3072</v>
      </c>
      <c r="C1345" s="2">
        <v>42518</v>
      </c>
      <c r="D1345" s="6" t="str">
        <f t="shared" si="1300"/>
        <v>May</v>
      </c>
      <c r="E1345" s="6" t="str">
        <f t="shared" si="1301"/>
        <v>Qtr 2</v>
      </c>
      <c r="F1345" s="5">
        <v>42375</v>
      </c>
      <c r="G1345" s="1" t="s">
        <v>49</v>
      </c>
      <c r="H1345" s="1" t="s">
        <v>345</v>
      </c>
      <c r="I1345" s="1" t="s">
        <v>346</v>
      </c>
      <c r="J1345" s="1" t="str">
        <f ca="1">IFERROR(__xludf.DUMMYFUNCTION("split(I1345,"" "")"),"Karl")</f>
        <v>Karl</v>
      </c>
      <c r="K1345" s="1" t="str">
        <f ca="1">IFERROR(__xludf.DUMMYFUNCTION("""COMPUTED_VALUE"""),"Braun")</f>
        <v>Braun</v>
      </c>
      <c r="L1345" s="1"/>
      <c r="M1345" s="1" t="s">
        <v>29</v>
      </c>
      <c r="N1345" s="1" t="s">
        <v>30</v>
      </c>
      <c r="O1345" s="1" t="s">
        <v>3073</v>
      </c>
      <c r="P1345" s="1" t="str">
        <f t="shared" si="1302"/>
        <v>Freeport</v>
      </c>
      <c r="Q1345" s="1" t="s">
        <v>234</v>
      </c>
      <c r="R1345" s="1" t="str">
        <f t="shared" si="1303"/>
        <v>New York</v>
      </c>
      <c r="S1345" s="1">
        <v>11520</v>
      </c>
      <c r="T1345" s="1" t="s">
        <v>128</v>
      </c>
      <c r="U1345" s="1" t="s">
        <v>3074</v>
      </c>
      <c r="V1345" s="1" t="s">
        <v>46</v>
      </c>
      <c r="W1345" s="7">
        <v>47.82</v>
      </c>
      <c r="X1345" s="1">
        <v>1</v>
      </c>
      <c r="Y1345" s="7">
        <v>47.44</v>
      </c>
      <c r="Z1345" s="7">
        <f t="shared" ref="Z1345:AA1345" si="1373">W1345*X1345</f>
        <v>47.82</v>
      </c>
      <c r="AA1345" s="7">
        <f t="shared" si="1373"/>
        <v>47.44</v>
      </c>
      <c r="AB1345" s="7">
        <f t="shared" si="1305"/>
        <v>0.38000000000000256</v>
      </c>
    </row>
    <row r="1346" spans="1:28">
      <c r="A1346" s="1">
        <v>1345</v>
      </c>
      <c r="B1346" s="1" t="s">
        <v>3072</v>
      </c>
      <c r="C1346" s="2">
        <v>42518</v>
      </c>
      <c r="D1346" s="6" t="str">
        <f t="shared" si="1300"/>
        <v>May</v>
      </c>
      <c r="E1346" s="6" t="str">
        <f t="shared" si="1301"/>
        <v>Qtr 2</v>
      </c>
      <c r="F1346" s="5">
        <v>42375</v>
      </c>
      <c r="G1346" s="1" t="s">
        <v>49</v>
      </c>
      <c r="H1346" s="1" t="s">
        <v>345</v>
      </c>
      <c r="I1346" s="1" t="s">
        <v>346</v>
      </c>
      <c r="J1346" s="1" t="str">
        <f ca="1">IFERROR(__xludf.DUMMYFUNCTION("split(I1346,"" "")"),"Karl")</f>
        <v>Karl</v>
      </c>
      <c r="K1346" s="1" t="str">
        <f ca="1">IFERROR(__xludf.DUMMYFUNCTION("""COMPUTED_VALUE"""),"Braun")</f>
        <v>Braun</v>
      </c>
      <c r="L1346" s="1"/>
      <c r="M1346" s="1" t="s">
        <v>29</v>
      </c>
      <c r="N1346" s="1" t="s">
        <v>30</v>
      </c>
      <c r="O1346" s="1" t="s">
        <v>3073</v>
      </c>
      <c r="P1346" s="1" t="str">
        <f t="shared" si="1302"/>
        <v>Freeport</v>
      </c>
      <c r="Q1346" s="1" t="s">
        <v>234</v>
      </c>
      <c r="R1346" s="1" t="str">
        <f t="shared" si="1303"/>
        <v>New York</v>
      </c>
      <c r="S1346" s="1">
        <v>11520</v>
      </c>
      <c r="T1346" s="1" t="s">
        <v>128</v>
      </c>
      <c r="U1346" s="1" t="s">
        <v>3075</v>
      </c>
      <c r="V1346" s="1" t="s">
        <v>46</v>
      </c>
      <c r="W1346" s="7">
        <v>13.05</v>
      </c>
      <c r="X1346" s="1">
        <v>1</v>
      </c>
      <c r="Y1346" s="7">
        <v>12.85</v>
      </c>
      <c r="Z1346" s="7">
        <f t="shared" ref="Z1346:AA1346" si="1374">W1346*X1346</f>
        <v>13.05</v>
      </c>
      <c r="AA1346" s="7">
        <f t="shared" si="1374"/>
        <v>12.85</v>
      </c>
      <c r="AB1346" s="7">
        <f t="shared" si="1305"/>
        <v>0.20000000000000107</v>
      </c>
    </row>
    <row r="1347" spans="1:28">
      <c r="A1347" s="1">
        <v>1346</v>
      </c>
      <c r="B1347" s="1" t="s">
        <v>3076</v>
      </c>
      <c r="C1347" s="2">
        <v>42080</v>
      </c>
      <c r="D1347" s="6" t="str">
        <f t="shared" si="1300"/>
        <v>Mar</v>
      </c>
      <c r="E1347" s="6" t="str">
        <f t="shared" si="1301"/>
        <v>Qtr 1</v>
      </c>
      <c r="F1347" s="5" t="s">
        <v>3077</v>
      </c>
      <c r="G1347" s="1" t="s">
        <v>49</v>
      </c>
      <c r="H1347" s="1" t="s">
        <v>1426</v>
      </c>
      <c r="I1347" s="1" t="s">
        <v>1427</v>
      </c>
      <c r="J1347" s="1" t="str">
        <f ca="1">IFERROR(__xludf.DUMMYFUNCTION("split(I1347,"" "")"),"Bradley")</f>
        <v>Bradley</v>
      </c>
      <c r="K1347" s="1" t="str">
        <f ca="1">IFERROR(__xludf.DUMMYFUNCTION("""COMPUTED_VALUE"""),"Nguyen")</f>
        <v>Nguyen</v>
      </c>
      <c r="L1347" s="1"/>
      <c r="M1347" s="1" t="s">
        <v>29</v>
      </c>
      <c r="N1347" s="1" t="s">
        <v>30</v>
      </c>
      <c r="O1347" s="1" t="s">
        <v>765</v>
      </c>
      <c r="P1347" s="1" t="str">
        <f t="shared" si="1302"/>
        <v>Lakeville</v>
      </c>
      <c r="Q1347" s="1" t="s">
        <v>201</v>
      </c>
      <c r="R1347" s="1" t="str">
        <f t="shared" si="1303"/>
        <v>Minnesota</v>
      </c>
      <c r="S1347" s="1">
        <v>55044</v>
      </c>
      <c r="T1347" s="1" t="s">
        <v>90</v>
      </c>
      <c r="U1347" s="1" t="s">
        <v>1876</v>
      </c>
      <c r="V1347" s="1" t="s">
        <v>46</v>
      </c>
      <c r="W1347" s="7">
        <v>93.78</v>
      </c>
      <c r="X1347" s="1">
        <v>5</v>
      </c>
      <c r="Y1347" s="7">
        <v>93.01</v>
      </c>
      <c r="Z1347" s="7">
        <f t="shared" ref="Z1347:AA1347" si="1375">W1347*X1347</f>
        <v>468.9</v>
      </c>
      <c r="AA1347" s="7">
        <f t="shared" si="1375"/>
        <v>465.05</v>
      </c>
      <c r="AB1347" s="7">
        <f t="shared" si="1305"/>
        <v>3.8499999999999659</v>
      </c>
    </row>
    <row r="1348" spans="1:28">
      <c r="A1348" s="1">
        <v>1347</v>
      </c>
      <c r="B1348" s="1" t="s">
        <v>3076</v>
      </c>
      <c r="C1348" s="2">
        <v>42080</v>
      </c>
      <c r="D1348" s="6" t="str">
        <f t="shared" si="1300"/>
        <v>Mar</v>
      </c>
      <c r="E1348" s="6" t="str">
        <f t="shared" si="1301"/>
        <v>Qtr 1</v>
      </c>
      <c r="F1348" s="5" t="s">
        <v>3077</v>
      </c>
      <c r="G1348" s="1" t="s">
        <v>49</v>
      </c>
      <c r="H1348" s="1" t="s">
        <v>1426</v>
      </c>
      <c r="I1348" s="1" t="s">
        <v>1427</v>
      </c>
      <c r="J1348" s="1" t="str">
        <f ca="1">IFERROR(__xludf.DUMMYFUNCTION("split(I1348,"" "")"),"Bradley")</f>
        <v>Bradley</v>
      </c>
      <c r="K1348" s="1" t="str">
        <f ca="1">IFERROR(__xludf.DUMMYFUNCTION("""COMPUTED_VALUE"""),"Nguyen")</f>
        <v>Nguyen</v>
      </c>
      <c r="L1348" s="1"/>
      <c r="M1348" s="1" t="s">
        <v>29</v>
      </c>
      <c r="N1348" s="1" t="s">
        <v>30</v>
      </c>
      <c r="O1348" s="1" t="s">
        <v>765</v>
      </c>
      <c r="P1348" s="1" t="str">
        <f t="shared" si="1302"/>
        <v>Lakeville</v>
      </c>
      <c r="Q1348" s="1" t="s">
        <v>201</v>
      </c>
      <c r="R1348" s="1" t="str">
        <f t="shared" si="1303"/>
        <v>Minnesota</v>
      </c>
      <c r="S1348" s="1">
        <v>55044</v>
      </c>
      <c r="T1348" s="1" t="s">
        <v>90</v>
      </c>
      <c r="U1348" s="1" t="s">
        <v>3078</v>
      </c>
      <c r="V1348" s="1" t="s">
        <v>46</v>
      </c>
      <c r="W1348" s="7">
        <v>47.18</v>
      </c>
      <c r="X1348" s="1">
        <v>5</v>
      </c>
      <c r="Y1348" s="7">
        <v>46.28</v>
      </c>
      <c r="Z1348" s="7">
        <f t="shared" ref="Z1348:AA1348" si="1376">W1348*X1348</f>
        <v>235.9</v>
      </c>
      <c r="AA1348" s="7">
        <f t="shared" si="1376"/>
        <v>231.4</v>
      </c>
      <c r="AB1348" s="7">
        <f t="shared" si="1305"/>
        <v>4.5</v>
      </c>
    </row>
    <row r="1349" spans="1:28">
      <c r="A1349" s="1">
        <v>1348</v>
      </c>
      <c r="B1349" s="1" t="s">
        <v>3076</v>
      </c>
      <c r="C1349" s="2">
        <v>42080</v>
      </c>
      <c r="D1349" s="6" t="str">
        <f t="shared" si="1300"/>
        <v>Mar</v>
      </c>
      <c r="E1349" s="6" t="str">
        <f t="shared" si="1301"/>
        <v>Qtr 1</v>
      </c>
      <c r="F1349" s="5" t="s">
        <v>3077</v>
      </c>
      <c r="G1349" s="1" t="s">
        <v>49</v>
      </c>
      <c r="H1349" s="1" t="s">
        <v>1426</v>
      </c>
      <c r="I1349" s="1" t="s">
        <v>1427</v>
      </c>
      <c r="J1349" s="1" t="str">
        <f ca="1">IFERROR(__xludf.DUMMYFUNCTION("split(I1349,"" "")"),"Bradley")</f>
        <v>Bradley</v>
      </c>
      <c r="K1349" s="1" t="str">
        <f ca="1">IFERROR(__xludf.DUMMYFUNCTION("""COMPUTED_VALUE"""),"Nguyen")</f>
        <v>Nguyen</v>
      </c>
      <c r="L1349" s="1"/>
      <c r="M1349" s="1" t="s">
        <v>29</v>
      </c>
      <c r="N1349" s="1" t="s">
        <v>30</v>
      </c>
      <c r="O1349" s="1" t="s">
        <v>765</v>
      </c>
      <c r="P1349" s="1" t="str">
        <f t="shared" si="1302"/>
        <v>Lakeville</v>
      </c>
      <c r="Q1349" s="1" t="s">
        <v>201</v>
      </c>
      <c r="R1349" s="1" t="str">
        <f t="shared" si="1303"/>
        <v>Minnesota</v>
      </c>
      <c r="S1349" s="1">
        <v>55044</v>
      </c>
      <c r="T1349" s="1" t="s">
        <v>90</v>
      </c>
      <c r="U1349" s="1" t="s">
        <v>3079</v>
      </c>
      <c r="V1349" s="1" t="s">
        <v>46</v>
      </c>
      <c r="W1349" s="7">
        <v>19.68</v>
      </c>
      <c r="X1349" s="1">
        <v>5</v>
      </c>
      <c r="Y1349" s="7">
        <v>19.03</v>
      </c>
      <c r="Z1349" s="7">
        <f t="shared" ref="Z1349:AA1349" si="1377">W1349*X1349</f>
        <v>98.4</v>
      </c>
      <c r="AA1349" s="7">
        <f t="shared" si="1377"/>
        <v>95.15</v>
      </c>
      <c r="AB1349" s="7">
        <f t="shared" si="1305"/>
        <v>3.25</v>
      </c>
    </row>
    <row r="1350" spans="1:28">
      <c r="A1350" s="1">
        <v>1349</v>
      </c>
      <c r="B1350" s="1" t="s">
        <v>3076</v>
      </c>
      <c r="C1350" s="2">
        <v>42080</v>
      </c>
      <c r="D1350" s="6" t="str">
        <f t="shared" si="1300"/>
        <v>Mar</v>
      </c>
      <c r="E1350" s="6" t="str">
        <f t="shared" si="1301"/>
        <v>Qtr 1</v>
      </c>
      <c r="F1350" s="5" t="s">
        <v>3077</v>
      </c>
      <c r="G1350" s="1" t="s">
        <v>49</v>
      </c>
      <c r="H1350" s="1" t="s">
        <v>1426</v>
      </c>
      <c r="I1350" s="1" t="s">
        <v>1427</v>
      </c>
      <c r="J1350" s="1" t="str">
        <f ca="1">IFERROR(__xludf.DUMMYFUNCTION("split(I1350,"" "")"),"Bradley")</f>
        <v>Bradley</v>
      </c>
      <c r="K1350" s="1" t="str">
        <f ca="1">IFERROR(__xludf.DUMMYFUNCTION("""COMPUTED_VALUE"""),"Nguyen")</f>
        <v>Nguyen</v>
      </c>
      <c r="L1350" s="1"/>
      <c r="M1350" s="1" t="s">
        <v>29</v>
      </c>
      <c r="N1350" s="1" t="s">
        <v>30</v>
      </c>
      <c r="O1350" s="1" t="s">
        <v>765</v>
      </c>
      <c r="P1350" s="1" t="str">
        <f t="shared" si="1302"/>
        <v>Lakeville</v>
      </c>
      <c r="Q1350" s="1" t="s">
        <v>201</v>
      </c>
      <c r="R1350" s="1" t="str">
        <f t="shared" si="1303"/>
        <v>Minnesota</v>
      </c>
      <c r="S1350" s="1">
        <v>55044</v>
      </c>
      <c r="T1350" s="1" t="s">
        <v>90</v>
      </c>
      <c r="U1350" s="1" t="s">
        <v>3080</v>
      </c>
      <c r="V1350" s="1" t="s">
        <v>46</v>
      </c>
      <c r="W1350" s="7">
        <v>53.4</v>
      </c>
      <c r="X1350" s="1">
        <v>5</v>
      </c>
      <c r="Y1350" s="7">
        <v>52.76</v>
      </c>
      <c r="Z1350" s="7">
        <f t="shared" ref="Z1350:AA1350" si="1378">W1350*X1350</f>
        <v>267</v>
      </c>
      <c r="AA1350" s="7">
        <f t="shared" si="1378"/>
        <v>263.8</v>
      </c>
      <c r="AB1350" s="7">
        <f t="shared" si="1305"/>
        <v>3.1999999999999886</v>
      </c>
    </row>
    <row r="1351" spans="1:28">
      <c r="A1351" s="1">
        <v>1350</v>
      </c>
      <c r="B1351" s="1" t="s">
        <v>3076</v>
      </c>
      <c r="C1351" s="2">
        <v>42080</v>
      </c>
      <c r="D1351" s="6" t="str">
        <f t="shared" si="1300"/>
        <v>Mar</v>
      </c>
      <c r="E1351" s="6" t="str">
        <f t="shared" si="1301"/>
        <v>Qtr 1</v>
      </c>
      <c r="F1351" s="5" t="s">
        <v>3077</v>
      </c>
      <c r="G1351" s="1" t="s">
        <v>49</v>
      </c>
      <c r="H1351" s="1" t="s">
        <v>1426</v>
      </c>
      <c r="I1351" s="1" t="s">
        <v>1427</v>
      </c>
      <c r="J1351" s="1" t="str">
        <f ca="1">IFERROR(__xludf.DUMMYFUNCTION("split(I1351,"" "")"),"Bradley")</f>
        <v>Bradley</v>
      </c>
      <c r="K1351" s="1" t="str">
        <f ca="1">IFERROR(__xludf.DUMMYFUNCTION("""COMPUTED_VALUE"""),"Nguyen")</f>
        <v>Nguyen</v>
      </c>
      <c r="L1351" s="1"/>
      <c r="M1351" s="1" t="s">
        <v>29</v>
      </c>
      <c r="N1351" s="1" t="s">
        <v>30</v>
      </c>
      <c r="O1351" s="1" t="s">
        <v>765</v>
      </c>
      <c r="P1351" s="1" t="str">
        <f t="shared" si="1302"/>
        <v>Lakeville</v>
      </c>
      <c r="Q1351" s="1" t="s">
        <v>201</v>
      </c>
      <c r="R1351" s="1" t="str">
        <f t="shared" si="1303"/>
        <v>Minnesota</v>
      </c>
      <c r="S1351" s="1">
        <v>55044</v>
      </c>
      <c r="T1351" s="1" t="s">
        <v>90</v>
      </c>
      <c r="U1351" s="1" t="s">
        <v>3081</v>
      </c>
      <c r="V1351" s="1" t="s">
        <v>46</v>
      </c>
      <c r="W1351" s="7">
        <v>35.880000000000003</v>
      </c>
      <c r="X1351" s="1">
        <v>5</v>
      </c>
      <c r="Y1351" s="7">
        <v>35.299999999999997</v>
      </c>
      <c r="Z1351" s="7">
        <f t="shared" ref="Z1351:AA1351" si="1379">W1351*X1351</f>
        <v>179.4</v>
      </c>
      <c r="AA1351" s="7">
        <f t="shared" si="1379"/>
        <v>176.5</v>
      </c>
      <c r="AB1351" s="7">
        <f t="shared" si="1305"/>
        <v>2.9000000000000057</v>
      </c>
    </row>
    <row r="1352" spans="1:28">
      <c r="A1352" s="1">
        <v>1351</v>
      </c>
      <c r="B1352" s="1" t="s">
        <v>3082</v>
      </c>
      <c r="C1352" s="2">
        <v>42073</v>
      </c>
      <c r="D1352" s="6" t="str">
        <f t="shared" si="1300"/>
        <v>Mar</v>
      </c>
      <c r="E1352" s="6" t="str">
        <f t="shared" si="1301"/>
        <v>Qtr 1</v>
      </c>
      <c r="F1352" s="5">
        <v>42226</v>
      </c>
      <c r="G1352" s="1" t="s">
        <v>26</v>
      </c>
      <c r="H1352" s="1" t="s">
        <v>3083</v>
      </c>
      <c r="I1352" s="1" t="s">
        <v>3084</v>
      </c>
      <c r="J1352" s="1" t="str">
        <f ca="1">IFERROR(__xludf.DUMMYFUNCTION("split(I1352,"" "")"),"Beth")</f>
        <v>Beth</v>
      </c>
      <c r="K1352" s="1" t="str">
        <f ca="1">IFERROR(__xludf.DUMMYFUNCTION("""COMPUTED_VALUE"""),"Paige")</f>
        <v>Paige</v>
      </c>
      <c r="L1352" s="1"/>
      <c r="M1352" s="1" t="s">
        <v>29</v>
      </c>
      <c r="N1352" s="1" t="s">
        <v>30</v>
      </c>
      <c r="O1352" s="1" t="s">
        <v>1945</v>
      </c>
      <c r="P1352" s="1" t="str">
        <f t="shared" si="1302"/>
        <v>Evanston</v>
      </c>
      <c r="Q1352" s="1" t="s">
        <v>182</v>
      </c>
      <c r="R1352" s="1" t="str">
        <f t="shared" si="1303"/>
        <v>Illinois</v>
      </c>
      <c r="S1352" s="1">
        <v>60201</v>
      </c>
      <c r="T1352" s="1" t="s">
        <v>90</v>
      </c>
      <c r="U1352" s="1" t="s">
        <v>2635</v>
      </c>
      <c r="V1352" s="1" t="s">
        <v>35</v>
      </c>
      <c r="W1352" s="7">
        <v>258.279</v>
      </c>
      <c r="X1352" s="1">
        <v>6</v>
      </c>
      <c r="Y1352" s="7">
        <v>257.86</v>
      </c>
      <c r="Z1352" s="7">
        <f t="shared" ref="Z1352:AA1352" si="1380">W1352*X1352</f>
        <v>1549.674</v>
      </c>
      <c r="AA1352" s="7">
        <f t="shared" si="1380"/>
        <v>1547.16</v>
      </c>
      <c r="AB1352" s="7">
        <f t="shared" si="1305"/>
        <v>2.5139999999998963</v>
      </c>
    </row>
    <row r="1353" spans="1:28">
      <c r="A1353" s="1">
        <v>1352</v>
      </c>
      <c r="B1353" s="1" t="s">
        <v>3085</v>
      </c>
      <c r="C1353" s="2">
        <v>42822</v>
      </c>
      <c r="D1353" s="6" t="str">
        <f t="shared" si="1300"/>
        <v>Mar</v>
      </c>
      <c r="E1353" s="6" t="str">
        <f t="shared" si="1301"/>
        <v>Qtr 1</v>
      </c>
      <c r="F1353" s="5" t="s">
        <v>3086</v>
      </c>
      <c r="G1353" s="1" t="s">
        <v>162</v>
      </c>
      <c r="H1353" s="1" t="s">
        <v>3069</v>
      </c>
      <c r="I1353" s="1" t="s">
        <v>3070</v>
      </c>
      <c r="J1353" s="1" t="str">
        <f ca="1">IFERROR(__xludf.DUMMYFUNCTION("split(I1353,"" "")"),"Aaron")</f>
        <v>Aaron</v>
      </c>
      <c r="K1353" s="1" t="str">
        <f ca="1">IFERROR(__xludf.DUMMYFUNCTION("""COMPUTED_VALUE"""),"Smayling")</f>
        <v>Smayling</v>
      </c>
      <c r="L1353" s="1"/>
      <c r="M1353" s="1" t="s">
        <v>41</v>
      </c>
      <c r="N1353" s="1" t="s">
        <v>30</v>
      </c>
      <c r="O1353" s="1" t="s">
        <v>917</v>
      </c>
      <c r="P1353" s="1" t="str">
        <f t="shared" si="1302"/>
        <v>Arlington</v>
      </c>
      <c r="Q1353" s="1" t="s">
        <v>272</v>
      </c>
      <c r="R1353" s="1" t="str">
        <f t="shared" si="1303"/>
        <v>Virginia</v>
      </c>
      <c r="S1353" s="1">
        <v>22204</v>
      </c>
      <c r="T1353" s="1" t="s">
        <v>33</v>
      </c>
      <c r="U1353" s="1" t="s">
        <v>3087</v>
      </c>
      <c r="V1353" s="1" t="s">
        <v>46</v>
      </c>
      <c r="W1353" s="7">
        <v>31.4</v>
      </c>
      <c r="X1353" s="1">
        <v>2</v>
      </c>
      <c r="Y1353" s="7">
        <v>30.72</v>
      </c>
      <c r="Z1353" s="7">
        <f t="shared" ref="Z1353:AA1353" si="1381">W1353*X1353</f>
        <v>62.8</v>
      </c>
      <c r="AA1353" s="7">
        <f t="shared" si="1381"/>
        <v>61.44</v>
      </c>
      <c r="AB1353" s="7">
        <f t="shared" si="1305"/>
        <v>1.3599999999999994</v>
      </c>
    </row>
    <row r="1354" spans="1:28">
      <c r="A1354" s="1">
        <v>1353</v>
      </c>
      <c r="B1354" s="1" t="s">
        <v>3088</v>
      </c>
      <c r="C1354" s="2">
        <v>43195</v>
      </c>
      <c r="D1354" s="6" t="str">
        <f t="shared" si="1300"/>
        <v>Apr</v>
      </c>
      <c r="E1354" s="6" t="str">
        <f t="shared" si="1301"/>
        <v>Qtr 2</v>
      </c>
      <c r="F1354" s="5">
        <v>43348</v>
      </c>
      <c r="G1354" s="1" t="s">
        <v>49</v>
      </c>
      <c r="H1354" s="1" t="s">
        <v>2395</v>
      </c>
      <c r="I1354" s="1" t="s">
        <v>2396</v>
      </c>
      <c r="J1354" s="1" t="str">
        <f ca="1">IFERROR(__xludf.DUMMYFUNCTION("split(I1354,"" "")"),"Lindsay")</f>
        <v>Lindsay</v>
      </c>
      <c r="K1354" s="1" t="str">
        <f ca="1">IFERROR(__xludf.DUMMYFUNCTION("""COMPUTED_VALUE"""),"Williams")</f>
        <v>Williams</v>
      </c>
      <c r="L1354" s="1"/>
      <c r="M1354" s="1" t="s">
        <v>41</v>
      </c>
      <c r="N1354" s="1" t="s">
        <v>30</v>
      </c>
      <c r="O1354" s="1" t="s">
        <v>110</v>
      </c>
      <c r="P1354" s="1" t="str">
        <f t="shared" si="1302"/>
        <v>San Francisco</v>
      </c>
      <c r="Q1354" s="1" t="s">
        <v>68</v>
      </c>
      <c r="R1354" s="1" t="str">
        <f t="shared" si="1303"/>
        <v>California</v>
      </c>
      <c r="S1354" s="1">
        <v>94109</v>
      </c>
      <c r="T1354" s="1" t="s">
        <v>44</v>
      </c>
      <c r="U1354" s="1" t="s">
        <v>1646</v>
      </c>
      <c r="V1354" s="1" t="s">
        <v>64</v>
      </c>
      <c r="W1354" s="7">
        <v>183.96</v>
      </c>
      <c r="X1354" s="1">
        <v>9</v>
      </c>
      <c r="Y1354" s="7">
        <v>183.21</v>
      </c>
      <c r="Z1354" s="7">
        <f t="shared" ref="Z1354:AA1354" si="1382">W1354*X1354</f>
        <v>1655.64</v>
      </c>
      <c r="AA1354" s="7">
        <f t="shared" si="1382"/>
        <v>1648.89</v>
      </c>
      <c r="AB1354" s="7">
        <f t="shared" si="1305"/>
        <v>6.75</v>
      </c>
    </row>
    <row r="1355" spans="1:28">
      <c r="A1355" s="1">
        <v>1354</v>
      </c>
      <c r="B1355" s="1" t="s">
        <v>3088</v>
      </c>
      <c r="C1355" s="2">
        <v>43195</v>
      </c>
      <c r="D1355" s="6" t="str">
        <f t="shared" si="1300"/>
        <v>Apr</v>
      </c>
      <c r="E1355" s="6" t="str">
        <f t="shared" si="1301"/>
        <v>Qtr 2</v>
      </c>
      <c r="F1355" s="5">
        <v>43348</v>
      </c>
      <c r="G1355" s="1" t="s">
        <v>49</v>
      </c>
      <c r="H1355" s="1" t="s">
        <v>2395</v>
      </c>
      <c r="I1355" s="1" t="s">
        <v>2396</v>
      </c>
      <c r="J1355" s="1" t="str">
        <f ca="1">IFERROR(__xludf.DUMMYFUNCTION("split(I1355,"" "")"),"Lindsay")</f>
        <v>Lindsay</v>
      </c>
      <c r="K1355" s="1" t="str">
        <f ca="1">IFERROR(__xludf.DUMMYFUNCTION("""COMPUTED_VALUE"""),"Williams")</f>
        <v>Williams</v>
      </c>
      <c r="L1355" s="1"/>
      <c r="M1355" s="1" t="s">
        <v>41</v>
      </c>
      <c r="N1355" s="1" t="s">
        <v>30</v>
      </c>
      <c r="O1355" s="1" t="s">
        <v>110</v>
      </c>
      <c r="P1355" s="1" t="str">
        <f t="shared" si="1302"/>
        <v>San Francisco</v>
      </c>
      <c r="Q1355" s="1" t="s">
        <v>68</v>
      </c>
      <c r="R1355" s="1" t="str">
        <f t="shared" si="1303"/>
        <v>California</v>
      </c>
      <c r="S1355" s="1">
        <v>94109</v>
      </c>
      <c r="T1355" s="1" t="s">
        <v>44</v>
      </c>
      <c r="U1355" s="1" t="s">
        <v>2274</v>
      </c>
      <c r="V1355" s="1" t="s">
        <v>46</v>
      </c>
      <c r="W1355" s="7">
        <v>17.61</v>
      </c>
      <c r="X1355" s="1">
        <v>9</v>
      </c>
      <c r="Y1355" s="7">
        <v>16.73</v>
      </c>
      <c r="Z1355" s="7">
        <f t="shared" ref="Z1355:AA1355" si="1383">W1355*X1355</f>
        <v>158.49</v>
      </c>
      <c r="AA1355" s="7">
        <f t="shared" si="1383"/>
        <v>150.57</v>
      </c>
      <c r="AB1355" s="7">
        <f t="shared" si="1305"/>
        <v>7.9200000000000159</v>
      </c>
    </row>
    <row r="1356" spans="1:28">
      <c r="A1356" s="1">
        <v>1355</v>
      </c>
      <c r="B1356" s="1" t="s">
        <v>3088</v>
      </c>
      <c r="C1356" s="2">
        <v>43195</v>
      </c>
      <c r="D1356" s="6" t="str">
        <f t="shared" si="1300"/>
        <v>Apr</v>
      </c>
      <c r="E1356" s="6" t="str">
        <f t="shared" si="1301"/>
        <v>Qtr 2</v>
      </c>
      <c r="F1356" s="5">
        <v>43348</v>
      </c>
      <c r="G1356" s="1" t="s">
        <v>49</v>
      </c>
      <c r="H1356" s="1" t="s">
        <v>2395</v>
      </c>
      <c r="I1356" s="1" t="s">
        <v>2396</v>
      </c>
      <c r="J1356" s="1" t="str">
        <f ca="1">IFERROR(__xludf.DUMMYFUNCTION("split(I1356,"" "")"),"Lindsay")</f>
        <v>Lindsay</v>
      </c>
      <c r="K1356" s="1" t="str">
        <f ca="1">IFERROR(__xludf.DUMMYFUNCTION("""COMPUTED_VALUE"""),"Williams")</f>
        <v>Williams</v>
      </c>
      <c r="L1356" s="1"/>
      <c r="M1356" s="1" t="s">
        <v>41</v>
      </c>
      <c r="N1356" s="1" t="s">
        <v>30</v>
      </c>
      <c r="O1356" s="1" t="s">
        <v>110</v>
      </c>
      <c r="P1356" s="1" t="str">
        <f t="shared" si="1302"/>
        <v>San Francisco</v>
      </c>
      <c r="Q1356" s="1" t="s">
        <v>68</v>
      </c>
      <c r="R1356" s="1" t="str">
        <f t="shared" si="1303"/>
        <v>California</v>
      </c>
      <c r="S1356" s="1">
        <v>94109</v>
      </c>
      <c r="T1356" s="1" t="s">
        <v>44</v>
      </c>
      <c r="U1356" s="1" t="s">
        <v>745</v>
      </c>
      <c r="V1356" s="1" t="s">
        <v>35</v>
      </c>
      <c r="W1356" s="7">
        <v>300.904</v>
      </c>
      <c r="X1356" s="1">
        <v>9</v>
      </c>
      <c r="Y1356" s="7">
        <v>299.98</v>
      </c>
      <c r="Z1356" s="7">
        <f t="shared" ref="Z1356:AA1356" si="1384">W1356*X1356</f>
        <v>2708.136</v>
      </c>
      <c r="AA1356" s="7">
        <f t="shared" si="1384"/>
        <v>2699.82</v>
      </c>
      <c r="AB1356" s="7">
        <f t="shared" si="1305"/>
        <v>8.3159999999998035</v>
      </c>
    </row>
    <row r="1357" spans="1:28">
      <c r="A1357" s="1">
        <v>1356</v>
      </c>
      <c r="B1357" s="1" t="s">
        <v>3089</v>
      </c>
      <c r="C1357" s="2">
        <v>42131</v>
      </c>
      <c r="D1357" s="6" t="str">
        <f t="shared" si="1300"/>
        <v>May</v>
      </c>
      <c r="E1357" s="6" t="str">
        <f t="shared" si="1301"/>
        <v>Qtr 2</v>
      </c>
      <c r="F1357" s="5">
        <v>42131</v>
      </c>
      <c r="G1357" s="1" t="s">
        <v>1050</v>
      </c>
      <c r="H1357" s="1" t="s">
        <v>2926</v>
      </c>
      <c r="I1357" s="1" t="s">
        <v>2927</v>
      </c>
      <c r="J1357" s="1" t="str">
        <f ca="1">IFERROR(__xludf.DUMMYFUNCTION("split(I1357,"" "")"),"Dan")</f>
        <v>Dan</v>
      </c>
      <c r="K1357" s="1" t="str">
        <f ca="1">IFERROR(__xludf.DUMMYFUNCTION("""COMPUTED_VALUE"""),"Campbell")</f>
        <v>Campbell</v>
      </c>
      <c r="L1357" s="1"/>
      <c r="M1357" s="1" t="s">
        <v>29</v>
      </c>
      <c r="N1357" s="1" t="s">
        <v>30</v>
      </c>
      <c r="O1357" s="1" t="s">
        <v>172</v>
      </c>
      <c r="P1357" s="1" t="str">
        <f t="shared" si="1302"/>
        <v>Houston</v>
      </c>
      <c r="Q1357" s="1" t="s">
        <v>89</v>
      </c>
      <c r="R1357" s="1" t="str">
        <f t="shared" si="1303"/>
        <v>Texas</v>
      </c>
      <c r="S1357" s="1">
        <v>77036</v>
      </c>
      <c r="T1357" s="1" t="s">
        <v>90</v>
      </c>
      <c r="U1357" s="1" t="s">
        <v>696</v>
      </c>
      <c r="V1357" s="1" t="s">
        <v>46</v>
      </c>
      <c r="W1357" s="7">
        <v>220.77600000000001</v>
      </c>
      <c r="X1357" s="1">
        <v>7</v>
      </c>
      <c r="Y1357" s="7">
        <v>220.33</v>
      </c>
      <c r="Z1357" s="7">
        <f t="shared" ref="Z1357:AA1357" si="1385">W1357*X1357</f>
        <v>1545.432</v>
      </c>
      <c r="AA1357" s="7">
        <f t="shared" si="1385"/>
        <v>1542.3100000000002</v>
      </c>
      <c r="AB1357" s="7">
        <f t="shared" si="1305"/>
        <v>3.1219999999998436</v>
      </c>
    </row>
    <row r="1358" spans="1:28">
      <c r="A1358" s="1">
        <v>1357</v>
      </c>
      <c r="B1358" s="1" t="s">
        <v>3089</v>
      </c>
      <c r="C1358" s="2">
        <v>42131</v>
      </c>
      <c r="D1358" s="6" t="str">
        <f t="shared" si="1300"/>
        <v>May</v>
      </c>
      <c r="E1358" s="6" t="str">
        <f t="shared" si="1301"/>
        <v>Qtr 2</v>
      </c>
      <c r="F1358" s="5">
        <v>42131</v>
      </c>
      <c r="G1358" s="1" t="s">
        <v>1050</v>
      </c>
      <c r="H1358" s="1" t="s">
        <v>2926</v>
      </c>
      <c r="I1358" s="1" t="s">
        <v>2927</v>
      </c>
      <c r="J1358" s="1" t="str">
        <f ca="1">IFERROR(__xludf.DUMMYFUNCTION("split(I1358,"" "")"),"Dan")</f>
        <v>Dan</v>
      </c>
      <c r="K1358" s="1" t="str">
        <f ca="1">IFERROR(__xludf.DUMMYFUNCTION("""COMPUTED_VALUE"""),"Campbell")</f>
        <v>Campbell</v>
      </c>
      <c r="L1358" s="1"/>
      <c r="M1358" s="1" t="s">
        <v>29</v>
      </c>
      <c r="N1358" s="1" t="s">
        <v>30</v>
      </c>
      <c r="O1358" s="1" t="s">
        <v>172</v>
      </c>
      <c r="P1358" s="1" t="str">
        <f t="shared" si="1302"/>
        <v>Houston</v>
      </c>
      <c r="Q1358" s="1" t="s">
        <v>89</v>
      </c>
      <c r="R1358" s="1" t="str">
        <f t="shared" si="1303"/>
        <v>Texas</v>
      </c>
      <c r="S1358" s="1">
        <v>77036</v>
      </c>
      <c r="T1358" s="1" t="s">
        <v>90</v>
      </c>
      <c r="U1358" s="1" t="s">
        <v>2930</v>
      </c>
      <c r="V1358" s="1" t="s">
        <v>46</v>
      </c>
      <c r="W1358" s="7">
        <v>281.42399999999998</v>
      </c>
      <c r="X1358" s="1">
        <v>7</v>
      </c>
      <c r="Y1358" s="7">
        <v>281.24</v>
      </c>
      <c r="Z1358" s="7">
        <f t="shared" ref="Z1358:AA1358" si="1386">W1358*X1358</f>
        <v>1969.9679999999998</v>
      </c>
      <c r="AA1358" s="7">
        <f t="shared" si="1386"/>
        <v>1968.68</v>
      </c>
      <c r="AB1358" s="7">
        <f t="shared" si="1305"/>
        <v>1.2879999999997835</v>
      </c>
    </row>
    <row r="1359" spans="1:28">
      <c r="A1359" s="1">
        <v>1358</v>
      </c>
      <c r="B1359" s="1" t="s">
        <v>3090</v>
      </c>
      <c r="C1359" s="2">
        <v>42860</v>
      </c>
      <c r="D1359" s="6" t="str">
        <f t="shared" si="1300"/>
        <v>May</v>
      </c>
      <c r="E1359" s="6" t="str">
        <f t="shared" si="1301"/>
        <v>Qtr 2</v>
      </c>
      <c r="F1359" s="5">
        <v>42921</v>
      </c>
      <c r="G1359" s="1" t="s">
        <v>162</v>
      </c>
      <c r="H1359" s="1" t="s">
        <v>3091</v>
      </c>
      <c r="I1359" s="1" t="s">
        <v>3092</v>
      </c>
      <c r="J1359" s="1" t="str">
        <f ca="1">IFERROR(__xludf.DUMMYFUNCTION("split(I1359,"" "")"),"Natalie")</f>
        <v>Natalie</v>
      </c>
      <c r="K1359" s="1" t="str">
        <f ca="1">IFERROR(__xludf.DUMMYFUNCTION("""COMPUTED_VALUE"""),"DeCherney")</f>
        <v>DeCherney</v>
      </c>
      <c r="L1359" s="1"/>
      <c r="M1359" s="1" t="s">
        <v>29</v>
      </c>
      <c r="N1359" s="1" t="s">
        <v>30</v>
      </c>
      <c r="O1359" s="1" t="s">
        <v>1199</v>
      </c>
      <c r="P1359" s="1" t="str">
        <f t="shared" si="1302"/>
        <v>Louisville</v>
      </c>
      <c r="Q1359" s="1" t="s">
        <v>32</v>
      </c>
      <c r="R1359" s="1" t="str">
        <f t="shared" si="1303"/>
        <v>Kentucky</v>
      </c>
      <c r="S1359" s="1">
        <v>40214</v>
      </c>
      <c r="T1359" s="1" t="s">
        <v>33</v>
      </c>
      <c r="U1359" s="1" t="s">
        <v>3093</v>
      </c>
      <c r="V1359" s="1" t="s">
        <v>46</v>
      </c>
      <c r="W1359" s="7">
        <v>79.14</v>
      </c>
      <c r="X1359" s="1">
        <v>4</v>
      </c>
      <c r="Y1359" s="7">
        <v>78.650000000000006</v>
      </c>
      <c r="Z1359" s="7">
        <f t="shared" ref="Z1359:AA1359" si="1387">W1359*X1359</f>
        <v>316.56</v>
      </c>
      <c r="AA1359" s="7">
        <f t="shared" si="1387"/>
        <v>314.60000000000002</v>
      </c>
      <c r="AB1359" s="7">
        <f t="shared" si="1305"/>
        <v>1.9599999999999795</v>
      </c>
    </row>
    <row r="1360" spans="1:28">
      <c r="A1360" s="1">
        <v>1359</v>
      </c>
      <c r="B1360" s="1" t="s">
        <v>3094</v>
      </c>
      <c r="C1360" s="2">
        <v>43216</v>
      </c>
      <c r="D1360" s="6" t="str">
        <f t="shared" si="1300"/>
        <v>Apr</v>
      </c>
      <c r="E1360" s="6" t="str">
        <f t="shared" si="1301"/>
        <v>Qtr 2</v>
      </c>
      <c r="F1360" s="5" t="s">
        <v>2676</v>
      </c>
      <c r="G1360" s="1" t="s">
        <v>162</v>
      </c>
      <c r="H1360" s="1" t="s">
        <v>3095</v>
      </c>
      <c r="I1360" s="1" t="s">
        <v>3096</v>
      </c>
      <c r="J1360" s="1" t="str">
        <f ca="1">IFERROR(__xludf.DUMMYFUNCTION("split(I1360,"" "")"),"Larry")</f>
        <v>Larry</v>
      </c>
      <c r="K1360" s="1" t="str">
        <f ca="1">IFERROR(__xludf.DUMMYFUNCTION("""COMPUTED_VALUE"""),"Blacks")</f>
        <v>Blacks</v>
      </c>
      <c r="L1360" s="1"/>
      <c r="M1360" s="1" t="s">
        <v>29</v>
      </c>
      <c r="N1360" s="1" t="s">
        <v>30</v>
      </c>
      <c r="O1360" s="1" t="s">
        <v>88</v>
      </c>
      <c r="P1360" s="1" t="str">
        <f t="shared" si="1302"/>
        <v>Fort Worth</v>
      </c>
      <c r="Q1360" s="1" t="s">
        <v>89</v>
      </c>
      <c r="R1360" s="1" t="str">
        <f t="shared" si="1303"/>
        <v>Texas</v>
      </c>
      <c r="S1360" s="1">
        <v>76106</v>
      </c>
      <c r="T1360" s="1" t="s">
        <v>90</v>
      </c>
      <c r="U1360" s="1" t="s">
        <v>1667</v>
      </c>
      <c r="V1360" s="1" t="s">
        <v>35</v>
      </c>
      <c r="W1360" s="7">
        <v>1.988</v>
      </c>
      <c r="X1360" s="1">
        <v>7</v>
      </c>
      <c r="Y1360" s="7">
        <v>1.1100000000000001</v>
      </c>
      <c r="Z1360" s="7">
        <f t="shared" ref="Z1360:AA1360" si="1388">W1360*X1360</f>
        <v>13.916</v>
      </c>
      <c r="AA1360" s="7">
        <f t="shared" si="1388"/>
        <v>7.7700000000000005</v>
      </c>
      <c r="AB1360" s="7">
        <f t="shared" si="1305"/>
        <v>6.1459999999999999</v>
      </c>
    </row>
    <row r="1361" spans="1:28">
      <c r="A1361" s="1">
        <v>1360</v>
      </c>
      <c r="B1361" s="1" t="s">
        <v>3097</v>
      </c>
      <c r="C1361" s="2">
        <v>42273</v>
      </c>
      <c r="D1361" s="6" t="str">
        <f t="shared" si="1300"/>
        <v>Sep</v>
      </c>
      <c r="E1361" s="6" t="str">
        <f t="shared" si="1301"/>
        <v>Qtr 3</v>
      </c>
      <c r="F1361" s="5">
        <v>42014</v>
      </c>
      <c r="G1361" s="1" t="s">
        <v>26</v>
      </c>
      <c r="H1361" s="1" t="s">
        <v>3098</v>
      </c>
      <c r="I1361" s="1" t="s">
        <v>3099</v>
      </c>
      <c r="J1361" s="1" t="str">
        <f ca="1">IFERROR(__xludf.DUMMYFUNCTION("split(I1361,"" "")"),"Kean")</f>
        <v>Kean</v>
      </c>
      <c r="K1361" s="1" t="str">
        <f ca="1">IFERROR(__xludf.DUMMYFUNCTION("""COMPUTED_VALUE"""),"Takahito")</f>
        <v>Takahito</v>
      </c>
      <c r="L1361" s="1"/>
      <c r="M1361" s="1" t="s">
        <v>29</v>
      </c>
      <c r="N1361" s="1" t="s">
        <v>30</v>
      </c>
      <c r="O1361" s="1" t="s">
        <v>42</v>
      </c>
      <c r="P1361" s="1" t="str">
        <f t="shared" si="1302"/>
        <v>Los Angeles</v>
      </c>
      <c r="Q1361" s="1" t="s">
        <v>68</v>
      </c>
      <c r="R1361" s="1" t="str">
        <f t="shared" si="1303"/>
        <v>California</v>
      </c>
      <c r="S1361" s="1">
        <v>90049</v>
      </c>
      <c r="T1361" s="1" t="s">
        <v>44</v>
      </c>
      <c r="U1361" s="1" t="s">
        <v>3100</v>
      </c>
      <c r="V1361" s="1" t="s">
        <v>35</v>
      </c>
      <c r="W1361" s="7">
        <v>145.56800000000001</v>
      </c>
      <c r="X1361" s="1">
        <v>9</v>
      </c>
      <c r="Y1361" s="7">
        <v>145.04</v>
      </c>
      <c r="Z1361" s="7">
        <f t="shared" ref="Z1361:AA1361" si="1389">W1361*X1361</f>
        <v>1310.1120000000001</v>
      </c>
      <c r="AA1361" s="7">
        <f t="shared" si="1389"/>
        <v>1305.3599999999999</v>
      </c>
      <c r="AB1361" s="7">
        <f t="shared" si="1305"/>
        <v>4.7520000000001801</v>
      </c>
    </row>
    <row r="1362" spans="1:28">
      <c r="A1362" s="1">
        <v>1361</v>
      </c>
      <c r="B1362" s="1" t="s">
        <v>3101</v>
      </c>
      <c r="C1362" s="2">
        <v>43392</v>
      </c>
      <c r="D1362" s="6" t="str">
        <f t="shared" si="1300"/>
        <v>Oct</v>
      </c>
      <c r="E1362" s="6" t="str">
        <f t="shared" si="1301"/>
        <v>Qtr 4</v>
      </c>
      <c r="F1362" s="5" t="s">
        <v>3102</v>
      </c>
      <c r="G1362" s="1" t="s">
        <v>49</v>
      </c>
      <c r="H1362" s="1" t="s">
        <v>3103</v>
      </c>
      <c r="I1362" s="1" t="s">
        <v>3104</v>
      </c>
      <c r="J1362" s="1" t="str">
        <f ca="1">IFERROR(__xludf.DUMMYFUNCTION("split(I1362,"" "")"),"Harry")</f>
        <v>Harry</v>
      </c>
      <c r="K1362" s="1" t="str">
        <f ca="1">IFERROR(__xludf.DUMMYFUNCTION("""COMPUTED_VALUE"""),"Marie")</f>
        <v>Marie</v>
      </c>
      <c r="L1362" s="1"/>
      <c r="M1362" s="1" t="s">
        <v>41</v>
      </c>
      <c r="N1362" s="1" t="s">
        <v>30</v>
      </c>
      <c r="O1362" s="1" t="s">
        <v>126</v>
      </c>
      <c r="P1362" s="1" t="str">
        <f t="shared" si="1302"/>
        <v>Philadelphia</v>
      </c>
      <c r="Q1362" s="1" t="s">
        <v>127</v>
      </c>
      <c r="R1362" s="1" t="str">
        <f t="shared" si="1303"/>
        <v>Pennsylvania</v>
      </c>
      <c r="S1362" s="1">
        <v>19120</v>
      </c>
      <c r="T1362" s="1" t="s">
        <v>128</v>
      </c>
      <c r="U1362" s="1" t="s">
        <v>2124</v>
      </c>
      <c r="V1362" s="1" t="s">
        <v>46</v>
      </c>
      <c r="W1362" s="7">
        <v>123.256</v>
      </c>
      <c r="X1362" s="1">
        <v>1</v>
      </c>
      <c r="Y1362" s="7">
        <v>122.68</v>
      </c>
      <c r="Z1362" s="7">
        <f t="shared" ref="Z1362:AA1362" si="1390">W1362*X1362</f>
        <v>123.256</v>
      </c>
      <c r="AA1362" s="7">
        <f t="shared" si="1390"/>
        <v>122.68</v>
      </c>
      <c r="AB1362" s="7">
        <f t="shared" si="1305"/>
        <v>0.57599999999999341</v>
      </c>
    </row>
    <row r="1363" spans="1:28">
      <c r="A1363" s="1">
        <v>1362</v>
      </c>
      <c r="B1363" s="1" t="s">
        <v>3101</v>
      </c>
      <c r="C1363" s="2">
        <v>43392</v>
      </c>
      <c r="D1363" s="6" t="str">
        <f t="shared" si="1300"/>
        <v>Oct</v>
      </c>
      <c r="E1363" s="6" t="str">
        <f t="shared" si="1301"/>
        <v>Qtr 4</v>
      </c>
      <c r="F1363" s="5" t="s">
        <v>3102</v>
      </c>
      <c r="G1363" s="1" t="s">
        <v>49</v>
      </c>
      <c r="H1363" s="1" t="s">
        <v>3103</v>
      </c>
      <c r="I1363" s="1" t="s">
        <v>3104</v>
      </c>
      <c r="J1363" s="1" t="str">
        <f ca="1">IFERROR(__xludf.DUMMYFUNCTION("split(I1363,"" "")"),"Harry")</f>
        <v>Harry</v>
      </c>
      <c r="K1363" s="1" t="str">
        <f ca="1">IFERROR(__xludf.DUMMYFUNCTION("""COMPUTED_VALUE"""),"Marie")</f>
        <v>Marie</v>
      </c>
      <c r="L1363" s="1"/>
      <c r="M1363" s="1" t="s">
        <v>41</v>
      </c>
      <c r="N1363" s="1" t="s">
        <v>30</v>
      </c>
      <c r="O1363" s="1" t="s">
        <v>126</v>
      </c>
      <c r="P1363" s="1" t="str">
        <f t="shared" si="1302"/>
        <v>Philadelphia</v>
      </c>
      <c r="Q1363" s="1" t="s">
        <v>127</v>
      </c>
      <c r="R1363" s="1" t="str">
        <f t="shared" si="1303"/>
        <v>Pennsylvania</v>
      </c>
      <c r="S1363" s="1">
        <v>19120</v>
      </c>
      <c r="T1363" s="1" t="s">
        <v>128</v>
      </c>
      <c r="U1363" s="1" t="s">
        <v>3105</v>
      </c>
      <c r="V1363" s="1" t="s">
        <v>46</v>
      </c>
      <c r="W1363" s="7">
        <v>23.68</v>
      </c>
      <c r="X1363" s="1">
        <v>1</v>
      </c>
      <c r="Y1363" s="7">
        <v>22.7</v>
      </c>
      <c r="Z1363" s="7">
        <f t="shared" ref="Z1363:AA1363" si="1391">W1363*X1363</f>
        <v>23.68</v>
      </c>
      <c r="AA1363" s="7">
        <f t="shared" si="1391"/>
        <v>22.7</v>
      </c>
      <c r="AB1363" s="7">
        <f t="shared" si="1305"/>
        <v>0.98000000000000043</v>
      </c>
    </row>
    <row r="1364" spans="1:28">
      <c r="A1364" s="1">
        <v>1363</v>
      </c>
      <c r="B1364" s="1" t="s">
        <v>3101</v>
      </c>
      <c r="C1364" s="2">
        <v>43392</v>
      </c>
      <c r="D1364" s="6" t="str">
        <f t="shared" si="1300"/>
        <v>Oct</v>
      </c>
      <c r="E1364" s="6" t="str">
        <f t="shared" si="1301"/>
        <v>Qtr 4</v>
      </c>
      <c r="F1364" s="5" t="s">
        <v>3102</v>
      </c>
      <c r="G1364" s="1" t="s">
        <v>49</v>
      </c>
      <c r="H1364" s="1" t="s">
        <v>3103</v>
      </c>
      <c r="I1364" s="1" t="s">
        <v>3104</v>
      </c>
      <c r="J1364" s="1" t="str">
        <f ca="1">IFERROR(__xludf.DUMMYFUNCTION("split(I1364,"" "")"),"Harry")</f>
        <v>Harry</v>
      </c>
      <c r="K1364" s="1" t="str">
        <f ca="1">IFERROR(__xludf.DUMMYFUNCTION("""COMPUTED_VALUE"""),"Marie")</f>
        <v>Marie</v>
      </c>
      <c r="L1364" s="1"/>
      <c r="M1364" s="1" t="s">
        <v>41</v>
      </c>
      <c r="N1364" s="1" t="s">
        <v>30</v>
      </c>
      <c r="O1364" s="1" t="s">
        <v>126</v>
      </c>
      <c r="P1364" s="1" t="str">
        <f t="shared" si="1302"/>
        <v>Philadelphia</v>
      </c>
      <c r="Q1364" s="1" t="s">
        <v>127</v>
      </c>
      <c r="R1364" s="1" t="str">
        <f t="shared" si="1303"/>
        <v>Pennsylvania</v>
      </c>
      <c r="S1364" s="1">
        <v>19120</v>
      </c>
      <c r="T1364" s="1" t="s">
        <v>128</v>
      </c>
      <c r="U1364" s="1" t="s">
        <v>3106</v>
      </c>
      <c r="V1364" s="1" t="s">
        <v>64</v>
      </c>
      <c r="W1364" s="7">
        <v>309.57600000000002</v>
      </c>
      <c r="X1364" s="1">
        <v>1</v>
      </c>
      <c r="Y1364" s="7">
        <v>308.69</v>
      </c>
      <c r="Z1364" s="7">
        <f t="shared" ref="Z1364:AA1364" si="1392">W1364*X1364</f>
        <v>309.57600000000002</v>
      </c>
      <c r="AA1364" s="7">
        <f t="shared" si="1392"/>
        <v>308.69</v>
      </c>
      <c r="AB1364" s="7">
        <f t="shared" si="1305"/>
        <v>0.8860000000000241</v>
      </c>
    </row>
    <row r="1365" spans="1:28">
      <c r="A1365" s="1">
        <v>1364</v>
      </c>
      <c r="B1365" s="1" t="s">
        <v>3107</v>
      </c>
      <c r="C1365" s="2">
        <v>43384</v>
      </c>
      <c r="D1365" s="6" t="str">
        <f t="shared" si="1300"/>
        <v>Oct</v>
      </c>
      <c r="E1365" s="6" t="str">
        <f t="shared" si="1301"/>
        <v>Qtr 4</v>
      </c>
      <c r="F1365" s="5">
        <v>43415</v>
      </c>
      <c r="G1365" s="1" t="s">
        <v>162</v>
      </c>
      <c r="H1365" s="1" t="s">
        <v>3108</v>
      </c>
      <c r="I1365" s="1" t="s">
        <v>3109</v>
      </c>
      <c r="J1365" s="1" t="str">
        <f ca="1">IFERROR(__xludf.DUMMYFUNCTION("split(I1365,"" "")"),"Ann")</f>
        <v>Ann</v>
      </c>
      <c r="K1365" s="1" t="str">
        <f ca="1">IFERROR(__xludf.DUMMYFUNCTION("""COMPUTED_VALUE"""),"Blume")</f>
        <v>Blume</v>
      </c>
      <c r="L1365" s="1"/>
      <c r="M1365" s="1" t="s">
        <v>41</v>
      </c>
      <c r="N1365" s="1" t="s">
        <v>30</v>
      </c>
      <c r="O1365" s="1" t="s">
        <v>1067</v>
      </c>
      <c r="P1365" s="1" t="str">
        <f t="shared" si="1302"/>
        <v>Tucson</v>
      </c>
      <c r="Q1365" s="1" t="s">
        <v>265</v>
      </c>
      <c r="R1365" s="1" t="str">
        <f t="shared" si="1303"/>
        <v>Arizona</v>
      </c>
      <c r="S1365" s="1">
        <v>85705</v>
      </c>
      <c r="T1365" s="1" t="s">
        <v>44</v>
      </c>
      <c r="U1365" s="1" t="s">
        <v>1999</v>
      </c>
      <c r="V1365" s="1" t="s">
        <v>46</v>
      </c>
      <c r="W1365" s="7">
        <v>38.387999999999998</v>
      </c>
      <c r="X1365" s="1">
        <v>8</v>
      </c>
      <c r="Y1365" s="7">
        <v>38.26</v>
      </c>
      <c r="Z1365" s="7">
        <f t="shared" ref="Z1365:AA1365" si="1393">W1365*X1365</f>
        <v>307.10399999999998</v>
      </c>
      <c r="AA1365" s="7">
        <f t="shared" si="1393"/>
        <v>306.08</v>
      </c>
      <c r="AB1365" s="7">
        <f t="shared" si="1305"/>
        <v>1.0240000000000009</v>
      </c>
    </row>
    <row r="1366" spans="1:28">
      <c r="A1366" s="1">
        <v>1365</v>
      </c>
      <c r="B1366" s="1" t="s">
        <v>3107</v>
      </c>
      <c r="C1366" s="2">
        <v>43384</v>
      </c>
      <c r="D1366" s="6" t="str">
        <f t="shared" si="1300"/>
        <v>Oct</v>
      </c>
      <c r="E1366" s="6" t="str">
        <f t="shared" si="1301"/>
        <v>Qtr 4</v>
      </c>
      <c r="F1366" s="5">
        <v>43415</v>
      </c>
      <c r="G1366" s="1" t="s">
        <v>162</v>
      </c>
      <c r="H1366" s="1" t="s">
        <v>3108</v>
      </c>
      <c r="I1366" s="1" t="s">
        <v>3109</v>
      </c>
      <c r="J1366" s="1" t="str">
        <f ca="1">IFERROR(__xludf.DUMMYFUNCTION("split(I1366,"" "")"),"Ann")</f>
        <v>Ann</v>
      </c>
      <c r="K1366" s="1" t="str">
        <f ca="1">IFERROR(__xludf.DUMMYFUNCTION("""COMPUTED_VALUE"""),"Blume")</f>
        <v>Blume</v>
      </c>
      <c r="L1366" s="1"/>
      <c r="M1366" s="1" t="s">
        <v>41</v>
      </c>
      <c r="N1366" s="1" t="s">
        <v>30</v>
      </c>
      <c r="O1366" s="1" t="s">
        <v>1067</v>
      </c>
      <c r="P1366" s="1" t="str">
        <f t="shared" si="1302"/>
        <v>Tucson</v>
      </c>
      <c r="Q1366" s="1" t="s">
        <v>265</v>
      </c>
      <c r="R1366" s="1" t="str">
        <f t="shared" si="1303"/>
        <v>Arizona</v>
      </c>
      <c r="S1366" s="1">
        <v>85705</v>
      </c>
      <c r="T1366" s="1" t="s">
        <v>44</v>
      </c>
      <c r="U1366" s="1" t="s">
        <v>3110</v>
      </c>
      <c r="V1366" s="1" t="s">
        <v>64</v>
      </c>
      <c r="W1366" s="7">
        <v>95.994</v>
      </c>
      <c r="X1366" s="1">
        <v>8</v>
      </c>
      <c r="Y1366" s="7">
        <v>95.61</v>
      </c>
      <c r="Z1366" s="7">
        <f t="shared" ref="Z1366:AA1366" si="1394">W1366*X1366</f>
        <v>767.952</v>
      </c>
      <c r="AA1366" s="7">
        <f t="shared" si="1394"/>
        <v>764.88</v>
      </c>
      <c r="AB1366" s="7">
        <f t="shared" si="1305"/>
        <v>3.0720000000000027</v>
      </c>
    </row>
    <row r="1367" spans="1:28">
      <c r="A1367" s="1">
        <v>1366</v>
      </c>
      <c r="B1367" s="1" t="s">
        <v>3107</v>
      </c>
      <c r="C1367" s="2">
        <v>43384</v>
      </c>
      <c r="D1367" s="6" t="str">
        <f t="shared" si="1300"/>
        <v>Oct</v>
      </c>
      <c r="E1367" s="6" t="str">
        <f t="shared" si="1301"/>
        <v>Qtr 4</v>
      </c>
      <c r="F1367" s="5">
        <v>43415</v>
      </c>
      <c r="G1367" s="1" t="s">
        <v>162</v>
      </c>
      <c r="H1367" s="1" t="s">
        <v>3108</v>
      </c>
      <c r="I1367" s="1" t="s">
        <v>3109</v>
      </c>
      <c r="J1367" s="1" t="str">
        <f ca="1">IFERROR(__xludf.DUMMYFUNCTION("split(I1367,"" "")"),"Ann")</f>
        <v>Ann</v>
      </c>
      <c r="K1367" s="1" t="str">
        <f ca="1">IFERROR(__xludf.DUMMYFUNCTION("""COMPUTED_VALUE"""),"Blume")</f>
        <v>Blume</v>
      </c>
      <c r="L1367" s="1"/>
      <c r="M1367" s="1" t="s">
        <v>41</v>
      </c>
      <c r="N1367" s="1" t="s">
        <v>30</v>
      </c>
      <c r="O1367" s="1" t="s">
        <v>1067</v>
      </c>
      <c r="P1367" s="1" t="str">
        <f t="shared" si="1302"/>
        <v>Tucson</v>
      </c>
      <c r="Q1367" s="1" t="s">
        <v>265</v>
      </c>
      <c r="R1367" s="1" t="str">
        <f t="shared" si="1303"/>
        <v>Arizona</v>
      </c>
      <c r="S1367" s="1">
        <v>85705</v>
      </c>
      <c r="T1367" s="1" t="s">
        <v>44</v>
      </c>
      <c r="U1367" s="1" t="s">
        <v>3111</v>
      </c>
      <c r="V1367" s="1" t="s">
        <v>64</v>
      </c>
      <c r="W1367" s="7">
        <v>239.952</v>
      </c>
      <c r="X1367" s="1">
        <v>8</v>
      </c>
      <c r="Y1367" s="7">
        <v>238.97</v>
      </c>
      <c r="Z1367" s="7">
        <f t="shared" ref="Z1367:AA1367" si="1395">W1367*X1367</f>
        <v>1919.616</v>
      </c>
      <c r="AA1367" s="7">
        <f t="shared" si="1395"/>
        <v>1911.76</v>
      </c>
      <c r="AB1367" s="7">
        <f t="shared" si="1305"/>
        <v>7.8559999999999945</v>
      </c>
    </row>
    <row r="1368" spans="1:28">
      <c r="A1368" s="1">
        <v>1367</v>
      </c>
      <c r="B1368" s="1" t="s">
        <v>3107</v>
      </c>
      <c r="C1368" s="2">
        <v>43384</v>
      </c>
      <c r="D1368" s="6" t="str">
        <f t="shared" si="1300"/>
        <v>Oct</v>
      </c>
      <c r="E1368" s="6" t="str">
        <f t="shared" si="1301"/>
        <v>Qtr 4</v>
      </c>
      <c r="F1368" s="5">
        <v>43415</v>
      </c>
      <c r="G1368" s="1" t="s">
        <v>162</v>
      </c>
      <c r="H1368" s="1" t="s">
        <v>3108</v>
      </c>
      <c r="I1368" s="1" t="s">
        <v>3109</v>
      </c>
      <c r="J1368" s="1" t="str">
        <f ca="1">IFERROR(__xludf.DUMMYFUNCTION("split(I1368,"" "")"),"Ann")</f>
        <v>Ann</v>
      </c>
      <c r="K1368" s="1" t="str">
        <f ca="1">IFERROR(__xludf.DUMMYFUNCTION("""COMPUTED_VALUE"""),"Blume")</f>
        <v>Blume</v>
      </c>
      <c r="L1368" s="1"/>
      <c r="M1368" s="1" t="s">
        <v>41</v>
      </c>
      <c r="N1368" s="1" t="s">
        <v>30</v>
      </c>
      <c r="O1368" s="1" t="s">
        <v>1067</v>
      </c>
      <c r="P1368" s="1" t="str">
        <f t="shared" si="1302"/>
        <v>Tucson</v>
      </c>
      <c r="Q1368" s="1" t="s">
        <v>265</v>
      </c>
      <c r="R1368" s="1" t="str">
        <f t="shared" si="1303"/>
        <v>Arizona</v>
      </c>
      <c r="S1368" s="1">
        <v>85705</v>
      </c>
      <c r="T1368" s="1" t="s">
        <v>44</v>
      </c>
      <c r="U1368" s="1" t="s">
        <v>713</v>
      </c>
      <c r="V1368" s="1" t="s">
        <v>64</v>
      </c>
      <c r="W1368" s="7">
        <v>201.584</v>
      </c>
      <c r="X1368" s="1">
        <v>8</v>
      </c>
      <c r="Y1368" s="7">
        <v>201.48</v>
      </c>
      <c r="Z1368" s="7">
        <f t="shared" ref="Z1368:AA1368" si="1396">W1368*X1368</f>
        <v>1612.672</v>
      </c>
      <c r="AA1368" s="7">
        <f t="shared" si="1396"/>
        <v>1611.84</v>
      </c>
      <c r="AB1368" s="7">
        <f t="shared" si="1305"/>
        <v>0.83200000000010732</v>
      </c>
    </row>
    <row r="1369" spans="1:28">
      <c r="A1369" s="1">
        <v>1368</v>
      </c>
      <c r="B1369" s="1" t="s">
        <v>3107</v>
      </c>
      <c r="C1369" s="2">
        <v>43384</v>
      </c>
      <c r="D1369" s="6" t="str">
        <f t="shared" si="1300"/>
        <v>Oct</v>
      </c>
      <c r="E1369" s="6" t="str">
        <f t="shared" si="1301"/>
        <v>Qtr 4</v>
      </c>
      <c r="F1369" s="5">
        <v>43415</v>
      </c>
      <c r="G1369" s="1" t="s">
        <v>162</v>
      </c>
      <c r="H1369" s="1" t="s">
        <v>3108</v>
      </c>
      <c r="I1369" s="1" t="s">
        <v>3109</v>
      </c>
      <c r="J1369" s="1" t="str">
        <f ca="1">IFERROR(__xludf.DUMMYFUNCTION("split(I1369,"" "")"),"Ann")</f>
        <v>Ann</v>
      </c>
      <c r="K1369" s="1" t="str">
        <f ca="1">IFERROR(__xludf.DUMMYFUNCTION("""COMPUTED_VALUE"""),"Blume")</f>
        <v>Blume</v>
      </c>
      <c r="L1369" s="1"/>
      <c r="M1369" s="1" t="s">
        <v>41</v>
      </c>
      <c r="N1369" s="1" t="s">
        <v>30</v>
      </c>
      <c r="O1369" s="1" t="s">
        <v>1067</v>
      </c>
      <c r="P1369" s="1" t="str">
        <f t="shared" si="1302"/>
        <v>Tucson</v>
      </c>
      <c r="Q1369" s="1" t="s">
        <v>265</v>
      </c>
      <c r="R1369" s="1" t="str">
        <f t="shared" si="1303"/>
        <v>Arizona</v>
      </c>
      <c r="S1369" s="1">
        <v>85705</v>
      </c>
      <c r="T1369" s="1" t="s">
        <v>44</v>
      </c>
      <c r="U1369" s="1" t="s">
        <v>973</v>
      </c>
      <c r="V1369" s="1" t="s">
        <v>35</v>
      </c>
      <c r="W1369" s="7">
        <v>899.13599999999997</v>
      </c>
      <c r="X1369" s="1">
        <v>8</v>
      </c>
      <c r="Y1369" s="7">
        <v>898.82</v>
      </c>
      <c r="Z1369" s="7">
        <f t="shared" ref="Z1369:AA1369" si="1397">W1369*X1369</f>
        <v>7193.0879999999997</v>
      </c>
      <c r="AA1369" s="7">
        <f t="shared" si="1397"/>
        <v>7190.56</v>
      </c>
      <c r="AB1369" s="7">
        <f t="shared" si="1305"/>
        <v>2.5279999999993379</v>
      </c>
    </row>
    <row r="1370" spans="1:28">
      <c r="A1370" s="1">
        <v>1369</v>
      </c>
      <c r="B1370" s="1" t="s">
        <v>3112</v>
      </c>
      <c r="C1370" s="2">
        <v>43319</v>
      </c>
      <c r="D1370" s="6" t="str">
        <f t="shared" si="1300"/>
        <v>Aug</v>
      </c>
      <c r="E1370" s="6" t="str">
        <f t="shared" si="1301"/>
        <v>Qtr 3</v>
      </c>
      <c r="F1370" s="5">
        <v>43411</v>
      </c>
      <c r="G1370" s="1" t="s">
        <v>162</v>
      </c>
      <c r="H1370" s="1" t="s">
        <v>3113</v>
      </c>
      <c r="I1370" s="1" t="s">
        <v>3114</v>
      </c>
      <c r="J1370" s="1" t="str">
        <f ca="1">IFERROR(__xludf.DUMMYFUNCTION("split(I1370,"" "")"),"Sam")</f>
        <v>Sam</v>
      </c>
      <c r="K1370" s="1" t="str">
        <f ca="1">IFERROR(__xludf.DUMMYFUNCTION("""COMPUTED_VALUE"""),"Zeldin")</f>
        <v>Zeldin</v>
      </c>
      <c r="L1370" s="1"/>
      <c r="M1370" s="1" t="s">
        <v>87</v>
      </c>
      <c r="N1370" s="1" t="s">
        <v>30</v>
      </c>
      <c r="O1370" s="1" t="s">
        <v>3115</v>
      </c>
      <c r="P1370" s="1" t="str">
        <f t="shared" si="1302"/>
        <v>Pico Rivera</v>
      </c>
      <c r="Q1370" s="1" t="s">
        <v>68</v>
      </c>
      <c r="R1370" s="1" t="str">
        <f t="shared" si="1303"/>
        <v>California</v>
      </c>
      <c r="S1370" s="1">
        <v>90660</v>
      </c>
      <c r="T1370" s="1" t="s">
        <v>44</v>
      </c>
      <c r="U1370" s="1" t="s">
        <v>932</v>
      </c>
      <c r="V1370" s="1" t="s">
        <v>35</v>
      </c>
      <c r="W1370" s="7">
        <v>145.9</v>
      </c>
      <c r="X1370" s="1">
        <v>9</v>
      </c>
      <c r="Y1370" s="7">
        <v>145.41</v>
      </c>
      <c r="Z1370" s="7">
        <f t="shared" ref="Z1370:AA1370" si="1398">W1370*X1370</f>
        <v>1313.1000000000001</v>
      </c>
      <c r="AA1370" s="7">
        <f t="shared" si="1398"/>
        <v>1308.69</v>
      </c>
      <c r="AB1370" s="7">
        <f t="shared" si="1305"/>
        <v>4.4100000000000819</v>
      </c>
    </row>
    <row r="1371" spans="1:28">
      <c r="A1371" s="1">
        <v>1370</v>
      </c>
      <c r="B1371" s="1" t="s">
        <v>3116</v>
      </c>
      <c r="C1371" s="2">
        <v>42728</v>
      </c>
      <c r="D1371" s="6" t="str">
        <f t="shared" si="1300"/>
        <v>Dec</v>
      </c>
      <c r="E1371" s="6" t="str">
        <f t="shared" si="1301"/>
        <v>Qtr 4</v>
      </c>
      <c r="F1371" s="5" t="s">
        <v>3117</v>
      </c>
      <c r="G1371" s="1" t="s">
        <v>49</v>
      </c>
      <c r="H1371" s="1" t="s">
        <v>3055</v>
      </c>
      <c r="I1371" s="1" t="s">
        <v>3056</v>
      </c>
      <c r="J1371" s="1" t="str">
        <f ca="1">IFERROR(__xludf.DUMMYFUNCTION("split(I1371,"" "")"),"Jim")</f>
        <v>Jim</v>
      </c>
      <c r="K1371" s="1" t="str">
        <f ca="1">IFERROR(__xludf.DUMMYFUNCTION("""COMPUTED_VALUE"""),"Radford")</f>
        <v>Radford</v>
      </c>
      <c r="L1371" s="1"/>
      <c r="M1371" s="1" t="s">
        <v>29</v>
      </c>
      <c r="N1371" s="1" t="s">
        <v>30</v>
      </c>
      <c r="O1371" s="1" t="s">
        <v>884</v>
      </c>
      <c r="P1371" s="1" t="str">
        <f t="shared" si="1302"/>
        <v>Colorado Springs</v>
      </c>
      <c r="Q1371" s="1" t="s">
        <v>386</v>
      </c>
      <c r="R1371" s="1" t="str">
        <f t="shared" si="1303"/>
        <v>Colorado</v>
      </c>
      <c r="S1371" s="1">
        <v>80906</v>
      </c>
      <c r="T1371" s="1" t="s">
        <v>44</v>
      </c>
      <c r="U1371" s="1" t="s">
        <v>633</v>
      </c>
      <c r="V1371" s="1" t="s">
        <v>35</v>
      </c>
      <c r="W1371" s="7">
        <v>590.05799999999999</v>
      </c>
      <c r="X1371" s="1">
        <v>8</v>
      </c>
      <c r="Y1371" s="7">
        <v>589.64</v>
      </c>
      <c r="Z1371" s="7">
        <f t="shared" ref="Z1371:AA1371" si="1399">W1371*X1371</f>
        <v>4720.4639999999999</v>
      </c>
      <c r="AA1371" s="7">
        <f t="shared" si="1399"/>
        <v>4717.12</v>
      </c>
      <c r="AB1371" s="7">
        <f t="shared" si="1305"/>
        <v>3.3440000000000509</v>
      </c>
    </row>
    <row r="1372" spans="1:28">
      <c r="A1372" s="1">
        <v>1371</v>
      </c>
      <c r="B1372" s="1" t="s">
        <v>3116</v>
      </c>
      <c r="C1372" s="2">
        <v>42728</v>
      </c>
      <c r="D1372" s="6" t="str">
        <f t="shared" si="1300"/>
        <v>Dec</v>
      </c>
      <c r="E1372" s="6" t="str">
        <f t="shared" si="1301"/>
        <v>Qtr 4</v>
      </c>
      <c r="F1372" s="5" t="s">
        <v>3117</v>
      </c>
      <c r="G1372" s="1" t="s">
        <v>49</v>
      </c>
      <c r="H1372" s="1" t="s">
        <v>3055</v>
      </c>
      <c r="I1372" s="1" t="s">
        <v>3056</v>
      </c>
      <c r="J1372" s="1" t="str">
        <f ca="1">IFERROR(__xludf.DUMMYFUNCTION("split(I1372,"" "")"),"Jim")</f>
        <v>Jim</v>
      </c>
      <c r="K1372" s="1" t="str">
        <f ca="1">IFERROR(__xludf.DUMMYFUNCTION("""COMPUTED_VALUE"""),"Radford")</f>
        <v>Radford</v>
      </c>
      <c r="L1372" s="1"/>
      <c r="M1372" s="1" t="s">
        <v>29</v>
      </c>
      <c r="N1372" s="1" t="s">
        <v>30</v>
      </c>
      <c r="O1372" s="1" t="s">
        <v>884</v>
      </c>
      <c r="P1372" s="1" t="str">
        <f t="shared" si="1302"/>
        <v>Colorado Springs</v>
      </c>
      <c r="Q1372" s="1" t="s">
        <v>386</v>
      </c>
      <c r="R1372" s="1" t="str">
        <f t="shared" si="1303"/>
        <v>Colorado</v>
      </c>
      <c r="S1372" s="1">
        <v>80906</v>
      </c>
      <c r="T1372" s="1" t="s">
        <v>44</v>
      </c>
      <c r="U1372" s="1" t="s">
        <v>2006</v>
      </c>
      <c r="V1372" s="1" t="s">
        <v>46</v>
      </c>
      <c r="W1372" s="7">
        <v>14.04</v>
      </c>
      <c r="X1372" s="1">
        <v>8</v>
      </c>
      <c r="Y1372" s="7">
        <v>13.66</v>
      </c>
      <c r="Z1372" s="7">
        <f t="shared" ref="Z1372:AA1372" si="1400">W1372*X1372</f>
        <v>112.32</v>
      </c>
      <c r="AA1372" s="7">
        <f t="shared" si="1400"/>
        <v>109.28</v>
      </c>
      <c r="AB1372" s="7">
        <f t="shared" si="1305"/>
        <v>3.039999999999992</v>
      </c>
    </row>
    <row r="1373" spans="1:28">
      <c r="A1373" s="1">
        <v>1372</v>
      </c>
      <c r="B1373" s="1" t="s">
        <v>3118</v>
      </c>
      <c r="C1373" s="2">
        <v>43284</v>
      </c>
      <c r="D1373" s="6" t="str">
        <f t="shared" si="1300"/>
        <v>Jul</v>
      </c>
      <c r="E1373" s="6" t="str">
        <f t="shared" si="1301"/>
        <v>Qtr 3</v>
      </c>
      <c r="F1373" s="5">
        <v>43437</v>
      </c>
      <c r="G1373" s="1" t="s">
        <v>49</v>
      </c>
      <c r="H1373" s="1" t="s">
        <v>3119</v>
      </c>
      <c r="I1373" s="1" t="s">
        <v>3120</v>
      </c>
      <c r="J1373" s="1" t="str">
        <f ca="1">IFERROR(__xludf.DUMMYFUNCTION("split(I1373,"" "")"),"Michael")</f>
        <v>Michael</v>
      </c>
      <c r="K1373" s="1" t="str">
        <f ca="1">IFERROR(__xludf.DUMMYFUNCTION("""COMPUTED_VALUE"""),"Granlund")</f>
        <v>Granlund</v>
      </c>
      <c r="L1373" s="1"/>
      <c r="M1373" s="1" t="s">
        <v>87</v>
      </c>
      <c r="N1373" s="1" t="s">
        <v>30</v>
      </c>
      <c r="O1373" s="1" t="s">
        <v>2657</v>
      </c>
      <c r="P1373" s="1" t="str">
        <f t="shared" si="1302"/>
        <v>Clinton</v>
      </c>
      <c r="Q1373" s="1" t="s">
        <v>2248</v>
      </c>
      <c r="R1373" s="1" t="str">
        <f t="shared" si="1303"/>
        <v>Maryland</v>
      </c>
      <c r="S1373" s="1">
        <v>20735</v>
      </c>
      <c r="T1373" s="1" t="s">
        <v>128</v>
      </c>
      <c r="U1373" s="1" t="s">
        <v>3121</v>
      </c>
      <c r="V1373" s="1" t="s">
        <v>64</v>
      </c>
      <c r="W1373" s="7">
        <v>49.08</v>
      </c>
      <c r="X1373" s="1">
        <v>2</v>
      </c>
      <c r="Y1373" s="7">
        <v>48.6</v>
      </c>
      <c r="Z1373" s="7">
        <f t="shared" ref="Z1373:AA1373" si="1401">W1373*X1373</f>
        <v>98.16</v>
      </c>
      <c r="AA1373" s="7">
        <f t="shared" si="1401"/>
        <v>97.2</v>
      </c>
      <c r="AB1373" s="7">
        <f t="shared" si="1305"/>
        <v>0.95999999999999375</v>
      </c>
    </row>
    <row r="1374" spans="1:28">
      <c r="A1374" s="1">
        <v>1373</v>
      </c>
      <c r="B1374" s="1" t="s">
        <v>3122</v>
      </c>
      <c r="C1374" s="2">
        <v>42008</v>
      </c>
      <c r="D1374" s="6" t="str">
        <f t="shared" si="1300"/>
        <v>Jan</v>
      </c>
      <c r="E1374" s="6" t="str">
        <f t="shared" si="1301"/>
        <v>Qtr 1</v>
      </c>
      <c r="F1374" s="5">
        <v>42159</v>
      </c>
      <c r="G1374" s="1" t="s">
        <v>26</v>
      </c>
      <c r="H1374" s="1" t="s">
        <v>250</v>
      </c>
      <c r="I1374" s="1" t="s">
        <v>251</v>
      </c>
      <c r="J1374" s="1" t="str">
        <f ca="1">IFERROR(__xludf.DUMMYFUNCTION("split(I1374,"" "")"),"Kunst")</f>
        <v>Kunst</v>
      </c>
      <c r="K1374" s="1" t="str">
        <f ca="1">IFERROR(__xludf.DUMMYFUNCTION("""COMPUTED_VALUE"""),"Miller")</f>
        <v>Miller</v>
      </c>
      <c r="L1374" s="1"/>
      <c r="M1374" s="1" t="s">
        <v>29</v>
      </c>
      <c r="N1374" s="1" t="s">
        <v>30</v>
      </c>
      <c r="O1374" s="1" t="s">
        <v>1715</v>
      </c>
      <c r="P1374" s="1" t="str">
        <f t="shared" si="1302"/>
        <v>Vallejo</v>
      </c>
      <c r="Q1374" s="1" t="s">
        <v>68</v>
      </c>
      <c r="R1374" s="1" t="str">
        <f t="shared" si="1303"/>
        <v>California</v>
      </c>
      <c r="S1374" s="1">
        <v>94591</v>
      </c>
      <c r="T1374" s="1" t="s">
        <v>44</v>
      </c>
      <c r="U1374" s="1" t="s">
        <v>1841</v>
      </c>
      <c r="V1374" s="1" t="s">
        <v>46</v>
      </c>
      <c r="W1374" s="7">
        <v>29.6</v>
      </c>
      <c r="X1374" s="1">
        <v>9</v>
      </c>
      <c r="Y1374" s="7">
        <v>29.5</v>
      </c>
      <c r="Z1374" s="7">
        <f t="shared" ref="Z1374:AA1374" si="1402">W1374*X1374</f>
        <v>266.40000000000003</v>
      </c>
      <c r="AA1374" s="7">
        <f t="shared" si="1402"/>
        <v>265.5</v>
      </c>
      <c r="AB1374" s="7">
        <f t="shared" si="1305"/>
        <v>0.90000000000003411</v>
      </c>
    </row>
    <row r="1375" spans="1:28">
      <c r="A1375" s="1">
        <v>1374</v>
      </c>
      <c r="B1375" s="1" t="s">
        <v>3122</v>
      </c>
      <c r="C1375" s="2">
        <v>42008</v>
      </c>
      <c r="D1375" s="6" t="str">
        <f t="shared" si="1300"/>
        <v>Jan</v>
      </c>
      <c r="E1375" s="6" t="str">
        <f t="shared" si="1301"/>
        <v>Qtr 1</v>
      </c>
      <c r="F1375" s="5">
        <v>42159</v>
      </c>
      <c r="G1375" s="1" t="s">
        <v>26</v>
      </c>
      <c r="H1375" s="1" t="s">
        <v>250</v>
      </c>
      <c r="I1375" s="1" t="s">
        <v>251</v>
      </c>
      <c r="J1375" s="1" t="str">
        <f ca="1">IFERROR(__xludf.DUMMYFUNCTION("split(I1375,"" "")"),"Kunst")</f>
        <v>Kunst</v>
      </c>
      <c r="K1375" s="1" t="str">
        <f ca="1">IFERROR(__xludf.DUMMYFUNCTION("""COMPUTED_VALUE"""),"Miller")</f>
        <v>Miller</v>
      </c>
      <c r="L1375" s="1"/>
      <c r="M1375" s="1" t="s">
        <v>29</v>
      </c>
      <c r="N1375" s="1" t="s">
        <v>30</v>
      </c>
      <c r="O1375" s="1" t="s">
        <v>1715</v>
      </c>
      <c r="P1375" s="1" t="str">
        <f t="shared" si="1302"/>
        <v>Vallejo</v>
      </c>
      <c r="Q1375" s="1" t="s">
        <v>68</v>
      </c>
      <c r="R1375" s="1" t="str">
        <f t="shared" si="1303"/>
        <v>California</v>
      </c>
      <c r="S1375" s="1">
        <v>94591</v>
      </c>
      <c r="T1375" s="1" t="s">
        <v>44</v>
      </c>
      <c r="U1375" s="1" t="s">
        <v>3123</v>
      </c>
      <c r="V1375" s="1" t="s">
        <v>46</v>
      </c>
      <c r="W1375" s="7">
        <v>17.088000000000001</v>
      </c>
      <c r="X1375" s="1">
        <v>9</v>
      </c>
      <c r="Y1375" s="7">
        <v>16.940000000000001</v>
      </c>
      <c r="Z1375" s="7">
        <f t="shared" ref="Z1375:AA1375" si="1403">W1375*X1375</f>
        <v>153.792</v>
      </c>
      <c r="AA1375" s="7">
        <f t="shared" si="1403"/>
        <v>152.46</v>
      </c>
      <c r="AB1375" s="7">
        <f t="shared" si="1305"/>
        <v>1.3319999999999936</v>
      </c>
    </row>
    <row r="1376" spans="1:28">
      <c r="A1376" s="1">
        <v>1375</v>
      </c>
      <c r="B1376" s="1" t="s">
        <v>3124</v>
      </c>
      <c r="C1376" s="2">
        <v>42627</v>
      </c>
      <c r="D1376" s="6" t="str">
        <f t="shared" si="1300"/>
        <v>Sep</v>
      </c>
      <c r="E1376" s="6" t="str">
        <f t="shared" si="1301"/>
        <v>Qtr 3</v>
      </c>
      <c r="F1376" s="5" t="s">
        <v>2494</v>
      </c>
      <c r="G1376" s="1" t="s">
        <v>49</v>
      </c>
      <c r="H1376" s="1" t="s">
        <v>1672</v>
      </c>
      <c r="I1376" s="1" t="s">
        <v>1673</v>
      </c>
      <c r="J1376" s="1" t="str">
        <f ca="1">IFERROR(__xludf.DUMMYFUNCTION("split(I1376,"" "")"),"Christina")</f>
        <v>Christina</v>
      </c>
      <c r="K1376" s="1" t="str">
        <f ca="1">IFERROR(__xludf.DUMMYFUNCTION("""COMPUTED_VALUE"""),"Anderson")</f>
        <v>Anderson</v>
      </c>
      <c r="L1376" s="1"/>
      <c r="M1376" s="1" t="s">
        <v>29</v>
      </c>
      <c r="N1376" s="1" t="s">
        <v>30</v>
      </c>
      <c r="O1376" s="1" t="s">
        <v>3125</v>
      </c>
      <c r="P1376" s="1" t="str">
        <f t="shared" si="1302"/>
        <v>Provo</v>
      </c>
      <c r="Q1376" s="1" t="s">
        <v>105</v>
      </c>
      <c r="R1376" s="1" t="str">
        <f t="shared" si="1303"/>
        <v>Utah</v>
      </c>
      <c r="S1376" s="1">
        <v>84604</v>
      </c>
      <c r="T1376" s="1" t="s">
        <v>44</v>
      </c>
      <c r="U1376" s="1" t="s">
        <v>3126</v>
      </c>
      <c r="V1376" s="1" t="s">
        <v>35</v>
      </c>
      <c r="W1376" s="7">
        <v>912.75</v>
      </c>
      <c r="X1376" s="1">
        <v>8</v>
      </c>
      <c r="Y1376" s="7">
        <v>912.27</v>
      </c>
      <c r="Z1376" s="7">
        <f t="shared" ref="Z1376:AA1376" si="1404">W1376*X1376</f>
        <v>7302</v>
      </c>
      <c r="AA1376" s="7">
        <f t="shared" si="1404"/>
        <v>7298.16</v>
      </c>
      <c r="AB1376" s="7">
        <f t="shared" si="1305"/>
        <v>3.8400000000001455</v>
      </c>
    </row>
    <row r="1377" spans="1:28">
      <c r="A1377" s="1">
        <v>1376</v>
      </c>
      <c r="B1377" s="1" t="s">
        <v>3127</v>
      </c>
      <c r="C1377" s="2">
        <v>42102</v>
      </c>
      <c r="D1377" s="6" t="str">
        <f t="shared" si="1300"/>
        <v>Apr</v>
      </c>
      <c r="E1377" s="6" t="str">
        <f t="shared" si="1301"/>
        <v>Qtr 2</v>
      </c>
      <c r="F1377" s="5">
        <v>42255</v>
      </c>
      <c r="G1377" s="1" t="s">
        <v>26</v>
      </c>
      <c r="H1377" s="1" t="s">
        <v>733</v>
      </c>
      <c r="I1377" s="1" t="s">
        <v>734</v>
      </c>
      <c r="J1377" s="1" t="str">
        <f ca="1">IFERROR(__xludf.DUMMYFUNCTION("split(I1377,"" "")"),"Valerie")</f>
        <v>Valerie</v>
      </c>
      <c r="K1377" s="1" t="str">
        <f ca="1">IFERROR(__xludf.DUMMYFUNCTION("""COMPUTED_VALUE"""),"Dominguez")</f>
        <v>Dominguez</v>
      </c>
      <c r="L1377" s="1"/>
      <c r="M1377" s="1" t="s">
        <v>29</v>
      </c>
      <c r="N1377" s="1" t="s">
        <v>30</v>
      </c>
      <c r="O1377" s="1" t="s">
        <v>3128</v>
      </c>
      <c r="P1377" s="1" t="str">
        <f t="shared" si="1302"/>
        <v>Pleasant Grove</v>
      </c>
      <c r="Q1377" s="1" t="s">
        <v>105</v>
      </c>
      <c r="R1377" s="1" t="str">
        <f t="shared" si="1303"/>
        <v>Utah</v>
      </c>
      <c r="S1377" s="1">
        <v>84062</v>
      </c>
      <c r="T1377" s="1" t="s">
        <v>44</v>
      </c>
      <c r="U1377" s="1" t="s">
        <v>3129</v>
      </c>
      <c r="V1377" s="1" t="s">
        <v>46</v>
      </c>
      <c r="W1377" s="7">
        <v>1089.75</v>
      </c>
      <c r="X1377" s="1">
        <v>8</v>
      </c>
      <c r="Y1377" s="7">
        <v>1089.44</v>
      </c>
      <c r="Z1377" s="7">
        <f t="shared" ref="Z1377:AA1377" si="1405">W1377*X1377</f>
        <v>8718</v>
      </c>
      <c r="AA1377" s="7">
        <f t="shared" si="1405"/>
        <v>8715.52</v>
      </c>
      <c r="AB1377" s="7">
        <f t="shared" si="1305"/>
        <v>2.4799999999995634</v>
      </c>
    </row>
    <row r="1378" spans="1:28">
      <c r="A1378" s="1">
        <v>1377</v>
      </c>
      <c r="B1378" s="1" t="s">
        <v>3127</v>
      </c>
      <c r="C1378" s="2">
        <v>42102</v>
      </c>
      <c r="D1378" s="6" t="str">
        <f t="shared" si="1300"/>
        <v>Apr</v>
      </c>
      <c r="E1378" s="6" t="str">
        <f t="shared" si="1301"/>
        <v>Qtr 2</v>
      </c>
      <c r="F1378" s="5">
        <v>42255</v>
      </c>
      <c r="G1378" s="1" t="s">
        <v>26</v>
      </c>
      <c r="H1378" s="1" t="s">
        <v>733</v>
      </c>
      <c r="I1378" s="1" t="s">
        <v>734</v>
      </c>
      <c r="J1378" s="1" t="str">
        <f ca="1">IFERROR(__xludf.DUMMYFUNCTION("split(I1378,"" "")"),"Valerie")</f>
        <v>Valerie</v>
      </c>
      <c r="K1378" s="1" t="str">
        <f ca="1">IFERROR(__xludf.DUMMYFUNCTION("""COMPUTED_VALUE"""),"Dominguez")</f>
        <v>Dominguez</v>
      </c>
      <c r="L1378" s="1"/>
      <c r="M1378" s="1" t="s">
        <v>29</v>
      </c>
      <c r="N1378" s="1" t="s">
        <v>30</v>
      </c>
      <c r="O1378" s="1" t="s">
        <v>3128</v>
      </c>
      <c r="P1378" s="1" t="str">
        <f t="shared" si="1302"/>
        <v>Pleasant Grove</v>
      </c>
      <c r="Q1378" s="1" t="s">
        <v>105</v>
      </c>
      <c r="R1378" s="1" t="str">
        <f t="shared" si="1303"/>
        <v>Utah</v>
      </c>
      <c r="S1378" s="1">
        <v>84062</v>
      </c>
      <c r="T1378" s="1" t="s">
        <v>44</v>
      </c>
      <c r="U1378" s="1" t="s">
        <v>3130</v>
      </c>
      <c r="V1378" s="1" t="s">
        <v>46</v>
      </c>
      <c r="W1378" s="7">
        <v>447.84</v>
      </c>
      <c r="X1378" s="1">
        <v>8</v>
      </c>
      <c r="Y1378" s="7">
        <v>447.4</v>
      </c>
      <c r="Z1378" s="7">
        <f t="shared" ref="Z1378:AA1378" si="1406">W1378*X1378</f>
        <v>3582.72</v>
      </c>
      <c r="AA1378" s="7">
        <f t="shared" si="1406"/>
        <v>3579.2</v>
      </c>
      <c r="AB1378" s="7">
        <f t="shared" si="1305"/>
        <v>3.5199999999999818</v>
      </c>
    </row>
    <row r="1379" spans="1:28">
      <c r="A1379" s="1">
        <v>1378</v>
      </c>
      <c r="B1379" s="1" t="s">
        <v>3127</v>
      </c>
      <c r="C1379" s="2">
        <v>42102</v>
      </c>
      <c r="D1379" s="6" t="str">
        <f t="shared" si="1300"/>
        <v>Apr</v>
      </c>
      <c r="E1379" s="6" t="str">
        <f t="shared" si="1301"/>
        <v>Qtr 2</v>
      </c>
      <c r="F1379" s="5">
        <v>42255</v>
      </c>
      <c r="G1379" s="1" t="s">
        <v>26</v>
      </c>
      <c r="H1379" s="1" t="s">
        <v>733</v>
      </c>
      <c r="I1379" s="1" t="s">
        <v>734</v>
      </c>
      <c r="J1379" s="1" t="str">
        <f ca="1">IFERROR(__xludf.DUMMYFUNCTION("split(I1379,"" "")"),"Valerie")</f>
        <v>Valerie</v>
      </c>
      <c r="K1379" s="1" t="str">
        <f ca="1">IFERROR(__xludf.DUMMYFUNCTION("""COMPUTED_VALUE"""),"Dominguez")</f>
        <v>Dominguez</v>
      </c>
      <c r="L1379" s="1"/>
      <c r="M1379" s="1" t="s">
        <v>29</v>
      </c>
      <c r="N1379" s="1" t="s">
        <v>30</v>
      </c>
      <c r="O1379" s="1" t="s">
        <v>3128</v>
      </c>
      <c r="P1379" s="1" t="str">
        <f t="shared" si="1302"/>
        <v>Pleasant Grove</v>
      </c>
      <c r="Q1379" s="1" t="s">
        <v>105</v>
      </c>
      <c r="R1379" s="1" t="str">
        <f t="shared" si="1303"/>
        <v>Utah</v>
      </c>
      <c r="S1379" s="1">
        <v>84062</v>
      </c>
      <c r="T1379" s="1" t="s">
        <v>44</v>
      </c>
      <c r="U1379" s="1" t="s">
        <v>3131</v>
      </c>
      <c r="V1379" s="1" t="s">
        <v>46</v>
      </c>
      <c r="W1379" s="7">
        <v>16.399999999999999</v>
      </c>
      <c r="X1379" s="1">
        <v>8</v>
      </c>
      <c r="Y1379" s="7">
        <v>15.73</v>
      </c>
      <c r="Z1379" s="7">
        <f t="shared" ref="Z1379:AA1379" si="1407">W1379*X1379</f>
        <v>131.19999999999999</v>
      </c>
      <c r="AA1379" s="7">
        <f t="shared" si="1407"/>
        <v>125.84</v>
      </c>
      <c r="AB1379" s="7">
        <f t="shared" si="1305"/>
        <v>5.3599999999999852</v>
      </c>
    </row>
    <row r="1380" spans="1:28">
      <c r="A1380" s="1">
        <v>1379</v>
      </c>
      <c r="B1380" s="1" t="s">
        <v>3127</v>
      </c>
      <c r="C1380" s="2">
        <v>42102</v>
      </c>
      <c r="D1380" s="6" t="str">
        <f t="shared" si="1300"/>
        <v>Apr</v>
      </c>
      <c r="E1380" s="6" t="str">
        <f t="shared" si="1301"/>
        <v>Qtr 2</v>
      </c>
      <c r="F1380" s="5">
        <v>42255</v>
      </c>
      <c r="G1380" s="1" t="s">
        <v>26</v>
      </c>
      <c r="H1380" s="1" t="s">
        <v>733</v>
      </c>
      <c r="I1380" s="1" t="s">
        <v>734</v>
      </c>
      <c r="J1380" s="1" t="str">
        <f ca="1">IFERROR(__xludf.DUMMYFUNCTION("split(I1380,"" "")"),"Valerie")</f>
        <v>Valerie</v>
      </c>
      <c r="K1380" s="1" t="str">
        <f ca="1">IFERROR(__xludf.DUMMYFUNCTION("""COMPUTED_VALUE"""),"Dominguez")</f>
        <v>Dominguez</v>
      </c>
      <c r="L1380" s="1"/>
      <c r="M1380" s="1" t="s">
        <v>29</v>
      </c>
      <c r="N1380" s="1" t="s">
        <v>30</v>
      </c>
      <c r="O1380" s="1" t="s">
        <v>3128</v>
      </c>
      <c r="P1380" s="1" t="str">
        <f t="shared" si="1302"/>
        <v>Pleasant Grove</v>
      </c>
      <c r="Q1380" s="1" t="s">
        <v>105</v>
      </c>
      <c r="R1380" s="1" t="str">
        <f t="shared" si="1303"/>
        <v>Utah</v>
      </c>
      <c r="S1380" s="1">
        <v>84062</v>
      </c>
      <c r="T1380" s="1" t="s">
        <v>44</v>
      </c>
      <c r="U1380" s="1" t="s">
        <v>3132</v>
      </c>
      <c r="V1380" s="1" t="s">
        <v>64</v>
      </c>
      <c r="W1380" s="7">
        <v>399.96</v>
      </c>
      <c r="X1380" s="1">
        <v>8</v>
      </c>
      <c r="Y1380" s="7">
        <v>399.87</v>
      </c>
      <c r="Z1380" s="7">
        <f t="shared" ref="Z1380:AA1380" si="1408">W1380*X1380</f>
        <v>3199.68</v>
      </c>
      <c r="AA1380" s="7">
        <f t="shared" si="1408"/>
        <v>3198.96</v>
      </c>
      <c r="AB1380" s="7">
        <f t="shared" si="1305"/>
        <v>0.71999999999979991</v>
      </c>
    </row>
    <row r="1381" spans="1:28">
      <c r="A1381" s="1">
        <v>1380</v>
      </c>
      <c r="B1381" s="1" t="s">
        <v>3127</v>
      </c>
      <c r="C1381" s="2">
        <v>42102</v>
      </c>
      <c r="D1381" s="6" t="str">
        <f t="shared" si="1300"/>
        <v>Apr</v>
      </c>
      <c r="E1381" s="6" t="str">
        <f t="shared" si="1301"/>
        <v>Qtr 2</v>
      </c>
      <c r="F1381" s="5">
        <v>42255</v>
      </c>
      <c r="G1381" s="1" t="s">
        <v>26</v>
      </c>
      <c r="H1381" s="1" t="s">
        <v>733</v>
      </c>
      <c r="I1381" s="1" t="s">
        <v>734</v>
      </c>
      <c r="J1381" s="1" t="str">
        <f ca="1">IFERROR(__xludf.DUMMYFUNCTION("split(I1381,"" "")"),"Valerie")</f>
        <v>Valerie</v>
      </c>
      <c r="K1381" s="1" t="str">
        <f ca="1">IFERROR(__xludf.DUMMYFUNCTION("""COMPUTED_VALUE"""),"Dominguez")</f>
        <v>Dominguez</v>
      </c>
      <c r="L1381" s="1"/>
      <c r="M1381" s="1" t="s">
        <v>29</v>
      </c>
      <c r="N1381" s="1" t="s">
        <v>30</v>
      </c>
      <c r="O1381" s="1" t="s">
        <v>3128</v>
      </c>
      <c r="P1381" s="1" t="str">
        <f t="shared" si="1302"/>
        <v>Pleasant Grove</v>
      </c>
      <c r="Q1381" s="1" t="s">
        <v>105</v>
      </c>
      <c r="R1381" s="1" t="str">
        <f t="shared" si="1303"/>
        <v>Utah</v>
      </c>
      <c r="S1381" s="1">
        <v>84062</v>
      </c>
      <c r="T1381" s="1" t="s">
        <v>44</v>
      </c>
      <c r="U1381" s="1" t="s">
        <v>3133</v>
      </c>
      <c r="V1381" s="1" t="s">
        <v>46</v>
      </c>
      <c r="W1381" s="7">
        <v>158.9</v>
      </c>
      <c r="X1381" s="1">
        <v>8</v>
      </c>
      <c r="Y1381" s="7">
        <v>158.16999999999999</v>
      </c>
      <c r="Z1381" s="7">
        <f t="shared" ref="Z1381:AA1381" si="1409">W1381*X1381</f>
        <v>1271.2</v>
      </c>
      <c r="AA1381" s="7">
        <f t="shared" si="1409"/>
        <v>1265.3599999999999</v>
      </c>
      <c r="AB1381" s="7">
        <f t="shared" si="1305"/>
        <v>5.8400000000001455</v>
      </c>
    </row>
    <row r="1382" spans="1:28">
      <c r="A1382" s="1">
        <v>1381</v>
      </c>
      <c r="B1382" s="1" t="s">
        <v>3127</v>
      </c>
      <c r="C1382" s="2">
        <v>42102</v>
      </c>
      <c r="D1382" s="6" t="str">
        <f t="shared" si="1300"/>
        <v>Apr</v>
      </c>
      <c r="E1382" s="6" t="str">
        <f t="shared" si="1301"/>
        <v>Qtr 2</v>
      </c>
      <c r="F1382" s="5">
        <v>42255</v>
      </c>
      <c r="G1382" s="1" t="s">
        <v>26</v>
      </c>
      <c r="H1382" s="1" t="s">
        <v>733</v>
      </c>
      <c r="I1382" s="1" t="s">
        <v>734</v>
      </c>
      <c r="J1382" s="1" t="str">
        <f ca="1">IFERROR(__xludf.DUMMYFUNCTION("split(I1382,"" "")"),"Valerie")</f>
        <v>Valerie</v>
      </c>
      <c r="K1382" s="1" t="str">
        <f ca="1">IFERROR(__xludf.DUMMYFUNCTION("""COMPUTED_VALUE"""),"Dominguez")</f>
        <v>Dominguez</v>
      </c>
      <c r="L1382" s="1"/>
      <c r="M1382" s="1" t="s">
        <v>29</v>
      </c>
      <c r="N1382" s="1" t="s">
        <v>30</v>
      </c>
      <c r="O1382" s="1" t="s">
        <v>3128</v>
      </c>
      <c r="P1382" s="1" t="str">
        <f t="shared" si="1302"/>
        <v>Pleasant Grove</v>
      </c>
      <c r="Q1382" s="1" t="s">
        <v>105</v>
      </c>
      <c r="R1382" s="1" t="str">
        <f t="shared" si="1303"/>
        <v>Utah</v>
      </c>
      <c r="S1382" s="1">
        <v>84062</v>
      </c>
      <c r="T1382" s="1" t="s">
        <v>44</v>
      </c>
      <c r="U1382" s="1" t="s">
        <v>350</v>
      </c>
      <c r="V1382" s="1" t="s">
        <v>46</v>
      </c>
      <c r="W1382" s="7">
        <v>13.183999999999999</v>
      </c>
      <c r="X1382" s="1">
        <v>8</v>
      </c>
      <c r="Y1382" s="7">
        <v>12.9</v>
      </c>
      <c r="Z1382" s="7">
        <f t="shared" ref="Z1382:AA1382" si="1410">W1382*X1382</f>
        <v>105.47199999999999</v>
      </c>
      <c r="AA1382" s="7">
        <f t="shared" si="1410"/>
        <v>103.2</v>
      </c>
      <c r="AB1382" s="7">
        <f t="shared" si="1305"/>
        <v>2.2719999999999914</v>
      </c>
    </row>
    <row r="1383" spans="1:28">
      <c r="A1383" s="1">
        <v>1382</v>
      </c>
      <c r="B1383" s="1" t="s">
        <v>3134</v>
      </c>
      <c r="C1383" s="2">
        <v>42803</v>
      </c>
      <c r="D1383" s="6" t="str">
        <f t="shared" si="1300"/>
        <v>Mar</v>
      </c>
      <c r="E1383" s="6" t="str">
        <f t="shared" si="1301"/>
        <v>Qtr 1</v>
      </c>
      <c r="F1383" s="5">
        <v>42987</v>
      </c>
      <c r="G1383" s="1" t="s">
        <v>49</v>
      </c>
      <c r="H1383" s="1" t="s">
        <v>3135</v>
      </c>
      <c r="I1383" s="1" t="s">
        <v>3136</v>
      </c>
      <c r="J1383" s="1" t="str">
        <f ca="1">IFERROR(__xludf.DUMMYFUNCTION("split(I1383,"" "")"),"Julie")</f>
        <v>Julie</v>
      </c>
      <c r="K1383" s="1" t="str">
        <f ca="1">IFERROR(__xludf.DUMMYFUNCTION("""COMPUTED_VALUE"""),"Kriz")</f>
        <v>Kriz</v>
      </c>
      <c r="L1383" s="1"/>
      <c r="M1383" s="1" t="s">
        <v>87</v>
      </c>
      <c r="N1383" s="1" t="s">
        <v>30</v>
      </c>
      <c r="O1383" s="1" t="s">
        <v>385</v>
      </c>
      <c r="P1383" s="1" t="str">
        <f t="shared" si="1302"/>
        <v>Aurora</v>
      </c>
      <c r="Q1383" s="1" t="s">
        <v>182</v>
      </c>
      <c r="R1383" s="1" t="str">
        <f t="shared" si="1303"/>
        <v>Illinois</v>
      </c>
      <c r="S1383" s="1">
        <v>60505</v>
      </c>
      <c r="T1383" s="1" t="s">
        <v>90</v>
      </c>
      <c r="U1383" s="1" t="s">
        <v>1847</v>
      </c>
      <c r="V1383" s="1" t="s">
        <v>35</v>
      </c>
      <c r="W1383" s="7">
        <v>83.951999999999998</v>
      </c>
      <c r="X1383" s="1">
        <v>6</v>
      </c>
      <c r="Y1383" s="7">
        <v>83.39</v>
      </c>
      <c r="Z1383" s="7">
        <f t="shared" ref="Z1383:AA1383" si="1411">W1383*X1383</f>
        <v>503.71199999999999</v>
      </c>
      <c r="AA1383" s="7">
        <f t="shared" si="1411"/>
        <v>500.34000000000003</v>
      </c>
      <c r="AB1383" s="7">
        <f t="shared" si="1305"/>
        <v>3.3719999999999573</v>
      </c>
    </row>
    <row r="1384" spans="1:28">
      <c r="A1384" s="1">
        <v>1383</v>
      </c>
      <c r="B1384" s="1" t="s">
        <v>3137</v>
      </c>
      <c r="C1384" s="2">
        <v>42857</v>
      </c>
      <c r="D1384" s="6" t="str">
        <f t="shared" si="1300"/>
        <v>May</v>
      </c>
      <c r="E1384" s="6" t="str">
        <f t="shared" si="1301"/>
        <v>Qtr 2</v>
      </c>
      <c r="F1384" s="5">
        <v>42857</v>
      </c>
      <c r="G1384" s="1" t="s">
        <v>1050</v>
      </c>
      <c r="H1384" s="1" t="s">
        <v>3138</v>
      </c>
      <c r="I1384" s="1" t="s">
        <v>3139</v>
      </c>
      <c r="J1384" s="1" t="str">
        <f ca="1">IFERROR(__xludf.DUMMYFUNCTION("split(I1384,"" "")"),"Paul")</f>
        <v>Paul</v>
      </c>
      <c r="K1384" s="1" t="str">
        <f ca="1">IFERROR(__xludf.DUMMYFUNCTION("""COMPUTED_VALUE"""),"Prost")</f>
        <v>Prost</v>
      </c>
      <c r="L1384" s="1"/>
      <c r="M1384" s="1" t="s">
        <v>87</v>
      </c>
      <c r="N1384" s="1" t="s">
        <v>30</v>
      </c>
      <c r="O1384" s="1" t="s">
        <v>3140</v>
      </c>
      <c r="P1384" s="1" t="str">
        <f t="shared" si="1302"/>
        <v>Smyrna</v>
      </c>
      <c r="Q1384" s="1" t="s">
        <v>1035</v>
      </c>
      <c r="R1384" s="1" t="str">
        <f t="shared" si="1303"/>
        <v>Georgia</v>
      </c>
      <c r="S1384" s="1">
        <v>30080</v>
      </c>
      <c r="T1384" s="1" t="s">
        <v>33</v>
      </c>
      <c r="U1384" s="1" t="s">
        <v>2806</v>
      </c>
      <c r="V1384" s="1" t="s">
        <v>46</v>
      </c>
      <c r="W1384" s="7">
        <v>80.98</v>
      </c>
      <c r="X1384" s="1">
        <v>3</v>
      </c>
      <c r="Y1384" s="7">
        <v>80.760000000000005</v>
      </c>
      <c r="Z1384" s="7">
        <f t="shared" ref="Z1384:AA1384" si="1412">W1384*X1384</f>
        <v>242.94</v>
      </c>
      <c r="AA1384" s="7">
        <f t="shared" si="1412"/>
        <v>242.28000000000003</v>
      </c>
      <c r="AB1384" s="7">
        <f t="shared" si="1305"/>
        <v>0.65999999999996817</v>
      </c>
    </row>
    <row r="1385" spans="1:28">
      <c r="A1385" s="1">
        <v>1384</v>
      </c>
      <c r="B1385" s="1" t="s">
        <v>3137</v>
      </c>
      <c r="C1385" s="2">
        <v>42857</v>
      </c>
      <c r="D1385" s="6" t="str">
        <f t="shared" si="1300"/>
        <v>May</v>
      </c>
      <c r="E1385" s="6" t="str">
        <f t="shared" si="1301"/>
        <v>Qtr 2</v>
      </c>
      <c r="F1385" s="5">
        <v>42857</v>
      </c>
      <c r="G1385" s="1" t="s">
        <v>1050</v>
      </c>
      <c r="H1385" s="1" t="s">
        <v>3138</v>
      </c>
      <c r="I1385" s="1" t="s">
        <v>3139</v>
      </c>
      <c r="J1385" s="1" t="str">
        <f ca="1">IFERROR(__xludf.DUMMYFUNCTION("split(I1385,"" "")"),"Paul")</f>
        <v>Paul</v>
      </c>
      <c r="K1385" s="1" t="str">
        <f ca="1">IFERROR(__xludf.DUMMYFUNCTION("""COMPUTED_VALUE"""),"Prost")</f>
        <v>Prost</v>
      </c>
      <c r="L1385" s="1"/>
      <c r="M1385" s="1" t="s">
        <v>87</v>
      </c>
      <c r="N1385" s="1" t="s">
        <v>30</v>
      </c>
      <c r="O1385" s="1" t="s">
        <v>3140</v>
      </c>
      <c r="P1385" s="1" t="str">
        <f t="shared" si="1302"/>
        <v>Smyrna</v>
      </c>
      <c r="Q1385" s="1" t="s">
        <v>1035</v>
      </c>
      <c r="R1385" s="1" t="str">
        <f t="shared" si="1303"/>
        <v>Georgia</v>
      </c>
      <c r="S1385" s="1">
        <v>30080</v>
      </c>
      <c r="T1385" s="1" t="s">
        <v>33</v>
      </c>
      <c r="U1385" s="1" t="s">
        <v>3141</v>
      </c>
      <c r="V1385" s="1" t="s">
        <v>46</v>
      </c>
      <c r="W1385" s="7">
        <v>348.84</v>
      </c>
      <c r="X1385" s="1">
        <v>3</v>
      </c>
      <c r="Y1385" s="7">
        <v>348.73</v>
      </c>
      <c r="Z1385" s="7">
        <f t="shared" ref="Z1385:AA1385" si="1413">W1385*X1385</f>
        <v>1046.52</v>
      </c>
      <c r="AA1385" s="7">
        <f t="shared" si="1413"/>
        <v>1046.19</v>
      </c>
      <c r="AB1385" s="7">
        <f t="shared" si="1305"/>
        <v>0.32999999999992724</v>
      </c>
    </row>
    <row r="1386" spans="1:28">
      <c r="A1386" s="1">
        <v>1385</v>
      </c>
      <c r="B1386" s="1" t="s">
        <v>3137</v>
      </c>
      <c r="C1386" s="2">
        <v>42857</v>
      </c>
      <c r="D1386" s="6" t="str">
        <f t="shared" si="1300"/>
        <v>May</v>
      </c>
      <c r="E1386" s="6" t="str">
        <f t="shared" si="1301"/>
        <v>Qtr 2</v>
      </c>
      <c r="F1386" s="5">
        <v>42857</v>
      </c>
      <c r="G1386" s="1" t="s">
        <v>1050</v>
      </c>
      <c r="H1386" s="1" t="s">
        <v>3138</v>
      </c>
      <c r="I1386" s="1" t="s">
        <v>3139</v>
      </c>
      <c r="J1386" s="1" t="str">
        <f ca="1">IFERROR(__xludf.DUMMYFUNCTION("split(I1386,"" "")"),"Paul")</f>
        <v>Paul</v>
      </c>
      <c r="K1386" s="1" t="str">
        <f ca="1">IFERROR(__xludf.DUMMYFUNCTION("""COMPUTED_VALUE"""),"Prost")</f>
        <v>Prost</v>
      </c>
      <c r="L1386" s="1"/>
      <c r="M1386" s="1" t="s">
        <v>87</v>
      </c>
      <c r="N1386" s="1" t="s">
        <v>30</v>
      </c>
      <c r="O1386" s="1" t="s">
        <v>3140</v>
      </c>
      <c r="P1386" s="1" t="str">
        <f t="shared" si="1302"/>
        <v>Smyrna</v>
      </c>
      <c r="Q1386" s="1" t="s">
        <v>1035</v>
      </c>
      <c r="R1386" s="1" t="str">
        <f t="shared" si="1303"/>
        <v>Georgia</v>
      </c>
      <c r="S1386" s="1">
        <v>30080</v>
      </c>
      <c r="T1386" s="1" t="s">
        <v>33</v>
      </c>
      <c r="U1386" s="1" t="s">
        <v>3142</v>
      </c>
      <c r="V1386" s="1" t="s">
        <v>46</v>
      </c>
      <c r="W1386" s="7">
        <v>9.4499999999999993</v>
      </c>
      <c r="X1386" s="1">
        <v>3</v>
      </c>
      <c r="Y1386" s="7">
        <v>9.1300000000000008</v>
      </c>
      <c r="Z1386" s="7">
        <f t="shared" ref="Z1386:AA1386" si="1414">W1386*X1386</f>
        <v>28.349999999999998</v>
      </c>
      <c r="AA1386" s="7">
        <f t="shared" si="1414"/>
        <v>27.39</v>
      </c>
      <c r="AB1386" s="7">
        <f t="shared" si="1305"/>
        <v>0.9599999999999973</v>
      </c>
    </row>
    <row r="1387" spans="1:28">
      <c r="A1387" s="1">
        <v>1386</v>
      </c>
      <c r="B1387" s="1" t="s">
        <v>3137</v>
      </c>
      <c r="C1387" s="2">
        <v>42857</v>
      </c>
      <c r="D1387" s="6" t="str">
        <f t="shared" si="1300"/>
        <v>May</v>
      </c>
      <c r="E1387" s="6" t="str">
        <f t="shared" si="1301"/>
        <v>Qtr 2</v>
      </c>
      <c r="F1387" s="5">
        <v>42857</v>
      </c>
      <c r="G1387" s="1" t="s">
        <v>1050</v>
      </c>
      <c r="H1387" s="1" t="s">
        <v>3138</v>
      </c>
      <c r="I1387" s="1" t="s">
        <v>3139</v>
      </c>
      <c r="J1387" s="1" t="str">
        <f ca="1">IFERROR(__xludf.DUMMYFUNCTION("split(I1387,"" "")"),"Paul")</f>
        <v>Paul</v>
      </c>
      <c r="K1387" s="1" t="str">
        <f ca="1">IFERROR(__xludf.DUMMYFUNCTION("""COMPUTED_VALUE"""),"Prost")</f>
        <v>Prost</v>
      </c>
      <c r="L1387" s="1"/>
      <c r="M1387" s="1" t="s">
        <v>87</v>
      </c>
      <c r="N1387" s="1" t="s">
        <v>30</v>
      </c>
      <c r="O1387" s="1" t="s">
        <v>3140</v>
      </c>
      <c r="P1387" s="1" t="str">
        <f t="shared" si="1302"/>
        <v>Smyrna</v>
      </c>
      <c r="Q1387" s="1" t="s">
        <v>1035</v>
      </c>
      <c r="R1387" s="1" t="str">
        <f t="shared" si="1303"/>
        <v>Georgia</v>
      </c>
      <c r="S1387" s="1">
        <v>30080</v>
      </c>
      <c r="T1387" s="1" t="s">
        <v>33</v>
      </c>
      <c r="U1387" s="1" t="s">
        <v>885</v>
      </c>
      <c r="V1387" s="1" t="s">
        <v>35</v>
      </c>
      <c r="W1387" s="7">
        <v>18.84</v>
      </c>
      <c r="X1387" s="1">
        <v>3</v>
      </c>
      <c r="Y1387" s="7">
        <v>18.47</v>
      </c>
      <c r="Z1387" s="7">
        <f t="shared" ref="Z1387:AA1387" si="1415">W1387*X1387</f>
        <v>56.519999999999996</v>
      </c>
      <c r="AA1387" s="7">
        <f t="shared" si="1415"/>
        <v>55.41</v>
      </c>
      <c r="AB1387" s="7">
        <f t="shared" si="1305"/>
        <v>1.1099999999999994</v>
      </c>
    </row>
    <row r="1388" spans="1:28">
      <c r="A1388" s="1">
        <v>1387</v>
      </c>
      <c r="B1388" s="1" t="s">
        <v>3137</v>
      </c>
      <c r="C1388" s="2">
        <v>42857</v>
      </c>
      <c r="D1388" s="6" t="str">
        <f t="shared" si="1300"/>
        <v>May</v>
      </c>
      <c r="E1388" s="6" t="str">
        <f t="shared" si="1301"/>
        <v>Qtr 2</v>
      </c>
      <c r="F1388" s="5">
        <v>42857</v>
      </c>
      <c r="G1388" s="1" t="s">
        <v>1050</v>
      </c>
      <c r="H1388" s="1" t="s">
        <v>3138</v>
      </c>
      <c r="I1388" s="1" t="s">
        <v>3139</v>
      </c>
      <c r="J1388" s="1" t="str">
        <f ca="1">IFERROR(__xludf.DUMMYFUNCTION("split(I1388,"" "")"),"Paul")</f>
        <v>Paul</v>
      </c>
      <c r="K1388" s="1" t="str">
        <f ca="1">IFERROR(__xludf.DUMMYFUNCTION("""COMPUTED_VALUE"""),"Prost")</f>
        <v>Prost</v>
      </c>
      <c r="L1388" s="1"/>
      <c r="M1388" s="1" t="s">
        <v>87</v>
      </c>
      <c r="N1388" s="1" t="s">
        <v>30</v>
      </c>
      <c r="O1388" s="1" t="s">
        <v>3140</v>
      </c>
      <c r="P1388" s="1" t="str">
        <f t="shared" si="1302"/>
        <v>Smyrna</v>
      </c>
      <c r="Q1388" s="1" t="s">
        <v>1035</v>
      </c>
      <c r="R1388" s="1" t="str">
        <f t="shared" si="1303"/>
        <v>Georgia</v>
      </c>
      <c r="S1388" s="1">
        <v>30080</v>
      </c>
      <c r="T1388" s="1" t="s">
        <v>33</v>
      </c>
      <c r="U1388" s="1" t="s">
        <v>1823</v>
      </c>
      <c r="V1388" s="1" t="s">
        <v>35</v>
      </c>
      <c r="W1388" s="7">
        <v>239.98</v>
      </c>
      <c r="X1388" s="1">
        <v>3</v>
      </c>
      <c r="Y1388" s="7">
        <v>239.85</v>
      </c>
      <c r="Z1388" s="7">
        <f t="shared" ref="Z1388:AA1388" si="1416">W1388*X1388</f>
        <v>719.93999999999994</v>
      </c>
      <c r="AA1388" s="7">
        <f t="shared" si="1416"/>
        <v>719.55</v>
      </c>
      <c r="AB1388" s="7">
        <f t="shared" si="1305"/>
        <v>0.38999999999998636</v>
      </c>
    </row>
    <row r="1389" spans="1:28">
      <c r="A1389" s="1">
        <v>1388</v>
      </c>
      <c r="B1389" s="1" t="s">
        <v>3137</v>
      </c>
      <c r="C1389" s="2">
        <v>42857</v>
      </c>
      <c r="D1389" s="6" t="str">
        <f t="shared" si="1300"/>
        <v>May</v>
      </c>
      <c r="E1389" s="6" t="str">
        <f t="shared" si="1301"/>
        <v>Qtr 2</v>
      </c>
      <c r="F1389" s="5">
        <v>42857</v>
      </c>
      <c r="G1389" s="1" t="s">
        <v>1050</v>
      </c>
      <c r="H1389" s="1" t="s">
        <v>3138</v>
      </c>
      <c r="I1389" s="1" t="s">
        <v>3139</v>
      </c>
      <c r="J1389" s="1" t="str">
        <f ca="1">IFERROR(__xludf.DUMMYFUNCTION("split(I1389,"" "")"),"Paul")</f>
        <v>Paul</v>
      </c>
      <c r="K1389" s="1" t="str">
        <f ca="1">IFERROR(__xludf.DUMMYFUNCTION("""COMPUTED_VALUE"""),"Prost")</f>
        <v>Prost</v>
      </c>
      <c r="L1389" s="1"/>
      <c r="M1389" s="1" t="s">
        <v>87</v>
      </c>
      <c r="N1389" s="1" t="s">
        <v>30</v>
      </c>
      <c r="O1389" s="1" t="s">
        <v>3140</v>
      </c>
      <c r="P1389" s="1" t="str">
        <f t="shared" si="1302"/>
        <v>Smyrna</v>
      </c>
      <c r="Q1389" s="1" t="s">
        <v>1035</v>
      </c>
      <c r="R1389" s="1" t="str">
        <f t="shared" si="1303"/>
        <v>Georgia</v>
      </c>
      <c r="S1389" s="1">
        <v>30080</v>
      </c>
      <c r="T1389" s="1" t="s">
        <v>33</v>
      </c>
      <c r="U1389" s="1" t="s">
        <v>3143</v>
      </c>
      <c r="V1389" s="1" t="s">
        <v>46</v>
      </c>
      <c r="W1389" s="7">
        <v>167.96</v>
      </c>
      <c r="X1389" s="1">
        <v>3</v>
      </c>
      <c r="Y1389" s="7">
        <v>167.15</v>
      </c>
      <c r="Z1389" s="7">
        <f t="shared" ref="Z1389:AA1389" si="1417">W1389*X1389</f>
        <v>503.88</v>
      </c>
      <c r="AA1389" s="7">
        <f t="shared" si="1417"/>
        <v>501.45000000000005</v>
      </c>
      <c r="AB1389" s="7">
        <f t="shared" si="1305"/>
        <v>2.42999999999995</v>
      </c>
    </row>
    <row r="1390" spans="1:28">
      <c r="A1390" s="1">
        <v>1389</v>
      </c>
      <c r="B1390" s="1" t="s">
        <v>3137</v>
      </c>
      <c r="C1390" s="2">
        <v>42857</v>
      </c>
      <c r="D1390" s="6" t="str">
        <f t="shared" si="1300"/>
        <v>May</v>
      </c>
      <c r="E1390" s="6" t="str">
        <f t="shared" si="1301"/>
        <v>Qtr 2</v>
      </c>
      <c r="F1390" s="5">
        <v>42857</v>
      </c>
      <c r="G1390" s="1" t="s">
        <v>1050</v>
      </c>
      <c r="H1390" s="1" t="s">
        <v>3138</v>
      </c>
      <c r="I1390" s="1" t="s">
        <v>3139</v>
      </c>
      <c r="J1390" s="1" t="str">
        <f ca="1">IFERROR(__xludf.DUMMYFUNCTION("split(I1390,"" "")"),"Paul")</f>
        <v>Paul</v>
      </c>
      <c r="K1390" s="1" t="str">
        <f ca="1">IFERROR(__xludf.DUMMYFUNCTION("""COMPUTED_VALUE"""),"Prost")</f>
        <v>Prost</v>
      </c>
      <c r="L1390" s="1"/>
      <c r="M1390" s="1" t="s">
        <v>87</v>
      </c>
      <c r="N1390" s="1" t="s">
        <v>30</v>
      </c>
      <c r="O1390" s="1" t="s">
        <v>3140</v>
      </c>
      <c r="P1390" s="1" t="str">
        <f t="shared" si="1302"/>
        <v>Smyrna</v>
      </c>
      <c r="Q1390" s="1" t="s">
        <v>1035</v>
      </c>
      <c r="R1390" s="1" t="str">
        <f t="shared" si="1303"/>
        <v>Georgia</v>
      </c>
      <c r="S1390" s="1">
        <v>30080</v>
      </c>
      <c r="T1390" s="1" t="s">
        <v>33</v>
      </c>
      <c r="U1390" s="1" t="s">
        <v>511</v>
      </c>
      <c r="V1390" s="1" t="s">
        <v>64</v>
      </c>
      <c r="W1390" s="7">
        <v>104.85</v>
      </c>
      <c r="X1390" s="1">
        <v>3</v>
      </c>
      <c r="Y1390" s="7">
        <v>104.15</v>
      </c>
      <c r="Z1390" s="7">
        <f t="shared" ref="Z1390:AA1390" si="1418">W1390*X1390</f>
        <v>314.54999999999995</v>
      </c>
      <c r="AA1390" s="7">
        <f t="shared" si="1418"/>
        <v>312.45000000000005</v>
      </c>
      <c r="AB1390" s="7">
        <f t="shared" si="1305"/>
        <v>2.0999999999999091</v>
      </c>
    </row>
    <row r="1391" spans="1:28">
      <c r="A1391" s="1">
        <v>1390</v>
      </c>
      <c r="B1391" s="1" t="s">
        <v>3137</v>
      </c>
      <c r="C1391" s="2">
        <v>42857</v>
      </c>
      <c r="D1391" s="6" t="str">
        <f t="shared" si="1300"/>
        <v>May</v>
      </c>
      <c r="E1391" s="6" t="str">
        <f t="shared" si="1301"/>
        <v>Qtr 2</v>
      </c>
      <c r="F1391" s="5">
        <v>42857</v>
      </c>
      <c r="G1391" s="1" t="s">
        <v>1050</v>
      </c>
      <c r="H1391" s="1" t="s">
        <v>3138</v>
      </c>
      <c r="I1391" s="1" t="s">
        <v>3139</v>
      </c>
      <c r="J1391" s="1" t="str">
        <f ca="1">IFERROR(__xludf.DUMMYFUNCTION("split(I1391,"" "")"),"Paul")</f>
        <v>Paul</v>
      </c>
      <c r="K1391" s="1" t="str">
        <f ca="1">IFERROR(__xludf.DUMMYFUNCTION("""COMPUTED_VALUE"""),"Prost")</f>
        <v>Prost</v>
      </c>
      <c r="L1391" s="1"/>
      <c r="M1391" s="1" t="s">
        <v>87</v>
      </c>
      <c r="N1391" s="1" t="s">
        <v>30</v>
      </c>
      <c r="O1391" s="1" t="s">
        <v>3140</v>
      </c>
      <c r="P1391" s="1" t="str">
        <f t="shared" si="1302"/>
        <v>Smyrna</v>
      </c>
      <c r="Q1391" s="1" t="s">
        <v>1035</v>
      </c>
      <c r="R1391" s="1" t="str">
        <f t="shared" si="1303"/>
        <v>Georgia</v>
      </c>
      <c r="S1391" s="1">
        <v>30080</v>
      </c>
      <c r="T1391" s="1" t="s">
        <v>33</v>
      </c>
      <c r="U1391" s="1" t="s">
        <v>971</v>
      </c>
      <c r="V1391" s="1" t="s">
        <v>64</v>
      </c>
      <c r="W1391" s="7">
        <v>484.83</v>
      </c>
      <c r="X1391" s="1">
        <v>3</v>
      </c>
      <c r="Y1391" s="7">
        <v>484.55</v>
      </c>
      <c r="Z1391" s="7">
        <f t="shared" ref="Z1391:AA1391" si="1419">W1391*X1391</f>
        <v>1454.49</v>
      </c>
      <c r="AA1391" s="7">
        <f t="shared" si="1419"/>
        <v>1453.65</v>
      </c>
      <c r="AB1391" s="7">
        <f t="shared" si="1305"/>
        <v>0.83999999999991815</v>
      </c>
    </row>
    <row r="1392" spans="1:28">
      <c r="A1392" s="1">
        <v>1391</v>
      </c>
      <c r="B1392" s="1" t="s">
        <v>3137</v>
      </c>
      <c r="C1392" s="2">
        <v>42857</v>
      </c>
      <c r="D1392" s="6" t="str">
        <f t="shared" si="1300"/>
        <v>May</v>
      </c>
      <c r="E1392" s="6" t="str">
        <f t="shared" si="1301"/>
        <v>Qtr 2</v>
      </c>
      <c r="F1392" s="5">
        <v>42857</v>
      </c>
      <c r="G1392" s="1" t="s">
        <v>1050</v>
      </c>
      <c r="H1392" s="1" t="s">
        <v>3138</v>
      </c>
      <c r="I1392" s="1" t="s">
        <v>3139</v>
      </c>
      <c r="J1392" s="1" t="str">
        <f ca="1">IFERROR(__xludf.DUMMYFUNCTION("split(I1392,"" "")"),"Paul")</f>
        <v>Paul</v>
      </c>
      <c r="K1392" s="1" t="str">
        <f ca="1">IFERROR(__xludf.DUMMYFUNCTION("""COMPUTED_VALUE"""),"Prost")</f>
        <v>Prost</v>
      </c>
      <c r="L1392" s="1"/>
      <c r="M1392" s="1" t="s">
        <v>87</v>
      </c>
      <c r="N1392" s="1" t="s">
        <v>30</v>
      </c>
      <c r="O1392" s="1" t="s">
        <v>3140</v>
      </c>
      <c r="P1392" s="1" t="str">
        <f t="shared" si="1302"/>
        <v>Smyrna</v>
      </c>
      <c r="Q1392" s="1" t="s">
        <v>1035</v>
      </c>
      <c r="R1392" s="1" t="str">
        <f t="shared" si="1303"/>
        <v>Georgia</v>
      </c>
      <c r="S1392" s="1">
        <v>30080</v>
      </c>
      <c r="T1392" s="1" t="s">
        <v>33</v>
      </c>
      <c r="U1392" s="1" t="s">
        <v>1404</v>
      </c>
      <c r="V1392" s="1" t="s">
        <v>46</v>
      </c>
      <c r="W1392" s="7">
        <v>122.97</v>
      </c>
      <c r="X1392" s="1">
        <v>3</v>
      </c>
      <c r="Y1392" s="7">
        <v>122.82</v>
      </c>
      <c r="Z1392" s="7">
        <f t="shared" ref="Z1392:AA1392" si="1420">W1392*X1392</f>
        <v>368.90999999999997</v>
      </c>
      <c r="AA1392" s="7">
        <f t="shared" si="1420"/>
        <v>368.46</v>
      </c>
      <c r="AB1392" s="7">
        <f t="shared" si="1305"/>
        <v>0.44999999999998863</v>
      </c>
    </row>
    <row r="1393" spans="1:28">
      <c r="A1393" s="1">
        <v>1392</v>
      </c>
      <c r="B1393" s="1" t="s">
        <v>3137</v>
      </c>
      <c r="C1393" s="2">
        <v>42857</v>
      </c>
      <c r="D1393" s="6" t="str">
        <f t="shared" si="1300"/>
        <v>May</v>
      </c>
      <c r="E1393" s="6" t="str">
        <f t="shared" si="1301"/>
        <v>Qtr 2</v>
      </c>
      <c r="F1393" s="5">
        <v>42857</v>
      </c>
      <c r="G1393" s="1" t="s">
        <v>1050</v>
      </c>
      <c r="H1393" s="1" t="s">
        <v>3138</v>
      </c>
      <c r="I1393" s="1" t="s">
        <v>3139</v>
      </c>
      <c r="J1393" s="1" t="str">
        <f ca="1">IFERROR(__xludf.DUMMYFUNCTION("split(I1393,"" "")"),"Paul")</f>
        <v>Paul</v>
      </c>
      <c r="K1393" s="1" t="str">
        <f ca="1">IFERROR(__xludf.DUMMYFUNCTION("""COMPUTED_VALUE"""),"Prost")</f>
        <v>Prost</v>
      </c>
      <c r="L1393" s="1"/>
      <c r="M1393" s="1" t="s">
        <v>87</v>
      </c>
      <c r="N1393" s="1" t="s">
        <v>30</v>
      </c>
      <c r="O1393" s="1" t="s">
        <v>3140</v>
      </c>
      <c r="P1393" s="1" t="str">
        <f t="shared" si="1302"/>
        <v>Smyrna</v>
      </c>
      <c r="Q1393" s="1" t="s">
        <v>1035</v>
      </c>
      <c r="R1393" s="1" t="str">
        <f t="shared" si="1303"/>
        <v>Georgia</v>
      </c>
      <c r="S1393" s="1">
        <v>30080</v>
      </c>
      <c r="T1393" s="1" t="s">
        <v>33</v>
      </c>
      <c r="U1393" s="1" t="s">
        <v>788</v>
      </c>
      <c r="V1393" s="1" t="s">
        <v>46</v>
      </c>
      <c r="W1393" s="7">
        <v>154.44</v>
      </c>
      <c r="X1393" s="1">
        <v>3</v>
      </c>
      <c r="Y1393" s="7">
        <v>154.18</v>
      </c>
      <c r="Z1393" s="7">
        <f t="shared" ref="Z1393:AA1393" si="1421">W1393*X1393</f>
        <v>463.32</v>
      </c>
      <c r="AA1393" s="7">
        <f t="shared" si="1421"/>
        <v>462.54</v>
      </c>
      <c r="AB1393" s="7">
        <f t="shared" si="1305"/>
        <v>0.77999999999997272</v>
      </c>
    </row>
    <row r="1394" spans="1:28">
      <c r="A1394" s="1">
        <v>1393</v>
      </c>
      <c r="B1394" s="1" t="s">
        <v>3137</v>
      </c>
      <c r="C1394" s="2">
        <v>42857</v>
      </c>
      <c r="D1394" s="6" t="str">
        <f t="shared" si="1300"/>
        <v>May</v>
      </c>
      <c r="E1394" s="6" t="str">
        <f t="shared" si="1301"/>
        <v>Qtr 2</v>
      </c>
      <c r="F1394" s="5">
        <v>42857</v>
      </c>
      <c r="G1394" s="1" t="s">
        <v>1050</v>
      </c>
      <c r="H1394" s="1" t="s">
        <v>3138</v>
      </c>
      <c r="I1394" s="1" t="s">
        <v>3139</v>
      </c>
      <c r="J1394" s="1" t="str">
        <f ca="1">IFERROR(__xludf.DUMMYFUNCTION("split(I1394,"" "")"),"Paul")</f>
        <v>Paul</v>
      </c>
      <c r="K1394" s="1" t="str">
        <f ca="1">IFERROR(__xludf.DUMMYFUNCTION("""COMPUTED_VALUE"""),"Prost")</f>
        <v>Prost</v>
      </c>
      <c r="L1394" s="1"/>
      <c r="M1394" s="1" t="s">
        <v>87</v>
      </c>
      <c r="N1394" s="1" t="s">
        <v>30</v>
      </c>
      <c r="O1394" s="1" t="s">
        <v>3140</v>
      </c>
      <c r="P1394" s="1" t="str">
        <f t="shared" si="1302"/>
        <v>Smyrna</v>
      </c>
      <c r="Q1394" s="1" t="s">
        <v>1035</v>
      </c>
      <c r="R1394" s="1" t="str">
        <f t="shared" si="1303"/>
        <v>Georgia</v>
      </c>
      <c r="S1394" s="1">
        <v>30080</v>
      </c>
      <c r="T1394" s="1" t="s">
        <v>33</v>
      </c>
      <c r="U1394" s="1" t="s">
        <v>254</v>
      </c>
      <c r="V1394" s="1" t="s">
        <v>46</v>
      </c>
      <c r="W1394" s="7">
        <v>342.37</v>
      </c>
      <c r="X1394" s="1">
        <v>3</v>
      </c>
      <c r="Y1394" s="7">
        <v>342.3</v>
      </c>
      <c r="Z1394" s="7">
        <f t="shared" ref="Z1394:AA1394" si="1422">W1394*X1394</f>
        <v>1027.1100000000001</v>
      </c>
      <c r="AA1394" s="7">
        <f t="shared" si="1422"/>
        <v>1026.9000000000001</v>
      </c>
      <c r="AB1394" s="7">
        <f t="shared" si="1305"/>
        <v>0.21000000000003638</v>
      </c>
    </row>
    <row r="1395" spans="1:28">
      <c r="A1395" s="1">
        <v>1394</v>
      </c>
      <c r="B1395" s="1" t="s">
        <v>3144</v>
      </c>
      <c r="C1395" s="2">
        <v>43166</v>
      </c>
      <c r="D1395" s="6" t="str">
        <f t="shared" si="1300"/>
        <v>Mar</v>
      </c>
      <c r="E1395" s="6" t="str">
        <f t="shared" si="1301"/>
        <v>Qtr 1</v>
      </c>
      <c r="F1395" s="5">
        <v>43197</v>
      </c>
      <c r="G1395" s="1" t="s">
        <v>162</v>
      </c>
      <c r="H1395" s="1" t="s">
        <v>3145</v>
      </c>
      <c r="I1395" s="1" t="s">
        <v>3146</v>
      </c>
      <c r="J1395" s="1" t="str">
        <f ca="1">IFERROR(__xludf.DUMMYFUNCTION("split(I1395,"" "")"),"Yana")</f>
        <v>Yana</v>
      </c>
      <c r="K1395" s="1" t="str">
        <f ca="1">IFERROR(__xludf.DUMMYFUNCTION("""COMPUTED_VALUE"""),"Sorensen")</f>
        <v>Sorensen</v>
      </c>
      <c r="L1395" s="1"/>
      <c r="M1395" s="1" t="s">
        <v>41</v>
      </c>
      <c r="N1395" s="1" t="s">
        <v>30</v>
      </c>
      <c r="O1395" s="1" t="s">
        <v>1814</v>
      </c>
      <c r="P1395" s="1" t="str">
        <f t="shared" si="1302"/>
        <v>Burlington</v>
      </c>
      <c r="Q1395" s="1" t="s">
        <v>75</v>
      </c>
      <c r="R1395" s="1" t="str">
        <f t="shared" si="1303"/>
        <v>North Carolina</v>
      </c>
      <c r="S1395" s="1">
        <v>27217</v>
      </c>
      <c r="T1395" s="1" t="s">
        <v>33</v>
      </c>
      <c r="U1395" s="1" t="s">
        <v>636</v>
      </c>
      <c r="V1395" s="1" t="s">
        <v>46</v>
      </c>
      <c r="W1395" s="7">
        <v>9.5519999999999996</v>
      </c>
      <c r="X1395" s="1">
        <v>2</v>
      </c>
      <c r="Y1395" s="7">
        <v>8.6199999999999992</v>
      </c>
      <c r="Z1395" s="7">
        <f t="shared" ref="Z1395:AA1395" si="1423">W1395*X1395</f>
        <v>19.103999999999999</v>
      </c>
      <c r="AA1395" s="7">
        <f t="shared" si="1423"/>
        <v>17.239999999999998</v>
      </c>
      <c r="AB1395" s="7">
        <f t="shared" si="1305"/>
        <v>1.8640000000000008</v>
      </c>
    </row>
    <row r="1396" spans="1:28">
      <c r="A1396" s="1">
        <v>1395</v>
      </c>
      <c r="B1396" s="1" t="s">
        <v>3147</v>
      </c>
      <c r="C1396" s="2">
        <v>43353</v>
      </c>
      <c r="D1396" s="6" t="str">
        <f t="shared" si="1300"/>
        <v>Sep</v>
      </c>
      <c r="E1396" s="6" t="str">
        <f t="shared" si="1301"/>
        <v>Qtr 3</v>
      </c>
      <c r="F1396" s="5" t="s">
        <v>3148</v>
      </c>
      <c r="G1396" s="1" t="s">
        <v>49</v>
      </c>
      <c r="H1396" s="1" t="s">
        <v>2157</v>
      </c>
      <c r="I1396" s="1" t="s">
        <v>2158</v>
      </c>
      <c r="J1396" s="1" t="str">
        <f ca="1">IFERROR(__xludf.DUMMYFUNCTION("split(I1396,"" "")"),"Cyma")</f>
        <v>Cyma</v>
      </c>
      <c r="K1396" s="1" t="str">
        <f ca="1">IFERROR(__xludf.DUMMYFUNCTION("""COMPUTED_VALUE"""),"Kinney")</f>
        <v>Kinney</v>
      </c>
      <c r="L1396" s="1"/>
      <c r="M1396" s="1" t="s">
        <v>41</v>
      </c>
      <c r="N1396" s="1" t="s">
        <v>30</v>
      </c>
      <c r="O1396" s="1" t="s">
        <v>385</v>
      </c>
      <c r="P1396" s="1" t="str">
        <f t="shared" si="1302"/>
        <v>Aurora</v>
      </c>
      <c r="Q1396" s="1" t="s">
        <v>182</v>
      </c>
      <c r="R1396" s="1" t="str">
        <f t="shared" si="1303"/>
        <v>Illinois</v>
      </c>
      <c r="S1396" s="1">
        <v>60505</v>
      </c>
      <c r="T1396" s="1" t="s">
        <v>90</v>
      </c>
      <c r="U1396" s="1" t="s">
        <v>3149</v>
      </c>
      <c r="V1396" s="1" t="s">
        <v>35</v>
      </c>
      <c r="W1396" s="7">
        <v>652.45000000000005</v>
      </c>
      <c r="X1396" s="1">
        <v>6</v>
      </c>
      <c r="Y1396" s="7">
        <v>651.80999999999995</v>
      </c>
      <c r="Z1396" s="7">
        <f t="shared" ref="Z1396:AA1396" si="1424">W1396*X1396</f>
        <v>3914.7000000000003</v>
      </c>
      <c r="AA1396" s="7">
        <f t="shared" si="1424"/>
        <v>3910.8599999999997</v>
      </c>
      <c r="AB1396" s="7">
        <f t="shared" si="1305"/>
        <v>3.8400000000006003</v>
      </c>
    </row>
    <row r="1397" spans="1:28">
      <c r="A1397" s="1">
        <v>1396</v>
      </c>
      <c r="B1397" s="1" t="s">
        <v>3147</v>
      </c>
      <c r="C1397" s="2">
        <v>43353</v>
      </c>
      <c r="D1397" s="6" t="str">
        <f t="shared" si="1300"/>
        <v>Sep</v>
      </c>
      <c r="E1397" s="6" t="str">
        <f t="shared" si="1301"/>
        <v>Qtr 3</v>
      </c>
      <c r="F1397" s="5" t="s">
        <v>3148</v>
      </c>
      <c r="G1397" s="1" t="s">
        <v>49</v>
      </c>
      <c r="H1397" s="1" t="s">
        <v>2157</v>
      </c>
      <c r="I1397" s="1" t="s">
        <v>2158</v>
      </c>
      <c r="J1397" s="1" t="str">
        <f ca="1">IFERROR(__xludf.DUMMYFUNCTION("split(I1397,"" "")"),"Cyma")</f>
        <v>Cyma</v>
      </c>
      <c r="K1397" s="1" t="str">
        <f ca="1">IFERROR(__xludf.DUMMYFUNCTION("""COMPUTED_VALUE"""),"Kinney")</f>
        <v>Kinney</v>
      </c>
      <c r="L1397" s="1"/>
      <c r="M1397" s="1" t="s">
        <v>41</v>
      </c>
      <c r="N1397" s="1" t="s">
        <v>30</v>
      </c>
      <c r="O1397" s="1" t="s">
        <v>385</v>
      </c>
      <c r="P1397" s="1" t="str">
        <f t="shared" si="1302"/>
        <v>Aurora</v>
      </c>
      <c r="Q1397" s="1" t="s">
        <v>182</v>
      </c>
      <c r="R1397" s="1" t="str">
        <f t="shared" si="1303"/>
        <v>Illinois</v>
      </c>
      <c r="S1397" s="1">
        <v>60505</v>
      </c>
      <c r="T1397" s="1" t="s">
        <v>90</v>
      </c>
      <c r="U1397" s="1" t="s">
        <v>3150</v>
      </c>
      <c r="V1397" s="1" t="s">
        <v>35</v>
      </c>
      <c r="W1397" s="7">
        <v>66.644999999999996</v>
      </c>
      <c r="X1397" s="1">
        <v>6</v>
      </c>
      <c r="Y1397" s="7">
        <v>66.17</v>
      </c>
      <c r="Z1397" s="7">
        <f t="shared" ref="Z1397:AA1397" si="1425">W1397*X1397</f>
        <v>399.87</v>
      </c>
      <c r="AA1397" s="7">
        <f t="shared" si="1425"/>
        <v>397.02</v>
      </c>
      <c r="AB1397" s="7">
        <f t="shared" si="1305"/>
        <v>2.8500000000000227</v>
      </c>
    </row>
    <row r="1398" spans="1:28">
      <c r="A1398" s="1">
        <v>1397</v>
      </c>
      <c r="B1398" s="1" t="s">
        <v>3151</v>
      </c>
      <c r="C1398" s="2">
        <v>43063</v>
      </c>
      <c r="D1398" s="6" t="str">
        <f t="shared" si="1300"/>
        <v>Nov</v>
      </c>
      <c r="E1398" s="6" t="str">
        <f t="shared" si="1301"/>
        <v>Qtr 4</v>
      </c>
      <c r="F1398" s="5" t="s">
        <v>2960</v>
      </c>
      <c r="G1398" s="1" t="s">
        <v>162</v>
      </c>
      <c r="H1398" s="1" t="s">
        <v>2730</v>
      </c>
      <c r="I1398" s="1" t="s">
        <v>2731</v>
      </c>
      <c r="J1398" s="1" t="str">
        <f ca="1">IFERROR(__xludf.DUMMYFUNCTION("split(I1398,"" "")"),"Nat")</f>
        <v>Nat</v>
      </c>
      <c r="K1398" s="1" t="str">
        <f ca="1">IFERROR(__xludf.DUMMYFUNCTION("""COMPUTED_VALUE"""),"Carroll")</f>
        <v>Carroll</v>
      </c>
      <c r="L1398" s="1"/>
      <c r="M1398" s="1" t="s">
        <v>29</v>
      </c>
      <c r="N1398" s="1" t="s">
        <v>30</v>
      </c>
      <c r="O1398" s="1" t="s">
        <v>233</v>
      </c>
      <c r="P1398" s="1" t="str">
        <f t="shared" si="1302"/>
        <v>New York City</v>
      </c>
      <c r="Q1398" s="1" t="s">
        <v>234</v>
      </c>
      <c r="R1398" s="1" t="str">
        <f t="shared" si="1303"/>
        <v>New York</v>
      </c>
      <c r="S1398" s="1">
        <v>10035</v>
      </c>
      <c r="T1398" s="1" t="s">
        <v>128</v>
      </c>
      <c r="U1398" s="1" t="s">
        <v>3152</v>
      </c>
      <c r="V1398" s="1" t="s">
        <v>46</v>
      </c>
      <c r="W1398" s="7">
        <v>17.216000000000001</v>
      </c>
      <c r="X1398" s="1">
        <v>1</v>
      </c>
      <c r="Y1398" s="7">
        <v>17.02</v>
      </c>
      <c r="Z1398" s="7">
        <f t="shared" ref="Z1398:AA1398" si="1426">W1398*X1398</f>
        <v>17.216000000000001</v>
      </c>
      <c r="AA1398" s="7">
        <f t="shared" si="1426"/>
        <v>17.02</v>
      </c>
      <c r="AB1398" s="7">
        <f t="shared" si="1305"/>
        <v>0.19600000000000151</v>
      </c>
    </row>
    <row r="1399" spans="1:28">
      <c r="A1399" s="1">
        <v>1398</v>
      </c>
      <c r="B1399" s="1" t="s">
        <v>3151</v>
      </c>
      <c r="C1399" s="2">
        <v>43063</v>
      </c>
      <c r="D1399" s="6" t="str">
        <f t="shared" si="1300"/>
        <v>Nov</v>
      </c>
      <c r="E1399" s="6" t="str">
        <f t="shared" si="1301"/>
        <v>Qtr 4</v>
      </c>
      <c r="F1399" s="5" t="s">
        <v>2960</v>
      </c>
      <c r="G1399" s="1" t="s">
        <v>162</v>
      </c>
      <c r="H1399" s="1" t="s">
        <v>2730</v>
      </c>
      <c r="I1399" s="1" t="s">
        <v>2731</v>
      </c>
      <c r="J1399" s="1" t="str">
        <f ca="1">IFERROR(__xludf.DUMMYFUNCTION("split(I1399,"" "")"),"Nat")</f>
        <v>Nat</v>
      </c>
      <c r="K1399" s="1" t="str">
        <f ca="1">IFERROR(__xludf.DUMMYFUNCTION("""COMPUTED_VALUE"""),"Carroll")</f>
        <v>Carroll</v>
      </c>
      <c r="L1399" s="1"/>
      <c r="M1399" s="1" t="s">
        <v>29</v>
      </c>
      <c r="N1399" s="1" t="s">
        <v>30</v>
      </c>
      <c r="O1399" s="1" t="s">
        <v>233</v>
      </c>
      <c r="P1399" s="1" t="str">
        <f t="shared" si="1302"/>
        <v>New York City</v>
      </c>
      <c r="Q1399" s="1" t="s">
        <v>234</v>
      </c>
      <c r="R1399" s="1" t="str">
        <f t="shared" si="1303"/>
        <v>New York</v>
      </c>
      <c r="S1399" s="1">
        <v>10035</v>
      </c>
      <c r="T1399" s="1" t="s">
        <v>128</v>
      </c>
      <c r="U1399" s="1" t="s">
        <v>1938</v>
      </c>
      <c r="V1399" s="1" t="s">
        <v>46</v>
      </c>
      <c r="W1399" s="7">
        <v>11.56</v>
      </c>
      <c r="X1399" s="1">
        <v>1</v>
      </c>
      <c r="Y1399" s="7">
        <v>10.77</v>
      </c>
      <c r="Z1399" s="7">
        <f t="shared" ref="Z1399:AA1399" si="1427">W1399*X1399</f>
        <v>11.56</v>
      </c>
      <c r="AA1399" s="7">
        <f t="shared" si="1427"/>
        <v>10.77</v>
      </c>
      <c r="AB1399" s="7">
        <f t="shared" si="1305"/>
        <v>0.79000000000000092</v>
      </c>
    </row>
    <row r="1400" spans="1:28">
      <c r="A1400" s="1">
        <v>1399</v>
      </c>
      <c r="B1400" s="1" t="s">
        <v>3151</v>
      </c>
      <c r="C1400" s="2">
        <v>43063</v>
      </c>
      <c r="D1400" s="6" t="str">
        <f t="shared" si="1300"/>
        <v>Nov</v>
      </c>
      <c r="E1400" s="6" t="str">
        <f t="shared" si="1301"/>
        <v>Qtr 4</v>
      </c>
      <c r="F1400" s="5" t="s">
        <v>2960</v>
      </c>
      <c r="G1400" s="1" t="s">
        <v>162</v>
      </c>
      <c r="H1400" s="1" t="s">
        <v>2730</v>
      </c>
      <c r="I1400" s="1" t="s">
        <v>2731</v>
      </c>
      <c r="J1400" s="1" t="str">
        <f ca="1">IFERROR(__xludf.DUMMYFUNCTION("split(I1400,"" "")"),"Nat")</f>
        <v>Nat</v>
      </c>
      <c r="K1400" s="1" t="str">
        <f ca="1">IFERROR(__xludf.DUMMYFUNCTION("""COMPUTED_VALUE"""),"Carroll")</f>
        <v>Carroll</v>
      </c>
      <c r="L1400" s="1"/>
      <c r="M1400" s="1" t="s">
        <v>29</v>
      </c>
      <c r="N1400" s="1" t="s">
        <v>30</v>
      </c>
      <c r="O1400" s="1" t="s">
        <v>233</v>
      </c>
      <c r="P1400" s="1" t="str">
        <f t="shared" si="1302"/>
        <v>New York City</v>
      </c>
      <c r="Q1400" s="1" t="s">
        <v>234</v>
      </c>
      <c r="R1400" s="1" t="str">
        <f t="shared" si="1303"/>
        <v>New York</v>
      </c>
      <c r="S1400" s="1">
        <v>10035</v>
      </c>
      <c r="T1400" s="1" t="s">
        <v>128</v>
      </c>
      <c r="U1400" s="1" t="s">
        <v>623</v>
      </c>
      <c r="V1400" s="1" t="s">
        <v>64</v>
      </c>
      <c r="W1400" s="7">
        <v>88.4</v>
      </c>
      <c r="X1400" s="1">
        <v>1</v>
      </c>
      <c r="Y1400" s="7">
        <v>87.67</v>
      </c>
      <c r="Z1400" s="7">
        <f t="shared" ref="Z1400:AA1400" si="1428">W1400*X1400</f>
        <v>88.4</v>
      </c>
      <c r="AA1400" s="7">
        <f t="shared" si="1428"/>
        <v>87.67</v>
      </c>
      <c r="AB1400" s="7">
        <f t="shared" si="1305"/>
        <v>0.73000000000000398</v>
      </c>
    </row>
    <row r="1401" spans="1:28">
      <c r="A1401" s="1">
        <v>1400</v>
      </c>
      <c r="B1401" s="1" t="s">
        <v>3151</v>
      </c>
      <c r="C1401" s="2">
        <v>43063</v>
      </c>
      <c r="D1401" s="6" t="str">
        <f t="shared" si="1300"/>
        <v>Nov</v>
      </c>
      <c r="E1401" s="6" t="str">
        <f t="shared" si="1301"/>
        <v>Qtr 4</v>
      </c>
      <c r="F1401" s="5" t="s">
        <v>2960</v>
      </c>
      <c r="G1401" s="1" t="s">
        <v>162</v>
      </c>
      <c r="H1401" s="1" t="s">
        <v>2730</v>
      </c>
      <c r="I1401" s="1" t="s">
        <v>2731</v>
      </c>
      <c r="J1401" s="1" t="str">
        <f ca="1">IFERROR(__xludf.DUMMYFUNCTION("split(I1401,"" "")"),"Nat")</f>
        <v>Nat</v>
      </c>
      <c r="K1401" s="1" t="str">
        <f ca="1">IFERROR(__xludf.DUMMYFUNCTION("""COMPUTED_VALUE"""),"Carroll")</f>
        <v>Carroll</v>
      </c>
      <c r="L1401" s="1"/>
      <c r="M1401" s="1" t="s">
        <v>29</v>
      </c>
      <c r="N1401" s="1" t="s">
        <v>30</v>
      </c>
      <c r="O1401" s="1" t="s">
        <v>233</v>
      </c>
      <c r="P1401" s="1" t="str">
        <f t="shared" si="1302"/>
        <v>New York City</v>
      </c>
      <c r="Q1401" s="1" t="s">
        <v>234</v>
      </c>
      <c r="R1401" s="1" t="str">
        <f t="shared" si="1303"/>
        <v>New York</v>
      </c>
      <c r="S1401" s="1">
        <v>10035</v>
      </c>
      <c r="T1401" s="1" t="s">
        <v>128</v>
      </c>
      <c r="U1401" s="1" t="s">
        <v>3153</v>
      </c>
      <c r="V1401" s="1" t="s">
        <v>46</v>
      </c>
      <c r="W1401" s="7">
        <v>6.48</v>
      </c>
      <c r="X1401" s="1">
        <v>1</v>
      </c>
      <c r="Y1401" s="7">
        <v>6.44</v>
      </c>
      <c r="Z1401" s="7">
        <f t="shared" ref="Z1401:AA1401" si="1429">W1401*X1401</f>
        <v>6.48</v>
      </c>
      <c r="AA1401" s="7">
        <f t="shared" si="1429"/>
        <v>6.44</v>
      </c>
      <c r="AB1401" s="7">
        <f t="shared" si="1305"/>
        <v>4.0000000000000036E-2</v>
      </c>
    </row>
    <row r="1402" spans="1:28">
      <c r="A1402" s="1">
        <v>1401</v>
      </c>
      <c r="B1402" s="1" t="s">
        <v>3154</v>
      </c>
      <c r="C1402" s="2">
        <v>42746</v>
      </c>
      <c r="D1402" s="6" t="str">
        <f t="shared" si="1300"/>
        <v>Jan</v>
      </c>
      <c r="E1402" s="6" t="str">
        <f t="shared" si="1301"/>
        <v>Qtr 1</v>
      </c>
      <c r="F1402" s="5">
        <v>42866</v>
      </c>
      <c r="G1402" s="1" t="s">
        <v>49</v>
      </c>
      <c r="H1402" s="1" t="s">
        <v>3155</v>
      </c>
      <c r="I1402" s="1" t="s">
        <v>3156</v>
      </c>
      <c r="J1402" s="1" t="str">
        <f ca="1">IFERROR(__xludf.DUMMYFUNCTION("split(I1402,"" "")"),"Katherine")</f>
        <v>Katherine</v>
      </c>
      <c r="K1402" s="1" t="str">
        <f ca="1">IFERROR(__xludf.DUMMYFUNCTION("""COMPUTED_VALUE"""),"Murray")</f>
        <v>Murray</v>
      </c>
      <c r="L1402" s="1"/>
      <c r="M1402" s="1" t="s">
        <v>87</v>
      </c>
      <c r="N1402" s="1" t="s">
        <v>30</v>
      </c>
      <c r="O1402" s="1" t="s">
        <v>1609</v>
      </c>
      <c r="P1402" s="1" t="str">
        <f t="shared" si="1302"/>
        <v>Salem</v>
      </c>
      <c r="Q1402" s="1" t="s">
        <v>272</v>
      </c>
      <c r="R1402" s="1" t="str">
        <f t="shared" si="1303"/>
        <v>Virginia</v>
      </c>
      <c r="S1402" s="1">
        <v>24153</v>
      </c>
      <c r="T1402" s="1" t="s">
        <v>33</v>
      </c>
      <c r="U1402" s="1" t="s">
        <v>218</v>
      </c>
      <c r="V1402" s="1" t="s">
        <v>64</v>
      </c>
      <c r="W1402" s="7">
        <v>21.8</v>
      </c>
      <c r="X1402" s="1">
        <v>2</v>
      </c>
      <c r="Y1402" s="7">
        <v>21.02</v>
      </c>
      <c r="Z1402" s="7">
        <f t="shared" ref="Z1402:AA1402" si="1430">W1402*X1402</f>
        <v>43.6</v>
      </c>
      <c r="AA1402" s="7">
        <f t="shared" si="1430"/>
        <v>42.04</v>
      </c>
      <c r="AB1402" s="7">
        <f t="shared" si="1305"/>
        <v>1.5600000000000023</v>
      </c>
    </row>
    <row r="1403" spans="1:28">
      <c r="A1403" s="1">
        <v>1402</v>
      </c>
      <c r="B1403" s="1" t="s">
        <v>3154</v>
      </c>
      <c r="C1403" s="2">
        <v>42746</v>
      </c>
      <c r="D1403" s="6" t="str">
        <f t="shared" si="1300"/>
        <v>Jan</v>
      </c>
      <c r="E1403" s="6" t="str">
        <f t="shared" si="1301"/>
        <v>Qtr 1</v>
      </c>
      <c r="F1403" s="5">
        <v>42866</v>
      </c>
      <c r="G1403" s="1" t="s">
        <v>49</v>
      </c>
      <c r="H1403" s="1" t="s">
        <v>3155</v>
      </c>
      <c r="I1403" s="1" t="s">
        <v>3156</v>
      </c>
      <c r="J1403" s="1" t="str">
        <f ca="1">IFERROR(__xludf.DUMMYFUNCTION("split(I1403,"" "")"),"Katherine")</f>
        <v>Katherine</v>
      </c>
      <c r="K1403" s="1" t="str">
        <f ca="1">IFERROR(__xludf.DUMMYFUNCTION("""COMPUTED_VALUE"""),"Murray")</f>
        <v>Murray</v>
      </c>
      <c r="L1403" s="1"/>
      <c r="M1403" s="1" t="s">
        <v>87</v>
      </c>
      <c r="N1403" s="1" t="s">
        <v>30</v>
      </c>
      <c r="O1403" s="1" t="s">
        <v>1609</v>
      </c>
      <c r="P1403" s="1" t="str">
        <f t="shared" si="1302"/>
        <v>Salem</v>
      </c>
      <c r="Q1403" s="1" t="s">
        <v>272</v>
      </c>
      <c r="R1403" s="1" t="str">
        <f t="shared" si="1303"/>
        <v>Virginia</v>
      </c>
      <c r="S1403" s="1">
        <v>24153</v>
      </c>
      <c r="T1403" s="1" t="s">
        <v>33</v>
      </c>
      <c r="U1403" s="1" t="s">
        <v>1763</v>
      </c>
      <c r="V1403" s="1" t="s">
        <v>46</v>
      </c>
      <c r="W1403" s="7">
        <v>251.79</v>
      </c>
      <c r="X1403" s="1">
        <v>2</v>
      </c>
      <c r="Y1403" s="7">
        <v>250.81</v>
      </c>
      <c r="Z1403" s="7">
        <f t="shared" ref="Z1403:AA1403" si="1431">W1403*X1403</f>
        <v>503.58</v>
      </c>
      <c r="AA1403" s="7">
        <f t="shared" si="1431"/>
        <v>501.62</v>
      </c>
      <c r="AB1403" s="7">
        <f t="shared" si="1305"/>
        <v>1.9599999999999795</v>
      </c>
    </row>
    <row r="1404" spans="1:28">
      <c r="A1404" s="1">
        <v>1403</v>
      </c>
      <c r="B1404" s="1" t="s">
        <v>3157</v>
      </c>
      <c r="C1404" s="2">
        <v>42844</v>
      </c>
      <c r="D1404" s="6" t="str">
        <f t="shared" si="1300"/>
        <v>Apr</v>
      </c>
      <c r="E1404" s="6" t="str">
        <f t="shared" si="1301"/>
        <v>Qtr 2</v>
      </c>
      <c r="F1404" s="5" t="s">
        <v>3158</v>
      </c>
      <c r="G1404" s="1" t="s">
        <v>49</v>
      </c>
      <c r="H1404" s="1" t="s">
        <v>335</v>
      </c>
      <c r="I1404" s="1" t="s">
        <v>336</v>
      </c>
      <c r="J1404" s="1" t="str">
        <f ca="1">IFERROR(__xludf.DUMMYFUNCTION("split(I1404,"" "")"),"Gary")</f>
        <v>Gary</v>
      </c>
      <c r="K1404" s="1" t="str">
        <f ca="1">IFERROR(__xludf.DUMMYFUNCTION("""COMPUTED_VALUE"""),"Mitchum")</f>
        <v>Mitchum</v>
      </c>
      <c r="L1404" s="1"/>
      <c r="M1404" s="1" t="s">
        <v>87</v>
      </c>
      <c r="N1404" s="1" t="s">
        <v>30</v>
      </c>
      <c r="O1404" s="1" t="s">
        <v>420</v>
      </c>
      <c r="P1404" s="1" t="str">
        <f t="shared" si="1302"/>
        <v>Columbus</v>
      </c>
      <c r="Q1404" s="1" t="s">
        <v>421</v>
      </c>
      <c r="R1404" s="1" t="str">
        <f t="shared" si="1303"/>
        <v>Ohio</v>
      </c>
      <c r="S1404" s="1">
        <v>43229</v>
      </c>
      <c r="T1404" s="1" t="s">
        <v>128</v>
      </c>
      <c r="U1404" s="1" t="s">
        <v>3159</v>
      </c>
      <c r="V1404" s="1" t="s">
        <v>35</v>
      </c>
      <c r="W1404" s="7">
        <v>205.17599999999999</v>
      </c>
      <c r="X1404" s="1">
        <v>4</v>
      </c>
      <c r="Y1404" s="7">
        <v>204.56</v>
      </c>
      <c r="Z1404" s="7">
        <f t="shared" ref="Z1404:AA1404" si="1432">W1404*X1404</f>
        <v>820.70399999999995</v>
      </c>
      <c r="AA1404" s="7">
        <f t="shared" si="1432"/>
        <v>818.24</v>
      </c>
      <c r="AB1404" s="7">
        <f t="shared" si="1305"/>
        <v>2.4639999999999418</v>
      </c>
    </row>
    <row r="1405" spans="1:28">
      <c r="A1405" s="1">
        <v>1404</v>
      </c>
      <c r="B1405" s="1" t="s">
        <v>3157</v>
      </c>
      <c r="C1405" s="2">
        <v>42844</v>
      </c>
      <c r="D1405" s="6" t="str">
        <f t="shared" si="1300"/>
        <v>Apr</v>
      </c>
      <c r="E1405" s="6" t="str">
        <f t="shared" si="1301"/>
        <v>Qtr 2</v>
      </c>
      <c r="F1405" s="5" t="s">
        <v>3158</v>
      </c>
      <c r="G1405" s="1" t="s">
        <v>49</v>
      </c>
      <c r="H1405" s="1" t="s">
        <v>335</v>
      </c>
      <c r="I1405" s="1" t="s">
        <v>336</v>
      </c>
      <c r="J1405" s="1" t="str">
        <f ca="1">IFERROR(__xludf.DUMMYFUNCTION("split(I1405,"" "")"),"Gary")</f>
        <v>Gary</v>
      </c>
      <c r="K1405" s="1" t="str">
        <f ca="1">IFERROR(__xludf.DUMMYFUNCTION("""COMPUTED_VALUE"""),"Mitchum")</f>
        <v>Mitchum</v>
      </c>
      <c r="L1405" s="1"/>
      <c r="M1405" s="1" t="s">
        <v>87</v>
      </c>
      <c r="N1405" s="1" t="s">
        <v>30</v>
      </c>
      <c r="O1405" s="1" t="s">
        <v>420</v>
      </c>
      <c r="P1405" s="1" t="str">
        <f t="shared" si="1302"/>
        <v>Columbus</v>
      </c>
      <c r="Q1405" s="1" t="s">
        <v>421</v>
      </c>
      <c r="R1405" s="1" t="str">
        <f t="shared" si="1303"/>
        <v>Ohio</v>
      </c>
      <c r="S1405" s="1">
        <v>43229</v>
      </c>
      <c r="T1405" s="1" t="s">
        <v>128</v>
      </c>
      <c r="U1405" s="1" t="s">
        <v>3160</v>
      </c>
      <c r="V1405" s="1" t="s">
        <v>46</v>
      </c>
      <c r="W1405" s="7">
        <v>419.4</v>
      </c>
      <c r="X1405" s="1">
        <v>4</v>
      </c>
      <c r="Y1405" s="7">
        <v>418.98</v>
      </c>
      <c r="Z1405" s="7">
        <f t="shared" ref="Z1405:AA1405" si="1433">W1405*X1405</f>
        <v>1677.6</v>
      </c>
      <c r="AA1405" s="7">
        <f t="shared" si="1433"/>
        <v>1675.92</v>
      </c>
      <c r="AB1405" s="7">
        <f t="shared" si="1305"/>
        <v>1.6799999999998363</v>
      </c>
    </row>
    <row r="1406" spans="1:28">
      <c r="A1406" s="1">
        <v>1405</v>
      </c>
      <c r="B1406" s="1" t="s">
        <v>3161</v>
      </c>
      <c r="C1406" s="2">
        <v>42159</v>
      </c>
      <c r="D1406" s="6" t="str">
        <f t="shared" si="1300"/>
        <v>Jun</v>
      </c>
      <c r="E1406" s="6" t="str">
        <f t="shared" si="1301"/>
        <v>Qtr 2</v>
      </c>
      <c r="F1406" s="5">
        <v>42220</v>
      </c>
      <c r="G1406" s="1" t="s">
        <v>162</v>
      </c>
      <c r="H1406" s="1" t="s">
        <v>1220</v>
      </c>
      <c r="I1406" s="1" t="s">
        <v>1221</v>
      </c>
      <c r="J1406" s="1" t="str">
        <f ca="1">IFERROR(__xludf.DUMMYFUNCTION("split(I1406,"" "")"),"Shirley")</f>
        <v>Shirley</v>
      </c>
      <c r="K1406" s="1" t="str">
        <f ca="1">IFERROR(__xludf.DUMMYFUNCTION("""COMPUTED_VALUE"""),"Daniels")</f>
        <v>Daniels</v>
      </c>
      <c r="L1406" s="1"/>
      <c r="M1406" s="1" t="s">
        <v>87</v>
      </c>
      <c r="N1406" s="1" t="s">
        <v>30</v>
      </c>
      <c r="O1406" s="1" t="s">
        <v>126</v>
      </c>
      <c r="P1406" s="1" t="str">
        <f t="shared" si="1302"/>
        <v>Philadelphia</v>
      </c>
      <c r="Q1406" s="1" t="s">
        <v>127</v>
      </c>
      <c r="R1406" s="1" t="str">
        <f t="shared" si="1303"/>
        <v>Pennsylvania</v>
      </c>
      <c r="S1406" s="1">
        <v>19143</v>
      </c>
      <c r="T1406" s="1" t="s">
        <v>128</v>
      </c>
      <c r="U1406" s="1" t="s">
        <v>1595</v>
      </c>
      <c r="V1406" s="1" t="s">
        <v>46</v>
      </c>
      <c r="W1406" s="7">
        <v>10.304</v>
      </c>
      <c r="X1406" s="1">
        <v>1</v>
      </c>
      <c r="Y1406" s="7">
        <v>10.24</v>
      </c>
      <c r="Z1406" s="7">
        <f t="shared" ref="Z1406:AA1406" si="1434">W1406*X1406</f>
        <v>10.304</v>
      </c>
      <c r="AA1406" s="7">
        <f t="shared" si="1434"/>
        <v>10.24</v>
      </c>
      <c r="AB1406" s="7">
        <f t="shared" si="1305"/>
        <v>6.4000000000000057E-2</v>
      </c>
    </row>
    <row r="1407" spans="1:28">
      <c r="A1407" s="1">
        <v>1406</v>
      </c>
      <c r="B1407" s="1" t="s">
        <v>3161</v>
      </c>
      <c r="C1407" s="2">
        <v>42159</v>
      </c>
      <c r="D1407" s="6" t="str">
        <f t="shared" si="1300"/>
        <v>Jun</v>
      </c>
      <c r="E1407" s="6" t="str">
        <f t="shared" si="1301"/>
        <v>Qtr 2</v>
      </c>
      <c r="F1407" s="5">
        <v>42220</v>
      </c>
      <c r="G1407" s="1" t="s">
        <v>162</v>
      </c>
      <c r="H1407" s="1" t="s">
        <v>1220</v>
      </c>
      <c r="I1407" s="1" t="s">
        <v>1221</v>
      </c>
      <c r="J1407" s="1" t="str">
        <f ca="1">IFERROR(__xludf.DUMMYFUNCTION("split(I1407,"" "")"),"Shirley")</f>
        <v>Shirley</v>
      </c>
      <c r="K1407" s="1" t="str">
        <f ca="1">IFERROR(__xludf.DUMMYFUNCTION("""COMPUTED_VALUE"""),"Daniels")</f>
        <v>Daniels</v>
      </c>
      <c r="L1407" s="1"/>
      <c r="M1407" s="1" t="s">
        <v>87</v>
      </c>
      <c r="N1407" s="1" t="s">
        <v>30</v>
      </c>
      <c r="O1407" s="1" t="s">
        <v>126</v>
      </c>
      <c r="P1407" s="1" t="str">
        <f t="shared" si="1302"/>
        <v>Philadelphia</v>
      </c>
      <c r="Q1407" s="1" t="s">
        <v>127</v>
      </c>
      <c r="R1407" s="1" t="str">
        <f t="shared" si="1303"/>
        <v>Pennsylvania</v>
      </c>
      <c r="S1407" s="1">
        <v>19143</v>
      </c>
      <c r="T1407" s="1" t="s">
        <v>128</v>
      </c>
      <c r="U1407" s="1" t="s">
        <v>3162</v>
      </c>
      <c r="V1407" s="1" t="s">
        <v>35</v>
      </c>
      <c r="W1407" s="7">
        <v>154.76400000000001</v>
      </c>
      <c r="X1407" s="1">
        <v>1</v>
      </c>
      <c r="Y1407" s="7">
        <v>154.54</v>
      </c>
      <c r="Z1407" s="7">
        <f t="shared" ref="Z1407:AA1407" si="1435">W1407*X1407</f>
        <v>154.76400000000001</v>
      </c>
      <c r="AA1407" s="7">
        <f t="shared" si="1435"/>
        <v>154.54</v>
      </c>
      <c r="AB1407" s="7">
        <f t="shared" si="1305"/>
        <v>0.22400000000001796</v>
      </c>
    </row>
    <row r="1408" spans="1:28">
      <c r="A1408" s="1">
        <v>1407</v>
      </c>
      <c r="B1408" s="1" t="s">
        <v>3161</v>
      </c>
      <c r="C1408" s="2">
        <v>42159</v>
      </c>
      <c r="D1408" s="6" t="str">
        <f t="shared" si="1300"/>
        <v>Jun</v>
      </c>
      <c r="E1408" s="6" t="str">
        <f t="shared" si="1301"/>
        <v>Qtr 2</v>
      </c>
      <c r="F1408" s="5">
        <v>42220</v>
      </c>
      <c r="G1408" s="1" t="s">
        <v>162</v>
      </c>
      <c r="H1408" s="1" t="s">
        <v>1220</v>
      </c>
      <c r="I1408" s="1" t="s">
        <v>1221</v>
      </c>
      <c r="J1408" s="1" t="str">
        <f ca="1">IFERROR(__xludf.DUMMYFUNCTION("split(I1408,"" "")"),"Shirley")</f>
        <v>Shirley</v>
      </c>
      <c r="K1408" s="1" t="str">
        <f ca="1">IFERROR(__xludf.DUMMYFUNCTION("""COMPUTED_VALUE"""),"Daniels")</f>
        <v>Daniels</v>
      </c>
      <c r="L1408" s="1"/>
      <c r="M1408" s="1" t="s">
        <v>87</v>
      </c>
      <c r="N1408" s="1" t="s">
        <v>30</v>
      </c>
      <c r="O1408" s="1" t="s">
        <v>126</v>
      </c>
      <c r="P1408" s="1" t="str">
        <f t="shared" si="1302"/>
        <v>Philadelphia</v>
      </c>
      <c r="Q1408" s="1" t="s">
        <v>127</v>
      </c>
      <c r="R1408" s="1" t="str">
        <f t="shared" si="1303"/>
        <v>Pennsylvania</v>
      </c>
      <c r="S1408" s="1">
        <v>19143</v>
      </c>
      <c r="T1408" s="1" t="s">
        <v>128</v>
      </c>
      <c r="U1408" s="1" t="s">
        <v>603</v>
      </c>
      <c r="V1408" s="1" t="s">
        <v>64</v>
      </c>
      <c r="W1408" s="7">
        <v>116.78400000000001</v>
      </c>
      <c r="X1408" s="1">
        <v>1</v>
      </c>
      <c r="Y1408" s="7">
        <v>115.93</v>
      </c>
      <c r="Z1408" s="7">
        <f t="shared" ref="Z1408:AA1408" si="1436">W1408*X1408</f>
        <v>116.78400000000001</v>
      </c>
      <c r="AA1408" s="7">
        <f t="shared" si="1436"/>
        <v>115.93</v>
      </c>
      <c r="AB1408" s="7">
        <f t="shared" si="1305"/>
        <v>0.8539999999999992</v>
      </c>
    </row>
    <row r="1409" spans="1:28">
      <c r="A1409" s="1">
        <v>1408</v>
      </c>
      <c r="B1409" s="1" t="s">
        <v>3163</v>
      </c>
      <c r="C1409" s="2">
        <v>42775</v>
      </c>
      <c r="D1409" s="6" t="str">
        <f t="shared" si="1300"/>
        <v>Feb</v>
      </c>
      <c r="E1409" s="6" t="str">
        <f t="shared" si="1301"/>
        <v>Qtr 1</v>
      </c>
      <c r="F1409" s="5">
        <v>42895</v>
      </c>
      <c r="G1409" s="1" t="s">
        <v>49</v>
      </c>
      <c r="H1409" s="1" t="s">
        <v>269</v>
      </c>
      <c r="I1409" s="1" t="s">
        <v>270</v>
      </c>
      <c r="J1409" s="1" t="str">
        <f ca="1">IFERROR(__xludf.DUMMYFUNCTION("split(I1409,"" "")"),"Karen")</f>
        <v>Karen</v>
      </c>
      <c r="K1409" s="1" t="str">
        <f ca="1">IFERROR(__xludf.DUMMYFUNCTION("""COMPUTED_VALUE"""),"Daniels")</f>
        <v>Daniels</v>
      </c>
      <c r="L1409" s="1"/>
      <c r="M1409" s="1" t="s">
        <v>29</v>
      </c>
      <c r="N1409" s="1" t="s">
        <v>30</v>
      </c>
      <c r="O1409" s="1" t="s">
        <v>233</v>
      </c>
      <c r="P1409" s="1" t="str">
        <f t="shared" si="1302"/>
        <v>New York City</v>
      </c>
      <c r="Q1409" s="1" t="s">
        <v>234</v>
      </c>
      <c r="R1409" s="1" t="str">
        <f t="shared" si="1303"/>
        <v>New York</v>
      </c>
      <c r="S1409" s="1">
        <v>10024</v>
      </c>
      <c r="T1409" s="1" t="s">
        <v>128</v>
      </c>
      <c r="U1409" s="1" t="s">
        <v>3164</v>
      </c>
      <c r="V1409" s="1" t="s">
        <v>46</v>
      </c>
      <c r="W1409" s="7">
        <v>75.48</v>
      </c>
      <c r="X1409" s="1">
        <v>1</v>
      </c>
      <c r="Y1409" s="7">
        <v>75.150000000000006</v>
      </c>
      <c r="Z1409" s="7">
        <f t="shared" ref="Z1409:AA1409" si="1437">W1409*X1409</f>
        <v>75.48</v>
      </c>
      <c r="AA1409" s="7">
        <f t="shared" si="1437"/>
        <v>75.150000000000006</v>
      </c>
      <c r="AB1409" s="7">
        <f t="shared" si="1305"/>
        <v>0.32999999999999829</v>
      </c>
    </row>
    <row r="1410" spans="1:28">
      <c r="A1410" s="1">
        <v>1409</v>
      </c>
      <c r="B1410" s="1" t="s">
        <v>3163</v>
      </c>
      <c r="C1410" s="2">
        <v>42775</v>
      </c>
      <c r="D1410" s="6" t="str">
        <f t="shared" si="1300"/>
        <v>Feb</v>
      </c>
      <c r="E1410" s="6" t="str">
        <f t="shared" si="1301"/>
        <v>Qtr 1</v>
      </c>
      <c r="F1410" s="5">
        <v>42895</v>
      </c>
      <c r="G1410" s="1" t="s">
        <v>49</v>
      </c>
      <c r="H1410" s="1" t="s">
        <v>269</v>
      </c>
      <c r="I1410" s="1" t="s">
        <v>270</v>
      </c>
      <c r="J1410" s="1" t="str">
        <f ca="1">IFERROR(__xludf.DUMMYFUNCTION("split(I1410,"" "")"),"Karen")</f>
        <v>Karen</v>
      </c>
      <c r="K1410" s="1" t="str">
        <f ca="1">IFERROR(__xludf.DUMMYFUNCTION("""COMPUTED_VALUE"""),"Daniels")</f>
        <v>Daniels</v>
      </c>
      <c r="L1410" s="1"/>
      <c r="M1410" s="1" t="s">
        <v>29</v>
      </c>
      <c r="N1410" s="1" t="s">
        <v>30</v>
      </c>
      <c r="O1410" s="1" t="s">
        <v>233</v>
      </c>
      <c r="P1410" s="1" t="str">
        <f t="shared" si="1302"/>
        <v>New York City</v>
      </c>
      <c r="Q1410" s="1" t="s">
        <v>234</v>
      </c>
      <c r="R1410" s="1" t="str">
        <f t="shared" si="1303"/>
        <v>New York</v>
      </c>
      <c r="S1410" s="1">
        <v>10024</v>
      </c>
      <c r="T1410" s="1" t="s">
        <v>128</v>
      </c>
      <c r="U1410" s="1" t="s">
        <v>967</v>
      </c>
      <c r="V1410" s="1" t="s">
        <v>35</v>
      </c>
      <c r="W1410" s="7">
        <v>39.979999999999997</v>
      </c>
      <c r="X1410" s="1">
        <v>1</v>
      </c>
      <c r="Y1410" s="7">
        <v>39.14</v>
      </c>
      <c r="Z1410" s="7">
        <f t="shared" ref="Z1410:AA1410" si="1438">W1410*X1410</f>
        <v>39.979999999999997</v>
      </c>
      <c r="AA1410" s="7">
        <f t="shared" si="1438"/>
        <v>39.14</v>
      </c>
      <c r="AB1410" s="7">
        <f t="shared" si="1305"/>
        <v>0.83999999999999631</v>
      </c>
    </row>
    <row r="1411" spans="1:28">
      <c r="A1411" s="1">
        <v>1410</v>
      </c>
      <c r="B1411" s="1" t="s">
        <v>3165</v>
      </c>
      <c r="C1411" s="2">
        <v>43003</v>
      </c>
      <c r="D1411" s="6" t="str">
        <f t="shared" si="1300"/>
        <v>Sep</v>
      </c>
      <c r="E1411" s="6" t="str">
        <f t="shared" si="1301"/>
        <v>Qtr 3</v>
      </c>
      <c r="F1411" s="5" t="s">
        <v>2622</v>
      </c>
      <c r="G1411" s="1" t="s">
        <v>49</v>
      </c>
      <c r="H1411" s="1" t="s">
        <v>3166</v>
      </c>
      <c r="I1411" s="1" t="s">
        <v>3167</v>
      </c>
      <c r="J1411" s="1" t="str">
        <f ca="1">IFERROR(__xludf.DUMMYFUNCTION("split(I1411,"" "")"),"Adrian")</f>
        <v>Adrian</v>
      </c>
      <c r="K1411" s="1" t="str">
        <f ca="1">IFERROR(__xludf.DUMMYFUNCTION("""COMPUTED_VALUE"""),"Barton")</f>
        <v>Barton</v>
      </c>
      <c r="L1411" s="1"/>
      <c r="M1411" s="1" t="s">
        <v>29</v>
      </c>
      <c r="N1411" s="1" t="s">
        <v>30</v>
      </c>
      <c r="O1411" s="1" t="s">
        <v>457</v>
      </c>
      <c r="P1411" s="1" t="str">
        <f t="shared" si="1302"/>
        <v>Phoenix</v>
      </c>
      <c r="Q1411" s="1" t="s">
        <v>265</v>
      </c>
      <c r="R1411" s="1" t="str">
        <f t="shared" si="1303"/>
        <v>Arizona</v>
      </c>
      <c r="S1411" s="1">
        <v>85023</v>
      </c>
      <c r="T1411" s="1" t="s">
        <v>44</v>
      </c>
      <c r="U1411" s="1" t="s">
        <v>2367</v>
      </c>
      <c r="V1411" s="1" t="s">
        <v>35</v>
      </c>
      <c r="W1411" s="7">
        <v>393.16500000000002</v>
      </c>
      <c r="X1411" s="1">
        <v>8</v>
      </c>
      <c r="Y1411" s="7">
        <v>392.91</v>
      </c>
      <c r="Z1411" s="7">
        <f t="shared" ref="Z1411:AA1411" si="1439">W1411*X1411</f>
        <v>3145.32</v>
      </c>
      <c r="AA1411" s="7">
        <f t="shared" si="1439"/>
        <v>3143.28</v>
      </c>
      <c r="AB1411" s="7">
        <f t="shared" si="1305"/>
        <v>2.0399999999999636</v>
      </c>
    </row>
    <row r="1412" spans="1:28">
      <c r="A1412" s="1">
        <v>1411</v>
      </c>
      <c r="B1412" s="1" t="s">
        <v>3168</v>
      </c>
      <c r="C1412" s="2">
        <v>43201</v>
      </c>
      <c r="D1412" s="6" t="str">
        <f t="shared" si="1300"/>
        <v>Apr</v>
      </c>
      <c r="E1412" s="6" t="str">
        <f t="shared" si="1301"/>
        <v>Qtr 2</v>
      </c>
      <c r="F1412" s="5">
        <v>43415</v>
      </c>
      <c r="G1412" s="1" t="s">
        <v>49</v>
      </c>
      <c r="H1412" s="1" t="s">
        <v>3113</v>
      </c>
      <c r="I1412" s="1" t="s">
        <v>3114</v>
      </c>
      <c r="J1412" s="1" t="str">
        <f ca="1">IFERROR(__xludf.DUMMYFUNCTION("split(I1412,"" "")"),"Sam")</f>
        <v>Sam</v>
      </c>
      <c r="K1412" s="1" t="str">
        <f ca="1">IFERROR(__xludf.DUMMYFUNCTION("""COMPUTED_VALUE"""),"Zeldin")</f>
        <v>Zeldin</v>
      </c>
      <c r="L1412" s="1"/>
      <c r="M1412" s="1" t="s">
        <v>87</v>
      </c>
      <c r="N1412" s="1" t="s">
        <v>30</v>
      </c>
      <c r="O1412" s="1" t="s">
        <v>627</v>
      </c>
      <c r="P1412" s="1" t="str">
        <f t="shared" si="1302"/>
        <v>Grand Prairie</v>
      </c>
      <c r="Q1412" s="1" t="s">
        <v>89</v>
      </c>
      <c r="R1412" s="1" t="str">
        <f t="shared" si="1303"/>
        <v>Texas</v>
      </c>
      <c r="S1412" s="1">
        <v>75051</v>
      </c>
      <c r="T1412" s="1" t="s">
        <v>90</v>
      </c>
      <c r="U1412" s="1" t="s">
        <v>1354</v>
      </c>
      <c r="V1412" s="1" t="s">
        <v>46</v>
      </c>
      <c r="W1412" s="7">
        <v>23.68</v>
      </c>
      <c r="X1412" s="1">
        <v>7</v>
      </c>
      <c r="Y1412" s="7">
        <v>23.61</v>
      </c>
      <c r="Z1412" s="7">
        <f t="shared" ref="Z1412:AA1412" si="1440">W1412*X1412</f>
        <v>165.76</v>
      </c>
      <c r="AA1412" s="7">
        <f t="shared" si="1440"/>
        <v>165.26999999999998</v>
      </c>
      <c r="AB1412" s="7">
        <f t="shared" si="1305"/>
        <v>0.49000000000000909</v>
      </c>
    </row>
    <row r="1413" spans="1:28">
      <c r="A1413" s="1">
        <v>1412</v>
      </c>
      <c r="B1413" s="1" t="s">
        <v>3169</v>
      </c>
      <c r="C1413" s="2">
        <v>42985</v>
      </c>
      <c r="D1413" s="6" t="str">
        <f t="shared" si="1300"/>
        <v>Sep</v>
      </c>
      <c r="E1413" s="6" t="str">
        <f t="shared" si="1301"/>
        <v>Qtr 3</v>
      </c>
      <c r="F1413" s="5" t="s">
        <v>3170</v>
      </c>
      <c r="G1413" s="1" t="s">
        <v>49</v>
      </c>
      <c r="H1413" s="1" t="s">
        <v>482</v>
      </c>
      <c r="I1413" s="1" t="s">
        <v>483</v>
      </c>
      <c r="J1413" s="1" t="str">
        <f ca="1">IFERROR(__xludf.DUMMYFUNCTION("split(I1413,"" "")"),"Jonathan")</f>
        <v>Jonathan</v>
      </c>
      <c r="K1413" s="1" t="str">
        <f ca="1">IFERROR(__xludf.DUMMYFUNCTION("""COMPUTED_VALUE"""),"Doherty")</f>
        <v>Doherty</v>
      </c>
      <c r="L1413" s="1"/>
      <c r="M1413" s="1" t="s">
        <v>41</v>
      </c>
      <c r="N1413" s="1" t="s">
        <v>30</v>
      </c>
      <c r="O1413" s="1" t="s">
        <v>233</v>
      </c>
      <c r="P1413" s="1" t="str">
        <f t="shared" si="1302"/>
        <v>New York City</v>
      </c>
      <c r="Q1413" s="1" t="s">
        <v>234</v>
      </c>
      <c r="R1413" s="1" t="str">
        <f t="shared" si="1303"/>
        <v>New York</v>
      </c>
      <c r="S1413" s="1">
        <v>10035</v>
      </c>
      <c r="T1413" s="1" t="s">
        <v>128</v>
      </c>
      <c r="U1413" s="1" t="s">
        <v>2009</v>
      </c>
      <c r="V1413" s="1" t="s">
        <v>35</v>
      </c>
      <c r="W1413" s="7">
        <v>408.00599999999997</v>
      </c>
      <c r="X1413" s="1">
        <v>1</v>
      </c>
      <c r="Y1413" s="7">
        <v>407.19</v>
      </c>
      <c r="Z1413" s="7">
        <f t="shared" ref="Z1413:AA1413" si="1441">W1413*X1413</f>
        <v>408.00599999999997</v>
      </c>
      <c r="AA1413" s="7">
        <f t="shared" si="1441"/>
        <v>407.19</v>
      </c>
      <c r="AB1413" s="7">
        <f t="shared" si="1305"/>
        <v>0.81599999999997408</v>
      </c>
    </row>
    <row r="1414" spans="1:28">
      <c r="A1414" s="1">
        <v>1413</v>
      </c>
      <c r="B1414" s="1" t="s">
        <v>3169</v>
      </c>
      <c r="C1414" s="2">
        <v>42985</v>
      </c>
      <c r="D1414" s="6" t="str">
        <f t="shared" si="1300"/>
        <v>Sep</v>
      </c>
      <c r="E1414" s="6" t="str">
        <f t="shared" si="1301"/>
        <v>Qtr 3</v>
      </c>
      <c r="F1414" s="5" t="s">
        <v>3170</v>
      </c>
      <c r="G1414" s="1" t="s">
        <v>49</v>
      </c>
      <c r="H1414" s="1" t="s">
        <v>482</v>
      </c>
      <c r="I1414" s="1" t="s">
        <v>483</v>
      </c>
      <c r="J1414" s="1" t="str">
        <f ca="1">IFERROR(__xludf.DUMMYFUNCTION("split(I1414,"" "")"),"Jonathan")</f>
        <v>Jonathan</v>
      </c>
      <c r="K1414" s="1" t="str">
        <f ca="1">IFERROR(__xludf.DUMMYFUNCTION("""COMPUTED_VALUE"""),"Doherty")</f>
        <v>Doherty</v>
      </c>
      <c r="L1414" s="1"/>
      <c r="M1414" s="1" t="s">
        <v>41</v>
      </c>
      <c r="N1414" s="1" t="s">
        <v>30</v>
      </c>
      <c r="O1414" s="1" t="s">
        <v>233</v>
      </c>
      <c r="P1414" s="1" t="str">
        <f t="shared" si="1302"/>
        <v>New York City</v>
      </c>
      <c r="Q1414" s="1" t="s">
        <v>234</v>
      </c>
      <c r="R1414" s="1" t="str">
        <f t="shared" si="1303"/>
        <v>New York</v>
      </c>
      <c r="S1414" s="1">
        <v>10035</v>
      </c>
      <c r="T1414" s="1" t="s">
        <v>128</v>
      </c>
      <c r="U1414" s="1" t="s">
        <v>1513</v>
      </c>
      <c r="V1414" s="1" t="s">
        <v>35</v>
      </c>
      <c r="W1414" s="7">
        <v>165.28</v>
      </c>
      <c r="X1414" s="1">
        <v>1</v>
      </c>
      <c r="Y1414" s="7">
        <v>164.67</v>
      </c>
      <c r="Z1414" s="7">
        <f t="shared" ref="Z1414:AA1414" si="1442">W1414*X1414</f>
        <v>165.28</v>
      </c>
      <c r="AA1414" s="7">
        <f t="shared" si="1442"/>
        <v>164.67</v>
      </c>
      <c r="AB1414" s="7">
        <f t="shared" si="1305"/>
        <v>0.61000000000001364</v>
      </c>
    </row>
    <row r="1415" spans="1:28">
      <c r="A1415" s="1">
        <v>1414</v>
      </c>
      <c r="B1415" s="1" t="s">
        <v>3171</v>
      </c>
      <c r="C1415" s="2">
        <v>42185</v>
      </c>
      <c r="D1415" s="6" t="str">
        <f t="shared" si="1300"/>
        <v>Jun</v>
      </c>
      <c r="E1415" s="6" t="str">
        <f t="shared" si="1301"/>
        <v>Qtr 2</v>
      </c>
      <c r="F1415" s="5">
        <v>42131</v>
      </c>
      <c r="G1415" s="1" t="s">
        <v>49</v>
      </c>
      <c r="H1415" s="1" t="s">
        <v>3172</v>
      </c>
      <c r="I1415" s="1" t="s">
        <v>3173</v>
      </c>
      <c r="J1415" s="1" t="str">
        <f ca="1">IFERROR(__xludf.DUMMYFUNCTION("split(I1415,"" "")"),"Helen")</f>
        <v>Helen</v>
      </c>
      <c r="K1415" s="1" t="str">
        <f ca="1">IFERROR(__xludf.DUMMYFUNCTION("""COMPUTED_VALUE"""),"Abelman")</f>
        <v>Abelman</v>
      </c>
      <c r="L1415" s="1"/>
      <c r="M1415" s="1" t="s">
        <v>29</v>
      </c>
      <c r="N1415" s="1" t="s">
        <v>30</v>
      </c>
      <c r="O1415" s="1" t="s">
        <v>233</v>
      </c>
      <c r="P1415" s="1" t="str">
        <f t="shared" si="1302"/>
        <v>New York City</v>
      </c>
      <c r="Q1415" s="1" t="s">
        <v>234</v>
      </c>
      <c r="R1415" s="1" t="str">
        <f t="shared" si="1303"/>
        <v>New York</v>
      </c>
      <c r="S1415" s="1">
        <v>10024</v>
      </c>
      <c r="T1415" s="1" t="s">
        <v>128</v>
      </c>
      <c r="U1415" s="1" t="s">
        <v>3174</v>
      </c>
      <c r="V1415" s="1" t="s">
        <v>46</v>
      </c>
      <c r="W1415" s="7">
        <v>334.76799999999997</v>
      </c>
      <c r="X1415" s="1">
        <v>1</v>
      </c>
      <c r="Y1415" s="7">
        <v>334.11</v>
      </c>
      <c r="Z1415" s="7">
        <f t="shared" ref="Z1415:AA1415" si="1443">W1415*X1415</f>
        <v>334.76799999999997</v>
      </c>
      <c r="AA1415" s="7">
        <f t="shared" si="1443"/>
        <v>334.11</v>
      </c>
      <c r="AB1415" s="7">
        <f t="shared" si="1305"/>
        <v>0.65799999999995862</v>
      </c>
    </row>
    <row r="1416" spans="1:28">
      <c r="A1416" s="1">
        <v>1415</v>
      </c>
      <c r="B1416" s="1" t="s">
        <v>3175</v>
      </c>
      <c r="C1416" s="2">
        <v>43128</v>
      </c>
      <c r="D1416" s="6" t="str">
        <f t="shared" si="1300"/>
        <v>Jan</v>
      </c>
      <c r="E1416" s="6" t="str">
        <f t="shared" si="1301"/>
        <v>Qtr 1</v>
      </c>
      <c r="F1416" s="5" t="s">
        <v>3176</v>
      </c>
      <c r="G1416" s="1" t="s">
        <v>26</v>
      </c>
      <c r="H1416" s="1" t="s">
        <v>3177</v>
      </c>
      <c r="I1416" s="1" t="s">
        <v>3178</v>
      </c>
      <c r="J1416" s="1" t="str">
        <f ca="1">IFERROR(__xludf.DUMMYFUNCTION("split(I1416,"" "")"),"Beth")</f>
        <v>Beth</v>
      </c>
      <c r="K1416" s="1" t="str">
        <f ca="1">IFERROR(__xludf.DUMMYFUNCTION("""COMPUTED_VALUE"""),"Thompson")</f>
        <v>Thompson</v>
      </c>
      <c r="L1416" s="1"/>
      <c r="M1416" s="1" t="s">
        <v>87</v>
      </c>
      <c r="N1416" s="1" t="s">
        <v>30</v>
      </c>
      <c r="O1416" s="1" t="s">
        <v>1392</v>
      </c>
      <c r="P1416" s="1" t="str">
        <f t="shared" si="1302"/>
        <v>Costa Mesa</v>
      </c>
      <c r="Q1416" s="1" t="s">
        <v>68</v>
      </c>
      <c r="R1416" s="1" t="str">
        <f t="shared" si="1303"/>
        <v>California</v>
      </c>
      <c r="S1416" s="1">
        <v>92627</v>
      </c>
      <c r="T1416" s="1" t="s">
        <v>44</v>
      </c>
      <c r="U1416" s="1" t="s">
        <v>2935</v>
      </c>
      <c r="V1416" s="1" t="s">
        <v>64</v>
      </c>
      <c r="W1416" s="7">
        <v>239.97</v>
      </c>
      <c r="X1416" s="1">
        <v>9</v>
      </c>
      <c r="Y1416" s="7">
        <v>239.38</v>
      </c>
      <c r="Z1416" s="7">
        <f t="shared" ref="Z1416:AA1416" si="1444">W1416*X1416</f>
        <v>2159.73</v>
      </c>
      <c r="AA1416" s="7">
        <f t="shared" si="1444"/>
        <v>2154.42</v>
      </c>
      <c r="AB1416" s="7">
        <f t="shared" si="1305"/>
        <v>5.3099999999999454</v>
      </c>
    </row>
    <row r="1417" spans="1:28">
      <c r="A1417" s="1">
        <v>1416</v>
      </c>
      <c r="B1417" s="1" t="s">
        <v>3175</v>
      </c>
      <c r="C1417" s="2">
        <v>43128</v>
      </c>
      <c r="D1417" s="6" t="str">
        <f t="shared" si="1300"/>
        <v>Jan</v>
      </c>
      <c r="E1417" s="6" t="str">
        <f t="shared" si="1301"/>
        <v>Qtr 1</v>
      </c>
      <c r="F1417" s="5" t="s">
        <v>3176</v>
      </c>
      <c r="G1417" s="1" t="s">
        <v>26</v>
      </c>
      <c r="H1417" s="1" t="s">
        <v>3177</v>
      </c>
      <c r="I1417" s="1" t="s">
        <v>3178</v>
      </c>
      <c r="J1417" s="1" t="str">
        <f ca="1">IFERROR(__xludf.DUMMYFUNCTION("split(I1417,"" "")"),"Beth")</f>
        <v>Beth</v>
      </c>
      <c r="K1417" s="1" t="str">
        <f ca="1">IFERROR(__xludf.DUMMYFUNCTION("""COMPUTED_VALUE"""),"Thompson")</f>
        <v>Thompson</v>
      </c>
      <c r="L1417" s="1"/>
      <c r="M1417" s="1" t="s">
        <v>87</v>
      </c>
      <c r="N1417" s="1" t="s">
        <v>30</v>
      </c>
      <c r="O1417" s="1" t="s">
        <v>1392</v>
      </c>
      <c r="P1417" s="1" t="str">
        <f t="shared" si="1302"/>
        <v>Costa Mesa</v>
      </c>
      <c r="Q1417" s="1" t="s">
        <v>68</v>
      </c>
      <c r="R1417" s="1" t="str">
        <f t="shared" si="1303"/>
        <v>California</v>
      </c>
      <c r="S1417" s="1">
        <v>92627</v>
      </c>
      <c r="T1417" s="1" t="s">
        <v>44</v>
      </c>
      <c r="U1417" s="1" t="s">
        <v>3179</v>
      </c>
      <c r="V1417" s="1" t="s">
        <v>35</v>
      </c>
      <c r="W1417" s="7">
        <v>37.74</v>
      </c>
      <c r="X1417" s="1">
        <v>9</v>
      </c>
      <c r="Y1417" s="7">
        <v>37.36</v>
      </c>
      <c r="Z1417" s="7">
        <f t="shared" ref="Z1417:AA1417" si="1445">W1417*X1417</f>
        <v>339.66</v>
      </c>
      <c r="AA1417" s="7">
        <f t="shared" si="1445"/>
        <v>336.24</v>
      </c>
      <c r="AB1417" s="7">
        <f t="shared" si="1305"/>
        <v>3.4200000000000159</v>
      </c>
    </row>
    <row r="1418" spans="1:28">
      <c r="A1418" s="1">
        <v>1417</v>
      </c>
      <c r="B1418" s="1" t="s">
        <v>3180</v>
      </c>
      <c r="C1418" s="2">
        <v>42634</v>
      </c>
      <c r="D1418" s="6" t="str">
        <f t="shared" si="1300"/>
        <v>Sep</v>
      </c>
      <c r="E1418" s="6" t="str">
        <f t="shared" si="1301"/>
        <v>Qtr 3</v>
      </c>
      <c r="F1418" s="5" t="s">
        <v>2983</v>
      </c>
      <c r="G1418" s="1" t="s">
        <v>162</v>
      </c>
      <c r="H1418" s="1" t="s">
        <v>3181</v>
      </c>
      <c r="I1418" s="1" t="s">
        <v>3182</v>
      </c>
      <c r="J1418" s="1" t="str">
        <f ca="1">IFERROR(__xludf.DUMMYFUNCTION("split(I1418,"" "")"),"Stuart")</f>
        <v>Stuart</v>
      </c>
      <c r="K1418" s="1" t="str">
        <f ca="1">IFERROR(__xludf.DUMMYFUNCTION("""COMPUTED_VALUE"""),"Van")</f>
        <v>Van</v>
      </c>
      <c r="L1418" s="1"/>
      <c r="M1418" s="1" t="s">
        <v>41</v>
      </c>
      <c r="N1418" s="1" t="s">
        <v>30</v>
      </c>
      <c r="O1418" s="1" t="s">
        <v>172</v>
      </c>
      <c r="P1418" s="1" t="str">
        <f t="shared" si="1302"/>
        <v>Houston</v>
      </c>
      <c r="Q1418" s="1" t="s">
        <v>89</v>
      </c>
      <c r="R1418" s="1" t="str">
        <f t="shared" si="1303"/>
        <v>Texas</v>
      </c>
      <c r="S1418" s="1">
        <v>77041</v>
      </c>
      <c r="T1418" s="1" t="s">
        <v>90</v>
      </c>
      <c r="U1418" s="1" t="s">
        <v>3183</v>
      </c>
      <c r="V1418" s="1" t="s">
        <v>64</v>
      </c>
      <c r="W1418" s="7">
        <v>946.34400000000005</v>
      </c>
      <c r="X1418" s="1">
        <v>7</v>
      </c>
      <c r="Y1418" s="7">
        <v>945.88</v>
      </c>
      <c r="Z1418" s="7">
        <f t="shared" ref="Z1418:AA1418" si="1446">W1418*X1418</f>
        <v>6624.4080000000004</v>
      </c>
      <c r="AA1418" s="7">
        <f t="shared" si="1446"/>
        <v>6621.16</v>
      </c>
      <c r="AB1418" s="7">
        <f t="shared" si="1305"/>
        <v>3.248000000000502</v>
      </c>
    </row>
    <row r="1419" spans="1:28">
      <c r="A1419" s="1">
        <v>1418</v>
      </c>
      <c r="B1419" s="1" t="s">
        <v>3180</v>
      </c>
      <c r="C1419" s="2">
        <v>42634</v>
      </c>
      <c r="D1419" s="6" t="str">
        <f t="shared" si="1300"/>
        <v>Sep</v>
      </c>
      <c r="E1419" s="6" t="str">
        <f t="shared" si="1301"/>
        <v>Qtr 3</v>
      </c>
      <c r="F1419" s="5" t="s">
        <v>2983</v>
      </c>
      <c r="G1419" s="1" t="s">
        <v>162</v>
      </c>
      <c r="H1419" s="1" t="s">
        <v>3181</v>
      </c>
      <c r="I1419" s="1" t="s">
        <v>3182</v>
      </c>
      <c r="J1419" s="1" t="str">
        <f ca="1">IFERROR(__xludf.DUMMYFUNCTION("split(I1419,"" "")"),"Stuart")</f>
        <v>Stuart</v>
      </c>
      <c r="K1419" s="1" t="str">
        <f ca="1">IFERROR(__xludf.DUMMYFUNCTION("""COMPUTED_VALUE"""),"Van")</f>
        <v>Van</v>
      </c>
      <c r="L1419" s="1"/>
      <c r="M1419" s="1" t="s">
        <v>41</v>
      </c>
      <c r="N1419" s="1" t="s">
        <v>30</v>
      </c>
      <c r="O1419" s="1" t="s">
        <v>172</v>
      </c>
      <c r="P1419" s="1" t="str">
        <f t="shared" si="1302"/>
        <v>Houston</v>
      </c>
      <c r="Q1419" s="1" t="s">
        <v>89</v>
      </c>
      <c r="R1419" s="1" t="str">
        <f t="shared" si="1303"/>
        <v>Texas</v>
      </c>
      <c r="S1419" s="1">
        <v>77041</v>
      </c>
      <c r="T1419" s="1" t="s">
        <v>90</v>
      </c>
      <c r="U1419" s="1" t="s">
        <v>2328</v>
      </c>
      <c r="V1419" s="1" t="s">
        <v>64</v>
      </c>
      <c r="W1419" s="7">
        <v>151.19999999999999</v>
      </c>
      <c r="X1419" s="1">
        <v>7</v>
      </c>
      <c r="Y1419" s="7">
        <v>151.06</v>
      </c>
      <c r="Z1419" s="7">
        <f t="shared" ref="Z1419:AA1419" si="1447">W1419*X1419</f>
        <v>1058.3999999999999</v>
      </c>
      <c r="AA1419" s="7">
        <f t="shared" si="1447"/>
        <v>1057.42</v>
      </c>
      <c r="AB1419" s="7">
        <f t="shared" si="1305"/>
        <v>0.97999999999979082</v>
      </c>
    </row>
    <row r="1420" spans="1:28">
      <c r="A1420" s="1">
        <v>1419</v>
      </c>
      <c r="B1420" s="1" t="s">
        <v>3180</v>
      </c>
      <c r="C1420" s="2">
        <v>42634</v>
      </c>
      <c r="D1420" s="6" t="str">
        <f t="shared" si="1300"/>
        <v>Sep</v>
      </c>
      <c r="E1420" s="6" t="str">
        <f t="shared" si="1301"/>
        <v>Qtr 3</v>
      </c>
      <c r="F1420" s="5" t="s">
        <v>2983</v>
      </c>
      <c r="G1420" s="1" t="s">
        <v>162</v>
      </c>
      <c r="H1420" s="1" t="s">
        <v>3181</v>
      </c>
      <c r="I1420" s="1" t="s">
        <v>3182</v>
      </c>
      <c r="J1420" s="1" t="str">
        <f ca="1">IFERROR(__xludf.DUMMYFUNCTION("split(I1420,"" "")"),"Stuart")</f>
        <v>Stuart</v>
      </c>
      <c r="K1420" s="1" t="str">
        <f ca="1">IFERROR(__xludf.DUMMYFUNCTION("""COMPUTED_VALUE"""),"Van")</f>
        <v>Van</v>
      </c>
      <c r="L1420" s="1"/>
      <c r="M1420" s="1" t="s">
        <v>41</v>
      </c>
      <c r="N1420" s="1" t="s">
        <v>30</v>
      </c>
      <c r="O1420" s="1" t="s">
        <v>172</v>
      </c>
      <c r="P1420" s="1" t="str">
        <f t="shared" si="1302"/>
        <v>Houston</v>
      </c>
      <c r="Q1420" s="1" t="s">
        <v>89</v>
      </c>
      <c r="R1420" s="1" t="str">
        <f t="shared" si="1303"/>
        <v>Texas</v>
      </c>
      <c r="S1420" s="1">
        <v>77041</v>
      </c>
      <c r="T1420" s="1" t="s">
        <v>90</v>
      </c>
      <c r="U1420" s="1" t="s">
        <v>227</v>
      </c>
      <c r="V1420" s="1" t="s">
        <v>35</v>
      </c>
      <c r="W1420" s="7">
        <v>4.9279999999999999</v>
      </c>
      <c r="X1420" s="1">
        <v>7</v>
      </c>
      <c r="Y1420" s="7">
        <v>4.1500000000000004</v>
      </c>
      <c r="Z1420" s="7">
        <f t="shared" ref="Z1420:AA1420" si="1448">W1420*X1420</f>
        <v>34.496000000000002</v>
      </c>
      <c r="AA1420" s="7">
        <f t="shared" si="1448"/>
        <v>29.050000000000004</v>
      </c>
      <c r="AB1420" s="7">
        <f t="shared" si="1305"/>
        <v>5.445999999999998</v>
      </c>
    </row>
    <row r="1421" spans="1:28">
      <c r="A1421" s="1">
        <v>1420</v>
      </c>
      <c r="B1421" s="1" t="s">
        <v>3184</v>
      </c>
      <c r="C1421" s="2">
        <v>42639</v>
      </c>
      <c r="D1421" s="6" t="str">
        <f t="shared" si="1300"/>
        <v>Sep</v>
      </c>
      <c r="E1421" s="6" t="str">
        <f t="shared" si="1301"/>
        <v>Qtr 3</v>
      </c>
      <c r="F1421" s="5" t="s">
        <v>131</v>
      </c>
      <c r="G1421" s="1" t="s">
        <v>49</v>
      </c>
      <c r="H1421" s="1" t="s">
        <v>3185</v>
      </c>
      <c r="I1421" s="1" t="s">
        <v>3186</v>
      </c>
      <c r="J1421" s="1" t="str">
        <f ca="1">IFERROR(__xludf.DUMMYFUNCTION("split(I1421,"" "")"),"Rick")</f>
        <v>Rick</v>
      </c>
      <c r="K1421" s="1" t="str">
        <f ca="1">IFERROR(__xludf.DUMMYFUNCTION("""COMPUTED_VALUE"""),"Wilson")</f>
        <v>Wilson</v>
      </c>
      <c r="L1421" s="1"/>
      <c r="M1421" s="1" t="s">
        <v>41</v>
      </c>
      <c r="N1421" s="1" t="s">
        <v>30</v>
      </c>
      <c r="O1421" s="1" t="s">
        <v>1484</v>
      </c>
      <c r="P1421" s="1" t="str">
        <f t="shared" si="1302"/>
        <v>Mesa</v>
      </c>
      <c r="Q1421" s="1" t="s">
        <v>265</v>
      </c>
      <c r="R1421" s="1" t="str">
        <f t="shared" si="1303"/>
        <v>Arizona</v>
      </c>
      <c r="S1421" s="1">
        <v>85204</v>
      </c>
      <c r="T1421" s="1" t="s">
        <v>44</v>
      </c>
      <c r="U1421" s="1" t="s">
        <v>3187</v>
      </c>
      <c r="V1421" s="1" t="s">
        <v>46</v>
      </c>
      <c r="W1421" s="7">
        <v>86.272000000000006</v>
      </c>
      <c r="X1421" s="1">
        <v>8</v>
      </c>
      <c r="Y1421" s="7">
        <v>85.73</v>
      </c>
      <c r="Z1421" s="7">
        <f t="shared" ref="Z1421:AA1421" si="1449">W1421*X1421</f>
        <v>690.17600000000004</v>
      </c>
      <c r="AA1421" s="7">
        <f t="shared" si="1449"/>
        <v>685.84</v>
      </c>
      <c r="AB1421" s="7">
        <f t="shared" si="1305"/>
        <v>4.3360000000000127</v>
      </c>
    </row>
    <row r="1422" spans="1:28">
      <c r="A1422" s="1">
        <v>1421</v>
      </c>
      <c r="B1422" s="1" t="s">
        <v>3184</v>
      </c>
      <c r="C1422" s="2">
        <v>42639</v>
      </c>
      <c r="D1422" s="6" t="str">
        <f t="shared" si="1300"/>
        <v>Sep</v>
      </c>
      <c r="E1422" s="6" t="str">
        <f t="shared" si="1301"/>
        <v>Qtr 3</v>
      </c>
      <c r="F1422" s="5" t="s">
        <v>131</v>
      </c>
      <c r="G1422" s="1" t="s">
        <v>49</v>
      </c>
      <c r="H1422" s="1" t="s">
        <v>3185</v>
      </c>
      <c r="I1422" s="1" t="s">
        <v>3186</v>
      </c>
      <c r="J1422" s="1" t="str">
        <f ca="1">IFERROR(__xludf.DUMMYFUNCTION("split(I1422,"" "")"),"Rick")</f>
        <v>Rick</v>
      </c>
      <c r="K1422" s="1" t="str">
        <f ca="1">IFERROR(__xludf.DUMMYFUNCTION("""COMPUTED_VALUE"""),"Wilson")</f>
        <v>Wilson</v>
      </c>
      <c r="L1422" s="1"/>
      <c r="M1422" s="1" t="s">
        <v>41</v>
      </c>
      <c r="N1422" s="1" t="s">
        <v>30</v>
      </c>
      <c r="O1422" s="1" t="s">
        <v>1484</v>
      </c>
      <c r="P1422" s="1" t="str">
        <f t="shared" si="1302"/>
        <v>Mesa</v>
      </c>
      <c r="Q1422" s="1" t="s">
        <v>265</v>
      </c>
      <c r="R1422" s="1" t="str">
        <f t="shared" si="1303"/>
        <v>Arizona</v>
      </c>
      <c r="S1422" s="1">
        <v>85204</v>
      </c>
      <c r="T1422" s="1" t="s">
        <v>44</v>
      </c>
      <c r="U1422" s="1" t="s">
        <v>872</v>
      </c>
      <c r="V1422" s="1" t="s">
        <v>46</v>
      </c>
      <c r="W1422" s="7">
        <v>72.587999999999994</v>
      </c>
      <c r="X1422" s="1">
        <v>8</v>
      </c>
      <c r="Y1422" s="7">
        <v>72.03</v>
      </c>
      <c r="Z1422" s="7">
        <f t="shared" ref="Z1422:AA1422" si="1450">W1422*X1422</f>
        <v>580.70399999999995</v>
      </c>
      <c r="AA1422" s="7">
        <f t="shared" si="1450"/>
        <v>576.24</v>
      </c>
      <c r="AB1422" s="7">
        <f t="shared" si="1305"/>
        <v>4.4639999999999418</v>
      </c>
    </row>
    <row r="1423" spans="1:28">
      <c r="A1423" s="1">
        <v>1422</v>
      </c>
      <c r="B1423" s="1" t="s">
        <v>3184</v>
      </c>
      <c r="C1423" s="2">
        <v>42639</v>
      </c>
      <c r="D1423" s="6" t="str">
        <f t="shared" si="1300"/>
        <v>Sep</v>
      </c>
      <c r="E1423" s="6" t="str">
        <f t="shared" si="1301"/>
        <v>Qtr 3</v>
      </c>
      <c r="F1423" s="5" t="s">
        <v>131</v>
      </c>
      <c r="G1423" s="1" t="s">
        <v>49</v>
      </c>
      <c r="H1423" s="1" t="s">
        <v>3185</v>
      </c>
      <c r="I1423" s="1" t="s">
        <v>3186</v>
      </c>
      <c r="J1423" s="1" t="str">
        <f ca="1">IFERROR(__xludf.DUMMYFUNCTION("split(I1423,"" "")"),"Rick")</f>
        <v>Rick</v>
      </c>
      <c r="K1423" s="1" t="str">
        <f ca="1">IFERROR(__xludf.DUMMYFUNCTION("""COMPUTED_VALUE"""),"Wilson")</f>
        <v>Wilson</v>
      </c>
      <c r="L1423" s="1"/>
      <c r="M1423" s="1" t="s">
        <v>41</v>
      </c>
      <c r="N1423" s="1" t="s">
        <v>30</v>
      </c>
      <c r="O1423" s="1" t="s">
        <v>1484</v>
      </c>
      <c r="P1423" s="1" t="str">
        <f t="shared" si="1302"/>
        <v>Mesa</v>
      </c>
      <c r="Q1423" s="1" t="s">
        <v>265</v>
      </c>
      <c r="R1423" s="1" t="str">
        <f t="shared" si="1303"/>
        <v>Arizona</v>
      </c>
      <c r="S1423" s="1">
        <v>85204</v>
      </c>
      <c r="T1423" s="1" t="s">
        <v>44</v>
      </c>
      <c r="U1423" s="1" t="s">
        <v>3188</v>
      </c>
      <c r="V1423" s="1" t="s">
        <v>46</v>
      </c>
      <c r="W1423" s="7">
        <v>60.671999999999997</v>
      </c>
      <c r="X1423" s="1">
        <v>8</v>
      </c>
      <c r="Y1423" s="7">
        <v>59.89</v>
      </c>
      <c r="Z1423" s="7">
        <f t="shared" ref="Z1423:AA1423" si="1451">W1423*X1423</f>
        <v>485.37599999999998</v>
      </c>
      <c r="AA1423" s="7">
        <f t="shared" si="1451"/>
        <v>479.12</v>
      </c>
      <c r="AB1423" s="7">
        <f t="shared" si="1305"/>
        <v>6.2559999999999718</v>
      </c>
    </row>
    <row r="1424" spans="1:28">
      <c r="A1424" s="1">
        <v>1423</v>
      </c>
      <c r="B1424" s="1" t="s">
        <v>3184</v>
      </c>
      <c r="C1424" s="2">
        <v>42639</v>
      </c>
      <c r="D1424" s="6" t="str">
        <f t="shared" si="1300"/>
        <v>Sep</v>
      </c>
      <c r="E1424" s="6" t="str">
        <f t="shared" si="1301"/>
        <v>Qtr 3</v>
      </c>
      <c r="F1424" s="5" t="s">
        <v>131</v>
      </c>
      <c r="G1424" s="1" t="s">
        <v>49</v>
      </c>
      <c r="H1424" s="1" t="s">
        <v>3185</v>
      </c>
      <c r="I1424" s="1" t="s">
        <v>3186</v>
      </c>
      <c r="J1424" s="1" t="str">
        <f ca="1">IFERROR(__xludf.DUMMYFUNCTION("split(I1424,"" "")"),"Rick")</f>
        <v>Rick</v>
      </c>
      <c r="K1424" s="1" t="str">
        <f ca="1">IFERROR(__xludf.DUMMYFUNCTION("""COMPUTED_VALUE"""),"Wilson")</f>
        <v>Wilson</v>
      </c>
      <c r="L1424" s="1"/>
      <c r="M1424" s="1" t="s">
        <v>41</v>
      </c>
      <c r="N1424" s="1" t="s">
        <v>30</v>
      </c>
      <c r="O1424" s="1" t="s">
        <v>1484</v>
      </c>
      <c r="P1424" s="1" t="str">
        <f t="shared" si="1302"/>
        <v>Mesa</v>
      </c>
      <c r="Q1424" s="1" t="s">
        <v>265</v>
      </c>
      <c r="R1424" s="1" t="str">
        <f t="shared" si="1303"/>
        <v>Arizona</v>
      </c>
      <c r="S1424" s="1">
        <v>85204</v>
      </c>
      <c r="T1424" s="1" t="s">
        <v>44</v>
      </c>
      <c r="U1424" s="1" t="s">
        <v>2225</v>
      </c>
      <c r="V1424" s="1" t="s">
        <v>46</v>
      </c>
      <c r="W1424" s="7">
        <v>77.031000000000006</v>
      </c>
      <c r="X1424" s="1">
        <v>8</v>
      </c>
      <c r="Y1424" s="7">
        <v>76.92</v>
      </c>
      <c r="Z1424" s="7">
        <f t="shared" ref="Z1424:AA1424" si="1452">W1424*X1424</f>
        <v>616.24800000000005</v>
      </c>
      <c r="AA1424" s="7">
        <f t="shared" si="1452"/>
        <v>615.36</v>
      </c>
      <c r="AB1424" s="7">
        <f t="shared" si="1305"/>
        <v>0.88800000000003365</v>
      </c>
    </row>
    <row r="1425" spans="1:28">
      <c r="A1425" s="1">
        <v>1424</v>
      </c>
      <c r="B1425" s="1" t="s">
        <v>3184</v>
      </c>
      <c r="C1425" s="2">
        <v>42639</v>
      </c>
      <c r="D1425" s="6" t="str">
        <f t="shared" si="1300"/>
        <v>Sep</v>
      </c>
      <c r="E1425" s="6" t="str">
        <f t="shared" si="1301"/>
        <v>Qtr 3</v>
      </c>
      <c r="F1425" s="5" t="s">
        <v>131</v>
      </c>
      <c r="G1425" s="1" t="s">
        <v>49</v>
      </c>
      <c r="H1425" s="1" t="s">
        <v>3185</v>
      </c>
      <c r="I1425" s="1" t="s">
        <v>3186</v>
      </c>
      <c r="J1425" s="1" t="str">
        <f ca="1">IFERROR(__xludf.DUMMYFUNCTION("split(I1425,"" "")"),"Rick")</f>
        <v>Rick</v>
      </c>
      <c r="K1425" s="1" t="str">
        <f ca="1">IFERROR(__xludf.DUMMYFUNCTION("""COMPUTED_VALUE"""),"Wilson")</f>
        <v>Wilson</v>
      </c>
      <c r="L1425" s="1"/>
      <c r="M1425" s="1" t="s">
        <v>41</v>
      </c>
      <c r="N1425" s="1" t="s">
        <v>30</v>
      </c>
      <c r="O1425" s="1" t="s">
        <v>1484</v>
      </c>
      <c r="P1425" s="1" t="str">
        <f t="shared" si="1302"/>
        <v>Mesa</v>
      </c>
      <c r="Q1425" s="1" t="s">
        <v>265</v>
      </c>
      <c r="R1425" s="1" t="str">
        <f t="shared" si="1303"/>
        <v>Arizona</v>
      </c>
      <c r="S1425" s="1">
        <v>85204</v>
      </c>
      <c r="T1425" s="1" t="s">
        <v>44</v>
      </c>
      <c r="U1425" s="1" t="s">
        <v>1142</v>
      </c>
      <c r="V1425" s="1" t="s">
        <v>46</v>
      </c>
      <c r="W1425" s="7">
        <v>119.904</v>
      </c>
      <c r="X1425" s="1">
        <v>8</v>
      </c>
      <c r="Y1425" s="7">
        <v>119.34</v>
      </c>
      <c r="Z1425" s="7">
        <f t="shared" ref="Z1425:AA1425" si="1453">W1425*X1425</f>
        <v>959.23199999999997</v>
      </c>
      <c r="AA1425" s="7">
        <f t="shared" si="1453"/>
        <v>954.72</v>
      </c>
      <c r="AB1425" s="7">
        <f t="shared" si="1305"/>
        <v>4.5119999999999436</v>
      </c>
    </row>
    <row r="1426" spans="1:28">
      <c r="A1426" s="1">
        <v>1425</v>
      </c>
      <c r="B1426" s="1" t="s">
        <v>3184</v>
      </c>
      <c r="C1426" s="2">
        <v>42639</v>
      </c>
      <c r="D1426" s="6" t="str">
        <f t="shared" si="1300"/>
        <v>Sep</v>
      </c>
      <c r="E1426" s="6" t="str">
        <f t="shared" si="1301"/>
        <v>Qtr 3</v>
      </c>
      <c r="F1426" s="5" t="s">
        <v>131</v>
      </c>
      <c r="G1426" s="1" t="s">
        <v>49</v>
      </c>
      <c r="H1426" s="1" t="s">
        <v>3185</v>
      </c>
      <c r="I1426" s="1" t="s">
        <v>3186</v>
      </c>
      <c r="J1426" s="1" t="str">
        <f ca="1">IFERROR(__xludf.DUMMYFUNCTION("split(I1426,"" "")"),"Rick")</f>
        <v>Rick</v>
      </c>
      <c r="K1426" s="1" t="str">
        <f ca="1">IFERROR(__xludf.DUMMYFUNCTION("""COMPUTED_VALUE"""),"Wilson")</f>
        <v>Wilson</v>
      </c>
      <c r="L1426" s="1"/>
      <c r="M1426" s="1" t="s">
        <v>41</v>
      </c>
      <c r="N1426" s="1" t="s">
        <v>30</v>
      </c>
      <c r="O1426" s="1" t="s">
        <v>1484</v>
      </c>
      <c r="P1426" s="1" t="str">
        <f t="shared" si="1302"/>
        <v>Mesa</v>
      </c>
      <c r="Q1426" s="1" t="s">
        <v>265</v>
      </c>
      <c r="R1426" s="1" t="str">
        <f t="shared" si="1303"/>
        <v>Arizona</v>
      </c>
      <c r="S1426" s="1">
        <v>85204</v>
      </c>
      <c r="T1426" s="1" t="s">
        <v>44</v>
      </c>
      <c r="U1426" s="1" t="s">
        <v>3189</v>
      </c>
      <c r="V1426" s="1" t="s">
        <v>64</v>
      </c>
      <c r="W1426" s="7">
        <v>263.95999999999998</v>
      </c>
      <c r="X1426" s="1">
        <v>8</v>
      </c>
      <c r="Y1426" s="7">
        <v>263.89</v>
      </c>
      <c r="Z1426" s="7">
        <f t="shared" ref="Z1426:AA1426" si="1454">W1426*X1426</f>
        <v>2111.6799999999998</v>
      </c>
      <c r="AA1426" s="7">
        <f t="shared" si="1454"/>
        <v>2111.12</v>
      </c>
      <c r="AB1426" s="7">
        <f t="shared" si="1305"/>
        <v>0.55999999999994543</v>
      </c>
    </row>
    <row r="1427" spans="1:28">
      <c r="A1427" s="1">
        <v>1426</v>
      </c>
      <c r="B1427" s="1" t="s">
        <v>3184</v>
      </c>
      <c r="C1427" s="2">
        <v>42639</v>
      </c>
      <c r="D1427" s="6" t="str">
        <f t="shared" si="1300"/>
        <v>Sep</v>
      </c>
      <c r="E1427" s="6" t="str">
        <f t="shared" si="1301"/>
        <v>Qtr 3</v>
      </c>
      <c r="F1427" s="5" t="s">
        <v>131</v>
      </c>
      <c r="G1427" s="1" t="s">
        <v>49</v>
      </c>
      <c r="H1427" s="1" t="s">
        <v>3185</v>
      </c>
      <c r="I1427" s="1" t="s">
        <v>3186</v>
      </c>
      <c r="J1427" s="1" t="str">
        <f ca="1">IFERROR(__xludf.DUMMYFUNCTION("split(I1427,"" "")"),"Rick")</f>
        <v>Rick</v>
      </c>
      <c r="K1427" s="1" t="str">
        <f ca="1">IFERROR(__xludf.DUMMYFUNCTION("""COMPUTED_VALUE"""),"Wilson")</f>
        <v>Wilson</v>
      </c>
      <c r="L1427" s="1"/>
      <c r="M1427" s="1" t="s">
        <v>41</v>
      </c>
      <c r="N1427" s="1" t="s">
        <v>30</v>
      </c>
      <c r="O1427" s="1" t="s">
        <v>1484</v>
      </c>
      <c r="P1427" s="1" t="str">
        <f t="shared" si="1302"/>
        <v>Mesa</v>
      </c>
      <c r="Q1427" s="1" t="s">
        <v>265</v>
      </c>
      <c r="R1427" s="1" t="str">
        <f t="shared" si="1303"/>
        <v>Arizona</v>
      </c>
      <c r="S1427" s="1">
        <v>85204</v>
      </c>
      <c r="T1427" s="1" t="s">
        <v>44</v>
      </c>
      <c r="U1427" s="1" t="s">
        <v>1325</v>
      </c>
      <c r="V1427" s="1" t="s">
        <v>46</v>
      </c>
      <c r="W1427" s="7">
        <v>363.64800000000002</v>
      </c>
      <c r="X1427" s="1">
        <v>8</v>
      </c>
      <c r="Y1427" s="7">
        <v>363.08</v>
      </c>
      <c r="Z1427" s="7">
        <f t="shared" ref="Z1427:AA1427" si="1455">W1427*X1427</f>
        <v>2909.1840000000002</v>
      </c>
      <c r="AA1427" s="7">
        <f t="shared" si="1455"/>
        <v>2904.64</v>
      </c>
      <c r="AB1427" s="7">
        <f t="shared" si="1305"/>
        <v>4.5440000000003238</v>
      </c>
    </row>
    <row r="1428" spans="1:28">
      <c r="A1428" s="1">
        <v>1427</v>
      </c>
      <c r="B1428" s="1" t="s">
        <v>3190</v>
      </c>
      <c r="C1428" s="2">
        <v>42674</v>
      </c>
      <c r="D1428" s="6" t="str">
        <f t="shared" si="1300"/>
        <v>Oct</v>
      </c>
      <c r="E1428" s="6" t="str">
        <f t="shared" si="1301"/>
        <v>Qtr 4</v>
      </c>
      <c r="F1428" s="5">
        <v>42471</v>
      </c>
      <c r="G1428" s="1" t="s">
        <v>26</v>
      </c>
      <c r="H1428" s="1" t="s">
        <v>3191</v>
      </c>
      <c r="I1428" s="1" t="s">
        <v>3192</v>
      </c>
      <c r="J1428" s="1" t="str">
        <f ca="1">IFERROR(__xludf.DUMMYFUNCTION("split(I1428,"" "")"),"Damala")</f>
        <v>Damala</v>
      </c>
      <c r="K1428" s="1" t="str">
        <f ca="1">IFERROR(__xludf.DUMMYFUNCTION("""COMPUTED_VALUE"""),"Kotsonis")</f>
        <v>Kotsonis</v>
      </c>
      <c r="L1428" s="1"/>
      <c r="M1428" s="1" t="s">
        <v>41</v>
      </c>
      <c r="N1428" s="1" t="s">
        <v>30</v>
      </c>
      <c r="O1428" s="1" t="s">
        <v>2164</v>
      </c>
      <c r="P1428" s="1" t="str">
        <f t="shared" si="1302"/>
        <v>Salinas</v>
      </c>
      <c r="Q1428" s="1" t="s">
        <v>68</v>
      </c>
      <c r="R1428" s="1" t="str">
        <f t="shared" si="1303"/>
        <v>California</v>
      </c>
      <c r="S1428" s="1">
        <v>93905</v>
      </c>
      <c r="T1428" s="1" t="s">
        <v>44</v>
      </c>
      <c r="U1428" s="1" t="s">
        <v>1662</v>
      </c>
      <c r="V1428" s="1" t="s">
        <v>46</v>
      </c>
      <c r="W1428" s="7">
        <v>9.7279999999999998</v>
      </c>
      <c r="X1428" s="1">
        <v>9</v>
      </c>
      <c r="Y1428" s="7">
        <v>9</v>
      </c>
      <c r="Z1428" s="7">
        <f t="shared" ref="Z1428:AA1428" si="1456">W1428*X1428</f>
        <v>87.551999999999992</v>
      </c>
      <c r="AA1428" s="7">
        <f t="shared" si="1456"/>
        <v>81</v>
      </c>
      <c r="AB1428" s="7">
        <f t="shared" si="1305"/>
        <v>6.5519999999999925</v>
      </c>
    </row>
    <row r="1429" spans="1:28">
      <c r="A1429" s="1">
        <v>1428</v>
      </c>
      <c r="B1429" s="1" t="s">
        <v>3190</v>
      </c>
      <c r="C1429" s="2">
        <v>42674</v>
      </c>
      <c r="D1429" s="6" t="str">
        <f t="shared" si="1300"/>
        <v>Oct</v>
      </c>
      <c r="E1429" s="6" t="str">
        <f t="shared" si="1301"/>
        <v>Qtr 4</v>
      </c>
      <c r="F1429" s="5">
        <v>42471</v>
      </c>
      <c r="G1429" s="1" t="s">
        <v>26</v>
      </c>
      <c r="H1429" s="1" t="s">
        <v>3191</v>
      </c>
      <c r="I1429" s="1" t="s">
        <v>3192</v>
      </c>
      <c r="J1429" s="1" t="str">
        <f ca="1">IFERROR(__xludf.DUMMYFUNCTION("split(I1429,"" "")"),"Damala")</f>
        <v>Damala</v>
      </c>
      <c r="K1429" s="1" t="str">
        <f ca="1">IFERROR(__xludf.DUMMYFUNCTION("""COMPUTED_VALUE"""),"Kotsonis")</f>
        <v>Kotsonis</v>
      </c>
      <c r="L1429" s="1"/>
      <c r="M1429" s="1" t="s">
        <v>41</v>
      </c>
      <c r="N1429" s="1" t="s">
        <v>30</v>
      </c>
      <c r="O1429" s="1" t="s">
        <v>2164</v>
      </c>
      <c r="P1429" s="1" t="str">
        <f t="shared" si="1302"/>
        <v>Salinas</v>
      </c>
      <c r="Q1429" s="1" t="s">
        <v>68</v>
      </c>
      <c r="R1429" s="1" t="str">
        <f t="shared" si="1303"/>
        <v>California</v>
      </c>
      <c r="S1429" s="1">
        <v>93905</v>
      </c>
      <c r="T1429" s="1" t="s">
        <v>44</v>
      </c>
      <c r="U1429" s="1" t="s">
        <v>423</v>
      </c>
      <c r="V1429" s="1" t="s">
        <v>46</v>
      </c>
      <c r="W1429" s="7">
        <v>14.75</v>
      </c>
      <c r="X1429" s="1">
        <v>9</v>
      </c>
      <c r="Y1429" s="7">
        <v>14.38</v>
      </c>
      <c r="Z1429" s="7">
        <f t="shared" ref="Z1429:AA1429" si="1457">W1429*X1429</f>
        <v>132.75</v>
      </c>
      <c r="AA1429" s="7">
        <f t="shared" si="1457"/>
        <v>129.42000000000002</v>
      </c>
      <c r="AB1429" s="7">
        <f t="shared" si="1305"/>
        <v>3.3299999999999841</v>
      </c>
    </row>
    <row r="1430" spans="1:28">
      <c r="A1430" s="1">
        <v>1429</v>
      </c>
      <c r="B1430" s="1" t="s">
        <v>3190</v>
      </c>
      <c r="C1430" s="2">
        <v>42674</v>
      </c>
      <c r="D1430" s="6" t="str">
        <f t="shared" si="1300"/>
        <v>Oct</v>
      </c>
      <c r="E1430" s="6" t="str">
        <f t="shared" si="1301"/>
        <v>Qtr 4</v>
      </c>
      <c r="F1430" s="5">
        <v>42471</v>
      </c>
      <c r="G1430" s="1" t="s">
        <v>26</v>
      </c>
      <c r="H1430" s="1" t="s">
        <v>3191</v>
      </c>
      <c r="I1430" s="1" t="s">
        <v>3192</v>
      </c>
      <c r="J1430" s="1" t="str">
        <f ca="1">IFERROR(__xludf.DUMMYFUNCTION("split(I1430,"" "")"),"Damala")</f>
        <v>Damala</v>
      </c>
      <c r="K1430" s="1" t="str">
        <f ca="1">IFERROR(__xludf.DUMMYFUNCTION("""COMPUTED_VALUE"""),"Kotsonis")</f>
        <v>Kotsonis</v>
      </c>
      <c r="L1430" s="1"/>
      <c r="M1430" s="1" t="s">
        <v>41</v>
      </c>
      <c r="N1430" s="1" t="s">
        <v>30</v>
      </c>
      <c r="O1430" s="1" t="s">
        <v>2164</v>
      </c>
      <c r="P1430" s="1" t="str">
        <f t="shared" si="1302"/>
        <v>Salinas</v>
      </c>
      <c r="Q1430" s="1" t="s">
        <v>68</v>
      </c>
      <c r="R1430" s="1" t="str">
        <f t="shared" si="1303"/>
        <v>California</v>
      </c>
      <c r="S1430" s="1">
        <v>93905</v>
      </c>
      <c r="T1430" s="1" t="s">
        <v>44</v>
      </c>
      <c r="U1430" s="1" t="s">
        <v>3193</v>
      </c>
      <c r="V1430" s="1" t="s">
        <v>46</v>
      </c>
      <c r="W1430" s="7">
        <v>29.8</v>
      </c>
      <c r="X1430" s="1">
        <v>9</v>
      </c>
      <c r="Y1430" s="7">
        <v>29.02</v>
      </c>
      <c r="Z1430" s="7">
        <f t="shared" ref="Z1430:AA1430" si="1458">W1430*X1430</f>
        <v>268.2</v>
      </c>
      <c r="AA1430" s="7">
        <f t="shared" si="1458"/>
        <v>261.18</v>
      </c>
      <c r="AB1430" s="7">
        <f t="shared" si="1305"/>
        <v>7.0199999999999818</v>
      </c>
    </row>
    <row r="1431" spans="1:28">
      <c r="A1431" s="1">
        <v>1430</v>
      </c>
      <c r="B1431" s="1" t="s">
        <v>3190</v>
      </c>
      <c r="C1431" s="2">
        <v>42674</v>
      </c>
      <c r="D1431" s="6" t="str">
        <f t="shared" si="1300"/>
        <v>Oct</v>
      </c>
      <c r="E1431" s="6" t="str">
        <f t="shared" si="1301"/>
        <v>Qtr 4</v>
      </c>
      <c r="F1431" s="5">
        <v>42471</v>
      </c>
      <c r="G1431" s="1" t="s">
        <v>26</v>
      </c>
      <c r="H1431" s="1" t="s">
        <v>3191</v>
      </c>
      <c r="I1431" s="1" t="s">
        <v>3192</v>
      </c>
      <c r="J1431" s="1" t="str">
        <f ca="1">IFERROR(__xludf.DUMMYFUNCTION("split(I1431,"" "")"),"Damala")</f>
        <v>Damala</v>
      </c>
      <c r="K1431" s="1" t="str">
        <f ca="1">IFERROR(__xludf.DUMMYFUNCTION("""COMPUTED_VALUE"""),"Kotsonis")</f>
        <v>Kotsonis</v>
      </c>
      <c r="L1431" s="1"/>
      <c r="M1431" s="1" t="s">
        <v>41</v>
      </c>
      <c r="N1431" s="1" t="s">
        <v>30</v>
      </c>
      <c r="O1431" s="1" t="s">
        <v>2164</v>
      </c>
      <c r="P1431" s="1" t="str">
        <f t="shared" si="1302"/>
        <v>Salinas</v>
      </c>
      <c r="Q1431" s="1" t="s">
        <v>68</v>
      </c>
      <c r="R1431" s="1" t="str">
        <f t="shared" si="1303"/>
        <v>California</v>
      </c>
      <c r="S1431" s="1">
        <v>93905</v>
      </c>
      <c r="T1431" s="1" t="s">
        <v>44</v>
      </c>
      <c r="U1431" s="1" t="s">
        <v>1842</v>
      </c>
      <c r="V1431" s="1" t="s">
        <v>46</v>
      </c>
      <c r="W1431" s="7">
        <v>427.42</v>
      </c>
      <c r="X1431" s="1">
        <v>9</v>
      </c>
      <c r="Y1431" s="7">
        <v>427.03</v>
      </c>
      <c r="Z1431" s="7">
        <f t="shared" ref="Z1431:AA1431" si="1459">W1431*X1431</f>
        <v>3846.78</v>
      </c>
      <c r="AA1431" s="7">
        <f t="shared" si="1459"/>
        <v>3843.2699999999995</v>
      </c>
      <c r="AB1431" s="7">
        <f t="shared" si="1305"/>
        <v>3.510000000000673</v>
      </c>
    </row>
    <row r="1432" spans="1:28">
      <c r="A1432" s="1">
        <v>1431</v>
      </c>
      <c r="B1432" s="1" t="s">
        <v>3194</v>
      </c>
      <c r="C1432" s="2">
        <v>43430</v>
      </c>
      <c r="D1432" s="6" t="str">
        <f t="shared" si="1300"/>
        <v>Nov</v>
      </c>
      <c r="E1432" s="6" t="str">
        <f t="shared" si="1301"/>
        <v>Qtr 4</v>
      </c>
      <c r="F1432" s="5" t="s">
        <v>3195</v>
      </c>
      <c r="G1432" s="1" t="s">
        <v>49</v>
      </c>
      <c r="H1432" s="1" t="s">
        <v>2025</v>
      </c>
      <c r="I1432" s="1" t="s">
        <v>2026</v>
      </c>
      <c r="J1432" s="1" t="str">
        <f ca="1">IFERROR(__xludf.DUMMYFUNCTION("split(I1432,"" "")"),"Liz")</f>
        <v>Liz</v>
      </c>
      <c r="K1432" s="1" t="str">
        <f ca="1">IFERROR(__xludf.DUMMYFUNCTION("""COMPUTED_VALUE"""),"Thompson")</f>
        <v>Thompson</v>
      </c>
      <c r="L1432" s="1"/>
      <c r="M1432" s="1" t="s">
        <v>29</v>
      </c>
      <c r="N1432" s="1" t="s">
        <v>30</v>
      </c>
      <c r="O1432" s="1" t="s">
        <v>420</v>
      </c>
      <c r="P1432" s="1" t="str">
        <f t="shared" si="1302"/>
        <v>Columbus</v>
      </c>
      <c r="Q1432" s="1" t="s">
        <v>421</v>
      </c>
      <c r="R1432" s="1" t="str">
        <f t="shared" si="1303"/>
        <v>Ohio</v>
      </c>
      <c r="S1432" s="1">
        <v>43229</v>
      </c>
      <c r="T1432" s="1" t="s">
        <v>128</v>
      </c>
      <c r="U1432" s="1" t="s">
        <v>1646</v>
      </c>
      <c r="V1432" s="1" t="s">
        <v>64</v>
      </c>
      <c r="W1432" s="7">
        <v>220.75200000000001</v>
      </c>
      <c r="X1432" s="1">
        <v>4</v>
      </c>
      <c r="Y1432" s="7">
        <v>220.67</v>
      </c>
      <c r="Z1432" s="7">
        <f t="shared" ref="Z1432:AA1432" si="1460">W1432*X1432</f>
        <v>883.00800000000004</v>
      </c>
      <c r="AA1432" s="7">
        <f t="shared" si="1460"/>
        <v>882.68</v>
      </c>
      <c r="AB1432" s="7">
        <f t="shared" si="1305"/>
        <v>0.32800000000008822</v>
      </c>
    </row>
    <row r="1433" spans="1:28">
      <c r="A1433" s="1">
        <v>1432</v>
      </c>
      <c r="B1433" s="1" t="s">
        <v>3196</v>
      </c>
      <c r="C1433" s="2">
        <v>42357</v>
      </c>
      <c r="D1433" s="6" t="str">
        <f t="shared" si="1300"/>
        <v>Dec</v>
      </c>
      <c r="E1433" s="6" t="str">
        <f t="shared" si="1301"/>
        <v>Qtr 4</v>
      </c>
      <c r="F1433" s="5" t="s">
        <v>2746</v>
      </c>
      <c r="G1433" s="1" t="s">
        <v>26</v>
      </c>
      <c r="H1433" s="1" t="s">
        <v>78</v>
      </c>
      <c r="I1433" s="1" t="s">
        <v>79</v>
      </c>
      <c r="J1433" s="1" t="str">
        <f ca="1">IFERROR(__xludf.DUMMYFUNCTION("split(I1433,"" "")"),"Irene")</f>
        <v>Irene</v>
      </c>
      <c r="K1433" s="1" t="str">
        <f ca="1">IFERROR(__xludf.DUMMYFUNCTION("""COMPUTED_VALUE"""),"Maddox")</f>
        <v>Maddox</v>
      </c>
      <c r="L1433" s="1"/>
      <c r="M1433" s="1" t="s">
        <v>29</v>
      </c>
      <c r="N1433" s="1" t="s">
        <v>30</v>
      </c>
      <c r="O1433" s="1" t="s">
        <v>2117</v>
      </c>
      <c r="P1433" s="1" t="str">
        <f t="shared" si="1302"/>
        <v>Florence</v>
      </c>
      <c r="Q1433" s="1" t="s">
        <v>304</v>
      </c>
      <c r="R1433" s="1" t="str">
        <f t="shared" si="1303"/>
        <v>Alabama</v>
      </c>
      <c r="S1433" s="1">
        <v>35630</v>
      </c>
      <c r="T1433" s="1" t="s">
        <v>33</v>
      </c>
      <c r="U1433" s="1" t="s">
        <v>3197</v>
      </c>
      <c r="V1433" s="1" t="s">
        <v>46</v>
      </c>
      <c r="W1433" s="7">
        <v>152.76</v>
      </c>
      <c r="X1433" s="1">
        <v>3</v>
      </c>
      <c r="Y1433" s="7">
        <v>152.09</v>
      </c>
      <c r="Z1433" s="7">
        <f t="shared" ref="Z1433:AA1433" si="1461">W1433*X1433</f>
        <v>458.28</v>
      </c>
      <c r="AA1433" s="7">
        <f t="shared" si="1461"/>
        <v>456.27</v>
      </c>
      <c r="AB1433" s="7">
        <f t="shared" si="1305"/>
        <v>2.0099999999999909</v>
      </c>
    </row>
    <row r="1434" spans="1:28">
      <c r="A1434" s="1">
        <v>1433</v>
      </c>
      <c r="B1434" s="1" t="s">
        <v>3196</v>
      </c>
      <c r="C1434" s="2">
        <v>42357</v>
      </c>
      <c r="D1434" s="6" t="str">
        <f t="shared" si="1300"/>
        <v>Dec</v>
      </c>
      <c r="E1434" s="6" t="str">
        <f t="shared" si="1301"/>
        <v>Qtr 4</v>
      </c>
      <c r="F1434" s="5" t="s">
        <v>2746</v>
      </c>
      <c r="G1434" s="1" t="s">
        <v>26</v>
      </c>
      <c r="H1434" s="1" t="s">
        <v>78</v>
      </c>
      <c r="I1434" s="1" t="s">
        <v>79</v>
      </c>
      <c r="J1434" s="1" t="str">
        <f ca="1">IFERROR(__xludf.DUMMYFUNCTION("split(I1434,"" "")"),"Irene")</f>
        <v>Irene</v>
      </c>
      <c r="K1434" s="1" t="str">
        <f ca="1">IFERROR(__xludf.DUMMYFUNCTION("""COMPUTED_VALUE"""),"Maddox")</f>
        <v>Maddox</v>
      </c>
      <c r="L1434" s="1"/>
      <c r="M1434" s="1" t="s">
        <v>29</v>
      </c>
      <c r="N1434" s="1" t="s">
        <v>30</v>
      </c>
      <c r="O1434" s="1" t="s">
        <v>2117</v>
      </c>
      <c r="P1434" s="1" t="str">
        <f t="shared" si="1302"/>
        <v>Florence</v>
      </c>
      <c r="Q1434" s="1" t="s">
        <v>304</v>
      </c>
      <c r="R1434" s="1" t="str">
        <f t="shared" si="1303"/>
        <v>Alabama</v>
      </c>
      <c r="S1434" s="1">
        <v>35630</v>
      </c>
      <c r="T1434" s="1" t="s">
        <v>33</v>
      </c>
      <c r="U1434" s="1" t="s">
        <v>1628</v>
      </c>
      <c r="V1434" s="1" t="s">
        <v>46</v>
      </c>
      <c r="W1434" s="7">
        <v>7.27</v>
      </c>
      <c r="X1434" s="1">
        <v>3</v>
      </c>
      <c r="Y1434" s="7">
        <v>6.34</v>
      </c>
      <c r="Z1434" s="7">
        <f t="shared" ref="Z1434:AA1434" si="1462">W1434*X1434</f>
        <v>21.81</v>
      </c>
      <c r="AA1434" s="7">
        <f t="shared" si="1462"/>
        <v>19.02</v>
      </c>
      <c r="AB1434" s="7">
        <f t="shared" si="1305"/>
        <v>2.7899999999999991</v>
      </c>
    </row>
    <row r="1435" spans="1:28">
      <c r="A1435" s="1">
        <v>1434</v>
      </c>
      <c r="B1435" s="1" t="s">
        <v>3196</v>
      </c>
      <c r="C1435" s="2">
        <v>42357</v>
      </c>
      <c r="D1435" s="6" t="str">
        <f t="shared" si="1300"/>
        <v>Dec</v>
      </c>
      <c r="E1435" s="6" t="str">
        <f t="shared" si="1301"/>
        <v>Qtr 4</v>
      </c>
      <c r="F1435" s="5" t="s">
        <v>2746</v>
      </c>
      <c r="G1435" s="1" t="s">
        <v>26</v>
      </c>
      <c r="H1435" s="1" t="s">
        <v>78</v>
      </c>
      <c r="I1435" s="1" t="s">
        <v>79</v>
      </c>
      <c r="J1435" s="1" t="str">
        <f ca="1">IFERROR(__xludf.DUMMYFUNCTION("split(I1435,"" "")"),"Irene")</f>
        <v>Irene</v>
      </c>
      <c r="K1435" s="1" t="str">
        <f ca="1">IFERROR(__xludf.DUMMYFUNCTION("""COMPUTED_VALUE"""),"Maddox")</f>
        <v>Maddox</v>
      </c>
      <c r="L1435" s="1"/>
      <c r="M1435" s="1" t="s">
        <v>29</v>
      </c>
      <c r="N1435" s="1" t="s">
        <v>30</v>
      </c>
      <c r="O1435" s="1" t="s">
        <v>2117</v>
      </c>
      <c r="P1435" s="1" t="str">
        <f t="shared" si="1302"/>
        <v>Florence</v>
      </c>
      <c r="Q1435" s="1" t="s">
        <v>304</v>
      </c>
      <c r="R1435" s="1" t="str">
        <f t="shared" si="1303"/>
        <v>Alabama</v>
      </c>
      <c r="S1435" s="1">
        <v>35630</v>
      </c>
      <c r="T1435" s="1" t="s">
        <v>33</v>
      </c>
      <c r="U1435" s="1" t="s">
        <v>288</v>
      </c>
      <c r="V1435" s="1" t="s">
        <v>35</v>
      </c>
      <c r="W1435" s="7">
        <v>1819.86</v>
      </c>
      <c r="X1435" s="1">
        <v>3</v>
      </c>
      <c r="Y1435" s="7">
        <v>1818.88</v>
      </c>
      <c r="Z1435" s="7">
        <f t="shared" ref="Z1435:AA1435" si="1463">W1435*X1435</f>
        <v>5459.58</v>
      </c>
      <c r="AA1435" s="7">
        <f t="shared" si="1463"/>
        <v>5456.64</v>
      </c>
      <c r="AB1435" s="7">
        <f t="shared" si="1305"/>
        <v>2.9399999999995998</v>
      </c>
    </row>
    <row r="1436" spans="1:28">
      <c r="A1436" s="1">
        <v>1435</v>
      </c>
      <c r="B1436" s="1" t="s">
        <v>3198</v>
      </c>
      <c r="C1436" s="2">
        <v>43095</v>
      </c>
      <c r="D1436" s="6" t="str">
        <f t="shared" si="1300"/>
        <v>Dec</v>
      </c>
      <c r="E1436" s="6" t="str">
        <f t="shared" si="1301"/>
        <v>Qtr 4</v>
      </c>
      <c r="F1436" s="5" t="s">
        <v>3199</v>
      </c>
      <c r="G1436" s="1" t="s">
        <v>49</v>
      </c>
      <c r="H1436" s="1" t="s">
        <v>1561</v>
      </c>
      <c r="I1436" s="1" t="s">
        <v>1562</v>
      </c>
      <c r="J1436" s="1" t="str">
        <f ca="1">IFERROR(__xludf.DUMMYFUNCTION("split(I1436,"" "")"),"Frank")</f>
        <v>Frank</v>
      </c>
      <c r="K1436" s="1" t="str">
        <f ca="1">IFERROR(__xludf.DUMMYFUNCTION("""COMPUTED_VALUE"""),"Preis")</f>
        <v>Preis</v>
      </c>
      <c r="L1436" s="1"/>
      <c r="M1436" s="1" t="s">
        <v>29</v>
      </c>
      <c r="N1436" s="1" t="s">
        <v>30</v>
      </c>
      <c r="O1436" s="1" t="s">
        <v>80</v>
      </c>
      <c r="P1436" s="1" t="str">
        <f t="shared" si="1302"/>
        <v>Seattle</v>
      </c>
      <c r="Q1436" s="1" t="s">
        <v>81</v>
      </c>
      <c r="R1436" s="1" t="str">
        <f t="shared" si="1303"/>
        <v>Washington</v>
      </c>
      <c r="S1436" s="1">
        <v>98105</v>
      </c>
      <c r="T1436" s="1" t="s">
        <v>44</v>
      </c>
      <c r="U1436" s="1" t="s">
        <v>3200</v>
      </c>
      <c r="V1436" s="1" t="s">
        <v>46</v>
      </c>
      <c r="W1436" s="7">
        <v>33.9</v>
      </c>
      <c r="X1436" s="1">
        <v>9</v>
      </c>
      <c r="Y1436" s="7">
        <v>33.020000000000003</v>
      </c>
      <c r="Z1436" s="7">
        <f t="shared" ref="Z1436:AA1436" si="1464">W1436*X1436</f>
        <v>305.09999999999997</v>
      </c>
      <c r="AA1436" s="7">
        <f t="shared" si="1464"/>
        <v>297.18</v>
      </c>
      <c r="AB1436" s="7">
        <f t="shared" si="1305"/>
        <v>7.9199999999999591</v>
      </c>
    </row>
    <row r="1437" spans="1:28">
      <c r="A1437" s="1">
        <v>1436</v>
      </c>
      <c r="B1437" s="1" t="s">
        <v>3201</v>
      </c>
      <c r="C1437" s="2">
        <v>43271</v>
      </c>
      <c r="D1437" s="6" t="str">
        <f t="shared" si="1300"/>
        <v>Jun</v>
      </c>
      <c r="E1437" s="6" t="str">
        <f t="shared" si="1301"/>
        <v>Qtr 2</v>
      </c>
      <c r="F1437" s="5" t="s">
        <v>2102</v>
      </c>
      <c r="G1437" s="1" t="s">
        <v>49</v>
      </c>
      <c r="H1437" s="1" t="s">
        <v>3202</v>
      </c>
      <c r="I1437" s="1" t="s">
        <v>3203</v>
      </c>
      <c r="J1437" s="1" t="str">
        <f ca="1">IFERROR(__xludf.DUMMYFUNCTION("split(I1437,"" "")"),"Shui")</f>
        <v>Shui</v>
      </c>
      <c r="K1437" s="1" t="str">
        <f ca="1">IFERROR(__xludf.DUMMYFUNCTION("""COMPUTED_VALUE"""),"Tom")</f>
        <v>Tom</v>
      </c>
      <c r="L1437" s="1"/>
      <c r="M1437" s="1" t="s">
        <v>29</v>
      </c>
      <c r="N1437" s="1" t="s">
        <v>30</v>
      </c>
      <c r="O1437" s="1" t="s">
        <v>3204</v>
      </c>
      <c r="P1437" s="1" t="str">
        <f t="shared" si="1302"/>
        <v>Parma</v>
      </c>
      <c r="Q1437" s="1" t="s">
        <v>421</v>
      </c>
      <c r="R1437" s="1" t="str">
        <f t="shared" si="1303"/>
        <v>Ohio</v>
      </c>
      <c r="S1437" s="1">
        <v>44134</v>
      </c>
      <c r="T1437" s="1" t="s">
        <v>128</v>
      </c>
      <c r="U1437" s="1" t="s">
        <v>3205</v>
      </c>
      <c r="V1437" s="1" t="s">
        <v>46</v>
      </c>
      <c r="W1437" s="7">
        <v>31.103999999999999</v>
      </c>
      <c r="X1437" s="1">
        <v>4</v>
      </c>
      <c r="Y1437" s="7">
        <v>30.15</v>
      </c>
      <c r="Z1437" s="7">
        <f t="shared" ref="Z1437:AA1437" si="1465">W1437*X1437</f>
        <v>124.416</v>
      </c>
      <c r="AA1437" s="7">
        <f t="shared" si="1465"/>
        <v>120.6</v>
      </c>
      <c r="AB1437" s="7">
        <f t="shared" si="1305"/>
        <v>3.8160000000000025</v>
      </c>
    </row>
    <row r="1438" spans="1:28">
      <c r="A1438" s="1">
        <v>1437</v>
      </c>
      <c r="B1438" s="1" t="s">
        <v>3201</v>
      </c>
      <c r="C1438" s="2">
        <v>43271</v>
      </c>
      <c r="D1438" s="6" t="str">
        <f t="shared" si="1300"/>
        <v>Jun</v>
      </c>
      <c r="E1438" s="6" t="str">
        <f t="shared" si="1301"/>
        <v>Qtr 2</v>
      </c>
      <c r="F1438" s="5" t="s">
        <v>2102</v>
      </c>
      <c r="G1438" s="1" t="s">
        <v>49</v>
      </c>
      <c r="H1438" s="1" t="s">
        <v>3202</v>
      </c>
      <c r="I1438" s="1" t="s">
        <v>3203</v>
      </c>
      <c r="J1438" s="1" t="str">
        <f ca="1">IFERROR(__xludf.DUMMYFUNCTION("split(I1438,"" "")"),"Shui")</f>
        <v>Shui</v>
      </c>
      <c r="K1438" s="1" t="str">
        <f ca="1">IFERROR(__xludf.DUMMYFUNCTION("""COMPUTED_VALUE"""),"Tom")</f>
        <v>Tom</v>
      </c>
      <c r="L1438" s="1"/>
      <c r="M1438" s="1" t="s">
        <v>29</v>
      </c>
      <c r="N1438" s="1" t="s">
        <v>30</v>
      </c>
      <c r="O1438" s="1" t="s">
        <v>3204</v>
      </c>
      <c r="P1438" s="1" t="str">
        <f t="shared" si="1302"/>
        <v>Parma</v>
      </c>
      <c r="Q1438" s="1" t="s">
        <v>421</v>
      </c>
      <c r="R1438" s="1" t="str">
        <f t="shared" si="1303"/>
        <v>Ohio</v>
      </c>
      <c r="S1438" s="1">
        <v>44134</v>
      </c>
      <c r="T1438" s="1" t="s">
        <v>128</v>
      </c>
      <c r="U1438" s="1" t="s">
        <v>3079</v>
      </c>
      <c r="V1438" s="1" t="s">
        <v>46</v>
      </c>
      <c r="W1438" s="7">
        <v>5.2480000000000002</v>
      </c>
      <c r="X1438" s="1">
        <v>4</v>
      </c>
      <c r="Y1438" s="7">
        <v>4.8499999999999996</v>
      </c>
      <c r="Z1438" s="7">
        <f t="shared" ref="Z1438:AA1438" si="1466">W1438*X1438</f>
        <v>20.992000000000001</v>
      </c>
      <c r="AA1438" s="7">
        <f t="shared" si="1466"/>
        <v>19.399999999999999</v>
      </c>
      <c r="AB1438" s="7">
        <f t="shared" si="1305"/>
        <v>1.5920000000000023</v>
      </c>
    </row>
    <row r="1439" spans="1:28">
      <c r="A1439" s="1">
        <v>1438</v>
      </c>
      <c r="B1439" s="1" t="s">
        <v>3206</v>
      </c>
      <c r="C1439" s="2">
        <v>42658</v>
      </c>
      <c r="D1439" s="6" t="str">
        <f t="shared" si="1300"/>
        <v>Oct</v>
      </c>
      <c r="E1439" s="6" t="str">
        <f t="shared" si="1301"/>
        <v>Qtr 4</v>
      </c>
      <c r="F1439" s="5" t="s">
        <v>3207</v>
      </c>
      <c r="G1439" s="1" t="s">
        <v>1050</v>
      </c>
      <c r="H1439" s="1" t="s">
        <v>284</v>
      </c>
      <c r="I1439" s="1" t="s">
        <v>285</v>
      </c>
      <c r="J1439" s="1" t="str">
        <f ca="1">IFERROR(__xludf.DUMMYFUNCTION("split(I1439,"" "")"),"Joel")</f>
        <v>Joel</v>
      </c>
      <c r="K1439" s="1" t="str">
        <f ca="1">IFERROR(__xludf.DUMMYFUNCTION("""COMPUTED_VALUE"""),"Eaton")</f>
        <v>Eaton</v>
      </c>
      <c r="L1439" s="1"/>
      <c r="M1439" s="1" t="s">
        <v>29</v>
      </c>
      <c r="N1439" s="1" t="s">
        <v>30</v>
      </c>
      <c r="O1439" s="1" t="s">
        <v>1313</v>
      </c>
      <c r="P1439" s="1" t="str">
        <f t="shared" si="1302"/>
        <v>Amarillo</v>
      </c>
      <c r="Q1439" s="1" t="s">
        <v>89</v>
      </c>
      <c r="R1439" s="1" t="str">
        <f t="shared" si="1303"/>
        <v>Texas</v>
      </c>
      <c r="S1439" s="1">
        <v>79109</v>
      </c>
      <c r="T1439" s="1" t="s">
        <v>90</v>
      </c>
      <c r="U1439" s="1" t="s">
        <v>3208</v>
      </c>
      <c r="V1439" s="1" t="s">
        <v>64</v>
      </c>
      <c r="W1439" s="7">
        <v>263.88</v>
      </c>
      <c r="X1439" s="1">
        <v>7</v>
      </c>
      <c r="Y1439" s="7">
        <v>263.70999999999998</v>
      </c>
      <c r="Z1439" s="7">
        <f t="shared" ref="Z1439:AA1439" si="1467">W1439*X1439</f>
        <v>1847.1599999999999</v>
      </c>
      <c r="AA1439" s="7">
        <f t="shared" si="1467"/>
        <v>1845.9699999999998</v>
      </c>
      <c r="AB1439" s="7">
        <f t="shared" si="1305"/>
        <v>1.1900000000000546</v>
      </c>
    </row>
    <row r="1440" spans="1:28">
      <c r="A1440" s="1">
        <v>1439</v>
      </c>
      <c r="B1440" s="1" t="s">
        <v>3206</v>
      </c>
      <c r="C1440" s="2">
        <v>42658</v>
      </c>
      <c r="D1440" s="6" t="str">
        <f t="shared" si="1300"/>
        <v>Oct</v>
      </c>
      <c r="E1440" s="6" t="str">
        <f t="shared" si="1301"/>
        <v>Qtr 4</v>
      </c>
      <c r="F1440" s="5" t="s">
        <v>3207</v>
      </c>
      <c r="G1440" s="1" t="s">
        <v>1050</v>
      </c>
      <c r="H1440" s="1" t="s">
        <v>284</v>
      </c>
      <c r="I1440" s="1" t="s">
        <v>285</v>
      </c>
      <c r="J1440" s="1" t="str">
        <f ca="1">IFERROR(__xludf.DUMMYFUNCTION("split(I1440,"" "")"),"Joel")</f>
        <v>Joel</v>
      </c>
      <c r="K1440" s="1" t="str">
        <f ca="1">IFERROR(__xludf.DUMMYFUNCTION("""COMPUTED_VALUE"""),"Eaton")</f>
        <v>Eaton</v>
      </c>
      <c r="L1440" s="1"/>
      <c r="M1440" s="1" t="s">
        <v>29</v>
      </c>
      <c r="N1440" s="1" t="s">
        <v>30</v>
      </c>
      <c r="O1440" s="1" t="s">
        <v>1313</v>
      </c>
      <c r="P1440" s="1" t="str">
        <f t="shared" si="1302"/>
        <v>Amarillo</v>
      </c>
      <c r="Q1440" s="1" t="s">
        <v>89</v>
      </c>
      <c r="R1440" s="1" t="str">
        <f t="shared" si="1303"/>
        <v>Texas</v>
      </c>
      <c r="S1440" s="1">
        <v>79109</v>
      </c>
      <c r="T1440" s="1" t="s">
        <v>90</v>
      </c>
      <c r="U1440" s="1" t="s">
        <v>1526</v>
      </c>
      <c r="V1440" s="1" t="s">
        <v>35</v>
      </c>
      <c r="W1440" s="7">
        <v>2453.4299999999998</v>
      </c>
      <c r="X1440" s="1">
        <v>7</v>
      </c>
      <c r="Y1440" s="7">
        <v>2452.69</v>
      </c>
      <c r="Z1440" s="7">
        <f t="shared" ref="Z1440:AA1440" si="1468">W1440*X1440</f>
        <v>17174.009999999998</v>
      </c>
      <c r="AA1440" s="7">
        <f t="shared" si="1468"/>
        <v>17168.830000000002</v>
      </c>
      <c r="AB1440" s="7">
        <f t="shared" si="1305"/>
        <v>5.1799999999966531</v>
      </c>
    </row>
    <row r="1441" spans="1:28">
      <c r="A1441" s="1">
        <v>1440</v>
      </c>
      <c r="B1441" s="1" t="s">
        <v>3209</v>
      </c>
      <c r="C1441" s="2">
        <v>43438</v>
      </c>
      <c r="D1441" s="6" t="str">
        <f t="shared" si="1300"/>
        <v>Dec</v>
      </c>
      <c r="E1441" s="6" t="str">
        <f t="shared" si="1301"/>
        <v>Qtr 4</v>
      </c>
      <c r="F1441" s="5" t="s">
        <v>2177</v>
      </c>
      <c r="G1441" s="1" t="s">
        <v>26</v>
      </c>
      <c r="H1441" s="1" t="s">
        <v>1524</v>
      </c>
      <c r="I1441" s="1" t="s">
        <v>1525</v>
      </c>
      <c r="J1441" s="1" t="str">
        <f ca="1">IFERROR(__xludf.DUMMYFUNCTION("split(I1441,"" "")"),"Bill")</f>
        <v>Bill</v>
      </c>
      <c r="K1441" s="1" t="str">
        <f ca="1">IFERROR(__xludf.DUMMYFUNCTION("""COMPUTED_VALUE"""),"Donatelli")</f>
        <v>Donatelli</v>
      </c>
      <c r="L1441" s="1"/>
      <c r="M1441" s="1" t="s">
        <v>29</v>
      </c>
      <c r="N1441" s="1" t="s">
        <v>30</v>
      </c>
      <c r="O1441" s="1" t="s">
        <v>2956</v>
      </c>
      <c r="P1441" s="1" t="str">
        <f t="shared" si="1302"/>
        <v>Providence</v>
      </c>
      <c r="Q1441" s="1" t="s">
        <v>1141</v>
      </c>
      <c r="R1441" s="1" t="str">
        <f t="shared" si="1303"/>
        <v>Rhode Island</v>
      </c>
      <c r="S1441" s="1">
        <v>2908</v>
      </c>
      <c r="T1441" s="1" t="s">
        <v>128</v>
      </c>
      <c r="U1441" s="1" t="s">
        <v>3210</v>
      </c>
      <c r="V1441" s="1" t="s">
        <v>46</v>
      </c>
      <c r="W1441" s="7">
        <v>29.7</v>
      </c>
      <c r="X1441" s="1">
        <v>2</v>
      </c>
      <c r="Y1441" s="7">
        <v>29.43</v>
      </c>
      <c r="Z1441" s="7">
        <f t="shared" ref="Z1441:AA1441" si="1469">W1441*X1441</f>
        <v>59.4</v>
      </c>
      <c r="AA1441" s="7">
        <f t="shared" si="1469"/>
        <v>58.86</v>
      </c>
      <c r="AB1441" s="7">
        <f t="shared" si="1305"/>
        <v>0.53999999999999915</v>
      </c>
    </row>
    <row r="1442" spans="1:28">
      <c r="A1442" s="1">
        <v>1441</v>
      </c>
      <c r="B1442" s="1" t="s">
        <v>3209</v>
      </c>
      <c r="C1442" s="2">
        <v>43438</v>
      </c>
      <c r="D1442" s="6" t="str">
        <f t="shared" si="1300"/>
        <v>Dec</v>
      </c>
      <c r="E1442" s="6" t="str">
        <f t="shared" si="1301"/>
        <v>Qtr 4</v>
      </c>
      <c r="F1442" s="5" t="s">
        <v>2177</v>
      </c>
      <c r="G1442" s="1" t="s">
        <v>26</v>
      </c>
      <c r="H1442" s="1" t="s">
        <v>1524</v>
      </c>
      <c r="I1442" s="1" t="s">
        <v>1525</v>
      </c>
      <c r="J1442" s="1" t="str">
        <f ca="1">IFERROR(__xludf.DUMMYFUNCTION("split(I1442,"" "")"),"Bill")</f>
        <v>Bill</v>
      </c>
      <c r="K1442" s="1" t="str">
        <f ca="1">IFERROR(__xludf.DUMMYFUNCTION("""COMPUTED_VALUE"""),"Donatelli")</f>
        <v>Donatelli</v>
      </c>
      <c r="L1442" s="1"/>
      <c r="M1442" s="1" t="s">
        <v>29</v>
      </c>
      <c r="N1442" s="1" t="s">
        <v>30</v>
      </c>
      <c r="O1442" s="1" t="s">
        <v>2956</v>
      </c>
      <c r="P1442" s="1" t="str">
        <f t="shared" si="1302"/>
        <v>Providence</v>
      </c>
      <c r="Q1442" s="1" t="s">
        <v>1141</v>
      </c>
      <c r="R1442" s="1" t="str">
        <f t="shared" si="1303"/>
        <v>Rhode Island</v>
      </c>
      <c r="S1442" s="1">
        <v>2908</v>
      </c>
      <c r="T1442" s="1" t="s">
        <v>128</v>
      </c>
      <c r="U1442" s="1" t="s">
        <v>3211</v>
      </c>
      <c r="V1442" s="1" t="s">
        <v>46</v>
      </c>
      <c r="W1442" s="7">
        <v>39.96</v>
      </c>
      <c r="X1442" s="1">
        <v>2</v>
      </c>
      <c r="Y1442" s="7">
        <v>39.24</v>
      </c>
      <c r="Z1442" s="7">
        <f t="shared" ref="Z1442:AA1442" si="1470">W1442*X1442</f>
        <v>79.92</v>
      </c>
      <c r="AA1442" s="7">
        <f t="shared" si="1470"/>
        <v>78.48</v>
      </c>
      <c r="AB1442" s="7">
        <f t="shared" si="1305"/>
        <v>1.4399999999999977</v>
      </c>
    </row>
    <row r="1443" spans="1:28">
      <c r="A1443" s="1">
        <v>1442</v>
      </c>
      <c r="B1443" s="1" t="s">
        <v>3212</v>
      </c>
      <c r="C1443" s="2">
        <v>43453</v>
      </c>
      <c r="D1443" s="6" t="str">
        <f t="shared" si="1300"/>
        <v>Dec</v>
      </c>
      <c r="E1443" s="6" t="str">
        <f t="shared" si="1301"/>
        <v>Qtr 4</v>
      </c>
      <c r="F1443" s="5" t="s">
        <v>2888</v>
      </c>
      <c r="G1443" s="1" t="s">
        <v>26</v>
      </c>
      <c r="H1443" s="1" t="s">
        <v>3213</v>
      </c>
      <c r="I1443" s="1" t="s">
        <v>3214</v>
      </c>
      <c r="J1443" s="1" t="str">
        <f ca="1">IFERROR(__xludf.DUMMYFUNCTION("split(I1443,"" "")"),"Michael")</f>
        <v>Michael</v>
      </c>
      <c r="K1443" s="1" t="str">
        <f ca="1">IFERROR(__xludf.DUMMYFUNCTION("""COMPUTED_VALUE"""),"Moore")</f>
        <v>Moore</v>
      </c>
      <c r="L1443" s="1"/>
      <c r="M1443" s="1" t="s">
        <v>29</v>
      </c>
      <c r="N1443" s="1" t="s">
        <v>30</v>
      </c>
      <c r="O1443" s="1" t="s">
        <v>110</v>
      </c>
      <c r="P1443" s="1" t="str">
        <f t="shared" si="1302"/>
        <v>San Francisco</v>
      </c>
      <c r="Q1443" s="1" t="s">
        <v>68</v>
      </c>
      <c r="R1443" s="1" t="str">
        <f t="shared" si="1303"/>
        <v>California</v>
      </c>
      <c r="S1443" s="1">
        <v>94110</v>
      </c>
      <c r="T1443" s="1" t="s">
        <v>44</v>
      </c>
      <c r="U1443" s="1" t="s">
        <v>2282</v>
      </c>
      <c r="V1443" s="1" t="s">
        <v>46</v>
      </c>
      <c r="W1443" s="7">
        <v>36.671999999999997</v>
      </c>
      <c r="X1443" s="1">
        <v>9</v>
      </c>
      <c r="Y1443" s="7">
        <v>36</v>
      </c>
      <c r="Z1443" s="7">
        <f t="shared" ref="Z1443:AA1443" si="1471">W1443*X1443</f>
        <v>330.048</v>
      </c>
      <c r="AA1443" s="7">
        <f t="shared" si="1471"/>
        <v>324</v>
      </c>
      <c r="AB1443" s="7">
        <f t="shared" si="1305"/>
        <v>6.0480000000000018</v>
      </c>
    </row>
    <row r="1444" spans="1:28">
      <c r="A1444" s="1">
        <v>1443</v>
      </c>
      <c r="B1444" s="1" t="s">
        <v>3215</v>
      </c>
      <c r="C1444" s="2">
        <v>43228</v>
      </c>
      <c r="D1444" s="6" t="str">
        <f t="shared" si="1300"/>
        <v>May</v>
      </c>
      <c r="E1444" s="6" t="str">
        <f t="shared" si="1301"/>
        <v>Qtr 2</v>
      </c>
      <c r="F1444" s="5">
        <v>43320</v>
      </c>
      <c r="G1444" s="1" t="s">
        <v>162</v>
      </c>
      <c r="H1444" s="1" t="s">
        <v>3216</v>
      </c>
      <c r="I1444" s="1" t="s">
        <v>3217</v>
      </c>
      <c r="J1444" s="1" t="str">
        <f ca="1">IFERROR(__xludf.DUMMYFUNCTION("split(I1444,"" "")"),"Pauline")</f>
        <v>Pauline</v>
      </c>
      <c r="K1444" s="1" t="str">
        <f ca="1">IFERROR(__xludf.DUMMYFUNCTION("""COMPUTED_VALUE"""),"Webber")</f>
        <v>Webber</v>
      </c>
      <c r="L1444" s="1"/>
      <c r="M1444" s="1" t="s">
        <v>41</v>
      </c>
      <c r="N1444" s="1" t="s">
        <v>30</v>
      </c>
      <c r="O1444" s="1" t="s">
        <v>1192</v>
      </c>
      <c r="P1444" s="1" t="str">
        <f t="shared" si="1302"/>
        <v>Richmond</v>
      </c>
      <c r="Q1444" s="1" t="s">
        <v>32</v>
      </c>
      <c r="R1444" s="1" t="str">
        <f t="shared" si="1303"/>
        <v>Kentucky</v>
      </c>
      <c r="S1444" s="1">
        <v>40475</v>
      </c>
      <c r="T1444" s="1" t="s">
        <v>33</v>
      </c>
      <c r="U1444" s="1" t="s">
        <v>1029</v>
      </c>
      <c r="V1444" s="1" t="s">
        <v>46</v>
      </c>
      <c r="W1444" s="7">
        <v>13.76</v>
      </c>
      <c r="X1444" s="1">
        <v>4</v>
      </c>
      <c r="Y1444" s="7">
        <v>12.86</v>
      </c>
      <c r="Z1444" s="7">
        <f t="shared" ref="Z1444:AA1444" si="1472">W1444*X1444</f>
        <v>55.04</v>
      </c>
      <c r="AA1444" s="7">
        <f t="shared" si="1472"/>
        <v>51.44</v>
      </c>
      <c r="AB1444" s="7">
        <f t="shared" si="1305"/>
        <v>3.6000000000000014</v>
      </c>
    </row>
    <row r="1445" spans="1:28">
      <c r="A1445" s="1">
        <v>1444</v>
      </c>
      <c r="B1445" s="1" t="s">
        <v>3218</v>
      </c>
      <c r="C1445" s="2">
        <v>42379</v>
      </c>
      <c r="D1445" s="6" t="str">
        <f t="shared" si="1300"/>
        <v>Jan</v>
      </c>
      <c r="E1445" s="6" t="str">
        <f t="shared" si="1301"/>
        <v>Qtr 1</v>
      </c>
      <c r="F1445" s="5">
        <v>42531</v>
      </c>
      <c r="G1445" s="1" t="s">
        <v>49</v>
      </c>
      <c r="H1445" s="1" t="s">
        <v>3219</v>
      </c>
      <c r="I1445" s="1" t="s">
        <v>3220</v>
      </c>
      <c r="J1445" s="1" t="str">
        <f ca="1">IFERROR(__xludf.DUMMYFUNCTION("split(I1445,"" "")"),"Shaun")</f>
        <v>Shaun</v>
      </c>
      <c r="K1445" s="1" t="str">
        <f ca="1">IFERROR(__xludf.DUMMYFUNCTION("""COMPUTED_VALUE"""),"Chance")</f>
        <v>Chance</v>
      </c>
      <c r="L1445" s="1"/>
      <c r="M1445" s="1" t="s">
        <v>41</v>
      </c>
      <c r="N1445" s="1" t="s">
        <v>30</v>
      </c>
      <c r="O1445" s="1" t="s">
        <v>385</v>
      </c>
      <c r="P1445" s="1" t="str">
        <f t="shared" si="1302"/>
        <v>Aurora</v>
      </c>
      <c r="Q1445" s="1" t="s">
        <v>386</v>
      </c>
      <c r="R1445" s="1" t="str">
        <f t="shared" si="1303"/>
        <v>Colorado</v>
      </c>
      <c r="S1445" s="1">
        <v>80013</v>
      </c>
      <c r="T1445" s="1" t="s">
        <v>44</v>
      </c>
      <c r="U1445" s="1" t="s">
        <v>459</v>
      </c>
      <c r="V1445" s="1" t="s">
        <v>46</v>
      </c>
      <c r="W1445" s="7">
        <v>139.42400000000001</v>
      </c>
      <c r="X1445" s="1">
        <v>8</v>
      </c>
      <c r="Y1445" s="7">
        <v>138.94999999999999</v>
      </c>
      <c r="Z1445" s="7">
        <f t="shared" ref="Z1445:AA1445" si="1473">W1445*X1445</f>
        <v>1115.3920000000001</v>
      </c>
      <c r="AA1445" s="7">
        <f t="shared" si="1473"/>
        <v>1111.5999999999999</v>
      </c>
      <c r="AB1445" s="7">
        <f t="shared" si="1305"/>
        <v>3.7920000000001437</v>
      </c>
    </row>
    <row r="1446" spans="1:28">
      <c r="A1446" s="1">
        <v>1445</v>
      </c>
      <c r="B1446" s="1" t="s">
        <v>3221</v>
      </c>
      <c r="C1446" s="2">
        <v>42878</v>
      </c>
      <c r="D1446" s="6" t="str">
        <f t="shared" si="1300"/>
        <v>May</v>
      </c>
      <c r="E1446" s="6" t="str">
        <f t="shared" si="1301"/>
        <v>Qtr 2</v>
      </c>
      <c r="F1446" s="5" t="s">
        <v>3222</v>
      </c>
      <c r="G1446" s="1" t="s">
        <v>49</v>
      </c>
      <c r="H1446" s="1" t="s">
        <v>754</v>
      </c>
      <c r="I1446" s="1" t="s">
        <v>755</v>
      </c>
      <c r="J1446" s="1" t="str">
        <f ca="1">IFERROR(__xludf.DUMMYFUNCTION("split(I1446,"" "")"),"Ken")</f>
        <v>Ken</v>
      </c>
      <c r="K1446" s="1" t="str">
        <f ca="1">IFERROR(__xludf.DUMMYFUNCTION("""COMPUTED_VALUE"""),"Lonsdale")</f>
        <v>Lonsdale</v>
      </c>
      <c r="L1446" s="1"/>
      <c r="M1446" s="1" t="s">
        <v>29</v>
      </c>
      <c r="N1446" s="1" t="s">
        <v>30</v>
      </c>
      <c r="O1446" s="1" t="s">
        <v>259</v>
      </c>
      <c r="P1446" s="1" t="str">
        <f t="shared" si="1302"/>
        <v>Chicago</v>
      </c>
      <c r="Q1446" s="1" t="s">
        <v>182</v>
      </c>
      <c r="R1446" s="1" t="str">
        <f t="shared" si="1303"/>
        <v>Illinois</v>
      </c>
      <c r="S1446" s="1">
        <v>60623</v>
      </c>
      <c r="T1446" s="1" t="s">
        <v>90</v>
      </c>
      <c r="U1446" s="1" t="s">
        <v>2893</v>
      </c>
      <c r="V1446" s="1" t="s">
        <v>64</v>
      </c>
      <c r="W1446" s="7">
        <v>1979.9280000000001</v>
      </c>
      <c r="X1446" s="1">
        <v>6</v>
      </c>
      <c r="Y1446" s="7">
        <v>1978.98</v>
      </c>
      <c r="Z1446" s="7">
        <f t="shared" ref="Z1446:AA1446" si="1474">W1446*X1446</f>
        <v>11879.568000000001</v>
      </c>
      <c r="AA1446" s="7">
        <f t="shared" si="1474"/>
        <v>11873.880000000001</v>
      </c>
      <c r="AB1446" s="7">
        <f t="shared" si="1305"/>
        <v>5.6880000000001019</v>
      </c>
    </row>
    <row r="1447" spans="1:28">
      <c r="A1447" s="1">
        <v>1446</v>
      </c>
      <c r="B1447" s="1" t="s">
        <v>3223</v>
      </c>
      <c r="C1447" s="2">
        <v>43264</v>
      </c>
      <c r="D1447" s="6" t="str">
        <f t="shared" si="1300"/>
        <v>Jun</v>
      </c>
      <c r="E1447" s="6" t="str">
        <f t="shared" si="1301"/>
        <v>Qtr 2</v>
      </c>
      <c r="F1447" s="5" t="s">
        <v>3224</v>
      </c>
      <c r="G1447" s="1" t="s">
        <v>162</v>
      </c>
      <c r="H1447" s="1" t="s">
        <v>1220</v>
      </c>
      <c r="I1447" s="1" t="s">
        <v>1221</v>
      </c>
      <c r="J1447" s="1" t="str">
        <f ca="1">IFERROR(__xludf.DUMMYFUNCTION("split(I1447,"" "")"),"Shirley")</f>
        <v>Shirley</v>
      </c>
      <c r="K1447" s="1" t="str">
        <f ca="1">IFERROR(__xludf.DUMMYFUNCTION("""COMPUTED_VALUE"""),"Daniels")</f>
        <v>Daniels</v>
      </c>
      <c r="L1447" s="1"/>
      <c r="M1447" s="1" t="s">
        <v>87</v>
      </c>
      <c r="N1447" s="1" t="s">
        <v>30</v>
      </c>
      <c r="O1447" s="1" t="s">
        <v>259</v>
      </c>
      <c r="P1447" s="1" t="str">
        <f t="shared" si="1302"/>
        <v>Chicago</v>
      </c>
      <c r="Q1447" s="1" t="s">
        <v>182</v>
      </c>
      <c r="R1447" s="1" t="str">
        <f t="shared" si="1303"/>
        <v>Illinois</v>
      </c>
      <c r="S1447" s="1">
        <v>60653</v>
      </c>
      <c r="T1447" s="1" t="s">
        <v>90</v>
      </c>
      <c r="U1447" s="1" t="s">
        <v>788</v>
      </c>
      <c r="V1447" s="1" t="s">
        <v>46</v>
      </c>
      <c r="W1447" s="7">
        <v>164.73599999999999</v>
      </c>
      <c r="X1447" s="1">
        <v>6</v>
      </c>
      <c r="Y1447" s="7">
        <v>164.43</v>
      </c>
      <c r="Z1447" s="7">
        <f t="shared" ref="Z1447:AA1447" si="1475">W1447*X1447</f>
        <v>988.41599999999994</v>
      </c>
      <c r="AA1447" s="7">
        <f t="shared" si="1475"/>
        <v>986.58</v>
      </c>
      <c r="AB1447" s="7">
        <f t="shared" si="1305"/>
        <v>1.835999999999899</v>
      </c>
    </row>
    <row r="1448" spans="1:28">
      <c r="A1448" s="1">
        <v>1447</v>
      </c>
      <c r="B1448" s="1" t="s">
        <v>3223</v>
      </c>
      <c r="C1448" s="2">
        <v>43264</v>
      </c>
      <c r="D1448" s="6" t="str">
        <f t="shared" si="1300"/>
        <v>Jun</v>
      </c>
      <c r="E1448" s="6" t="str">
        <f t="shared" si="1301"/>
        <v>Qtr 2</v>
      </c>
      <c r="F1448" s="5" t="s">
        <v>3224</v>
      </c>
      <c r="G1448" s="1" t="s">
        <v>162</v>
      </c>
      <c r="H1448" s="1" t="s">
        <v>1220</v>
      </c>
      <c r="I1448" s="1" t="s">
        <v>1221</v>
      </c>
      <c r="J1448" s="1" t="str">
        <f ca="1">IFERROR(__xludf.DUMMYFUNCTION("split(I1448,"" "")"),"Shirley")</f>
        <v>Shirley</v>
      </c>
      <c r="K1448" s="1" t="str">
        <f ca="1">IFERROR(__xludf.DUMMYFUNCTION("""COMPUTED_VALUE"""),"Daniels")</f>
        <v>Daniels</v>
      </c>
      <c r="L1448" s="1"/>
      <c r="M1448" s="1" t="s">
        <v>87</v>
      </c>
      <c r="N1448" s="1" t="s">
        <v>30</v>
      </c>
      <c r="O1448" s="1" t="s">
        <v>259</v>
      </c>
      <c r="P1448" s="1" t="str">
        <f t="shared" si="1302"/>
        <v>Chicago</v>
      </c>
      <c r="Q1448" s="1" t="s">
        <v>182</v>
      </c>
      <c r="R1448" s="1" t="str">
        <f t="shared" si="1303"/>
        <v>Illinois</v>
      </c>
      <c r="S1448" s="1">
        <v>60653</v>
      </c>
      <c r="T1448" s="1" t="s">
        <v>90</v>
      </c>
      <c r="U1448" s="1" t="s">
        <v>3225</v>
      </c>
      <c r="V1448" s="1" t="s">
        <v>35</v>
      </c>
      <c r="W1448" s="7">
        <v>470.30200000000002</v>
      </c>
      <c r="X1448" s="1">
        <v>6</v>
      </c>
      <c r="Y1448" s="7">
        <v>469.44</v>
      </c>
      <c r="Z1448" s="7">
        <f t="shared" ref="Z1448:AA1448" si="1476">W1448*X1448</f>
        <v>2821.8119999999999</v>
      </c>
      <c r="AA1448" s="7">
        <f t="shared" si="1476"/>
        <v>2816.64</v>
      </c>
      <c r="AB1448" s="7">
        <f t="shared" si="1305"/>
        <v>5.1720000000000255</v>
      </c>
    </row>
    <row r="1449" spans="1:28">
      <c r="A1449" s="1">
        <v>1448</v>
      </c>
      <c r="B1449" s="1" t="s">
        <v>3223</v>
      </c>
      <c r="C1449" s="2">
        <v>43264</v>
      </c>
      <c r="D1449" s="6" t="str">
        <f t="shared" si="1300"/>
        <v>Jun</v>
      </c>
      <c r="E1449" s="6" t="str">
        <f t="shared" si="1301"/>
        <v>Qtr 2</v>
      </c>
      <c r="F1449" s="5" t="s">
        <v>3224</v>
      </c>
      <c r="G1449" s="1" t="s">
        <v>162</v>
      </c>
      <c r="H1449" s="1" t="s">
        <v>1220</v>
      </c>
      <c r="I1449" s="1" t="s">
        <v>1221</v>
      </c>
      <c r="J1449" s="1" t="str">
        <f ca="1">IFERROR(__xludf.DUMMYFUNCTION("split(I1449,"" "")"),"Shirley")</f>
        <v>Shirley</v>
      </c>
      <c r="K1449" s="1" t="str">
        <f ca="1">IFERROR(__xludf.DUMMYFUNCTION("""COMPUTED_VALUE"""),"Daniels")</f>
        <v>Daniels</v>
      </c>
      <c r="L1449" s="1"/>
      <c r="M1449" s="1" t="s">
        <v>87</v>
      </c>
      <c r="N1449" s="1" t="s">
        <v>30</v>
      </c>
      <c r="O1449" s="1" t="s">
        <v>259</v>
      </c>
      <c r="P1449" s="1" t="str">
        <f t="shared" si="1302"/>
        <v>Chicago</v>
      </c>
      <c r="Q1449" s="1" t="s">
        <v>182</v>
      </c>
      <c r="R1449" s="1" t="str">
        <f t="shared" si="1303"/>
        <v>Illinois</v>
      </c>
      <c r="S1449" s="1">
        <v>60653</v>
      </c>
      <c r="T1449" s="1" t="s">
        <v>90</v>
      </c>
      <c r="U1449" s="1" t="s">
        <v>3226</v>
      </c>
      <c r="V1449" s="1" t="s">
        <v>64</v>
      </c>
      <c r="W1449" s="7">
        <v>47.984000000000002</v>
      </c>
      <c r="X1449" s="1">
        <v>6</v>
      </c>
      <c r="Y1449" s="7">
        <v>47.81</v>
      </c>
      <c r="Z1449" s="7">
        <f t="shared" ref="Z1449:AA1449" si="1477">W1449*X1449</f>
        <v>287.904</v>
      </c>
      <c r="AA1449" s="7">
        <f t="shared" si="1477"/>
        <v>286.86</v>
      </c>
      <c r="AB1449" s="7">
        <f t="shared" si="1305"/>
        <v>1.0439999999999827</v>
      </c>
    </row>
    <row r="1450" spans="1:28">
      <c r="A1450" s="1">
        <v>1449</v>
      </c>
      <c r="B1450" s="1" t="s">
        <v>3227</v>
      </c>
      <c r="C1450" s="2">
        <v>42117</v>
      </c>
      <c r="D1450" s="6" t="str">
        <f t="shared" si="1300"/>
        <v>Apr</v>
      </c>
      <c r="E1450" s="6" t="str">
        <f t="shared" si="1301"/>
        <v>Qtr 2</v>
      </c>
      <c r="F1450" s="5" t="s">
        <v>3228</v>
      </c>
      <c r="G1450" s="1" t="s">
        <v>162</v>
      </c>
      <c r="H1450" s="1" t="s">
        <v>2589</v>
      </c>
      <c r="I1450" s="1" t="s">
        <v>2590</v>
      </c>
      <c r="J1450" s="1" t="str">
        <f ca="1">IFERROR(__xludf.DUMMYFUNCTION("split(I1450,"" "")"),"Theresa")</f>
        <v>Theresa</v>
      </c>
      <c r="K1450" s="1" t="str">
        <f ca="1">IFERROR(__xludf.DUMMYFUNCTION("""COMPUTED_VALUE"""),"Swint")</f>
        <v>Swint</v>
      </c>
      <c r="L1450" s="1"/>
      <c r="M1450" s="1" t="s">
        <v>41</v>
      </c>
      <c r="N1450" s="1" t="s">
        <v>30</v>
      </c>
      <c r="O1450" s="1" t="s">
        <v>126</v>
      </c>
      <c r="P1450" s="1" t="str">
        <f t="shared" si="1302"/>
        <v>Philadelphia</v>
      </c>
      <c r="Q1450" s="1" t="s">
        <v>127</v>
      </c>
      <c r="R1450" s="1" t="str">
        <f t="shared" si="1303"/>
        <v>Pennsylvania</v>
      </c>
      <c r="S1450" s="1">
        <v>19134</v>
      </c>
      <c r="T1450" s="1" t="s">
        <v>128</v>
      </c>
      <c r="U1450" s="1" t="s">
        <v>3229</v>
      </c>
      <c r="V1450" s="1" t="s">
        <v>46</v>
      </c>
      <c r="W1450" s="7">
        <v>2.5019999999999998</v>
      </c>
      <c r="X1450" s="1">
        <v>1</v>
      </c>
      <c r="Y1450" s="7">
        <v>2.25</v>
      </c>
      <c r="Z1450" s="7">
        <f t="shared" ref="Z1450:AA1450" si="1478">W1450*X1450</f>
        <v>2.5019999999999998</v>
      </c>
      <c r="AA1450" s="7">
        <f t="shared" si="1478"/>
        <v>2.25</v>
      </c>
      <c r="AB1450" s="7">
        <f t="shared" si="1305"/>
        <v>0.25199999999999978</v>
      </c>
    </row>
    <row r="1451" spans="1:28">
      <c r="A1451" s="1">
        <v>1450</v>
      </c>
      <c r="B1451" s="1" t="s">
        <v>3230</v>
      </c>
      <c r="C1451" s="2">
        <v>42374</v>
      </c>
      <c r="D1451" s="6" t="str">
        <f t="shared" si="1300"/>
        <v>Jan</v>
      </c>
      <c r="E1451" s="6" t="str">
        <f t="shared" si="1301"/>
        <v>Qtr 1</v>
      </c>
      <c r="F1451" s="5">
        <v>42556</v>
      </c>
      <c r="G1451" s="1" t="s">
        <v>49</v>
      </c>
      <c r="H1451" s="1" t="s">
        <v>581</v>
      </c>
      <c r="I1451" s="1" t="s">
        <v>582</v>
      </c>
      <c r="J1451" s="1" t="str">
        <f ca="1">IFERROR(__xludf.DUMMYFUNCTION("split(I1451,"" "")"),"Jennifer")</f>
        <v>Jennifer</v>
      </c>
      <c r="K1451" s="1" t="str">
        <f ca="1">IFERROR(__xludf.DUMMYFUNCTION("""COMPUTED_VALUE"""),"Braxton")</f>
        <v>Braxton</v>
      </c>
      <c r="L1451" s="1"/>
      <c r="M1451" s="1" t="s">
        <v>41</v>
      </c>
      <c r="N1451" s="1" t="s">
        <v>30</v>
      </c>
      <c r="O1451" s="1" t="s">
        <v>42</v>
      </c>
      <c r="P1451" s="1" t="str">
        <f t="shared" si="1302"/>
        <v>Los Angeles</v>
      </c>
      <c r="Q1451" s="1" t="s">
        <v>68</v>
      </c>
      <c r="R1451" s="1" t="str">
        <f t="shared" si="1303"/>
        <v>California</v>
      </c>
      <c r="S1451" s="1">
        <v>90008</v>
      </c>
      <c r="T1451" s="1" t="s">
        <v>44</v>
      </c>
      <c r="U1451" s="1" t="s">
        <v>3231</v>
      </c>
      <c r="V1451" s="1" t="s">
        <v>64</v>
      </c>
      <c r="W1451" s="7">
        <v>88.751999999999995</v>
      </c>
      <c r="X1451" s="1">
        <v>9</v>
      </c>
      <c r="Y1451" s="7">
        <v>88.64</v>
      </c>
      <c r="Z1451" s="7">
        <f t="shared" ref="Z1451:AA1451" si="1479">W1451*X1451</f>
        <v>798.76799999999992</v>
      </c>
      <c r="AA1451" s="7">
        <f t="shared" si="1479"/>
        <v>797.76</v>
      </c>
      <c r="AB1451" s="7">
        <f t="shared" si="1305"/>
        <v>1.0079999999999245</v>
      </c>
    </row>
    <row r="1452" spans="1:28">
      <c r="A1452" s="1">
        <v>1451</v>
      </c>
      <c r="B1452" s="1" t="s">
        <v>3232</v>
      </c>
      <c r="C1452" s="2">
        <v>42570</v>
      </c>
      <c r="D1452" s="6" t="str">
        <f t="shared" si="1300"/>
        <v>Jul</v>
      </c>
      <c r="E1452" s="6" t="str">
        <f t="shared" si="1301"/>
        <v>Qtr 3</v>
      </c>
      <c r="F1452" s="5" t="s">
        <v>3233</v>
      </c>
      <c r="G1452" s="1" t="s">
        <v>162</v>
      </c>
      <c r="H1452" s="1" t="s">
        <v>3234</v>
      </c>
      <c r="I1452" s="1" t="s">
        <v>3235</v>
      </c>
      <c r="J1452" s="1" t="str">
        <f ca="1">IFERROR(__xludf.DUMMYFUNCTION("split(I1452,"" "")"),"Thais")</f>
        <v>Thais</v>
      </c>
      <c r="K1452" s="1" t="str">
        <f ca="1">IFERROR(__xludf.DUMMYFUNCTION("""COMPUTED_VALUE"""),"Sissman")</f>
        <v>Sissman</v>
      </c>
      <c r="L1452" s="1"/>
      <c r="M1452" s="1" t="s">
        <v>29</v>
      </c>
      <c r="N1452" s="1" t="s">
        <v>30</v>
      </c>
      <c r="O1452" s="1" t="s">
        <v>457</v>
      </c>
      <c r="P1452" s="1" t="str">
        <f t="shared" si="1302"/>
        <v>Phoenix</v>
      </c>
      <c r="Q1452" s="1" t="s">
        <v>265</v>
      </c>
      <c r="R1452" s="1" t="str">
        <f t="shared" si="1303"/>
        <v>Arizona</v>
      </c>
      <c r="S1452" s="1">
        <v>85023</v>
      </c>
      <c r="T1452" s="1" t="s">
        <v>44</v>
      </c>
      <c r="U1452" s="1" t="s">
        <v>3236</v>
      </c>
      <c r="V1452" s="1" t="s">
        <v>46</v>
      </c>
      <c r="W1452" s="7">
        <v>2.0249999999999999</v>
      </c>
      <c r="X1452" s="1">
        <v>8</v>
      </c>
      <c r="Y1452" s="7">
        <v>2.02</v>
      </c>
      <c r="Z1452" s="7">
        <f t="shared" ref="Z1452:AA1452" si="1480">W1452*X1452</f>
        <v>16.2</v>
      </c>
      <c r="AA1452" s="7">
        <f t="shared" si="1480"/>
        <v>16.16</v>
      </c>
      <c r="AB1452" s="7">
        <f t="shared" si="1305"/>
        <v>3.9999999999999147E-2</v>
      </c>
    </row>
    <row r="1453" spans="1:28">
      <c r="A1453" s="1">
        <v>1452</v>
      </c>
      <c r="B1453" s="1" t="s">
        <v>3237</v>
      </c>
      <c r="C1453" s="2">
        <v>43065</v>
      </c>
      <c r="D1453" s="6" t="str">
        <f t="shared" si="1300"/>
        <v>Nov</v>
      </c>
      <c r="E1453" s="6" t="str">
        <f t="shared" si="1301"/>
        <v>Qtr 4</v>
      </c>
      <c r="F1453" s="5" t="s">
        <v>3238</v>
      </c>
      <c r="G1453" s="1" t="s">
        <v>162</v>
      </c>
      <c r="H1453" s="1" t="s">
        <v>3239</v>
      </c>
      <c r="I1453" s="1" t="s">
        <v>3240</v>
      </c>
      <c r="J1453" s="1" t="str">
        <f ca="1">IFERROR(__xludf.DUMMYFUNCTION("split(I1453,"" "")"),"Mark")</f>
        <v>Mark</v>
      </c>
      <c r="K1453" s="1" t="str">
        <f ca="1">IFERROR(__xludf.DUMMYFUNCTION("""COMPUTED_VALUE"""),"Cousins")</f>
        <v>Cousins</v>
      </c>
      <c r="L1453" s="1"/>
      <c r="M1453" s="1" t="s">
        <v>41</v>
      </c>
      <c r="N1453" s="1" t="s">
        <v>30</v>
      </c>
      <c r="O1453" s="1" t="s">
        <v>3241</v>
      </c>
      <c r="P1453" s="1" t="str">
        <f t="shared" si="1302"/>
        <v>Mobile</v>
      </c>
      <c r="Q1453" s="1" t="s">
        <v>304</v>
      </c>
      <c r="R1453" s="1" t="str">
        <f t="shared" si="1303"/>
        <v>Alabama</v>
      </c>
      <c r="S1453" s="1">
        <v>36608</v>
      </c>
      <c r="T1453" s="1" t="s">
        <v>33</v>
      </c>
      <c r="U1453" s="1" t="s">
        <v>2845</v>
      </c>
      <c r="V1453" s="1" t="s">
        <v>46</v>
      </c>
      <c r="W1453" s="7">
        <v>70.98</v>
      </c>
      <c r="X1453" s="1">
        <v>3</v>
      </c>
      <c r="Y1453" s="7">
        <v>70.53</v>
      </c>
      <c r="Z1453" s="7">
        <f t="shared" ref="Z1453:AA1453" si="1481">W1453*X1453</f>
        <v>212.94</v>
      </c>
      <c r="AA1453" s="7">
        <f t="shared" si="1481"/>
        <v>211.59</v>
      </c>
      <c r="AB1453" s="7">
        <f t="shared" si="1305"/>
        <v>1.3499999999999943</v>
      </c>
    </row>
    <row r="1454" spans="1:28">
      <c r="A1454" s="1">
        <v>1453</v>
      </c>
      <c r="B1454" s="1" t="s">
        <v>3237</v>
      </c>
      <c r="C1454" s="2">
        <v>43065</v>
      </c>
      <c r="D1454" s="6" t="str">
        <f t="shared" si="1300"/>
        <v>Nov</v>
      </c>
      <c r="E1454" s="6" t="str">
        <f t="shared" si="1301"/>
        <v>Qtr 4</v>
      </c>
      <c r="F1454" s="5" t="s">
        <v>3238</v>
      </c>
      <c r="G1454" s="1" t="s">
        <v>162</v>
      </c>
      <c r="H1454" s="1" t="s">
        <v>3239</v>
      </c>
      <c r="I1454" s="1" t="s">
        <v>3240</v>
      </c>
      <c r="J1454" s="1" t="str">
        <f ca="1">IFERROR(__xludf.DUMMYFUNCTION("split(I1454,"" "")"),"Mark")</f>
        <v>Mark</v>
      </c>
      <c r="K1454" s="1" t="str">
        <f ca="1">IFERROR(__xludf.DUMMYFUNCTION("""COMPUTED_VALUE"""),"Cousins")</f>
        <v>Cousins</v>
      </c>
      <c r="L1454" s="1"/>
      <c r="M1454" s="1" t="s">
        <v>41</v>
      </c>
      <c r="N1454" s="1" t="s">
        <v>30</v>
      </c>
      <c r="O1454" s="1" t="s">
        <v>3241</v>
      </c>
      <c r="P1454" s="1" t="str">
        <f t="shared" si="1302"/>
        <v>Mobile</v>
      </c>
      <c r="Q1454" s="1" t="s">
        <v>304</v>
      </c>
      <c r="R1454" s="1" t="str">
        <f t="shared" si="1303"/>
        <v>Alabama</v>
      </c>
      <c r="S1454" s="1">
        <v>36608</v>
      </c>
      <c r="T1454" s="1" t="s">
        <v>33</v>
      </c>
      <c r="U1454" s="1" t="s">
        <v>3242</v>
      </c>
      <c r="V1454" s="1" t="s">
        <v>46</v>
      </c>
      <c r="W1454" s="7">
        <v>91.68</v>
      </c>
      <c r="X1454" s="1">
        <v>3</v>
      </c>
      <c r="Y1454" s="7">
        <v>90.91</v>
      </c>
      <c r="Z1454" s="7">
        <f t="shared" ref="Z1454:AA1454" si="1482">W1454*X1454</f>
        <v>275.04000000000002</v>
      </c>
      <c r="AA1454" s="7">
        <f t="shared" si="1482"/>
        <v>272.73</v>
      </c>
      <c r="AB1454" s="7">
        <f t="shared" si="1305"/>
        <v>2.3100000000000023</v>
      </c>
    </row>
    <row r="1455" spans="1:28">
      <c r="A1455" s="1">
        <v>1454</v>
      </c>
      <c r="B1455" s="1" t="s">
        <v>3237</v>
      </c>
      <c r="C1455" s="2">
        <v>43065</v>
      </c>
      <c r="D1455" s="6" t="str">
        <f t="shared" si="1300"/>
        <v>Nov</v>
      </c>
      <c r="E1455" s="6" t="str">
        <f t="shared" si="1301"/>
        <v>Qtr 4</v>
      </c>
      <c r="F1455" s="5" t="s">
        <v>3238</v>
      </c>
      <c r="G1455" s="1" t="s">
        <v>162</v>
      </c>
      <c r="H1455" s="1" t="s">
        <v>3239</v>
      </c>
      <c r="I1455" s="1" t="s">
        <v>3240</v>
      </c>
      <c r="J1455" s="1" t="str">
        <f ca="1">IFERROR(__xludf.DUMMYFUNCTION("split(I1455,"" "")"),"Mark")</f>
        <v>Mark</v>
      </c>
      <c r="K1455" s="1" t="str">
        <f ca="1">IFERROR(__xludf.DUMMYFUNCTION("""COMPUTED_VALUE"""),"Cousins")</f>
        <v>Cousins</v>
      </c>
      <c r="L1455" s="1"/>
      <c r="M1455" s="1" t="s">
        <v>41</v>
      </c>
      <c r="N1455" s="1" t="s">
        <v>30</v>
      </c>
      <c r="O1455" s="1" t="s">
        <v>3241</v>
      </c>
      <c r="P1455" s="1" t="str">
        <f t="shared" si="1302"/>
        <v>Mobile</v>
      </c>
      <c r="Q1455" s="1" t="s">
        <v>304</v>
      </c>
      <c r="R1455" s="1" t="str">
        <f t="shared" si="1303"/>
        <v>Alabama</v>
      </c>
      <c r="S1455" s="1">
        <v>36608</v>
      </c>
      <c r="T1455" s="1" t="s">
        <v>33</v>
      </c>
      <c r="U1455" s="1" t="s">
        <v>3236</v>
      </c>
      <c r="V1455" s="1" t="s">
        <v>46</v>
      </c>
      <c r="W1455" s="7">
        <v>33.75</v>
      </c>
      <c r="X1455" s="1">
        <v>3</v>
      </c>
      <c r="Y1455" s="7">
        <v>33.130000000000003</v>
      </c>
      <c r="Z1455" s="7">
        <f t="shared" ref="Z1455:AA1455" si="1483">W1455*X1455</f>
        <v>101.25</v>
      </c>
      <c r="AA1455" s="7">
        <f t="shared" si="1483"/>
        <v>99.390000000000015</v>
      </c>
      <c r="AB1455" s="7">
        <f t="shared" si="1305"/>
        <v>1.8599999999999852</v>
      </c>
    </row>
    <row r="1456" spans="1:28">
      <c r="A1456" s="1">
        <v>1455</v>
      </c>
      <c r="B1456" s="1" t="s">
        <v>3237</v>
      </c>
      <c r="C1456" s="2">
        <v>43065</v>
      </c>
      <c r="D1456" s="6" t="str">
        <f t="shared" si="1300"/>
        <v>Nov</v>
      </c>
      <c r="E1456" s="6" t="str">
        <f t="shared" si="1301"/>
        <v>Qtr 4</v>
      </c>
      <c r="F1456" s="5" t="s">
        <v>3238</v>
      </c>
      <c r="G1456" s="1" t="s">
        <v>162</v>
      </c>
      <c r="H1456" s="1" t="s">
        <v>3239</v>
      </c>
      <c r="I1456" s="1" t="s">
        <v>3240</v>
      </c>
      <c r="J1456" s="1" t="str">
        <f ca="1">IFERROR(__xludf.DUMMYFUNCTION("split(I1456,"" "")"),"Mark")</f>
        <v>Mark</v>
      </c>
      <c r="K1456" s="1" t="str">
        <f ca="1">IFERROR(__xludf.DUMMYFUNCTION("""COMPUTED_VALUE"""),"Cousins")</f>
        <v>Cousins</v>
      </c>
      <c r="L1456" s="1"/>
      <c r="M1456" s="1" t="s">
        <v>41</v>
      </c>
      <c r="N1456" s="1" t="s">
        <v>30</v>
      </c>
      <c r="O1456" s="1" t="s">
        <v>3241</v>
      </c>
      <c r="P1456" s="1" t="str">
        <f t="shared" si="1302"/>
        <v>Mobile</v>
      </c>
      <c r="Q1456" s="1" t="s">
        <v>304</v>
      </c>
      <c r="R1456" s="1" t="str">
        <f t="shared" si="1303"/>
        <v>Alabama</v>
      </c>
      <c r="S1456" s="1">
        <v>36608</v>
      </c>
      <c r="T1456" s="1" t="s">
        <v>33</v>
      </c>
      <c r="U1456" s="1" t="s">
        <v>3243</v>
      </c>
      <c r="V1456" s="1" t="s">
        <v>64</v>
      </c>
      <c r="W1456" s="7">
        <v>3040</v>
      </c>
      <c r="X1456" s="1">
        <v>3</v>
      </c>
      <c r="Y1456" s="7">
        <v>3039.91</v>
      </c>
      <c r="Z1456" s="7">
        <f t="shared" ref="Z1456:AA1456" si="1484">W1456*X1456</f>
        <v>9120</v>
      </c>
      <c r="AA1456" s="7">
        <f t="shared" si="1484"/>
        <v>9119.73</v>
      </c>
      <c r="AB1456" s="7">
        <f t="shared" si="1305"/>
        <v>0.27000000000043656</v>
      </c>
    </row>
    <row r="1457" spans="1:28">
      <c r="A1457" s="1">
        <v>1456</v>
      </c>
      <c r="B1457" s="1" t="s">
        <v>3244</v>
      </c>
      <c r="C1457" s="2">
        <v>43440</v>
      </c>
      <c r="D1457" s="6" t="str">
        <f t="shared" si="1300"/>
        <v>Dec</v>
      </c>
      <c r="E1457" s="6" t="str">
        <f t="shared" si="1301"/>
        <v>Qtr 4</v>
      </c>
      <c r="F1457" s="5" t="s">
        <v>1007</v>
      </c>
      <c r="G1457" s="1" t="s">
        <v>49</v>
      </c>
      <c r="H1457" s="1" t="s">
        <v>3245</v>
      </c>
      <c r="I1457" s="1" t="s">
        <v>3246</v>
      </c>
      <c r="J1457" s="1" t="str">
        <f ca="1">IFERROR(__xludf.DUMMYFUNCTION("split(I1457,"" "")"),"Maria")</f>
        <v>Maria</v>
      </c>
      <c r="K1457" s="1" t="str">
        <f ca="1">IFERROR(__xludf.DUMMYFUNCTION("""COMPUTED_VALUE"""),"Etezadi")</f>
        <v>Etezadi</v>
      </c>
      <c r="L1457" s="1"/>
      <c r="M1457" s="1" t="s">
        <v>87</v>
      </c>
      <c r="N1457" s="1" t="s">
        <v>30</v>
      </c>
      <c r="O1457" s="1" t="s">
        <v>420</v>
      </c>
      <c r="P1457" s="1" t="str">
        <f t="shared" si="1302"/>
        <v>Columbus</v>
      </c>
      <c r="Q1457" s="1" t="s">
        <v>1035</v>
      </c>
      <c r="R1457" s="1" t="str">
        <f t="shared" si="1303"/>
        <v>Georgia</v>
      </c>
      <c r="S1457" s="1">
        <v>31907</v>
      </c>
      <c r="T1457" s="1" t="s">
        <v>33</v>
      </c>
      <c r="U1457" s="1" t="s">
        <v>3247</v>
      </c>
      <c r="V1457" s="1" t="s">
        <v>46</v>
      </c>
      <c r="W1457" s="7">
        <v>91.2</v>
      </c>
      <c r="X1457" s="1">
        <v>3</v>
      </c>
      <c r="Y1457" s="7">
        <v>90.82</v>
      </c>
      <c r="Z1457" s="7">
        <f t="shared" ref="Z1457:AA1457" si="1485">W1457*X1457</f>
        <v>273.60000000000002</v>
      </c>
      <c r="AA1457" s="7">
        <f t="shared" si="1485"/>
        <v>272.45999999999998</v>
      </c>
      <c r="AB1457" s="7">
        <f t="shared" si="1305"/>
        <v>1.1400000000000432</v>
      </c>
    </row>
    <row r="1458" spans="1:28">
      <c r="A1458" s="1">
        <v>1457</v>
      </c>
      <c r="B1458" s="1" t="s">
        <v>3244</v>
      </c>
      <c r="C1458" s="2">
        <v>43440</v>
      </c>
      <c r="D1458" s="6" t="str">
        <f t="shared" si="1300"/>
        <v>Dec</v>
      </c>
      <c r="E1458" s="6" t="str">
        <f t="shared" si="1301"/>
        <v>Qtr 4</v>
      </c>
      <c r="F1458" s="5" t="s">
        <v>1007</v>
      </c>
      <c r="G1458" s="1" t="s">
        <v>49</v>
      </c>
      <c r="H1458" s="1" t="s">
        <v>3245</v>
      </c>
      <c r="I1458" s="1" t="s">
        <v>3246</v>
      </c>
      <c r="J1458" s="1" t="str">
        <f ca="1">IFERROR(__xludf.DUMMYFUNCTION("split(I1458,"" "")"),"Maria")</f>
        <v>Maria</v>
      </c>
      <c r="K1458" s="1" t="str">
        <f ca="1">IFERROR(__xludf.DUMMYFUNCTION("""COMPUTED_VALUE"""),"Etezadi")</f>
        <v>Etezadi</v>
      </c>
      <c r="L1458" s="1"/>
      <c r="M1458" s="1" t="s">
        <v>87</v>
      </c>
      <c r="N1458" s="1" t="s">
        <v>30</v>
      </c>
      <c r="O1458" s="1" t="s">
        <v>420</v>
      </c>
      <c r="P1458" s="1" t="str">
        <f t="shared" si="1302"/>
        <v>Columbus</v>
      </c>
      <c r="Q1458" s="1" t="s">
        <v>1035</v>
      </c>
      <c r="R1458" s="1" t="str">
        <f t="shared" si="1303"/>
        <v>Georgia</v>
      </c>
      <c r="S1458" s="1">
        <v>31907</v>
      </c>
      <c r="T1458" s="1" t="s">
        <v>33</v>
      </c>
      <c r="U1458" s="1" t="s">
        <v>3248</v>
      </c>
      <c r="V1458" s="1" t="s">
        <v>35</v>
      </c>
      <c r="W1458" s="7">
        <v>452.94</v>
      </c>
      <c r="X1458" s="1">
        <v>3</v>
      </c>
      <c r="Y1458" s="7">
        <v>452.59</v>
      </c>
      <c r="Z1458" s="7">
        <f t="shared" ref="Z1458:AA1458" si="1486">W1458*X1458</f>
        <v>1358.82</v>
      </c>
      <c r="AA1458" s="7">
        <f t="shared" si="1486"/>
        <v>1357.77</v>
      </c>
      <c r="AB1458" s="7">
        <f t="shared" si="1305"/>
        <v>1.0499999999999545</v>
      </c>
    </row>
    <row r="1459" spans="1:28">
      <c r="A1459" s="1">
        <v>1458</v>
      </c>
      <c r="B1459" s="1" t="s">
        <v>3249</v>
      </c>
      <c r="C1459" s="2">
        <v>42599</v>
      </c>
      <c r="D1459" s="6" t="str">
        <f t="shared" si="1300"/>
        <v>Aug</v>
      </c>
      <c r="E1459" s="6" t="str">
        <f t="shared" si="1301"/>
        <v>Qtr 3</v>
      </c>
      <c r="F1459" s="5" t="s">
        <v>3250</v>
      </c>
      <c r="G1459" s="1" t="s">
        <v>49</v>
      </c>
      <c r="H1459" s="1" t="s">
        <v>3219</v>
      </c>
      <c r="I1459" s="1" t="s">
        <v>3220</v>
      </c>
      <c r="J1459" s="1" t="str">
        <f ca="1">IFERROR(__xludf.DUMMYFUNCTION("split(I1459,"" "")"),"Shaun")</f>
        <v>Shaun</v>
      </c>
      <c r="K1459" s="1" t="str">
        <f ca="1">IFERROR(__xludf.DUMMYFUNCTION("""COMPUTED_VALUE"""),"Chance")</f>
        <v>Chance</v>
      </c>
      <c r="L1459" s="1"/>
      <c r="M1459" s="1" t="s">
        <v>41</v>
      </c>
      <c r="N1459" s="1" t="s">
        <v>30</v>
      </c>
      <c r="O1459" s="1" t="s">
        <v>3251</v>
      </c>
      <c r="P1459" s="1" t="str">
        <f t="shared" si="1302"/>
        <v>New Bedford</v>
      </c>
      <c r="Q1459" s="1" t="s">
        <v>1014</v>
      </c>
      <c r="R1459" s="1" t="str">
        <f t="shared" si="1303"/>
        <v>Massachusetts</v>
      </c>
      <c r="S1459" s="1">
        <v>2740</v>
      </c>
      <c r="T1459" s="1" t="s">
        <v>128</v>
      </c>
      <c r="U1459" s="1" t="s">
        <v>1054</v>
      </c>
      <c r="V1459" s="1" t="s">
        <v>46</v>
      </c>
      <c r="W1459" s="7">
        <v>52.2</v>
      </c>
      <c r="X1459" s="1">
        <v>2</v>
      </c>
      <c r="Y1459" s="7">
        <v>51.92</v>
      </c>
      <c r="Z1459" s="7">
        <f t="shared" ref="Z1459:AA1459" si="1487">W1459*X1459</f>
        <v>104.4</v>
      </c>
      <c r="AA1459" s="7">
        <f t="shared" si="1487"/>
        <v>103.84</v>
      </c>
      <c r="AB1459" s="7">
        <f t="shared" si="1305"/>
        <v>0.56000000000000227</v>
      </c>
    </row>
    <row r="1460" spans="1:28">
      <c r="A1460" s="1">
        <v>1459</v>
      </c>
      <c r="B1460" s="1" t="s">
        <v>3252</v>
      </c>
      <c r="C1460" s="2">
        <v>43003</v>
      </c>
      <c r="D1460" s="6" t="str">
        <f t="shared" si="1300"/>
        <v>Sep</v>
      </c>
      <c r="E1460" s="6" t="str">
        <f t="shared" si="1301"/>
        <v>Qtr 3</v>
      </c>
      <c r="F1460" s="5">
        <v>42745</v>
      </c>
      <c r="G1460" s="1" t="s">
        <v>49</v>
      </c>
      <c r="H1460" s="1" t="s">
        <v>3253</v>
      </c>
      <c r="I1460" s="1" t="s">
        <v>3254</v>
      </c>
      <c r="J1460" s="1" t="str">
        <f ca="1">IFERROR(__xludf.DUMMYFUNCTION("split(I1460,"" "")"),"Nicole")</f>
        <v>Nicole</v>
      </c>
      <c r="K1460" s="1" t="str">
        <f ca="1">IFERROR(__xludf.DUMMYFUNCTION("""COMPUTED_VALUE"""),"Hansen")</f>
        <v>Hansen</v>
      </c>
      <c r="L1460" s="1"/>
      <c r="M1460" s="1" t="s">
        <v>41</v>
      </c>
      <c r="N1460" s="1" t="s">
        <v>30</v>
      </c>
      <c r="O1460" s="1" t="s">
        <v>3255</v>
      </c>
      <c r="P1460" s="1" t="str">
        <f t="shared" si="1302"/>
        <v>Irving</v>
      </c>
      <c r="Q1460" s="1" t="s">
        <v>89</v>
      </c>
      <c r="R1460" s="1" t="str">
        <f t="shared" si="1303"/>
        <v>Texas</v>
      </c>
      <c r="S1460" s="1">
        <v>75061</v>
      </c>
      <c r="T1460" s="1" t="s">
        <v>90</v>
      </c>
      <c r="U1460" s="1" t="s">
        <v>2042</v>
      </c>
      <c r="V1460" s="1" t="s">
        <v>46</v>
      </c>
      <c r="W1460" s="7">
        <v>15.936</v>
      </c>
      <c r="X1460" s="1">
        <v>7</v>
      </c>
      <c r="Y1460" s="7">
        <v>15.9</v>
      </c>
      <c r="Z1460" s="7">
        <f t="shared" ref="Z1460:AA1460" si="1488">W1460*X1460</f>
        <v>111.55199999999999</v>
      </c>
      <c r="AA1460" s="7">
        <f t="shared" si="1488"/>
        <v>111.3</v>
      </c>
      <c r="AB1460" s="7">
        <f t="shared" si="1305"/>
        <v>0.25199999999999534</v>
      </c>
    </row>
    <row r="1461" spans="1:28">
      <c r="A1461" s="1">
        <v>1460</v>
      </c>
      <c r="B1461" s="1" t="s">
        <v>3256</v>
      </c>
      <c r="C1461" s="2">
        <v>42099</v>
      </c>
      <c r="D1461" s="6" t="str">
        <f t="shared" si="1300"/>
        <v>Apr</v>
      </c>
      <c r="E1461" s="6" t="str">
        <f t="shared" si="1301"/>
        <v>Qtr 2</v>
      </c>
      <c r="F1461" s="5">
        <v>42099</v>
      </c>
      <c r="G1461" s="1" t="s">
        <v>1050</v>
      </c>
      <c r="H1461" s="1" t="s">
        <v>72</v>
      </c>
      <c r="I1461" s="1" t="s">
        <v>73</v>
      </c>
      <c r="J1461" s="1" t="str">
        <f ca="1">IFERROR(__xludf.DUMMYFUNCTION("split(I1461,"" "")"),"Andrew")</f>
        <v>Andrew</v>
      </c>
      <c r="K1461" s="1" t="str">
        <f ca="1">IFERROR(__xludf.DUMMYFUNCTION("""COMPUTED_VALUE"""),"Allen")</f>
        <v>Allen</v>
      </c>
      <c r="L1461" s="1"/>
      <c r="M1461" s="1" t="s">
        <v>29</v>
      </c>
      <c r="N1461" s="1" t="s">
        <v>30</v>
      </c>
      <c r="O1461" s="1" t="s">
        <v>3057</v>
      </c>
      <c r="P1461" s="1" t="str">
        <f t="shared" si="1302"/>
        <v>Middletown</v>
      </c>
      <c r="Q1461" s="1" t="s">
        <v>617</v>
      </c>
      <c r="R1461" s="1" t="str">
        <f t="shared" si="1303"/>
        <v>Connecticut</v>
      </c>
      <c r="S1461" s="1">
        <v>6457</v>
      </c>
      <c r="T1461" s="1" t="s">
        <v>128</v>
      </c>
      <c r="U1461" s="1" t="s">
        <v>3257</v>
      </c>
      <c r="V1461" s="1" t="s">
        <v>35</v>
      </c>
      <c r="W1461" s="7">
        <v>27.46</v>
      </c>
      <c r="X1461" s="1">
        <v>6</v>
      </c>
      <c r="Y1461" s="7">
        <v>27.22</v>
      </c>
      <c r="Z1461" s="7">
        <f t="shared" ref="Z1461:AA1461" si="1489">W1461*X1461</f>
        <v>164.76</v>
      </c>
      <c r="AA1461" s="7">
        <f t="shared" si="1489"/>
        <v>163.32</v>
      </c>
      <c r="AB1461" s="7">
        <f t="shared" si="1305"/>
        <v>1.4399999999999977</v>
      </c>
    </row>
    <row r="1462" spans="1:28">
      <c r="A1462" s="1">
        <v>1461</v>
      </c>
      <c r="B1462" s="1" t="s">
        <v>3258</v>
      </c>
      <c r="C1462" s="2">
        <v>42381</v>
      </c>
      <c r="D1462" s="6" t="str">
        <f t="shared" si="1300"/>
        <v>Jan</v>
      </c>
      <c r="E1462" s="6" t="str">
        <f t="shared" si="1301"/>
        <v>Qtr 1</v>
      </c>
      <c r="F1462" s="5">
        <v>42594</v>
      </c>
      <c r="G1462" s="1" t="s">
        <v>49</v>
      </c>
      <c r="H1462" s="1" t="s">
        <v>675</v>
      </c>
      <c r="I1462" s="1" t="s">
        <v>676</v>
      </c>
      <c r="J1462" s="1" t="str">
        <f ca="1">IFERROR(__xludf.DUMMYFUNCTION("split(I1462,"" "")"),"Logan")</f>
        <v>Logan</v>
      </c>
      <c r="K1462" s="1" t="str">
        <f ca="1">IFERROR(__xludf.DUMMYFUNCTION("""COMPUTED_VALUE"""),"Currie")</f>
        <v>Currie</v>
      </c>
      <c r="L1462" s="1"/>
      <c r="M1462" s="1" t="s">
        <v>29</v>
      </c>
      <c r="N1462" s="1" t="s">
        <v>30</v>
      </c>
      <c r="O1462" s="1" t="s">
        <v>80</v>
      </c>
      <c r="P1462" s="1" t="str">
        <f t="shared" si="1302"/>
        <v>Seattle</v>
      </c>
      <c r="Q1462" s="1" t="s">
        <v>81</v>
      </c>
      <c r="R1462" s="1" t="str">
        <f t="shared" si="1303"/>
        <v>Washington</v>
      </c>
      <c r="S1462" s="1">
        <v>98103</v>
      </c>
      <c r="T1462" s="1" t="s">
        <v>44</v>
      </c>
      <c r="U1462" s="1" t="s">
        <v>3259</v>
      </c>
      <c r="V1462" s="1" t="s">
        <v>46</v>
      </c>
      <c r="W1462" s="7">
        <v>55.423999999999999</v>
      </c>
      <c r="X1462" s="1">
        <v>9</v>
      </c>
      <c r="Y1462" s="7">
        <v>55.24</v>
      </c>
      <c r="Z1462" s="7">
        <f t="shared" ref="Z1462:AA1462" si="1490">W1462*X1462</f>
        <v>498.81599999999997</v>
      </c>
      <c r="AA1462" s="7">
        <f t="shared" si="1490"/>
        <v>497.16</v>
      </c>
      <c r="AB1462" s="7">
        <f t="shared" si="1305"/>
        <v>1.6559999999999491</v>
      </c>
    </row>
    <row r="1463" spans="1:28">
      <c r="A1463" s="1">
        <v>1462</v>
      </c>
      <c r="B1463" s="1" t="s">
        <v>3260</v>
      </c>
      <c r="C1463" s="2">
        <v>43042</v>
      </c>
      <c r="D1463" s="6" t="str">
        <f t="shared" si="1300"/>
        <v>Nov</v>
      </c>
      <c r="E1463" s="6" t="str">
        <f t="shared" si="1301"/>
        <v>Qtr 4</v>
      </c>
      <c r="F1463" s="5" t="s">
        <v>3261</v>
      </c>
      <c r="G1463" s="1" t="s">
        <v>49</v>
      </c>
      <c r="H1463" s="1" t="s">
        <v>3262</v>
      </c>
      <c r="I1463" s="1" t="s">
        <v>3263</v>
      </c>
      <c r="J1463" s="1" t="str">
        <f ca="1">IFERROR(__xludf.DUMMYFUNCTION("split(I1463,"" "")"),"Mick")</f>
        <v>Mick</v>
      </c>
      <c r="K1463" s="1" t="str">
        <f ca="1">IFERROR(__xludf.DUMMYFUNCTION("""COMPUTED_VALUE"""),"Brown")</f>
        <v>Brown</v>
      </c>
      <c r="L1463" s="1"/>
      <c r="M1463" s="1" t="s">
        <v>29</v>
      </c>
      <c r="N1463" s="1" t="s">
        <v>30</v>
      </c>
      <c r="O1463" s="1" t="s">
        <v>3264</v>
      </c>
      <c r="P1463" s="1" t="str">
        <f t="shared" si="1302"/>
        <v>Vineland</v>
      </c>
      <c r="Q1463" s="1" t="s">
        <v>653</v>
      </c>
      <c r="R1463" s="1" t="str">
        <f t="shared" si="1303"/>
        <v>New Jersey</v>
      </c>
      <c r="S1463" s="1">
        <v>8360</v>
      </c>
      <c r="T1463" s="1" t="s">
        <v>128</v>
      </c>
      <c r="U1463" s="1" t="s">
        <v>1960</v>
      </c>
      <c r="V1463" s="1" t="s">
        <v>35</v>
      </c>
      <c r="W1463" s="7">
        <v>244.006</v>
      </c>
      <c r="X1463" s="1">
        <v>8</v>
      </c>
      <c r="Y1463" s="7">
        <v>243.04</v>
      </c>
      <c r="Z1463" s="7">
        <f t="shared" ref="Z1463:AA1463" si="1491">W1463*X1463</f>
        <v>1952.048</v>
      </c>
      <c r="AA1463" s="7">
        <f t="shared" si="1491"/>
        <v>1944.32</v>
      </c>
      <c r="AB1463" s="7">
        <f t="shared" si="1305"/>
        <v>7.7280000000000655</v>
      </c>
    </row>
    <row r="1464" spans="1:28">
      <c r="A1464" s="1">
        <v>1463</v>
      </c>
      <c r="B1464" s="1" t="s">
        <v>3265</v>
      </c>
      <c r="C1464" s="2">
        <v>42973</v>
      </c>
      <c r="D1464" s="6" t="str">
        <f t="shared" si="1300"/>
        <v>Aug</v>
      </c>
      <c r="E1464" s="6" t="str">
        <f t="shared" si="1301"/>
        <v>Qtr 3</v>
      </c>
      <c r="F1464" s="5" t="s">
        <v>1758</v>
      </c>
      <c r="G1464" s="1" t="s">
        <v>162</v>
      </c>
      <c r="H1464" s="1" t="s">
        <v>179</v>
      </c>
      <c r="I1464" s="1" t="s">
        <v>180</v>
      </c>
      <c r="J1464" s="1" t="str">
        <f ca="1">IFERROR(__xludf.DUMMYFUNCTION("split(I1464,"" "")"),"Linda")</f>
        <v>Linda</v>
      </c>
      <c r="K1464" s="1" t="str">
        <f ca="1">IFERROR(__xludf.DUMMYFUNCTION("""COMPUTED_VALUE"""),"Cazamias")</f>
        <v>Cazamias</v>
      </c>
      <c r="L1464" s="1"/>
      <c r="M1464" s="1" t="s">
        <v>41</v>
      </c>
      <c r="N1464" s="1" t="s">
        <v>30</v>
      </c>
      <c r="O1464" s="1" t="s">
        <v>500</v>
      </c>
      <c r="P1464" s="1" t="str">
        <f t="shared" si="1302"/>
        <v>Pasadena</v>
      </c>
      <c r="Q1464" s="1" t="s">
        <v>89</v>
      </c>
      <c r="R1464" s="1" t="str">
        <f t="shared" si="1303"/>
        <v>Texas</v>
      </c>
      <c r="S1464" s="1">
        <v>77506</v>
      </c>
      <c r="T1464" s="1" t="s">
        <v>90</v>
      </c>
      <c r="U1464" s="1" t="s">
        <v>1298</v>
      </c>
      <c r="V1464" s="1" t="s">
        <v>64</v>
      </c>
      <c r="W1464" s="7">
        <v>159.98400000000001</v>
      </c>
      <c r="X1464" s="1">
        <v>7</v>
      </c>
      <c r="Y1464" s="7">
        <v>159.16999999999999</v>
      </c>
      <c r="Z1464" s="7">
        <f t="shared" ref="Z1464:AA1464" si="1492">W1464*X1464</f>
        <v>1119.8880000000001</v>
      </c>
      <c r="AA1464" s="7">
        <f t="shared" si="1492"/>
        <v>1114.1899999999998</v>
      </c>
      <c r="AB1464" s="7">
        <f t="shared" si="1305"/>
        <v>5.6980000000003201</v>
      </c>
    </row>
    <row r="1465" spans="1:28">
      <c r="A1465" s="1">
        <v>1464</v>
      </c>
      <c r="B1465" s="1" t="s">
        <v>3265</v>
      </c>
      <c r="C1465" s="2">
        <v>42973</v>
      </c>
      <c r="D1465" s="6" t="str">
        <f t="shared" si="1300"/>
        <v>Aug</v>
      </c>
      <c r="E1465" s="6" t="str">
        <f t="shared" si="1301"/>
        <v>Qtr 3</v>
      </c>
      <c r="F1465" s="5" t="s">
        <v>1758</v>
      </c>
      <c r="G1465" s="1" t="s">
        <v>162</v>
      </c>
      <c r="H1465" s="1" t="s">
        <v>179</v>
      </c>
      <c r="I1465" s="1" t="s">
        <v>180</v>
      </c>
      <c r="J1465" s="1" t="str">
        <f ca="1">IFERROR(__xludf.DUMMYFUNCTION("split(I1465,"" "")"),"Linda")</f>
        <v>Linda</v>
      </c>
      <c r="K1465" s="1" t="str">
        <f ca="1">IFERROR(__xludf.DUMMYFUNCTION("""COMPUTED_VALUE"""),"Cazamias")</f>
        <v>Cazamias</v>
      </c>
      <c r="L1465" s="1"/>
      <c r="M1465" s="1" t="s">
        <v>41</v>
      </c>
      <c r="N1465" s="1" t="s">
        <v>30</v>
      </c>
      <c r="O1465" s="1" t="s">
        <v>500</v>
      </c>
      <c r="P1465" s="1" t="str">
        <f t="shared" si="1302"/>
        <v>Pasadena</v>
      </c>
      <c r="Q1465" s="1" t="s">
        <v>89</v>
      </c>
      <c r="R1465" s="1" t="str">
        <f t="shared" si="1303"/>
        <v>Texas</v>
      </c>
      <c r="S1465" s="1">
        <v>77506</v>
      </c>
      <c r="T1465" s="1" t="s">
        <v>90</v>
      </c>
      <c r="U1465" s="1" t="s">
        <v>2751</v>
      </c>
      <c r="V1465" s="1" t="s">
        <v>35</v>
      </c>
      <c r="W1465" s="7">
        <v>1024.7159999999999</v>
      </c>
      <c r="X1465" s="1">
        <v>7</v>
      </c>
      <c r="Y1465" s="7">
        <v>1024.26</v>
      </c>
      <c r="Z1465" s="7">
        <f t="shared" ref="Z1465:AA1465" si="1493">W1465*X1465</f>
        <v>7173.0119999999988</v>
      </c>
      <c r="AA1465" s="7">
        <f t="shared" si="1493"/>
        <v>7169.82</v>
      </c>
      <c r="AB1465" s="7">
        <f t="shared" si="1305"/>
        <v>3.1919999999990978</v>
      </c>
    </row>
    <row r="1466" spans="1:28">
      <c r="A1466" s="1">
        <v>1465</v>
      </c>
      <c r="B1466" s="1" t="s">
        <v>3266</v>
      </c>
      <c r="C1466" s="2">
        <v>43085</v>
      </c>
      <c r="D1466" s="6" t="str">
        <f t="shared" si="1300"/>
        <v>Dec</v>
      </c>
      <c r="E1466" s="6" t="str">
        <f t="shared" si="1301"/>
        <v>Qtr 4</v>
      </c>
      <c r="F1466" s="5" t="s">
        <v>1896</v>
      </c>
      <c r="G1466" s="1" t="s">
        <v>162</v>
      </c>
      <c r="H1466" s="1" t="s">
        <v>3267</v>
      </c>
      <c r="I1466" s="1" t="s">
        <v>3268</v>
      </c>
      <c r="J1466" s="1" t="str">
        <f ca="1">IFERROR(__xludf.DUMMYFUNCTION("split(I1466,"" "")"),"Keith")</f>
        <v>Keith</v>
      </c>
      <c r="K1466" s="1" t="str">
        <f ca="1">IFERROR(__xludf.DUMMYFUNCTION("""COMPUTED_VALUE"""),"Dawkins")</f>
        <v>Dawkins</v>
      </c>
      <c r="L1466" s="1"/>
      <c r="M1466" s="1" t="s">
        <v>41</v>
      </c>
      <c r="N1466" s="1" t="s">
        <v>30</v>
      </c>
      <c r="O1466" s="1" t="s">
        <v>233</v>
      </c>
      <c r="P1466" s="1" t="str">
        <f t="shared" si="1302"/>
        <v>New York City</v>
      </c>
      <c r="Q1466" s="1" t="s">
        <v>234</v>
      </c>
      <c r="R1466" s="1" t="str">
        <f t="shared" si="1303"/>
        <v>New York</v>
      </c>
      <c r="S1466" s="1">
        <v>10009</v>
      </c>
      <c r="T1466" s="1" t="s">
        <v>128</v>
      </c>
      <c r="U1466" s="1" t="s">
        <v>2584</v>
      </c>
      <c r="V1466" s="1" t="s">
        <v>46</v>
      </c>
      <c r="W1466" s="7">
        <v>3.68</v>
      </c>
      <c r="X1466" s="1">
        <v>1</v>
      </c>
      <c r="Y1466" s="7">
        <v>2.86</v>
      </c>
      <c r="Z1466" s="7">
        <f t="shared" ref="Z1466:AA1466" si="1494">W1466*X1466</f>
        <v>3.68</v>
      </c>
      <c r="AA1466" s="7">
        <f t="shared" si="1494"/>
        <v>2.86</v>
      </c>
      <c r="AB1466" s="7">
        <f t="shared" si="1305"/>
        <v>0.82000000000000028</v>
      </c>
    </row>
    <row r="1467" spans="1:28">
      <c r="A1467" s="1">
        <v>1466</v>
      </c>
      <c r="B1467" s="1" t="s">
        <v>3269</v>
      </c>
      <c r="C1467" s="2">
        <v>42224</v>
      </c>
      <c r="D1467" s="6" t="str">
        <f t="shared" si="1300"/>
        <v>Aug</v>
      </c>
      <c r="E1467" s="6" t="str">
        <f t="shared" si="1301"/>
        <v>Qtr 3</v>
      </c>
      <c r="F1467" s="5" t="s">
        <v>3270</v>
      </c>
      <c r="G1467" s="1" t="s">
        <v>49</v>
      </c>
      <c r="H1467" s="1" t="s">
        <v>663</v>
      </c>
      <c r="I1467" s="1" t="s">
        <v>664</v>
      </c>
      <c r="J1467" s="1" t="str">
        <f ca="1">IFERROR(__xludf.DUMMYFUNCTION("split(I1467,"" "")"),"Maria")</f>
        <v>Maria</v>
      </c>
      <c r="K1467" s="1" t="str">
        <f ca="1">IFERROR(__xludf.DUMMYFUNCTION("""COMPUTED_VALUE"""),"Bertelson")</f>
        <v>Bertelson</v>
      </c>
      <c r="L1467" s="1"/>
      <c r="M1467" s="1" t="s">
        <v>29</v>
      </c>
      <c r="N1467" s="1" t="s">
        <v>30</v>
      </c>
      <c r="O1467" s="1" t="s">
        <v>3271</v>
      </c>
      <c r="P1467" s="1" t="str">
        <f t="shared" si="1302"/>
        <v>Glendale</v>
      </c>
      <c r="Q1467" s="1" t="s">
        <v>265</v>
      </c>
      <c r="R1467" s="1" t="str">
        <f t="shared" si="1303"/>
        <v>Arizona</v>
      </c>
      <c r="S1467" s="1">
        <v>85301</v>
      </c>
      <c r="T1467" s="1" t="s">
        <v>44</v>
      </c>
      <c r="U1467" s="1" t="s">
        <v>2485</v>
      </c>
      <c r="V1467" s="1" t="s">
        <v>35</v>
      </c>
      <c r="W1467" s="7">
        <v>121.376</v>
      </c>
      <c r="X1467" s="1">
        <v>8</v>
      </c>
      <c r="Y1467" s="7">
        <v>120.6</v>
      </c>
      <c r="Z1467" s="7">
        <f t="shared" ref="Z1467:AA1467" si="1495">W1467*X1467</f>
        <v>971.00800000000004</v>
      </c>
      <c r="AA1467" s="7">
        <f t="shared" si="1495"/>
        <v>964.8</v>
      </c>
      <c r="AB1467" s="7">
        <f t="shared" si="1305"/>
        <v>6.2080000000000837</v>
      </c>
    </row>
    <row r="1468" spans="1:28">
      <c r="A1468" s="1">
        <v>1467</v>
      </c>
      <c r="B1468" s="1" t="s">
        <v>3269</v>
      </c>
      <c r="C1468" s="2">
        <v>42224</v>
      </c>
      <c r="D1468" s="6" t="str">
        <f t="shared" si="1300"/>
        <v>Aug</v>
      </c>
      <c r="E1468" s="6" t="str">
        <f t="shared" si="1301"/>
        <v>Qtr 3</v>
      </c>
      <c r="F1468" s="5" t="s">
        <v>3270</v>
      </c>
      <c r="G1468" s="1" t="s">
        <v>49</v>
      </c>
      <c r="H1468" s="1" t="s">
        <v>663</v>
      </c>
      <c r="I1468" s="1" t="s">
        <v>664</v>
      </c>
      <c r="J1468" s="1" t="str">
        <f ca="1">IFERROR(__xludf.DUMMYFUNCTION("split(I1468,"" "")"),"Maria")</f>
        <v>Maria</v>
      </c>
      <c r="K1468" s="1" t="str">
        <f ca="1">IFERROR(__xludf.DUMMYFUNCTION("""COMPUTED_VALUE"""),"Bertelson")</f>
        <v>Bertelson</v>
      </c>
      <c r="L1468" s="1"/>
      <c r="M1468" s="1" t="s">
        <v>29</v>
      </c>
      <c r="N1468" s="1" t="s">
        <v>30</v>
      </c>
      <c r="O1468" s="1" t="s">
        <v>3271</v>
      </c>
      <c r="P1468" s="1" t="str">
        <f t="shared" si="1302"/>
        <v>Glendale</v>
      </c>
      <c r="Q1468" s="1" t="s">
        <v>265</v>
      </c>
      <c r="R1468" s="1" t="str">
        <f t="shared" si="1303"/>
        <v>Arizona</v>
      </c>
      <c r="S1468" s="1">
        <v>85301</v>
      </c>
      <c r="T1468" s="1" t="s">
        <v>44</v>
      </c>
      <c r="U1468" s="1" t="s">
        <v>375</v>
      </c>
      <c r="V1468" s="1" t="s">
        <v>64</v>
      </c>
      <c r="W1468" s="7">
        <v>95.975999999999999</v>
      </c>
      <c r="X1468" s="1">
        <v>8</v>
      </c>
      <c r="Y1468" s="7">
        <v>95.62</v>
      </c>
      <c r="Z1468" s="7">
        <f t="shared" ref="Z1468:AA1468" si="1496">W1468*X1468</f>
        <v>767.80799999999999</v>
      </c>
      <c r="AA1468" s="7">
        <f t="shared" si="1496"/>
        <v>764.96</v>
      </c>
      <c r="AB1468" s="7">
        <f t="shared" si="1305"/>
        <v>2.8479999999999563</v>
      </c>
    </row>
    <row r="1469" spans="1:28">
      <c r="A1469" s="1">
        <v>1468</v>
      </c>
      <c r="B1469" s="1" t="s">
        <v>3272</v>
      </c>
      <c r="C1469" s="2">
        <v>42506</v>
      </c>
      <c r="D1469" s="6" t="str">
        <f t="shared" si="1300"/>
        <v>May</v>
      </c>
      <c r="E1469" s="6" t="str">
        <f t="shared" si="1301"/>
        <v>Qtr 2</v>
      </c>
      <c r="F1469" s="5" t="s">
        <v>3273</v>
      </c>
      <c r="G1469" s="1" t="s">
        <v>1050</v>
      </c>
      <c r="H1469" s="1" t="s">
        <v>1864</v>
      </c>
      <c r="I1469" s="1" t="s">
        <v>1865</v>
      </c>
      <c r="J1469" s="1" t="str">
        <f ca="1">IFERROR(__xludf.DUMMYFUNCTION("split(I1469,"" "")"),"Tracy")</f>
        <v>Tracy</v>
      </c>
      <c r="K1469" s="1" t="str">
        <f ca="1">IFERROR(__xludf.DUMMYFUNCTION("""COMPUTED_VALUE"""),"Hopkins")</f>
        <v>Hopkins</v>
      </c>
      <c r="L1469" s="1"/>
      <c r="M1469" s="1" t="s">
        <v>87</v>
      </c>
      <c r="N1469" s="1" t="s">
        <v>30</v>
      </c>
      <c r="O1469" s="1" t="s">
        <v>1241</v>
      </c>
      <c r="P1469" s="1" t="str">
        <f t="shared" si="1302"/>
        <v>Jacksonville</v>
      </c>
      <c r="Q1469" s="1" t="s">
        <v>194</v>
      </c>
      <c r="R1469" s="1" t="str">
        <f t="shared" si="1303"/>
        <v>Florida</v>
      </c>
      <c r="S1469" s="1">
        <v>32216</v>
      </c>
      <c r="T1469" s="1" t="s">
        <v>33</v>
      </c>
      <c r="U1469" s="1" t="s">
        <v>2105</v>
      </c>
      <c r="V1469" s="1" t="s">
        <v>64</v>
      </c>
      <c r="W1469" s="7">
        <v>255.96799999999999</v>
      </c>
      <c r="X1469" s="1">
        <v>3</v>
      </c>
      <c r="Y1469" s="7">
        <v>255.32</v>
      </c>
      <c r="Z1469" s="7">
        <f t="shared" ref="Z1469:AA1469" si="1497">W1469*X1469</f>
        <v>767.904</v>
      </c>
      <c r="AA1469" s="7">
        <f t="shared" si="1497"/>
        <v>765.96</v>
      </c>
      <c r="AB1469" s="7">
        <f t="shared" si="1305"/>
        <v>1.94399999999996</v>
      </c>
    </row>
    <row r="1470" spans="1:28">
      <c r="A1470" s="1">
        <v>1469</v>
      </c>
      <c r="B1470" s="1" t="s">
        <v>3274</v>
      </c>
      <c r="C1470" s="2">
        <v>43355</v>
      </c>
      <c r="D1470" s="6" t="str">
        <f t="shared" si="1300"/>
        <v>Sep</v>
      </c>
      <c r="E1470" s="6" t="str">
        <f t="shared" si="1301"/>
        <v>Qtr 3</v>
      </c>
      <c r="F1470" s="5" t="s">
        <v>826</v>
      </c>
      <c r="G1470" s="1" t="s">
        <v>49</v>
      </c>
      <c r="H1470" s="1" t="s">
        <v>3191</v>
      </c>
      <c r="I1470" s="1" t="s">
        <v>3192</v>
      </c>
      <c r="J1470" s="1" t="str">
        <f ca="1">IFERROR(__xludf.DUMMYFUNCTION("split(I1470,"" "")"),"Damala")</f>
        <v>Damala</v>
      </c>
      <c r="K1470" s="1" t="str">
        <f ca="1">IFERROR(__xludf.DUMMYFUNCTION("""COMPUTED_VALUE"""),"Kotsonis")</f>
        <v>Kotsonis</v>
      </c>
      <c r="L1470" s="1"/>
      <c r="M1470" s="1" t="s">
        <v>41</v>
      </c>
      <c r="N1470" s="1" t="s">
        <v>30</v>
      </c>
      <c r="O1470" s="1" t="s">
        <v>728</v>
      </c>
      <c r="P1470" s="1" t="str">
        <f t="shared" si="1302"/>
        <v>Detroit</v>
      </c>
      <c r="Q1470" s="1" t="s">
        <v>209</v>
      </c>
      <c r="R1470" s="1" t="str">
        <f t="shared" si="1303"/>
        <v>Michigan</v>
      </c>
      <c r="S1470" s="1">
        <v>48234</v>
      </c>
      <c r="T1470" s="1" t="s">
        <v>90</v>
      </c>
      <c r="U1470" s="1" t="s">
        <v>3275</v>
      </c>
      <c r="V1470" s="1" t="s">
        <v>35</v>
      </c>
      <c r="W1470" s="7">
        <v>872.94</v>
      </c>
      <c r="X1470" s="1">
        <v>4</v>
      </c>
      <c r="Y1470" s="7">
        <v>872.88</v>
      </c>
      <c r="Z1470" s="7">
        <f t="shared" ref="Z1470:AA1470" si="1498">W1470*X1470</f>
        <v>3491.76</v>
      </c>
      <c r="AA1470" s="7">
        <f t="shared" si="1498"/>
        <v>3491.52</v>
      </c>
      <c r="AB1470" s="7">
        <f t="shared" si="1305"/>
        <v>0.24000000000023647</v>
      </c>
    </row>
    <row r="1471" spans="1:28">
      <c r="A1471" s="1">
        <v>1470</v>
      </c>
      <c r="B1471" s="1" t="s">
        <v>3274</v>
      </c>
      <c r="C1471" s="2">
        <v>43355</v>
      </c>
      <c r="D1471" s="6" t="str">
        <f t="shared" si="1300"/>
        <v>Sep</v>
      </c>
      <c r="E1471" s="6" t="str">
        <f t="shared" si="1301"/>
        <v>Qtr 3</v>
      </c>
      <c r="F1471" s="5" t="s">
        <v>826</v>
      </c>
      <c r="G1471" s="1" t="s">
        <v>49</v>
      </c>
      <c r="H1471" s="1" t="s">
        <v>3191</v>
      </c>
      <c r="I1471" s="1" t="s">
        <v>3192</v>
      </c>
      <c r="J1471" s="1" t="str">
        <f ca="1">IFERROR(__xludf.DUMMYFUNCTION("split(I1471,"" "")"),"Damala")</f>
        <v>Damala</v>
      </c>
      <c r="K1471" s="1" t="str">
        <f ca="1">IFERROR(__xludf.DUMMYFUNCTION("""COMPUTED_VALUE"""),"Kotsonis")</f>
        <v>Kotsonis</v>
      </c>
      <c r="L1471" s="1"/>
      <c r="M1471" s="1" t="s">
        <v>41</v>
      </c>
      <c r="N1471" s="1" t="s">
        <v>30</v>
      </c>
      <c r="O1471" s="1" t="s">
        <v>728</v>
      </c>
      <c r="P1471" s="1" t="str">
        <f t="shared" si="1302"/>
        <v>Detroit</v>
      </c>
      <c r="Q1471" s="1" t="s">
        <v>209</v>
      </c>
      <c r="R1471" s="1" t="str">
        <f t="shared" si="1303"/>
        <v>Michigan</v>
      </c>
      <c r="S1471" s="1">
        <v>48234</v>
      </c>
      <c r="T1471" s="1" t="s">
        <v>90</v>
      </c>
      <c r="U1471" s="1" t="s">
        <v>1129</v>
      </c>
      <c r="V1471" s="1" t="s">
        <v>46</v>
      </c>
      <c r="W1471" s="7">
        <v>41.54</v>
      </c>
      <c r="X1471" s="1">
        <v>4</v>
      </c>
      <c r="Y1471" s="7">
        <v>41.15</v>
      </c>
      <c r="Z1471" s="7">
        <f t="shared" ref="Z1471:AA1471" si="1499">W1471*X1471</f>
        <v>166.16</v>
      </c>
      <c r="AA1471" s="7">
        <f t="shared" si="1499"/>
        <v>164.6</v>
      </c>
      <c r="AB1471" s="7">
        <f t="shared" si="1305"/>
        <v>1.5600000000000023</v>
      </c>
    </row>
    <row r="1472" spans="1:28">
      <c r="A1472" s="1">
        <v>1471</v>
      </c>
      <c r="B1472" s="1" t="s">
        <v>3274</v>
      </c>
      <c r="C1472" s="2">
        <v>43355</v>
      </c>
      <c r="D1472" s="6" t="str">
        <f t="shared" si="1300"/>
        <v>Sep</v>
      </c>
      <c r="E1472" s="6" t="str">
        <f t="shared" si="1301"/>
        <v>Qtr 3</v>
      </c>
      <c r="F1472" s="5" t="s">
        <v>826</v>
      </c>
      <c r="G1472" s="1" t="s">
        <v>49</v>
      </c>
      <c r="H1472" s="1" t="s">
        <v>3191</v>
      </c>
      <c r="I1472" s="1" t="s">
        <v>3192</v>
      </c>
      <c r="J1472" s="1" t="str">
        <f ca="1">IFERROR(__xludf.DUMMYFUNCTION("split(I1472,"" "")"),"Damala")</f>
        <v>Damala</v>
      </c>
      <c r="K1472" s="1" t="str">
        <f ca="1">IFERROR(__xludf.DUMMYFUNCTION("""COMPUTED_VALUE"""),"Kotsonis")</f>
        <v>Kotsonis</v>
      </c>
      <c r="L1472" s="1"/>
      <c r="M1472" s="1" t="s">
        <v>41</v>
      </c>
      <c r="N1472" s="1" t="s">
        <v>30</v>
      </c>
      <c r="O1472" s="1" t="s">
        <v>728</v>
      </c>
      <c r="P1472" s="1" t="str">
        <f t="shared" si="1302"/>
        <v>Detroit</v>
      </c>
      <c r="Q1472" s="1" t="s">
        <v>209</v>
      </c>
      <c r="R1472" s="1" t="str">
        <f t="shared" si="1303"/>
        <v>Michigan</v>
      </c>
      <c r="S1472" s="1">
        <v>48234</v>
      </c>
      <c r="T1472" s="1" t="s">
        <v>90</v>
      </c>
      <c r="U1472" s="1" t="s">
        <v>3276</v>
      </c>
      <c r="V1472" s="1" t="s">
        <v>46</v>
      </c>
      <c r="W1472" s="7">
        <v>12.96</v>
      </c>
      <c r="X1472" s="1">
        <v>4</v>
      </c>
      <c r="Y1472" s="7">
        <v>12.5</v>
      </c>
      <c r="Z1472" s="7">
        <f t="shared" ref="Z1472:AA1472" si="1500">W1472*X1472</f>
        <v>51.84</v>
      </c>
      <c r="AA1472" s="7">
        <f t="shared" si="1500"/>
        <v>50</v>
      </c>
      <c r="AB1472" s="7">
        <f t="shared" si="1305"/>
        <v>1.8400000000000034</v>
      </c>
    </row>
    <row r="1473" spans="1:28">
      <c r="A1473" s="1">
        <v>1472</v>
      </c>
      <c r="B1473" s="1" t="s">
        <v>3277</v>
      </c>
      <c r="C1473" s="2">
        <v>42637</v>
      </c>
      <c r="D1473" s="6" t="str">
        <f t="shared" si="1300"/>
        <v>Sep</v>
      </c>
      <c r="E1473" s="6" t="str">
        <f t="shared" si="1301"/>
        <v>Qtr 3</v>
      </c>
      <c r="F1473" s="5" t="s">
        <v>3278</v>
      </c>
      <c r="G1473" s="1" t="s">
        <v>26</v>
      </c>
      <c r="H1473" s="1" t="s">
        <v>198</v>
      </c>
      <c r="I1473" s="1" t="s">
        <v>199</v>
      </c>
      <c r="J1473" s="1" t="str">
        <f ca="1">IFERROR(__xludf.DUMMYFUNCTION("split(I1473,"" "")"),"Odella")</f>
        <v>Odella</v>
      </c>
      <c r="K1473" s="1" t="str">
        <f ca="1">IFERROR(__xludf.DUMMYFUNCTION("""COMPUTED_VALUE"""),"Nelson")</f>
        <v>Nelson</v>
      </c>
      <c r="L1473" s="1"/>
      <c r="M1473" s="1" t="s">
        <v>41</v>
      </c>
      <c r="N1473" s="1" t="s">
        <v>30</v>
      </c>
      <c r="O1473" s="1" t="s">
        <v>126</v>
      </c>
      <c r="P1473" s="1" t="str">
        <f t="shared" si="1302"/>
        <v>Philadelphia</v>
      </c>
      <c r="Q1473" s="1" t="s">
        <v>127</v>
      </c>
      <c r="R1473" s="1" t="str">
        <f t="shared" si="1303"/>
        <v>Pennsylvania</v>
      </c>
      <c r="S1473" s="1">
        <v>19120</v>
      </c>
      <c r="T1473" s="1" t="s">
        <v>128</v>
      </c>
      <c r="U1473" s="1" t="s">
        <v>3279</v>
      </c>
      <c r="V1473" s="1" t="s">
        <v>46</v>
      </c>
      <c r="W1473" s="7">
        <v>6.8479999999999999</v>
      </c>
      <c r="X1473" s="1">
        <v>1</v>
      </c>
      <c r="Y1473" s="7">
        <v>6.24</v>
      </c>
      <c r="Z1473" s="7">
        <f t="shared" ref="Z1473:AA1473" si="1501">W1473*X1473</f>
        <v>6.8479999999999999</v>
      </c>
      <c r="AA1473" s="7">
        <f t="shared" si="1501"/>
        <v>6.24</v>
      </c>
      <c r="AB1473" s="7">
        <f t="shared" si="1305"/>
        <v>0.60799999999999965</v>
      </c>
    </row>
    <row r="1474" spans="1:28">
      <c r="A1474" s="1">
        <v>1473</v>
      </c>
      <c r="B1474" s="1" t="s">
        <v>3280</v>
      </c>
      <c r="C1474" s="2">
        <v>43411</v>
      </c>
      <c r="D1474" s="6" t="str">
        <f t="shared" si="1300"/>
        <v>Nov</v>
      </c>
      <c r="E1474" s="6" t="str">
        <f t="shared" si="1301"/>
        <v>Qtr 4</v>
      </c>
      <c r="F1474" s="5" t="s">
        <v>2417</v>
      </c>
      <c r="G1474" s="1" t="s">
        <v>49</v>
      </c>
      <c r="H1474" s="1" t="s">
        <v>3281</v>
      </c>
      <c r="I1474" s="1" t="s">
        <v>3282</v>
      </c>
      <c r="J1474" s="1" t="str">
        <f ca="1">IFERROR(__xludf.DUMMYFUNCTION("split(I1474,"" "")"),"Katherine")</f>
        <v>Katherine</v>
      </c>
      <c r="K1474" s="1" t="str">
        <f ca="1">IFERROR(__xludf.DUMMYFUNCTION("""COMPUTED_VALUE"""),"Nockton")</f>
        <v>Nockton</v>
      </c>
      <c r="L1474" s="1"/>
      <c r="M1474" s="1" t="s">
        <v>41</v>
      </c>
      <c r="N1474" s="1" t="s">
        <v>30</v>
      </c>
      <c r="O1474" s="1" t="s">
        <v>42</v>
      </c>
      <c r="P1474" s="1" t="str">
        <f t="shared" si="1302"/>
        <v>Los Angeles</v>
      </c>
      <c r="Q1474" s="1" t="s">
        <v>68</v>
      </c>
      <c r="R1474" s="1" t="str">
        <f t="shared" si="1303"/>
        <v>California</v>
      </c>
      <c r="S1474" s="1">
        <v>90004</v>
      </c>
      <c r="T1474" s="1" t="s">
        <v>44</v>
      </c>
      <c r="U1474" s="1" t="s">
        <v>2193</v>
      </c>
      <c r="V1474" s="1" t="s">
        <v>46</v>
      </c>
      <c r="W1474" s="7">
        <v>8.67</v>
      </c>
      <c r="X1474" s="1">
        <v>9</v>
      </c>
      <c r="Y1474" s="7">
        <v>7.77</v>
      </c>
      <c r="Z1474" s="7">
        <f t="shared" ref="Z1474:AA1474" si="1502">W1474*X1474</f>
        <v>78.03</v>
      </c>
      <c r="AA1474" s="7">
        <f t="shared" si="1502"/>
        <v>69.929999999999993</v>
      </c>
      <c r="AB1474" s="7">
        <f t="shared" si="1305"/>
        <v>8.1000000000000085</v>
      </c>
    </row>
    <row r="1475" spans="1:28">
      <c r="A1475" s="1">
        <v>1474</v>
      </c>
      <c r="B1475" s="1" t="s">
        <v>3283</v>
      </c>
      <c r="C1475" s="2">
        <v>42381</v>
      </c>
      <c r="D1475" s="6" t="str">
        <f t="shared" si="1300"/>
        <v>Jan</v>
      </c>
      <c r="E1475" s="6" t="str">
        <f t="shared" si="1301"/>
        <v>Qtr 1</v>
      </c>
      <c r="F1475" s="5">
        <v>42412</v>
      </c>
      <c r="G1475" s="1" t="s">
        <v>1050</v>
      </c>
      <c r="H1475" s="1" t="s">
        <v>2679</v>
      </c>
      <c r="I1475" s="1" t="s">
        <v>2680</v>
      </c>
      <c r="J1475" s="1" t="str">
        <f ca="1">IFERROR(__xludf.DUMMYFUNCTION("split(I1475,"" "")"),"Neoma")</f>
        <v>Neoma</v>
      </c>
      <c r="K1475" s="1" t="str">
        <f ca="1">IFERROR(__xludf.DUMMYFUNCTION("""COMPUTED_VALUE"""),"Murray")</f>
        <v>Murray</v>
      </c>
      <c r="L1475" s="1"/>
      <c r="M1475" s="1" t="s">
        <v>29</v>
      </c>
      <c r="N1475" s="1" t="s">
        <v>30</v>
      </c>
      <c r="O1475" s="1" t="s">
        <v>172</v>
      </c>
      <c r="P1475" s="1" t="str">
        <f t="shared" si="1302"/>
        <v>Houston</v>
      </c>
      <c r="Q1475" s="1" t="s">
        <v>89</v>
      </c>
      <c r="R1475" s="1" t="str">
        <f t="shared" si="1303"/>
        <v>Texas</v>
      </c>
      <c r="S1475" s="1">
        <v>77036</v>
      </c>
      <c r="T1475" s="1" t="s">
        <v>90</v>
      </c>
      <c r="U1475" s="1" t="s">
        <v>3284</v>
      </c>
      <c r="V1475" s="1" t="s">
        <v>35</v>
      </c>
      <c r="W1475" s="7">
        <v>6.6879999999999997</v>
      </c>
      <c r="X1475" s="1">
        <v>7</v>
      </c>
      <c r="Y1475" s="7">
        <v>6.37</v>
      </c>
      <c r="Z1475" s="7">
        <f t="shared" ref="Z1475:AA1475" si="1503">W1475*X1475</f>
        <v>46.815999999999995</v>
      </c>
      <c r="AA1475" s="7">
        <f t="shared" si="1503"/>
        <v>44.59</v>
      </c>
      <c r="AB1475" s="7">
        <f t="shared" si="1305"/>
        <v>2.225999999999992</v>
      </c>
    </row>
    <row r="1476" spans="1:28">
      <c r="A1476" s="1">
        <v>1475</v>
      </c>
      <c r="B1476" s="1" t="s">
        <v>3285</v>
      </c>
      <c r="C1476" s="2">
        <v>43058</v>
      </c>
      <c r="D1476" s="6" t="str">
        <f t="shared" si="1300"/>
        <v>Nov</v>
      </c>
      <c r="E1476" s="6" t="str">
        <f t="shared" si="1301"/>
        <v>Qtr 4</v>
      </c>
      <c r="F1476" s="5" t="s">
        <v>3286</v>
      </c>
      <c r="G1476" s="1" t="s">
        <v>49</v>
      </c>
      <c r="H1476" s="1" t="s">
        <v>3287</v>
      </c>
      <c r="I1476" s="1" t="s">
        <v>3288</v>
      </c>
      <c r="J1476" s="1" t="str">
        <f ca="1">IFERROR(__xludf.DUMMYFUNCTION("split(I1476,"" "")"),"Nora")</f>
        <v>Nora</v>
      </c>
      <c r="K1476" s="1" t="str">
        <f ca="1">IFERROR(__xludf.DUMMYFUNCTION("""COMPUTED_VALUE"""),"Pelletier")</f>
        <v>Pelletier</v>
      </c>
      <c r="L1476" s="1"/>
      <c r="M1476" s="1" t="s">
        <v>87</v>
      </c>
      <c r="N1476" s="1" t="s">
        <v>30</v>
      </c>
      <c r="O1476" s="1" t="s">
        <v>3289</v>
      </c>
      <c r="P1476" s="1" t="str">
        <f t="shared" si="1302"/>
        <v>Niagara Falls</v>
      </c>
      <c r="Q1476" s="1" t="s">
        <v>234</v>
      </c>
      <c r="R1476" s="1" t="str">
        <f t="shared" si="1303"/>
        <v>New York</v>
      </c>
      <c r="S1476" s="1">
        <v>14304</v>
      </c>
      <c r="T1476" s="1" t="s">
        <v>128</v>
      </c>
      <c r="U1476" s="1" t="s">
        <v>3290</v>
      </c>
      <c r="V1476" s="1" t="s">
        <v>46</v>
      </c>
      <c r="W1476" s="7">
        <v>17.28</v>
      </c>
      <c r="X1476" s="1">
        <v>1</v>
      </c>
      <c r="Y1476" s="7">
        <v>16.39</v>
      </c>
      <c r="Z1476" s="7">
        <f t="shared" ref="Z1476:AA1476" si="1504">W1476*X1476</f>
        <v>17.28</v>
      </c>
      <c r="AA1476" s="7">
        <f t="shared" si="1504"/>
        <v>16.39</v>
      </c>
      <c r="AB1476" s="7">
        <f t="shared" si="1305"/>
        <v>0.89000000000000057</v>
      </c>
    </row>
    <row r="1477" spans="1:28">
      <c r="A1477" s="1">
        <v>1476</v>
      </c>
      <c r="B1477" s="1" t="s">
        <v>3285</v>
      </c>
      <c r="C1477" s="2">
        <v>43058</v>
      </c>
      <c r="D1477" s="6" t="str">
        <f t="shared" si="1300"/>
        <v>Nov</v>
      </c>
      <c r="E1477" s="6" t="str">
        <f t="shared" si="1301"/>
        <v>Qtr 4</v>
      </c>
      <c r="F1477" s="5" t="s">
        <v>3286</v>
      </c>
      <c r="G1477" s="1" t="s">
        <v>49</v>
      </c>
      <c r="H1477" s="1" t="s">
        <v>3287</v>
      </c>
      <c r="I1477" s="1" t="s">
        <v>3288</v>
      </c>
      <c r="J1477" s="1" t="str">
        <f ca="1">IFERROR(__xludf.DUMMYFUNCTION("split(I1477,"" "")"),"Nora")</f>
        <v>Nora</v>
      </c>
      <c r="K1477" s="1" t="str">
        <f ca="1">IFERROR(__xludf.DUMMYFUNCTION("""COMPUTED_VALUE"""),"Pelletier")</f>
        <v>Pelletier</v>
      </c>
      <c r="L1477" s="1"/>
      <c r="M1477" s="1" t="s">
        <v>87</v>
      </c>
      <c r="N1477" s="1" t="s">
        <v>30</v>
      </c>
      <c r="O1477" s="1" t="s">
        <v>3289</v>
      </c>
      <c r="P1477" s="1" t="str">
        <f t="shared" si="1302"/>
        <v>Niagara Falls</v>
      </c>
      <c r="Q1477" s="1" t="s">
        <v>234</v>
      </c>
      <c r="R1477" s="1" t="str">
        <f t="shared" si="1303"/>
        <v>New York</v>
      </c>
      <c r="S1477" s="1">
        <v>14304</v>
      </c>
      <c r="T1477" s="1" t="s">
        <v>128</v>
      </c>
      <c r="U1477" s="1" t="s">
        <v>2513</v>
      </c>
      <c r="V1477" s="1" t="s">
        <v>46</v>
      </c>
      <c r="W1477" s="7">
        <v>17.712</v>
      </c>
      <c r="X1477" s="1">
        <v>1</v>
      </c>
      <c r="Y1477" s="7">
        <v>17.61</v>
      </c>
      <c r="Z1477" s="7">
        <f t="shared" ref="Z1477:AA1477" si="1505">W1477*X1477</f>
        <v>17.712</v>
      </c>
      <c r="AA1477" s="7">
        <f t="shared" si="1505"/>
        <v>17.61</v>
      </c>
      <c r="AB1477" s="7">
        <f t="shared" si="1305"/>
        <v>0.10200000000000031</v>
      </c>
    </row>
    <row r="1478" spans="1:28">
      <c r="A1478" s="1">
        <v>1477</v>
      </c>
      <c r="B1478" s="1" t="s">
        <v>3291</v>
      </c>
      <c r="C1478" s="2">
        <v>43178</v>
      </c>
      <c r="D1478" s="6" t="str">
        <f t="shared" si="1300"/>
        <v>Mar</v>
      </c>
      <c r="E1478" s="6" t="str">
        <f t="shared" si="1301"/>
        <v>Qtr 1</v>
      </c>
      <c r="F1478" s="5" t="s">
        <v>3292</v>
      </c>
      <c r="G1478" s="1" t="s">
        <v>49</v>
      </c>
      <c r="H1478" s="1" t="s">
        <v>2341</v>
      </c>
      <c r="I1478" s="1" t="s">
        <v>2342</v>
      </c>
      <c r="J1478" s="1" t="str">
        <f ca="1">IFERROR(__xludf.DUMMYFUNCTION("split(I1478,"" "")"),"Catherine")</f>
        <v>Catherine</v>
      </c>
      <c r="K1478" s="1" t="str">
        <f ca="1">IFERROR(__xludf.DUMMYFUNCTION("""COMPUTED_VALUE"""),"Glotzbach")</f>
        <v>Glotzbach</v>
      </c>
      <c r="L1478" s="1"/>
      <c r="M1478" s="1" t="s">
        <v>87</v>
      </c>
      <c r="N1478" s="1" t="s">
        <v>30</v>
      </c>
      <c r="O1478" s="1" t="s">
        <v>233</v>
      </c>
      <c r="P1478" s="1" t="str">
        <f t="shared" si="1302"/>
        <v>New York City</v>
      </c>
      <c r="Q1478" s="1" t="s">
        <v>234</v>
      </c>
      <c r="R1478" s="1" t="str">
        <f t="shared" si="1303"/>
        <v>New York</v>
      </c>
      <c r="S1478" s="1">
        <v>10024</v>
      </c>
      <c r="T1478" s="1" t="s">
        <v>128</v>
      </c>
      <c r="U1478" s="1" t="s">
        <v>3293</v>
      </c>
      <c r="V1478" s="1" t="s">
        <v>46</v>
      </c>
      <c r="W1478" s="7">
        <v>28.91</v>
      </c>
      <c r="X1478" s="1">
        <v>1</v>
      </c>
      <c r="Y1478" s="7">
        <v>28.3</v>
      </c>
      <c r="Z1478" s="7">
        <f t="shared" ref="Z1478:AA1478" si="1506">W1478*X1478</f>
        <v>28.91</v>
      </c>
      <c r="AA1478" s="7">
        <f t="shared" si="1506"/>
        <v>28.3</v>
      </c>
      <c r="AB1478" s="7">
        <f t="shared" si="1305"/>
        <v>0.60999999999999943</v>
      </c>
    </row>
    <row r="1479" spans="1:28">
      <c r="A1479" s="1">
        <v>1478</v>
      </c>
      <c r="B1479" s="1" t="s">
        <v>3294</v>
      </c>
      <c r="C1479" s="2">
        <v>43052</v>
      </c>
      <c r="D1479" s="6" t="str">
        <f t="shared" si="1300"/>
        <v>Nov</v>
      </c>
      <c r="E1479" s="6" t="str">
        <f t="shared" si="1301"/>
        <v>Qtr 4</v>
      </c>
      <c r="F1479" s="5" t="s">
        <v>2466</v>
      </c>
      <c r="G1479" s="1" t="s">
        <v>49</v>
      </c>
      <c r="H1479" s="1" t="s">
        <v>3295</v>
      </c>
      <c r="I1479" s="1" t="s">
        <v>3296</v>
      </c>
      <c r="J1479" s="1" t="str">
        <f ca="1">IFERROR(__xludf.DUMMYFUNCTION("split(I1479,"" "")"),"Cindy")</f>
        <v>Cindy</v>
      </c>
      <c r="K1479" s="1" t="str">
        <f ca="1">IFERROR(__xludf.DUMMYFUNCTION("""COMPUTED_VALUE"""),"Stewart")</f>
        <v>Stewart</v>
      </c>
      <c r="L1479" s="1"/>
      <c r="M1479" s="1" t="s">
        <v>29</v>
      </c>
      <c r="N1479" s="1" t="s">
        <v>30</v>
      </c>
      <c r="O1479" s="1" t="s">
        <v>3297</v>
      </c>
      <c r="P1479" s="1" t="str">
        <f t="shared" si="1302"/>
        <v>Thomasville</v>
      </c>
      <c r="Q1479" s="1" t="s">
        <v>75</v>
      </c>
      <c r="R1479" s="1" t="str">
        <f t="shared" si="1303"/>
        <v>North Carolina</v>
      </c>
      <c r="S1479" s="1">
        <v>27360</v>
      </c>
      <c r="T1479" s="1" t="s">
        <v>33</v>
      </c>
      <c r="U1479" s="1" t="s">
        <v>2113</v>
      </c>
      <c r="V1479" s="1" t="s">
        <v>46</v>
      </c>
      <c r="W1479" s="7">
        <v>52.136000000000003</v>
      </c>
      <c r="X1479" s="1">
        <v>2</v>
      </c>
      <c r="Y1479" s="7">
        <v>51.76</v>
      </c>
      <c r="Z1479" s="7">
        <f t="shared" ref="Z1479:AA1479" si="1507">W1479*X1479</f>
        <v>104.27200000000001</v>
      </c>
      <c r="AA1479" s="7">
        <f t="shared" si="1507"/>
        <v>103.52</v>
      </c>
      <c r="AB1479" s="7">
        <f t="shared" si="1305"/>
        <v>0.75200000000000955</v>
      </c>
    </row>
    <row r="1480" spans="1:28">
      <c r="A1480" s="1">
        <v>1479</v>
      </c>
      <c r="B1480" s="1" t="s">
        <v>3298</v>
      </c>
      <c r="C1480" s="2">
        <v>43423</v>
      </c>
      <c r="D1480" s="6" t="str">
        <f t="shared" si="1300"/>
        <v>Nov</v>
      </c>
      <c r="E1480" s="6" t="str">
        <f t="shared" si="1301"/>
        <v>Qtr 4</v>
      </c>
      <c r="F1480" s="5" t="s">
        <v>3299</v>
      </c>
      <c r="G1480" s="1" t="s">
        <v>162</v>
      </c>
      <c r="H1480" s="1" t="s">
        <v>363</v>
      </c>
      <c r="I1480" s="1" t="s">
        <v>364</v>
      </c>
      <c r="J1480" s="1" t="str">
        <f ca="1">IFERROR(__xludf.DUMMYFUNCTION("split(I1480,"" "")"),"Katherine")</f>
        <v>Katherine</v>
      </c>
      <c r="K1480" s="1" t="str">
        <f ca="1">IFERROR(__xludf.DUMMYFUNCTION("""COMPUTED_VALUE"""),"Ducich")</f>
        <v>Ducich</v>
      </c>
      <c r="L1480" s="1"/>
      <c r="M1480" s="1" t="s">
        <v>29</v>
      </c>
      <c r="N1480" s="1" t="s">
        <v>30</v>
      </c>
      <c r="O1480" s="1" t="s">
        <v>3300</v>
      </c>
      <c r="P1480" s="1" t="str">
        <f t="shared" si="1302"/>
        <v>Westminster</v>
      </c>
      <c r="Q1480" s="1" t="s">
        <v>68</v>
      </c>
      <c r="R1480" s="1" t="str">
        <f t="shared" si="1303"/>
        <v>California</v>
      </c>
      <c r="S1480" s="1">
        <v>92683</v>
      </c>
      <c r="T1480" s="1" t="s">
        <v>44</v>
      </c>
      <c r="U1480" s="1" t="s">
        <v>1367</v>
      </c>
      <c r="V1480" s="1" t="s">
        <v>64</v>
      </c>
      <c r="W1480" s="7">
        <v>31.968</v>
      </c>
      <c r="X1480" s="1">
        <v>9</v>
      </c>
      <c r="Y1480" s="7">
        <v>31.57</v>
      </c>
      <c r="Z1480" s="7">
        <f t="shared" ref="Z1480:AA1480" si="1508">W1480*X1480</f>
        <v>287.71199999999999</v>
      </c>
      <c r="AA1480" s="7">
        <f t="shared" si="1508"/>
        <v>284.13</v>
      </c>
      <c r="AB1480" s="7">
        <f t="shared" si="1305"/>
        <v>3.5819999999999936</v>
      </c>
    </row>
    <row r="1481" spans="1:28">
      <c r="A1481" s="1">
        <v>1480</v>
      </c>
      <c r="B1481" s="1" t="s">
        <v>3301</v>
      </c>
      <c r="C1481" s="2">
        <v>42778</v>
      </c>
      <c r="D1481" s="6" t="str">
        <f t="shared" si="1300"/>
        <v>Feb</v>
      </c>
      <c r="E1481" s="6" t="str">
        <f t="shared" si="1301"/>
        <v>Qtr 1</v>
      </c>
      <c r="F1481" s="5">
        <v>42959</v>
      </c>
      <c r="G1481" s="1" t="s">
        <v>49</v>
      </c>
      <c r="H1481" s="1" t="s">
        <v>1239</v>
      </c>
      <c r="I1481" s="1" t="s">
        <v>1240</v>
      </c>
      <c r="J1481" s="1" t="str">
        <f ca="1">IFERROR(__xludf.DUMMYFUNCTION("split(I1481,"" "")"),"Mike")</f>
        <v>Mike</v>
      </c>
      <c r="K1481" s="1" t="str">
        <f ca="1">IFERROR(__xludf.DUMMYFUNCTION("""COMPUTED_VALUE"""),"Kennedy")</f>
        <v>Kennedy</v>
      </c>
      <c r="L1481" s="1"/>
      <c r="M1481" s="1" t="s">
        <v>29</v>
      </c>
      <c r="N1481" s="1" t="s">
        <v>30</v>
      </c>
      <c r="O1481" s="1" t="s">
        <v>110</v>
      </c>
      <c r="P1481" s="1" t="str">
        <f t="shared" si="1302"/>
        <v>San Francisco</v>
      </c>
      <c r="Q1481" s="1" t="s">
        <v>68</v>
      </c>
      <c r="R1481" s="1" t="str">
        <f t="shared" si="1303"/>
        <v>California</v>
      </c>
      <c r="S1481" s="1">
        <v>94122</v>
      </c>
      <c r="T1481" s="1" t="s">
        <v>44</v>
      </c>
      <c r="U1481" s="1" t="s">
        <v>3302</v>
      </c>
      <c r="V1481" s="1" t="s">
        <v>46</v>
      </c>
      <c r="W1481" s="7">
        <v>25.92</v>
      </c>
      <c r="X1481" s="1">
        <v>9</v>
      </c>
      <c r="Y1481" s="7">
        <v>25.18</v>
      </c>
      <c r="Z1481" s="7">
        <f t="shared" ref="Z1481:AA1481" si="1509">W1481*X1481</f>
        <v>233.28000000000003</v>
      </c>
      <c r="AA1481" s="7">
        <f t="shared" si="1509"/>
        <v>226.62</v>
      </c>
      <c r="AB1481" s="7">
        <f t="shared" si="1305"/>
        <v>6.660000000000025</v>
      </c>
    </row>
    <row r="1482" spans="1:28">
      <c r="A1482" s="1">
        <v>1481</v>
      </c>
      <c r="B1482" s="1" t="s">
        <v>3301</v>
      </c>
      <c r="C1482" s="2">
        <v>42778</v>
      </c>
      <c r="D1482" s="6" t="str">
        <f t="shared" si="1300"/>
        <v>Feb</v>
      </c>
      <c r="E1482" s="6" t="str">
        <f t="shared" si="1301"/>
        <v>Qtr 1</v>
      </c>
      <c r="F1482" s="5">
        <v>42959</v>
      </c>
      <c r="G1482" s="1" t="s">
        <v>49</v>
      </c>
      <c r="H1482" s="1" t="s">
        <v>1239</v>
      </c>
      <c r="I1482" s="1" t="s">
        <v>1240</v>
      </c>
      <c r="J1482" s="1" t="str">
        <f ca="1">IFERROR(__xludf.DUMMYFUNCTION("split(I1482,"" "")"),"Mike")</f>
        <v>Mike</v>
      </c>
      <c r="K1482" s="1" t="str">
        <f ca="1">IFERROR(__xludf.DUMMYFUNCTION("""COMPUTED_VALUE"""),"Kennedy")</f>
        <v>Kennedy</v>
      </c>
      <c r="L1482" s="1"/>
      <c r="M1482" s="1" t="s">
        <v>29</v>
      </c>
      <c r="N1482" s="1" t="s">
        <v>30</v>
      </c>
      <c r="O1482" s="1" t="s">
        <v>110</v>
      </c>
      <c r="P1482" s="1" t="str">
        <f t="shared" si="1302"/>
        <v>San Francisco</v>
      </c>
      <c r="Q1482" s="1" t="s">
        <v>68</v>
      </c>
      <c r="R1482" s="1" t="str">
        <f t="shared" si="1303"/>
        <v>California</v>
      </c>
      <c r="S1482" s="1">
        <v>94122</v>
      </c>
      <c r="T1482" s="1" t="s">
        <v>44</v>
      </c>
      <c r="U1482" s="1" t="s">
        <v>3303</v>
      </c>
      <c r="V1482" s="1" t="s">
        <v>46</v>
      </c>
      <c r="W1482" s="7">
        <v>40.46</v>
      </c>
      <c r="X1482" s="1">
        <v>9</v>
      </c>
      <c r="Y1482" s="7">
        <v>40</v>
      </c>
      <c r="Z1482" s="7">
        <f t="shared" ref="Z1482:AA1482" si="1510">W1482*X1482</f>
        <v>364.14</v>
      </c>
      <c r="AA1482" s="7">
        <f t="shared" si="1510"/>
        <v>360</v>
      </c>
      <c r="AB1482" s="7">
        <f t="shared" si="1305"/>
        <v>4.1399999999999864</v>
      </c>
    </row>
    <row r="1483" spans="1:28">
      <c r="A1483" s="1">
        <v>1482</v>
      </c>
      <c r="B1483" s="1" t="s">
        <v>3301</v>
      </c>
      <c r="C1483" s="2">
        <v>42778</v>
      </c>
      <c r="D1483" s="6" t="str">
        <f t="shared" si="1300"/>
        <v>Feb</v>
      </c>
      <c r="E1483" s="6" t="str">
        <f t="shared" si="1301"/>
        <v>Qtr 1</v>
      </c>
      <c r="F1483" s="5">
        <v>42959</v>
      </c>
      <c r="G1483" s="1" t="s">
        <v>49</v>
      </c>
      <c r="H1483" s="1" t="s">
        <v>1239</v>
      </c>
      <c r="I1483" s="1" t="s">
        <v>1240</v>
      </c>
      <c r="J1483" s="1" t="str">
        <f ca="1">IFERROR(__xludf.DUMMYFUNCTION("split(I1483,"" "")"),"Mike")</f>
        <v>Mike</v>
      </c>
      <c r="K1483" s="1" t="str">
        <f ca="1">IFERROR(__xludf.DUMMYFUNCTION("""COMPUTED_VALUE"""),"Kennedy")</f>
        <v>Kennedy</v>
      </c>
      <c r="L1483" s="1"/>
      <c r="M1483" s="1" t="s">
        <v>29</v>
      </c>
      <c r="N1483" s="1" t="s">
        <v>30</v>
      </c>
      <c r="O1483" s="1" t="s">
        <v>110</v>
      </c>
      <c r="P1483" s="1" t="str">
        <f t="shared" si="1302"/>
        <v>San Francisco</v>
      </c>
      <c r="Q1483" s="1" t="s">
        <v>68</v>
      </c>
      <c r="R1483" s="1" t="str">
        <f t="shared" si="1303"/>
        <v>California</v>
      </c>
      <c r="S1483" s="1">
        <v>94122</v>
      </c>
      <c r="T1483" s="1" t="s">
        <v>44</v>
      </c>
      <c r="U1483" s="1" t="s">
        <v>3304</v>
      </c>
      <c r="V1483" s="1" t="s">
        <v>46</v>
      </c>
      <c r="W1483" s="7">
        <v>33.869999999999997</v>
      </c>
      <c r="X1483" s="1">
        <v>9</v>
      </c>
      <c r="Y1483" s="7">
        <v>33.86</v>
      </c>
      <c r="Z1483" s="7">
        <f t="shared" ref="Z1483:AA1483" si="1511">W1483*X1483</f>
        <v>304.83</v>
      </c>
      <c r="AA1483" s="7">
        <f t="shared" si="1511"/>
        <v>304.74</v>
      </c>
      <c r="AB1483" s="7">
        <f t="shared" si="1305"/>
        <v>8.9999999999974989E-2</v>
      </c>
    </row>
    <row r="1484" spans="1:28">
      <c r="A1484" s="1">
        <v>1483</v>
      </c>
      <c r="B1484" s="1" t="s">
        <v>3305</v>
      </c>
      <c r="C1484" s="2">
        <v>43337</v>
      </c>
      <c r="D1484" s="6" t="str">
        <f t="shared" si="1300"/>
        <v>Aug</v>
      </c>
      <c r="E1484" s="6" t="str">
        <f t="shared" si="1301"/>
        <v>Qtr 3</v>
      </c>
      <c r="F1484" s="5" t="s">
        <v>2111</v>
      </c>
      <c r="G1484" s="1" t="s">
        <v>26</v>
      </c>
      <c r="H1484" s="1" t="s">
        <v>2628</v>
      </c>
      <c r="I1484" s="1" t="s">
        <v>2629</v>
      </c>
      <c r="J1484" s="1" t="str">
        <f ca="1">IFERROR(__xludf.DUMMYFUNCTION("split(I1484,"" "")"),"Don")</f>
        <v>Don</v>
      </c>
      <c r="K1484" s="1" t="str">
        <f ca="1">IFERROR(__xludf.DUMMYFUNCTION("""COMPUTED_VALUE"""),"Weiss")</f>
        <v>Weiss</v>
      </c>
      <c r="L1484" s="1"/>
      <c r="M1484" s="1" t="s">
        <v>29</v>
      </c>
      <c r="N1484" s="1" t="s">
        <v>30</v>
      </c>
      <c r="O1484" s="1" t="s">
        <v>281</v>
      </c>
      <c r="P1484" s="1" t="str">
        <f t="shared" si="1302"/>
        <v>Jackson</v>
      </c>
      <c r="Q1484" s="1" t="s">
        <v>287</v>
      </c>
      <c r="R1484" s="1" t="str">
        <f t="shared" si="1303"/>
        <v>Tennessee</v>
      </c>
      <c r="S1484" s="1">
        <v>38301</v>
      </c>
      <c r="T1484" s="1" t="s">
        <v>33</v>
      </c>
      <c r="U1484" s="1" t="s">
        <v>1539</v>
      </c>
      <c r="V1484" s="1" t="s">
        <v>46</v>
      </c>
      <c r="W1484" s="7">
        <v>9.7279999999999998</v>
      </c>
      <c r="X1484" s="1">
        <v>3</v>
      </c>
      <c r="Y1484" s="7">
        <v>9.14</v>
      </c>
      <c r="Z1484" s="7">
        <f t="shared" ref="Z1484:AA1484" si="1512">W1484*X1484</f>
        <v>29.183999999999997</v>
      </c>
      <c r="AA1484" s="7">
        <f t="shared" si="1512"/>
        <v>27.42</v>
      </c>
      <c r="AB1484" s="7">
        <f t="shared" si="1305"/>
        <v>1.7639999999999958</v>
      </c>
    </row>
    <row r="1485" spans="1:28">
      <c r="A1485" s="1">
        <v>1484</v>
      </c>
      <c r="B1485" s="1" t="s">
        <v>3305</v>
      </c>
      <c r="C1485" s="2">
        <v>43337</v>
      </c>
      <c r="D1485" s="6" t="str">
        <f t="shared" si="1300"/>
        <v>Aug</v>
      </c>
      <c r="E1485" s="6" t="str">
        <f t="shared" si="1301"/>
        <v>Qtr 3</v>
      </c>
      <c r="F1485" s="5" t="s">
        <v>2111</v>
      </c>
      <c r="G1485" s="1" t="s">
        <v>26</v>
      </c>
      <c r="H1485" s="1" t="s">
        <v>2628</v>
      </c>
      <c r="I1485" s="1" t="s">
        <v>2629</v>
      </c>
      <c r="J1485" s="1" t="str">
        <f ca="1">IFERROR(__xludf.DUMMYFUNCTION("split(I1485,"" "")"),"Don")</f>
        <v>Don</v>
      </c>
      <c r="K1485" s="1" t="str">
        <f ca="1">IFERROR(__xludf.DUMMYFUNCTION("""COMPUTED_VALUE"""),"Weiss")</f>
        <v>Weiss</v>
      </c>
      <c r="L1485" s="1"/>
      <c r="M1485" s="1" t="s">
        <v>29</v>
      </c>
      <c r="N1485" s="1" t="s">
        <v>30</v>
      </c>
      <c r="O1485" s="1" t="s">
        <v>281</v>
      </c>
      <c r="P1485" s="1" t="str">
        <f t="shared" si="1302"/>
        <v>Jackson</v>
      </c>
      <c r="Q1485" s="1" t="s">
        <v>287</v>
      </c>
      <c r="R1485" s="1" t="str">
        <f t="shared" si="1303"/>
        <v>Tennessee</v>
      </c>
      <c r="S1485" s="1">
        <v>38301</v>
      </c>
      <c r="T1485" s="1" t="s">
        <v>33</v>
      </c>
      <c r="U1485" s="1" t="s">
        <v>3306</v>
      </c>
      <c r="V1485" s="1" t="s">
        <v>46</v>
      </c>
      <c r="W1485" s="7">
        <v>3.4239999999999999</v>
      </c>
      <c r="X1485" s="1">
        <v>3</v>
      </c>
      <c r="Y1485" s="7">
        <v>3.15</v>
      </c>
      <c r="Z1485" s="7">
        <f t="shared" ref="Z1485:AA1485" si="1513">W1485*X1485</f>
        <v>10.272</v>
      </c>
      <c r="AA1485" s="7">
        <f t="shared" si="1513"/>
        <v>9.4499999999999993</v>
      </c>
      <c r="AB1485" s="7">
        <f t="shared" si="1305"/>
        <v>0.82200000000000095</v>
      </c>
    </row>
    <row r="1486" spans="1:28">
      <c r="A1486" s="1">
        <v>1485</v>
      </c>
      <c r="B1486" s="1" t="s">
        <v>3307</v>
      </c>
      <c r="C1486" s="2">
        <v>43022</v>
      </c>
      <c r="D1486" s="6" t="str">
        <f t="shared" si="1300"/>
        <v>Oct</v>
      </c>
      <c r="E1486" s="6" t="str">
        <f t="shared" si="1301"/>
        <v>Qtr 4</v>
      </c>
      <c r="F1486" s="5" t="s">
        <v>3308</v>
      </c>
      <c r="G1486" s="1" t="s">
        <v>49</v>
      </c>
      <c r="H1486" s="1" t="s">
        <v>1967</v>
      </c>
      <c r="I1486" s="1" t="s">
        <v>1968</v>
      </c>
      <c r="J1486" s="1" t="str">
        <f ca="1">IFERROR(__xludf.DUMMYFUNCTION("split(I1486,"" "")"),"Christine")</f>
        <v>Christine</v>
      </c>
      <c r="K1486" s="1" t="str">
        <f ca="1">IFERROR(__xludf.DUMMYFUNCTION("""COMPUTED_VALUE"""),"Phan")</f>
        <v>Phan</v>
      </c>
      <c r="L1486" s="1"/>
      <c r="M1486" s="1" t="s">
        <v>41</v>
      </c>
      <c r="N1486" s="1" t="s">
        <v>30</v>
      </c>
      <c r="O1486" s="1" t="s">
        <v>80</v>
      </c>
      <c r="P1486" s="1" t="str">
        <f t="shared" si="1302"/>
        <v>Seattle</v>
      </c>
      <c r="Q1486" s="1" t="s">
        <v>81</v>
      </c>
      <c r="R1486" s="1" t="str">
        <f t="shared" si="1303"/>
        <v>Washington</v>
      </c>
      <c r="S1486" s="1">
        <v>98115</v>
      </c>
      <c r="T1486" s="1" t="s">
        <v>44</v>
      </c>
      <c r="U1486" s="1" t="s">
        <v>3309</v>
      </c>
      <c r="V1486" s="1" t="s">
        <v>64</v>
      </c>
      <c r="W1486" s="7">
        <v>177</v>
      </c>
      <c r="X1486" s="1">
        <v>9</v>
      </c>
      <c r="Y1486" s="7">
        <v>176.13</v>
      </c>
      <c r="Z1486" s="7">
        <f t="shared" ref="Z1486:AA1486" si="1514">W1486*X1486</f>
        <v>1593</v>
      </c>
      <c r="AA1486" s="7">
        <f t="shared" si="1514"/>
        <v>1585.17</v>
      </c>
      <c r="AB1486" s="7">
        <f t="shared" si="1305"/>
        <v>7.8299999999999272</v>
      </c>
    </row>
    <row r="1487" spans="1:28">
      <c r="A1487" s="1">
        <v>1486</v>
      </c>
      <c r="B1487" s="1" t="s">
        <v>3310</v>
      </c>
      <c r="C1487" s="2">
        <v>42335</v>
      </c>
      <c r="D1487" s="6" t="str">
        <f t="shared" si="1300"/>
        <v>Nov</v>
      </c>
      <c r="E1487" s="6" t="str">
        <f t="shared" si="1301"/>
        <v>Qtr 4</v>
      </c>
      <c r="F1487" s="5">
        <v>42075</v>
      </c>
      <c r="G1487" s="1" t="s">
        <v>49</v>
      </c>
      <c r="H1487" s="1" t="s">
        <v>3311</v>
      </c>
      <c r="I1487" s="1" t="s">
        <v>3312</v>
      </c>
      <c r="J1487" s="1" t="str">
        <f ca="1">IFERROR(__xludf.DUMMYFUNCTION("split(I1487,"" "")"),"Maxwell")</f>
        <v>Maxwell</v>
      </c>
      <c r="K1487" s="1" t="str">
        <f ca="1">IFERROR(__xludf.DUMMYFUNCTION("""COMPUTED_VALUE"""),"Schwartz")</f>
        <v>Schwartz</v>
      </c>
      <c r="L1487" s="1"/>
      <c r="M1487" s="1" t="s">
        <v>29</v>
      </c>
      <c r="N1487" s="1" t="s">
        <v>30</v>
      </c>
      <c r="O1487" s="1" t="s">
        <v>233</v>
      </c>
      <c r="P1487" s="1" t="str">
        <f t="shared" si="1302"/>
        <v>New York City</v>
      </c>
      <c r="Q1487" s="1" t="s">
        <v>234</v>
      </c>
      <c r="R1487" s="1" t="str">
        <f t="shared" si="1303"/>
        <v>New York</v>
      </c>
      <c r="S1487" s="1">
        <v>10035</v>
      </c>
      <c r="T1487" s="1" t="s">
        <v>128</v>
      </c>
      <c r="U1487" s="1" t="s">
        <v>3313</v>
      </c>
      <c r="V1487" s="1" t="s">
        <v>46</v>
      </c>
      <c r="W1487" s="7">
        <v>3.76</v>
      </c>
      <c r="X1487" s="1">
        <v>1</v>
      </c>
      <c r="Y1487" s="7">
        <v>3.06</v>
      </c>
      <c r="Z1487" s="7">
        <f t="shared" ref="Z1487:AA1487" si="1515">W1487*X1487</f>
        <v>3.76</v>
      </c>
      <c r="AA1487" s="7">
        <f t="shared" si="1515"/>
        <v>3.06</v>
      </c>
      <c r="AB1487" s="7">
        <f t="shared" si="1305"/>
        <v>0.69999999999999973</v>
      </c>
    </row>
    <row r="1488" spans="1:28">
      <c r="A1488" s="1">
        <v>1487</v>
      </c>
      <c r="B1488" s="1" t="s">
        <v>3314</v>
      </c>
      <c r="C1488" s="2">
        <v>42440</v>
      </c>
      <c r="D1488" s="6" t="str">
        <f t="shared" si="1300"/>
        <v>Mar</v>
      </c>
      <c r="E1488" s="6" t="str">
        <f t="shared" si="1301"/>
        <v>Qtr 1</v>
      </c>
      <c r="F1488" s="5">
        <v>42562</v>
      </c>
      <c r="G1488" s="1" t="s">
        <v>49</v>
      </c>
      <c r="H1488" s="1" t="s">
        <v>3315</v>
      </c>
      <c r="I1488" s="1" t="s">
        <v>3316</v>
      </c>
      <c r="J1488" s="1" t="str">
        <f ca="1">IFERROR(__xludf.DUMMYFUNCTION("split(I1488,"" "")"),"Corinna")</f>
        <v>Corinna</v>
      </c>
      <c r="K1488" s="1" t="str">
        <f ca="1">IFERROR(__xludf.DUMMYFUNCTION("""COMPUTED_VALUE"""),"Mitchell")</f>
        <v>Mitchell</v>
      </c>
      <c r="L1488" s="1"/>
      <c r="M1488" s="1" t="s">
        <v>87</v>
      </c>
      <c r="N1488" s="1" t="s">
        <v>30</v>
      </c>
      <c r="O1488" s="1" t="s">
        <v>42</v>
      </c>
      <c r="P1488" s="1" t="str">
        <f t="shared" si="1302"/>
        <v>Los Angeles</v>
      </c>
      <c r="Q1488" s="1" t="s">
        <v>68</v>
      </c>
      <c r="R1488" s="1" t="str">
        <f t="shared" si="1303"/>
        <v>California</v>
      </c>
      <c r="S1488" s="1">
        <v>90008</v>
      </c>
      <c r="T1488" s="1" t="s">
        <v>44</v>
      </c>
      <c r="U1488" s="1" t="s">
        <v>3317</v>
      </c>
      <c r="V1488" s="1" t="s">
        <v>64</v>
      </c>
      <c r="W1488" s="7">
        <v>1212.848</v>
      </c>
      <c r="X1488" s="1">
        <v>9</v>
      </c>
      <c r="Y1488" s="7">
        <v>1212.8</v>
      </c>
      <c r="Z1488" s="7">
        <f t="shared" ref="Z1488:AA1488" si="1516">W1488*X1488</f>
        <v>10915.632</v>
      </c>
      <c r="AA1488" s="7">
        <f t="shared" si="1516"/>
        <v>10915.199999999999</v>
      </c>
      <c r="AB1488" s="7">
        <f t="shared" si="1305"/>
        <v>0.43200000000069849</v>
      </c>
    </row>
    <row r="1489" spans="1:28">
      <c r="A1489" s="1">
        <v>1488</v>
      </c>
      <c r="B1489" s="1" t="s">
        <v>3314</v>
      </c>
      <c r="C1489" s="2">
        <v>42440</v>
      </c>
      <c r="D1489" s="6" t="str">
        <f t="shared" si="1300"/>
        <v>Mar</v>
      </c>
      <c r="E1489" s="6" t="str">
        <f t="shared" si="1301"/>
        <v>Qtr 1</v>
      </c>
      <c r="F1489" s="5">
        <v>42562</v>
      </c>
      <c r="G1489" s="1" t="s">
        <v>49</v>
      </c>
      <c r="H1489" s="1" t="s">
        <v>3315</v>
      </c>
      <c r="I1489" s="1" t="s">
        <v>3316</v>
      </c>
      <c r="J1489" s="1" t="str">
        <f ca="1">IFERROR(__xludf.DUMMYFUNCTION("split(I1489,"" "")"),"Corinna")</f>
        <v>Corinna</v>
      </c>
      <c r="K1489" s="1" t="str">
        <f ca="1">IFERROR(__xludf.DUMMYFUNCTION("""COMPUTED_VALUE"""),"Mitchell")</f>
        <v>Mitchell</v>
      </c>
      <c r="L1489" s="1"/>
      <c r="M1489" s="1" t="s">
        <v>87</v>
      </c>
      <c r="N1489" s="1" t="s">
        <v>30</v>
      </c>
      <c r="O1489" s="1" t="s">
        <v>42</v>
      </c>
      <c r="P1489" s="1" t="str">
        <f t="shared" si="1302"/>
        <v>Los Angeles</v>
      </c>
      <c r="Q1489" s="1" t="s">
        <v>68</v>
      </c>
      <c r="R1489" s="1" t="str">
        <f t="shared" si="1303"/>
        <v>California</v>
      </c>
      <c r="S1489" s="1">
        <v>90008</v>
      </c>
      <c r="T1489" s="1" t="s">
        <v>44</v>
      </c>
      <c r="U1489" s="1" t="s">
        <v>3318</v>
      </c>
      <c r="V1489" s="1" t="s">
        <v>64</v>
      </c>
      <c r="W1489" s="7">
        <v>89.97</v>
      </c>
      <c r="X1489" s="1">
        <v>9</v>
      </c>
      <c r="Y1489" s="7">
        <v>89.31</v>
      </c>
      <c r="Z1489" s="7">
        <f t="shared" ref="Z1489:AA1489" si="1517">W1489*X1489</f>
        <v>809.73</v>
      </c>
      <c r="AA1489" s="7">
        <f t="shared" si="1517"/>
        <v>803.79</v>
      </c>
      <c r="AB1489" s="7">
        <f t="shared" si="1305"/>
        <v>5.9400000000000546</v>
      </c>
    </row>
    <row r="1490" spans="1:28">
      <c r="A1490" s="1">
        <v>1489</v>
      </c>
      <c r="B1490" s="1" t="s">
        <v>3314</v>
      </c>
      <c r="C1490" s="2">
        <v>42440</v>
      </c>
      <c r="D1490" s="6" t="str">
        <f t="shared" si="1300"/>
        <v>Mar</v>
      </c>
      <c r="E1490" s="6" t="str">
        <f t="shared" si="1301"/>
        <v>Qtr 1</v>
      </c>
      <c r="F1490" s="5">
        <v>42562</v>
      </c>
      <c r="G1490" s="1" t="s">
        <v>49</v>
      </c>
      <c r="H1490" s="1" t="s">
        <v>3315</v>
      </c>
      <c r="I1490" s="1" t="s">
        <v>3316</v>
      </c>
      <c r="J1490" s="1" t="str">
        <f ca="1">IFERROR(__xludf.DUMMYFUNCTION("split(I1490,"" "")"),"Corinna")</f>
        <v>Corinna</v>
      </c>
      <c r="K1490" s="1" t="str">
        <f ca="1">IFERROR(__xludf.DUMMYFUNCTION("""COMPUTED_VALUE"""),"Mitchell")</f>
        <v>Mitchell</v>
      </c>
      <c r="L1490" s="1"/>
      <c r="M1490" s="1" t="s">
        <v>87</v>
      </c>
      <c r="N1490" s="1" t="s">
        <v>30</v>
      </c>
      <c r="O1490" s="1" t="s">
        <v>42</v>
      </c>
      <c r="P1490" s="1" t="str">
        <f t="shared" si="1302"/>
        <v>Los Angeles</v>
      </c>
      <c r="Q1490" s="1" t="s">
        <v>68</v>
      </c>
      <c r="R1490" s="1" t="str">
        <f t="shared" si="1303"/>
        <v>California</v>
      </c>
      <c r="S1490" s="1">
        <v>90008</v>
      </c>
      <c r="T1490" s="1" t="s">
        <v>44</v>
      </c>
      <c r="U1490" s="1" t="s">
        <v>1216</v>
      </c>
      <c r="V1490" s="1" t="s">
        <v>35</v>
      </c>
      <c r="W1490" s="7">
        <v>42.6</v>
      </c>
      <c r="X1490" s="1">
        <v>9</v>
      </c>
      <c r="Y1490" s="7">
        <v>41.61</v>
      </c>
      <c r="Z1490" s="7">
        <f t="shared" ref="Z1490:AA1490" si="1518">W1490*X1490</f>
        <v>383.40000000000003</v>
      </c>
      <c r="AA1490" s="7">
        <f t="shared" si="1518"/>
        <v>374.49</v>
      </c>
      <c r="AB1490" s="7">
        <f t="shared" si="1305"/>
        <v>8.910000000000025</v>
      </c>
    </row>
    <row r="1491" spans="1:28">
      <c r="A1491" s="1">
        <v>1490</v>
      </c>
      <c r="B1491" s="1" t="s">
        <v>3319</v>
      </c>
      <c r="C1491" s="2">
        <v>42337</v>
      </c>
      <c r="D1491" s="6" t="str">
        <f t="shared" si="1300"/>
        <v>Nov</v>
      </c>
      <c r="E1491" s="6" t="str">
        <f t="shared" si="1301"/>
        <v>Qtr 4</v>
      </c>
      <c r="F1491" s="5">
        <v>42167</v>
      </c>
      <c r="G1491" s="1" t="s">
        <v>49</v>
      </c>
      <c r="H1491" s="1" t="s">
        <v>3320</v>
      </c>
      <c r="I1491" s="1" t="s">
        <v>3321</v>
      </c>
      <c r="J1491" s="1" t="s">
        <v>3322</v>
      </c>
      <c r="K1491" s="1" t="s">
        <v>3323</v>
      </c>
      <c r="L1491" s="1"/>
      <c r="M1491" s="1" t="s">
        <v>29</v>
      </c>
      <c r="N1491" s="1" t="s">
        <v>30</v>
      </c>
      <c r="O1491" s="1" t="s">
        <v>126</v>
      </c>
      <c r="P1491" s="1" t="str">
        <f t="shared" si="1302"/>
        <v>Philadelphia</v>
      </c>
      <c r="Q1491" s="1" t="s">
        <v>127</v>
      </c>
      <c r="R1491" s="1" t="str">
        <f t="shared" si="1303"/>
        <v>Pennsylvania</v>
      </c>
      <c r="S1491" s="1">
        <v>19143</v>
      </c>
      <c r="T1491" s="1" t="s">
        <v>128</v>
      </c>
      <c r="U1491" s="1" t="s">
        <v>2647</v>
      </c>
      <c r="V1491" s="1" t="s">
        <v>46</v>
      </c>
      <c r="W1491" s="7">
        <v>5.04</v>
      </c>
      <c r="X1491" s="1">
        <v>1</v>
      </c>
      <c r="Y1491" s="7">
        <v>4.8899999999999997</v>
      </c>
      <c r="Z1491" s="7">
        <f t="shared" ref="Z1491:AA1491" si="1519">W1491*X1491</f>
        <v>5.04</v>
      </c>
      <c r="AA1491" s="7">
        <f t="shared" si="1519"/>
        <v>4.8899999999999997</v>
      </c>
      <c r="AB1491" s="7">
        <f t="shared" si="1305"/>
        <v>0.15000000000000036</v>
      </c>
    </row>
    <row r="1492" spans="1:28">
      <c r="A1492" s="1">
        <v>1491</v>
      </c>
      <c r="B1492" s="1" t="s">
        <v>3324</v>
      </c>
      <c r="C1492" s="2">
        <v>43220</v>
      </c>
      <c r="D1492" s="6" t="str">
        <f t="shared" si="1300"/>
        <v>Apr</v>
      </c>
      <c r="E1492" s="6" t="str">
        <f t="shared" si="1301"/>
        <v>Qtr 2</v>
      </c>
      <c r="F1492" s="5">
        <v>43225</v>
      </c>
      <c r="G1492" s="1" t="s">
        <v>26</v>
      </c>
      <c r="H1492" s="1" t="s">
        <v>2693</v>
      </c>
      <c r="I1492" s="1" t="s">
        <v>2694</v>
      </c>
      <c r="J1492" s="1" t="str">
        <f ca="1">IFERROR(__xludf.DUMMYFUNCTION("split(I1492,"" "")"),"Dionis")</f>
        <v>Dionis</v>
      </c>
      <c r="K1492" s="1" t="str">
        <f ca="1">IFERROR(__xludf.DUMMYFUNCTION("""COMPUTED_VALUE"""),"Lloyd")</f>
        <v>Lloyd</v>
      </c>
      <c r="L1492" s="1"/>
      <c r="M1492" s="1" t="s">
        <v>41</v>
      </c>
      <c r="N1492" s="1" t="s">
        <v>30</v>
      </c>
      <c r="O1492" s="1" t="s">
        <v>233</v>
      </c>
      <c r="P1492" s="1" t="str">
        <f t="shared" si="1302"/>
        <v>New York City</v>
      </c>
      <c r="Q1492" s="1" t="s">
        <v>234</v>
      </c>
      <c r="R1492" s="1" t="str">
        <f t="shared" si="1303"/>
        <v>New York</v>
      </c>
      <c r="S1492" s="1">
        <v>10024</v>
      </c>
      <c r="T1492" s="1" t="s">
        <v>128</v>
      </c>
      <c r="U1492" s="1" t="s">
        <v>173</v>
      </c>
      <c r="V1492" s="1" t="s">
        <v>46</v>
      </c>
      <c r="W1492" s="7">
        <v>62.96</v>
      </c>
      <c r="X1492" s="1">
        <v>1</v>
      </c>
      <c r="Y1492" s="7">
        <v>62.24</v>
      </c>
      <c r="Z1492" s="7">
        <f t="shared" ref="Z1492:AA1492" si="1520">W1492*X1492</f>
        <v>62.96</v>
      </c>
      <c r="AA1492" s="7">
        <f t="shared" si="1520"/>
        <v>62.24</v>
      </c>
      <c r="AB1492" s="7">
        <f t="shared" si="1305"/>
        <v>0.71999999999999886</v>
      </c>
    </row>
    <row r="1493" spans="1:28">
      <c r="A1493" s="1">
        <v>1492</v>
      </c>
      <c r="B1493" s="1" t="s">
        <v>3325</v>
      </c>
      <c r="C1493" s="2">
        <v>43428</v>
      </c>
      <c r="D1493" s="6" t="str">
        <f t="shared" si="1300"/>
        <v>Nov</v>
      </c>
      <c r="E1493" s="6" t="str">
        <f t="shared" si="1301"/>
        <v>Qtr 4</v>
      </c>
      <c r="F1493" s="5" t="s">
        <v>391</v>
      </c>
      <c r="G1493" s="1" t="s">
        <v>49</v>
      </c>
      <c r="H1493" s="1" t="s">
        <v>3326</v>
      </c>
      <c r="I1493" s="1" t="s">
        <v>3327</v>
      </c>
      <c r="J1493" s="1" t="str">
        <f ca="1">IFERROR(__xludf.DUMMYFUNCTION("split(I1493,"" "")"),"Todd")</f>
        <v>Todd</v>
      </c>
      <c r="K1493" s="1" t="str">
        <f ca="1">IFERROR(__xludf.DUMMYFUNCTION("""COMPUTED_VALUE"""),"Sumrall")</f>
        <v>Sumrall</v>
      </c>
      <c r="L1493" s="1"/>
      <c r="M1493" s="1" t="s">
        <v>41</v>
      </c>
      <c r="N1493" s="1" t="s">
        <v>30</v>
      </c>
      <c r="O1493" s="1" t="s">
        <v>233</v>
      </c>
      <c r="P1493" s="1" t="str">
        <f t="shared" si="1302"/>
        <v>New York City</v>
      </c>
      <c r="Q1493" s="1" t="s">
        <v>234</v>
      </c>
      <c r="R1493" s="1" t="str">
        <f t="shared" si="1303"/>
        <v>New York</v>
      </c>
      <c r="S1493" s="1">
        <v>10035</v>
      </c>
      <c r="T1493" s="1" t="s">
        <v>128</v>
      </c>
      <c r="U1493" s="1" t="s">
        <v>3328</v>
      </c>
      <c r="V1493" s="1" t="s">
        <v>46</v>
      </c>
      <c r="W1493" s="7">
        <v>5.88</v>
      </c>
      <c r="X1493" s="1">
        <v>1</v>
      </c>
      <c r="Y1493" s="7">
        <v>5.88</v>
      </c>
      <c r="Z1493" s="7">
        <f t="shared" ref="Z1493:AA1493" si="1521">W1493*X1493</f>
        <v>5.88</v>
      </c>
      <c r="AA1493" s="7">
        <f t="shared" si="1521"/>
        <v>5.88</v>
      </c>
      <c r="AB1493" s="7">
        <f t="shared" si="1305"/>
        <v>0</v>
      </c>
    </row>
    <row r="1494" spans="1:28">
      <c r="A1494" s="1">
        <v>1493</v>
      </c>
      <c r="B1494" s="1" t="s">
        <v>3325</v>
      </c>
      <c r="C1494" s="2">
        <v>43428</v>
      </c>
      <c r="D1494" s="6" t="str">
        <f t="shared" si="1300"/>
        <v>Nov</v>
      </c>
      <c r="E1494" s="6" t="str">
        <f t="shared" si="1301"/>
        <v>Qtr 4</v>
      </c>
      <c r="F1494" s="5" t="s">
        <v>391</v>
      </c>
      <c r="G1494" s="1" t="s">
        <v>49</v>
      </c>
      <c r="H1494" s="1" t="s">
        <v>3326</v>
      </c>
      <c r="I1494" s="1" t="s">
        <v>3327</v>
      </c>
      <c r="J1494" s="1" t="str">
        <f ca="1">IFERROR(__xludf.DUMMYFUNCTION("split(I1494,"" "")"),"Todd")</f>
        <v>Todd</v>
      </c>
      <c r="K1494" s="1" t="str">
        <f ca="1">IFERROR(__xludf.DUMMYFUNCTION("""COMPUTED_VALUE"""),"Sumrall")</f>
        <v>Sumrall</v>
      </c>
      <c r="L1494" s="1"/>
      <c r="M1494" s="1" t="s">
        <v>41</v>
      </c>
      <c r="N1494" s="1" t="s">
        <v>30</v>
      </c>
      <c r="O1494" s="1" t="s">
        <v>233</v>
      </c>
      <c r="P1494" s="1" t="str">
        <f t="shared" si="1302"/>
        <v>New York City</v>
      </c>
      <c r="Q1494" s="1" t="s">
        <v>234</v>
      </c>
      <c r="R1494" s="1" t="str">
        <f t="shared" si="1303"/>
        <v>New York</v>
      </c>
      <c r="S1494" s="1">
        <v>10035</v>
      </c>
      <c r="T1494" s="1" t="s">
        <v>128</v>
      </c>
      <c r="U1494" s="1" t="s">
        <v>1041</v>
      </c>
      <c r="V1494" s="1" t="s">
        <v>35</v>
      </c>
      <c r="W1494" s="7">
        <v>977.29200000000003</v>
      </c>
      <c r="X1494" s="1">
        <v>1</v>
      </c>
      <c r="Y1494" s="7">
        <v>977.05</v>
      </c>
      <c r="Z1494" s="7">
        <f t="shared" ref="Z1494:AA1494" si="1522">W1494*X1494</f>
        <v>977.29200000000003</v>
      </c>
      <c r="AA1494" s="7">
        <f t="shared" si="1522"/>
        <v>977.05</v>
      </c>
      <c r="AB1494" s="7">
        <f t="shared" si="1305"/>
        <v>0.24200000000007549</v>
      </c>
    </row>
    <row r="1495" spans="1:28">
      <c r="A1495" s="1">
        <v>1494</v>
      </c>
      <c r="B1495" s="1" t="s">
        <v>3329</v>
      </c>
      <c r="C1495" s="2">
        <v>43403</v>
      </c>
      <c r="D1495" s="6" t="str">
        <f t="shared" si="1300"/>
        <v>Oct</v>
      </c>
      <c r="E1495" s="6" t="str">
        <f t="shared" si="1301"/>
        <v>Qtr 4</v>
      </c>
      <c r="F1495" s="5">
        <v>43170</v>
      </c>
      <c r="G1495" s="1" t="s">
        <v>49</v>
      </c>
      <c r="H1495" s="1" t="s">
        <v>3330</v>
      </c>
      <c r="I1495" s="1" t="s">
        <v>3331</v>
      </c>
      <c r="J1495" s="1" t="str">
        <f ca="1">IFERROR(__xludf.DUMMYFUNCTION("split(I1495,"" "")"),"Jane")</f>
        <v>Jane</v>
      </c>
      <c r="K1495" s="1" t="str">
        <f ca="1">IFERROR(__xludf.DUMMYFUNCTION("""COMPUTED_VALUE"""),"Waco")</f>
        <v>Waco</v>
      </c>
      <c r="L1495" s="1"/>
      <c r="M1495" s="1" t="s">
        <v>41</v>
      </c>
      <c r="N1495" s="1" t="s">
        <v>30</v>
      </c>
      <c r="O1495" s="1" t="s">
        <v>1749</v>
      </c>
      <c r="P1495" s="1" t="str">
        <f t="shared" si="1302"/>
        <v>Vancouver</v>
      </c>
      <c r="Q1495" s="1" t="s">
        <v>81</v>
      </c>
      <c r="R1495" s="1" t="str">
        <f t="shared" si="1303"/>
        <v>Washington</v>
      </c>
      <c r="S1495" s="1">
        <v>98661</v>
      </c>
      <c r="T1495" s="1" t="s">
        <v>44</v>
      </c>
      <c r="U1495" s="1" t="s">
        <v>2464</v>
      </c>
      <c r="V1495" s="1" t="s">
        <v>35</v>
      </c>
      <c r="W1495" s="7">
        <v>9.64</v>
      </c>
      <c r="X1495" s="1">
        <v>9</v>
      </c>
      <c r="Y1495" s="7">
        <v>8.9600000000000009</v>
      </c>
      <c r="Z1495" s="7">
        <f t="shared" ref="Z1495:AA1495" si="1523">W1495*X1495</f>
        <v>86.76</v>
      </c>
      <c r="AA1495" s="7">
        <f t="shared" si="1523"/>
        <v>80.640000000000015</v>
      </c>
      <c r="AB1495" s="7">
        <f t="shared" si="1305"/>
        <v>6.1199999999999903</v>
      </c>
    </row>
    <row r="1496" spans="1:28">
      <c r="A1496" s="1">
        <v>1495</v>
      </c>
      <c r="B1496" s="1" t="s">
        <v>3332</v>
      </c>
      <c r="C1496" s="2">
        <v>42355</v>
      </c>
      <c r="D1496" s="6" t="str">
        <f t="shared" si="1300"/>
        <v>Dec</v>
      </c>
      <c r="E1496" s="6" t="str">
        <f t="shared" si="1301"/>
        <v>Qtr 4</v>
      </c>
      <c r="F1496" s="5" t="s">
        <v>3333</v>
      </c>
      <c r="G1496" s="1" t="s">
        <v>26</v>
      </c>
      <c r="H1496" s="1" t="s">
        <v>1163</v>
      </c>
      <c r="I1496" s="1" t="s">
        <v>1164</v>
      </c>
      <c r="J1496" s="1" t="str">
        <f ca="1">IFERROR(__xludf.DUMMYFUNCTION("split(I1496,"" "")"),"Roy")</f>
        <v>Roy</v>
      </c>
      <c r="K1496" s="1" t="str">
        <f ca="1">IFERROR(__xludf.DUMMYFUNCTION("""COMPUTED_VALUE"""),"Französisch")</f>
        <v>Französisch</v>
      </c>
      <c r="L1496" s="1"/>
      <c r="M1496" s="1" t="s">
        <v>29</v>
      </c>
      <c r="N1496" s="1" t="s">
        <v>30</v>
      </c>
      <c r="O1496" s="1" t="s">
        <v>420</v>
      </c>
      <c r="P1496" s="1" t="str">
        <f t="shared" si="1302"/>
        <v>Columbus</v>
      </c>
      <c r="Q1496" s="1" t="s">
        <v>1035</v>
      </c>
      <c r="R1496" s="1" t="str">
        <f t="shared" si="1303"/>
        <v>Georgia</v>
      </c>
      <c r="S1496" s="1">
        <v>31907</v>
      </c>
      <c r="T1496" s="1" t="s">
        <v>33</v>
      </c>
      <c r="U1496" s="1" t="s">
        <v>2652</v>
      </c>
      <c r="V1496" s="1" t="s">
        <v>46</v>
      </c>
      <c r="W1496" s="7">
        <v>40.049999999999997</v>
      </c>
      <c r="X1496" s="1">
        <v>3</v>
      </c>
      <c r="Y1496" s="7">
        <v>39.83</v>
      </c>
      <c r="Z1496" s="7">
        <f t="shared" ref="Z1496:AA1496" si="1524">W1496*X1496</f>
        <v>120.14999999999999</v>
      </c>
      <c r="AA1496" s="7">
        <f t="shared" si="1524"/>
        <v>119.49</v>
      </c>
      <c r="AB1496" s="7">
        <f t="shared" si="1305"/>
        <v>0.65999999999999659</v>
      </c>
    </row>
    <row r="1497" spans="1:28">
      <c r="A1497" s="1">
        <v>1496</v>
      </c>
      <c r="B1497" s="1" t="s">
        <v>3334</v>
      </c>
      <c r="C1497" s="2">
        <v>43199</v>
      </c>
      <c r="D1497" s="6" t="str">
        <f t="shared" si="1300"/>
        <v>Apr</v>
      </c>
      <c r="E1497" s="6" t="str">
        <f t="shared" si="1301"/>
        <v>Qtr 2</v>
      </c>
      <c r="F1497" s="5">
        <v>43321</v>
      </c>
      <c r="G1497" s="1" t="s">
        <v>49</v>
      </c>
      <c r="H1497" s="1" t="s">
        <v>3335</v>
      </c>
      <c r="I1497" s="1" t="s">
        <v>3336</v>
      </c>
      <c r="J1497" s="1" t="str">
        <f ca="1">IFERROR(__xludf.DUMMYFUNCTION("split(I1497,"" "")"),"John")</f>
        <v>John</v>
      </c>
      <c r="K1497" s="1" t="str">
        <f ca="1">IFERROR(__xludf.DUMMYFUNCTION("""COMPUTED_VALUE"""),"Dryer")</f>
        <v>Dryer</v>
      </c>
      <c r="L1497" s="1"/>
      <c r="M1497" s="1" t="s">
        <v>29</v>
      </c>
      <c r="N1497" s="1" t="s">
        <v>30</v>
      </c>
      <c r="O1497" s="1" t="s">
        <v>3337</v>
      </c>
      <c r="P1497" s="1" t="str">
        <f t="shared" si="1302"/>
        <v>Coppell</v>
      </c>
      <c r="Q1497" s="1" t="s">
        <v>89</v>
      </c>
      <c r="R1497" s="1" t="str">
        <f t="shared" si="1303"/>
        <v>Texas</v>
      </c>
      <c r="S1497" s="1">
        <v>75019</v>
      </c>
      <c r="T1497" s="1" t="s">
        <v>90</v>
      </c>
      <c r="U1497" s="1" t="s">
        <v>2744</v>
      </c>
      <c r="V1497" s="1" t="s">
        <v>46</v>
      </c>
      <c r="W1497" s="7">
        <v>10.192</v>
      </c>
      <c r="X1497" s="1">
        <v>7</v>
      </c>
      <c r="Y1497" s="7">
        <v>9.7899999999999991</v>
      </c>
      <c r="Z1497" s="7">
        <f t="shared" ref="Z1497:AA1497" si="1525">W1497*X1497</f>
        <v>71.343999999999994</v>
      </c>
      <c r="AA1497" s="7">
        <f t="shared" si="1525"/>
        <v>68.53</v>
      </c>
      <c r="AB1497" s="7">
        <f t="shared" si="1305"/>
        <v>2.813999999999993</v>
      </c>
    </row>
    <row r="1498" spans="1:28">
      <c r="A1498" s="1">
        <v>1497</v>
      </c>
      <c r="B1498" s="1" t="s">
        <v>3334</v>
      </c>
      <c r="C1498" s="2">
        <v>43199</v>
      </c>
      <c r="D1498" s="6" t="str">
        <f t="shared" si="1300"/>
        <v>Apr</v>
      </c>
      <c r="E1498" s="6" t="str">
        <f t="shared" si="1301"/>
        <v>Qtr 2</v>
      </c>
      <c r="F1498" s="5">
        <v>43321</v>
      </c>
      <c r="G1498" s="1" t="s">
        <v>49</v>
      </c>
      <c r="H1498" s="1" t="s">
        <v>3335</v>
      </c>
      <c r="I1498" s="1" t="s">
        <v>3336</v>
      </c>
      <c r="J1498" s="1" t="str">
        <f ca="1">IFERROR(__xludf.DUMMYFUNCTION("split(I1498,"" "")"),"John")</f>
        <v>John</v>
      </c>
      <c r="K1498" s="1" t="str">
        <f ca="1">IFERROR(__xludf.DUMMYFUNCTION("""COMPUTED_VALUE"""),"Dryer")</f>
        <v>Dryer</v>
      </c>
      <c r="L1498" s="1"/>
      <c r="M1498" s="1" t="s">
        <v>29</v>
      </c>
      <c r="N1498" s="1" t="s">
        <v>30</v>
      </c>
      <c r="O1498" s="1" t="s">
        <v>3337</v>
      </c>
      <c r="P1498" s="1" t="str">
        <f t="shared" si="1302"/>
        <v>Coppell</v>
      </c>
      <c r="Q1498" s="1" t="s">
        <v>89</v>
      </c>
      <c r="R1498" s="1" t="str">
        <f t="shared" si="1303"/>
        <v>Texas</v>
      </c>
      <c r="S1498" s="1">
        <v>75019</v>
      </c>
      <c r="T1498" s="1" t="s">
        <v>90</v>
      </c>
      <c r="U1498" s="1" t="s">
        <v>3338</v>
      </c>
      <c r="V1498" s="1" t="s">
        <v>46</v>
      </c>
      <c r="W1498" s="7">
        <v>16.783999999999999</v>
      </c>
      <c r="X1498" s="1">
        <v>7</v>
      </c>
      <c r="Y1498" s="7">
        <v>16.260000000000002</v>
      </c>
      <c r="Z1498" s="7">
        <f t="shared" ref="Z1498:AA1498" si="1526">W1498*X1498</f>
        <v>117.488</v>
      </c>
      <c r="AA1498" s="7">
        <f t="shared" si="1526"/>
        <v>113.82000000000001</v>
      </c>
      <c r="AB1498" s="7">
        <f t="shared" si="1305"/>
        <v>3.6679999999999922</v>
      </c>
    </row>
    <row r="1499" spans="1:28">
      <c r="A1499" s="1">
        <v>1498</v>
      </c>
      <c r="B1499" s="1" t="s">
        <v>3334</v>
      </c>
      <c r="C1499" s="2">
        <v>43199</v>
      </c>
      <c r="D1499" s="6" t="str">
        <f t="shared" si="1300"/>
        <v>Apr</v>
      </c>
      <c r="E1499" s="6" t="str">
        <f t="shared" si="1301"/>
        <v>Qtr 2</v>
      </c>
      <c r="F1499" s="5">
        <v>43321</v>
      </c>
      <c r="G1499" s="1" t="s">
        <v>49</v>
      </c>
      <c r="H1499" s="1" t="s">
        <v>3335</v>
      </c>
      <c r="I1499" s="1" t="s">
        <v>3336</v>
      </c>
      <c r="J1499" s="1" t="str">
        <f ca="1">IFERROR(__xludf.DUMMYFUNCTION("split(I1499,"" "")"),"John")</f>
        <v>John</v>
      </c>
      <c r="K1499" s="1" t="str">
        <f ca="1">IFERROR(__xludf.DUMMYFUNCTION("""COMPUTED_VALUE"""),"Dryer")</f>
        <v>Dryer</v>
      </c>
      <c r="L1499" s="1"/>
      <c r="M1499" s="1" t="s">
        <v>29</v>
      </c>
      <c r="N1499" s="1" t="s">
        <v>30</v>
      </c>
      <c r="O1499" s="1" t="s">
        <v>3337</v>
      </c>
      <c r="P1499" s="1" t="str">
        <f t="shared" si="1302"/>
        <v>Coppell</v>
      </c>
      <c r="Q1499" s="1" t="s">
        <v>89</v>
      </c>
      <c r="R1499" s="1" t="str">
        <f t="shared" si="1303"/>
        <v>Texas</v>
      </c>
      <c r="S1499" s="1">
        <v>75019</v>
      </c>
      <c r="T1499" s="1" t="s">
        <v>90</v>
      </c>
      <c r="U1499" s="1" t="s">
        <v>598</v>
      </c>
      <c r="V1499" s="1" t="s">
        <v>46</v>
      </c>
      <c r="W1499" s="7">
        <v>13.12</v>
      </c>
      <c r="X1499" s="1">
        <v>7</v>
      </c>
      <c r="Y1499" s="7">
        <v>12.32</v>
      </c>
      <c r="Z1499" s="7">
        <f t="shared" ref="Z1499:AA1499" si="1527">W1499*X1499</f>
        <v>91.839999999999989</v>
      </c>
      <c r="AA1499" s="7">
        <f t="shared" si="1527"/>
        <v>86.240000000000009</v>
      </c>
      <c r="AB1499" s="7">
        <f t="shared" si="1305"/>
        <v>5.5999999999999801</v>
      </c>
    </row>
    <row r="1500" spans="1:28">
      <c r="A1500" s="1">
        <v>1499</v>
      </c>
      <c r="B1500" s="1" t="s">
        <v>3339</v>
      </c>
      <c r="C1500" s="2">
        <v>43025</v>
      </c>
      <c r="D1500" s="6" t="str">
        <f t="shared" si="1300"/>
        <v>Oct</v>
      </c>
      <c r="E1500" s="6" t="str">
        <f t="shared" si="1301"/>
        <v>Qtr 4</v>
      </c>
      <c r="F1500" s="5" t="s">
        <v>3340</v>
      </c>
      <c r="G1500" s="1" t="s">
        <v>162</v>
      </c>
      <c r="H1500" s="1" t="s">
        <v>529</v>
      </c>
      <c r="I1500" s="1" t="s">
        <v>530</v>
      </c>
      <c r="J1500" s="1" t="str">
        <f ca="1">IFERROR(__xludf.DUMMYFUNCTION("split(I1500,"" "")"),"Neil")</f>
        <v>Neil</v>
      </c>
      <c r="K1500" s="1" t="str">
        <f ca="1">IFERROR(__xludf.DUMMYFUNCTION("""COMPUTED_VALUE"""),"Knudson")</f>
        <v>Knudson</v>
      </c>
      <c r="L1500" s="1"/>
      <c r="M1500" s="1" t="s">
        <v>87</v>
      </c>
      <c r="N1500" s="1" t="s">
        <v>30</v>
      </c>
      <c r="O1500" s="1" t="s">
        <v>110</v>
      </c>
      <c r="P1500" s="1" t="str">
        <f t="shared" si="1302"/>
        <v>San Francisco</v>
      </c>
      <c r="Q1500" s="1" t="s">
        <v>68</v>
      </c>
      <c r="R1500" s="1" t="str">
        <f t="shared" si="1303"/>
        <v>California</v>
      </c>
      <c r="S1500" s="1">
        <v>94122</v>
      </c>
      <c r="T1500" s="1" t="s">
        <v>44</v>
      </c>
      <c r="U1500" s="1" t="s">
        <v>415</v>
      </c>
      <c r="V1500" s="1" t="s">
        <v>46</v>
      </c>
      <c r="W1500" s="7">
        <v>18.16</v>
      </c>
      <c r="X1500" s="1">
        <v>9</v>
      </c>
      <c r="Y1500" s="7">
        <v>17.91</v>
      </c>
      <c r="Z1500" s="7">
        <f t="shared" ref="Z1500:AA1500" si="1528">W1500*X1500</f>
        <v>163.44</v>
      </c>
      <c r="AA1500" s="7">
        <f t="shared" si="1528"/>
        <v>161.19</v>
      </c>
      <c r="AB1500" s="7">
        <f t="shared" si="1305"/>
        <v>2.25</v>
      </c>
    </row>
    <row r="1501" spans="1:28">
      <c r="A1501" s="1">
        <v>1500</v>
      </c>
      <c r="B1501" s="1" t="s">
        <v>3341</v>
      </c>
      <c r="C1501" s="2">
        <v>43445</v>
      </c>
      <c r="D1501" s="6" t="str">
        <f t="shared" si="1300"/>
        <v>Dec</v>
      </c>
      <c r="E1501" s="6" t="str">
        <f t="shared" si="1301"/>
        <v>Qtr 4</v>
      </c>
      <c r="F1501" s="5" t="s">
        <v>3342</v>
      </c>
      <c r="G1501" s="1" t="s">
        <v>49</v>
      </c>
      <c r="H1501" s="1" t="s">
        <v>1110</v>
      </c>
      <c r="I1501" s="1" t="s">
        <v>1111</v>
      </c>
      <c r="J1501" s="1" t="str">
        <f ca="1">IFERROR(__xludf.DUMMYFUNCTION("split(I1501,"" "")"),"Nathan")</f>
        <v>Nathan</v>
      </c>
      <c r="K1501" s="1" t="str">
        <f ca="1">IFERROR(__xludf.DUMMYFUNCTION("""COMPUTED_VALUE"""),"Gelder")</f>
        <v>Gelder</v>
      </c>
      <c r="L1501" s="1"/>
      <c r="M1501" s="1" t="s">
        <v>29</v>
      </c>
      <c r="N1501" s="1" t="s">
        <v>30</v>
      </c>
      <c r="O1501" s="1" t="s">
        <v>1005</v>
      </c>
      <c r="P1501" s="1" t="str">
        <f t="shared" si="1302"/>
        <v>Austin</v>
      </c>
      <c r="Q1501" s="1" t="s">
        <v>89</v>
      </c>
      <c r="R1501" s="1" t="str">
        <f t="shared" si="1303"/>
        <v>Texas</v>
      </c>
      <c r="S1501" s="1">
        <v>78745</v>
      </c>
      <c r="T1501" s="1" t="s">
        <v>90</v>
      </c>
      <c r="U1501" s="1" t="s">
        <v>660</v>
      </c>
      <c r="V1501" s="1" t="s">
        <v>46</v>
      </c>
      <c r="W1501" s="7">
        <v>16.056000000000001</v>
      </c>
      <c r="X1501" s="1">
        <v>7</v>
      </c>
      <c r="Y1501" s="7">
        <v>15.52</v>
      </c>
      <c r="Z1501" s="7">
        <f t="shared" ref="Z1501:AA1501" si="1529">W1501*X1501</f>
        <v>112.39200000000001</v>
      </c>
      <c r="AA1501" s="7">
        <f t="shared" si="1529"/>
        <v>108.64</v>
      </c>
      <c r="AB1501" s="7">
        <f t="shared" si="1305"/>
        <v>3.7520000000000095</v>
      </c>
    </row>
    <row r="1502" spans="1:28">
      <c r="C1502" s="2"/>
      <c r="D1502" s="5"/>
      <c r="E1502" s="5"/>
      <c r="F1502" s="5"/>
    </row>
    <row r="1503" spans="1:28">
      <c r="C1503" s="2"/>
      <c r="D1503" s="5"/>
      <c r="E1503" s="5"/>
      <c r="F150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502"/>
  <sheetViews>
    <sheetView workbookViewId="0"/>
  </sheetViews>
  <sheetFormatPr defaultColWidth="12.6640625" defaultRowHeight="15.75" customHeight="1"/>
  <cols>
    <col min="1" max="1" width="13.77734375" customWidth="1"/>
    <col min="6" max="6" width="15.21875" customWidth="1"/>
    <col min="17" max="17" width="16.21875" customWidth="1"/>
  </cols>
  <sheetData>
    <row r="1" spans="1:25">
      <c r="A1" s="1" t="s">
        <v>1</v>
      </c>
      <c r="B1" s="8" t="s">
        <v>2</v>
      </c>
      <c r="C1" s="1" t="s">
        <v>3</v>
      </c>
      <c r="D1" s="1" t="s">
        <v>4</v>
      </c>
      <c r="E1" s="5" t="s">
        <v>5</v>
      </c>
      <c r="F1" s="1" t="s">
        <v>6</v>
      </c>
      <c r="G1" s="1" t="s">
        <v>7</v>
      </c>
      <c r="H1" s="1" t="s">
        <v>9</v>
      </c>
      <c r="I1" s="1" t="s">
        <v>10</v>
      </c>
      <c r="J1" s="1"/>
      <c r="K1" s="1" t="s">
        <v>11</v>
      </c>
      <c r="L1" s="1" t="s">
        <v>12</v>
      </c>
      <c r="M1" s="1" t="s">
        <v>13</v>
      </c>
      <c r="N1" s="1" t="s">
        <v>14</v>
      </c>
      <c r="O1" s="1" t="s">
        <v>15</v>
      </c>
      <c r="P1" s="1" t="s">
        <v>16</v>
      </c>
      <c r="Q1" s="1" t="s">
        <v>17</v>
      </c>
      <c r="R1" s="1" t="s">
        <v>18</v>
      </c>
      <c r="S1" s="1" t="s">
        <v>19</v>
      </c>
      <c r="T1" s="1" t="s">
        <v>20</v>
      </c>
      <c r="U1" s="9" t="s">
        <v>21</v>
      </c>
      <c r="V1" s="9" t="s">
        <v>22</v>
      </c>
      <c r="W1" s="9" t="s">
        <v>23</v>
      </c>
      <c r="X1" s="1" t="s">
        <v>24</v>
      </c>
      <c r="Y1" s="10" t="s">
        <v>3343</v>
      </c>
    </row>
    <row r="2" spans="1:25">
      <c r="A2" s="1" t="s">
        <v>25</v>
      </c>
      <c r="B2" s="8">
        <v>42958</v>
      </c>
      <c r="C2" s="11" t="s">
        <v>3344</v>
      </c>
      <c r="D2" s="11" t="s">
        <v>3345</v>
      </c>
      <c r="E2" s="5">
        <v>43050</v>
      </c>
      <c r="F2" s="1" t="s">
        <v>26</v>
      </c>
      <c r="G2" s="1" t="s">
        <v>27</v>
      </c>
      <c r="H2" s="1" t="s">
        <v>3346</v>
      </c>
      <c r="I2" s="1" t="s">
        <v>3347</v>
      </c>
      <c r="J2" s="1"/>
      <c r="K2" s="1" t="s">
        <v>29</v>
      </c>
      <c r="L2" s="1" t="s">
        <v>30</v>
      </c>
      <c r="M2" s="1" t="s">
        <v>31</v>
      </c>
      <c r="N2" s="1" t="s">
        <v>32</v>
      </c>
      <c r="O2" s="1">
        <v>42420</v>
      </c>
      <c r="P2" s="1" t="s">
        <v>33</v>
      </c>
      <c r="Q2" s="1" t="s">
        <v>34</v>
      </c>
      <c r="R2" s="1" t="s">
        <v>35</v>
      </c>
      <c r="S2" s="7">
        <v>261.95999999999998</v>
      </c>
      <c r="T2" s="1">
        <v>4</v>
      </c>
      <c r="U2" s="9">
        <v>261.26</v>
      </c>
      <c r="V2" s="9">
        <v>1047.8399999999999</v>
      </c>
      <c r="W2" s="9">
        <v>1045.04</v>
      </c>
      <c r="X2" s="12">
        <v>2.7999999999999545</v>
      </c>
      <c r="Y2" s="10">
        <v>2017</v>
      </c>
    </row>
    <row r="3" spans="1:25">
      <c r="A3" s="1" t="s">
        <v>25</v>
      </c>
      <c r="B3" s="8">
        <v>42958</v>
      </c>
      <c r="C3" s="11" t="s">
        <v>3344</v>
      </c>
      <c r="D3" s="11" t="s">
        <v>3345</v>
      </c>
      <c r="E3" s="5">
        <v>43050</v>
      </c>
      <c r="F3" s="1" t="s">
        <v>26</v>
      </c>
      <c r="G3" s="1" t="s">
        <v>27</v>
      </c>
      <c r="H3" s="1" t="s">
        <v>3346</v>
      </c>
      <c r="I3" s="1" t="s">
        <v>3347</v>
      </c>
      <c r="J3" s="1"/>
      <c r="K3" s="1" t="s">
        <v>29</v>
      </c>
      <c r="L3" s="1" t="s">
        <v>30</v>
      </c>
      <c r="M3" s="1" t="s">
        <v>31</v>
      </c>
      <c r="N3" s="1" t="s">
        <v>32</v>
      </c>
      <c r="O3" s="1">
        <v>42420</v>
      </c>
      <c r="P3" s="1" t="s">
        <v>33</v>
      </c>
      <c r="Q3" s="1" t="s">
        <v>36</v>
      </c>
      <c r="R3" s="1" t="s">
        <v>35</v>
      </c>
      <c r="S3" s="7">
        <v>731.94</v>
      </c>
      <c r="T3" s="1">
        <v>4</v>
      </c>
      <c r="U3" s="9">
        <v>731.61</v>
      </c>
      <c r="V3" s="9">
        <v>2927.76</v>
      </c>
      <c r="W3" s="9">
        <v>2926.44</v>
      </c>
      <c r="X3" s="12">
        <v>1.3200000000001637</v>
      </c>
      <c r="Y3" s="10">
        <v>2017</v>
      </c>
    </row>
    <row r="4" spans="1:25">
      <c r="A4" s="1" t="s">
        <v>37</v>
      </c>
      <c r="B4" s="8">
        <v>43075</v>
      </c>
      <c r="C4" s="11" t="s">
        <v>3348</v>
      </c>
      <c r="D4" s="11" t="s">
        <v>3349</v>
      </c>
      <c r="E4" s="5" t="s">
        <v>38</v>
      </c>
      <c r="F4" s="1" t="s">
        <v>26</v>
      </c>
      <c r="G4" s="1" t="s">
        <v>39</v>
      </c>
      <c r="H4" s="1" t="s">
        <v>3350</v>
      </c>
      <c r="I4" s="1" t="s">
        <v>3351</v>
      </c>
      <c r="J4" s="1" t="s">
        <v>3352</v>
      </c>
      <c r="K4" s="1" t="s">
        <v>41</v>
      </c>
      <c r="L4" s="1" t="s">
        <v>30</v>
      </c>
      <c r="M4" s="1" t="s">
        <v>42</v>
      </c>
      <c r="N4" s="1" t="s">
        <v>68</v>
      </c>
      <c r="O4" s="1">
        <v>90036</v>
      </c>
      <c r="P4" s="1" t="s">
        <v>44</v>
      </c>
      <c r="Q4" s="1" t="s">
        <v>45</v>
      </c>
      <c r="R4" s="1" t="s">
        <v>46</v>
      </c>
      <c r="S4" s="7">
        <v>14.62</v>
      </c>
      <c r="T4" s="1">
        <v>9</v>
      </c>
      <c r="U4" s="9">
        <v>13.97</v>
      </c>
      <c r="V4" s="9">
        <v>131.57999999999998</v>
      </c>
      <c r="W4" s="9">
        <v>125.73</v>
      </c>
      <c r="X4" s="12">
        <v>5.8499999999999801</v>
      </c>
      <c r="Y4" s="10">
        <v>2017</v>
      </c>
    </row>
    <row r="5" spans="1:25">
      <c r="A5" s="1" t="s">
        <v>47</v>
      </c>
      <c r="B5" s="8">
        <v>42684</v>
      </c>
      <c r="C5" s="11" t="s">
        <v>3353</v>
      </c>
      <c r="D5" s="11" t="s">
        <v>3349</v>
      </c>
      <c r="E5" s="5" t="s">
        <v>48</v>
      </c>
      <c r="F5" s="1" t="s">
        <v>49</v>
      </c>
      <c r="G5" s="1" t="s">
        <v>50</v>
      </c>
      <c r="H5" s="1" t="s">
        <v>3354</v>
      </c>
      <c r="I5" s="1" t="s">
        <v>3355</v>
      </c>
      <c r="J5" s="1"/>
      <c r="K5" s="1" t="s">
        <v>29</v>
      </c>
      <c r="L5" s="1" t="s">
        <v>30</v>
      </c>
      <c r="M5" s="1" t="s">
        <v>52</v>
      </c>
      <c r="N5" s="1" t="s">
        <v>194</v>
      </c>
      <c r="O5" s="1">
        <v>33311</v>
      </c>
      <c r="P5" s="1" t="s">
        <v>33</v>
      </c>
      <c r="Q5" s="1" t="s">
        <v>54</v>
      </c>
      <c r="R5" s="1" t="s">
        <v>35</v>
      </c>
      <c r="S5" s="7">
        <v>957.57749999999999</v>
      </c>
      <c r="T5" s="1">
        <v>3</v>
      </c>
      <c r="U5" s="9">
        <v>956.9</v>
      </c>
      <c r="V5" s="9">
        <v>2872.7325000000001</v>
      </c>
      <c r="W5" s="9">
        <v>2870.7</v>
      </c>
      <c r="X5" s="12">
        <v>2.0325000000002547</v>
      </c>
      <c r="Y5" s="10">
        <v>2016</v>
      </c>
    </row>
    <row r="6" spans="1:25">
      <c r="A6" s="1" t="s">
        <v>47</v>
      </c>
      <c r="B6" s="8">
        <v>42684</v>
      </c>
      <c r="C6" s="11" t="s">
        <v>3353</v>
      </c>
      <c r="D6" s="11" t="s">
        <v>3349</v>
      </c>
      <c r="E6" s="5" t="s">
        <v>48</v>
      </c>
      <c r="F6" s="1" t="s">
        <v>49</v>
      </c>
      <c r="G6" s="1" t="s">
        <v>50</v>
      </c>
      <c r="H6" s="1" t="s">
        <v>3354</v>
      </c>
      <c r="I6" s="1" t="s">
        <v>3355</v>
      </c>
      <c r="J6" s="1"/>
      <c r="K6" s="1" t="s">
        <v>29</v>
      </c>
      <c r="L6" s="1" t="s">
        <v>30</v>
      </c>
      <c r="M6" s="1" t="s">
        <v>52</v>
      </c>
      <c r="N6" s="1" t="s">
        <v>194</v>
      </c>
      <c r="O6" s="1">
        <v>33311</v>
      </c>
      <c r="P6" s="1" t="s">
        <v>33</v>
      </c>
      <c r="Q6" s="1" t="s">
        <v>55</v>
      </c>
      <c r="R6" s="1" t="s">
        <v>46</v>
      </c>
      <c r="S6" s="7">
        <v>22.367999999999999</v>
      </c>
      <c r="T6" s="1">
        <v>3</v>
      </c>
      <c r="U6" s="9">
        <v>22.08</v>
      </c>
      <c r="V6" s="9">
        <v>67.103999999999999</v>
      </c>
      <c r="W6" s="9">
        <v>66.239999999999995</v>
      </c>
      <c r="X6" s="12">
        <v>0.86400000000000432</v>
      </c>
      <c r="Y6" s="10">
        <v>2016</v>
      </c>
    </row>
    <row r="7" spans="1:25">
      <c r="A7" s="1" t="s">
        <v>56</v>
      </c>
      <c r="B7" s="8">
        <v>42253</v>
      </c>
      <c r="C7" s="11" t="s">
        <v>3356</v>
      </c>
      <c r="D7" s="11" t="s">
        <v>3345</v>
      </c>
      <c r="E7" s="5" t="s">
        <v>57</v>
      </c>
      <c r="F7" s="1" t="s">
        <v>49</v>
      </c>
      <c r="G7" s="1" t="s">
        <v>58</v>
      </c>
      <c r="H7" s="1" t="s">
        <v>3357</v>
      </c>
      <c r="I7" s="1" t="s">
        <v>3358</v>
      </c>
      <c r="J7" s="1"/>
      <c r="K7" s="1" t="s">
        <v>29</v>
      </c>
      <c r="L7" s="1" t="s">
        <v>30</v>
      </c>
      <c r="M7" s="1" t="s">
        <v>42</v>
      </c>
      <c r="N7" s="1" t="s">
        <v>68</v>
      </c>
      <c r="O7" s="1">
        <v>90032</v>
      </c>
      <c r="P7" s="1" t="s">
        <v>44</v>
      </c>
      <c r="Q7" s="1" t="s">
        <v>61</v>
      </c>
      <c r="R7" s="1" t="s">
        <v>35</v>
      </c>
      <c r="S7" s="7">
        <v>48.86</v>
      </c>
      <c r="T7" s="1">
        <v>9</v>
      </c>
      <c r="U7" s="9">
        <v>48.08</v>
      </c>
      <c r="V7" s="9">
        <v>439.74</v>
      </c>
      <c r="W7" s="9">
        <v>432.71999999999997</v>
      </c>
      <c r="X7" s="12">
        <v>7.0200000000000387</v>
      </c>
      <c r="Y7" s="10">
        <v>2015</v>
      </c>
    </row>
    <row r="8" spans="1:25">
      <c r="A8" s="1" t="s">
        <v>56</v>
      </c>
      <c r="B8" s="8">
        <v>42253</v>
      </c>
      <c r="C8" s="11" t="s">
        <v>3356</v>
      </c>
      <c r="D8" s="11" t="s">
        <v>3345</v>
      </c>
      <c r="E8" s="5" t="s">
        <v>57</v>
      </c>
      <c r="F8" s="1" t="s">
        <v>49</v>
      </c>
      <c r="G8" s="1" t="s">
        <v>58</v>
      </c>
      <c r="H8" s="1" t="s">
        <v>3357</v>
      </c>
      <c r="I8" s="1" t="s">
        <v>3358</v>
      </c>
      <c r="J8" s="1"/>
      <c r="K8" s="1" t="s">
        <v>29</v>
      </c>
      <c r="L8" s="1" t="s">
        <v>30</v>
      </c>
      <c r="M8" s="1" t="s">
        <v>42</v>
      </c>
      <c r="N8" s="1" t="s">
        <v>68</v>
      </c>
      <c r="O8" s="1">
        <v>90032</v>
      </c>
      <c r="P8" s="1" t="s">
        <v>44</v>
      </c>
      <c r="Q8" s="1" t="s">
        <v>62</v>
      </c>
      <c r="R8" s="1" t="s">
        <v>46</v>
      </c>
      <c r="S8" s="7">
        <v>7.28</v>
      </c>
      <c r="T8" s="1">
        <v>9</v>
      </c>
      <c r="U8" s="9">
        <v>6.34</v>
      </c>
      <c r="V8" s="9">
        <v>65.52</v>
      </c>
      <c r="W8" s="9">
        <v>57.06</v>
      </c>
      <c r="X8" s="12">
        <v>8.4599999999999937</v>
      </c>
      <c r="Y8" s="10">
        <v>2015</v>
      </c>
    </row>
    <row r="9" spans="1:25">
      <c r="A9" s="1" t="s">
        <v>56</v>
      </c>
      <c r="B9" s="8">
        <v>42253</v>
      </c>
      <c r="C9" s="11" t="s">
        <v>3356</v>
      </c>
      <c r="D9" s="11" t="s">
        <v>3345</v>
      </c>
      <c r="E9" s="5" t="s">
        <v>57</v>
      </c>
      <c r="F9" s="1" t="s">
        <v>49</v>
      </c>
      <c r="G9" s="1" t="s">
        <v>58</v>
      </c>
      <c r="H9" s="1" t="s">
        <v>3357</v>
      </c>
      <c r="I9" s="1" t="s">
        <v>3358</v>
      </c>
      <c r="J9" s="1"/>
      <c r="K9" s="1" t="s">
        <v>29</v>
      </c>
      <c r="L9" s="1" t="s">
        <v>30</v>
      </c>
      <c r="M9" s="1" t="s">
        <v>42</v>
      </c>
      <c r="N9" s="1" t="s">
        <v>68</v>
      </c>
      <c r="O9" s="1">
        <v>90032</v>
      </c>
      <c r="P9" s="1" t="s">
        <v>44</v>
      </c>
      <c r="Q9" s="1" t="s">
        <v>63</v>
      </c>
      <c r="R9" s="1" t="s">
        <v>64</v>
      </c>
      <c r="S9" s="7">
        <v>907.15200000000004</v>
      </c>
      <c r="T9" s="1">
        <v>9</v>
      </c>
      <c r="U9" s="9">
        <v>906.78</v>
      </c>
      <c r="V9" s="9">
        <v>8164.3680000000004</v>
      </c>
      <c r="W9" s="9">
        <v>8161.0199999999995</v>
      </c>
      <c r="X9" s="12">
        <v>3.3480000000008658</v>
      </c>
      <c r="Y9" s="10">
        <v>2015</v>
      </c>
    </row>
    <row r="10" spans="1:25">
      <c r="A10" s="1" t="s">
        <v>56</v>
      </c>
      <c r="B10" s="8">
        <v>42253</v>
      </c>
      <c r="C10" s="11" t="s">
        <v>3356</v>
      </c>
      <c r="D10" s="11" t="s">
        <v>3345</v>
      </c>
      <c r="E10" s="5" t="s">
        <v>57</v>
      </c>
      <c r="F10" s="1" t="s">
        <v>49</v>
      </c>
      <c r="G10" s="1" t="s">
        <v>58</v>
      </c>
      <c r="H10" s="1" t="s">
        <v>3357</v>
      </c>
      <c r="I10" s="1" t="s">
        <v>3358</v>
      </c>
      <c r="J10" s="1"/>
      <c r="K10" s="1" t="s">
        <v>29</v>
      </c>
      <c r="L10" s="1" t="s">
        <v>30</v>
      </c>
      <c r="M10" s="1" t="s">
        <v>42</v>
      </c>
      <c r="N10" s="1" t="s">
        <v>68</v>
      </c>
      <c r="O10" s="1">
        <v>90032</v>
      </c>
      <c r="P10" s="1" t="s">
        <v>44</v>
      </c>
      <c r="Q10" s="1" t="s">
        <v>65</v>
      </c>
      <c r="R10" s="1" t="s">
        <v>46</v>
      </c>
      <c r="S10" s="7">
        <v>18.504000000000001</v>
      </c>
      <c r="T10" s="1">
        <v>9</v>
      </c>
      <c r="U10" s="9">
        <v>18.36</v>
      </c>
      <c r="V10" s="9">
        <v>166.536</v>
      </c>
      <c r="W10" s="9">
        <v>165.24</v>
      </c>
      <c r="X10" s="12">
        <v>1.2959999999999923</v>
      </c>
      <c r="Y10" s="10">
        <v>2015</v>
      </c>
    </row>
    <row r="11" spans="1:25">
      <c r="A11" s="1" t="s">
        <v>56</v>
      </c>
      <c r="B11" s="8">
        <v>42253</v>
      </c>
      <c r="C11" s="11" t="s">
        <v>3356</v>
      </c>
      <c r="D11" s="11" t="s">
        <v>3345</v>
      </c>
      <c r="E11" s="5" t="s">
        <v>57</v>
      </c>
      <c r="F11" s="1" t="s">
        <v>49</v>
      </c>
      <c r="G11" s="1" t="s">
        <v>58</v>
      </c>
      <c r="H11" s="1" t="s">
        <v>3357</v>
      </c>
      <c r="I11" s="1" t="s">
        <v>3358</v>
      </c>
      <c r="J11" s="1"/>
      <c r="K11" s="1" t="s">
        <v>29</v>
      </c>
      <c r="L11" s="1" t="s">
        <v>30</v>
      </c>
      <c r="M11" s="1" t="s">
        <v>42</v>
      </c>
      <c r="N11" s="1" t="s">
        <v>68</v>
      </c>
      <c r="O11" s="1">
        <v>90032</v>
      </c>
      <c r="P11" s="1" t="s">
        <v>44</v>
      </c>
      <c r="Q11" s="1" t="s">
        <v>66</v>
      </c>
      <c r="R11" s="1" t="s">
        <v>46</v>
      </c>
      <c r="S11" s="7">
        <v>114.9</v>
      </c>
      <c r="T11" s="1">
        <v>9</v>
      </c>
      <c r="U11" s="9">
        <v>114.62</v>
      </c>
      <c r="V11" s="9">
        <v>1034.1000000000001</v>
      </c>
      <c r="W11" s="9">
        <v>1031.58</v>
      </c>
      <c r="X11" s="12">
        <v>2.5200000000002092</v>
      </c>
      <c r="Y11" s="10">
        <v>2015</v>
      </c>
    </row>
    <row r="12" spans="1:25">
      <c r="A12" s="1" t="s">
        <v>56</v>
      </c>
      <c r="B12" s="8">
        <v>42253</v>
      </c>
      <c r="C12" s="11" t="s">
        <v>3356</v>
      </c>
      <c r="D12" s="11" t="s">
        <v>3345</v>
      </c>
      <c r="E12" s="5" t="s">
        <v>57</v>
      </c>
      <c r="F12" s="1" t="s">
        <v>49</v>
      </c>
      <c r="G12" s="1" t="s">
        <v>58</v>
      </c>
      <c r="H12" s="1" t="s">
        <v>3357</v>
      </c>
      <c r="I12" s="1" t="s">
        <v>3358</v>
      </c>
      <c r="J12" s="1"/>
      <c r="K12" s="1" t="s">
        <v>29</v>
      </c>
      <c r="L12" s="1" t="s">
        <v>30</v>
      </c>
      <c r="M12" s="1" t="s">
        <v>42</v>
      </c>
      <c r="N12" s="1" t="s">
        <v>68</v>
      </c>
      <c r="O12" s="1">
        <v>90032</v>
      </c>
      <c r="P12" s="1" t="s">
        <v>44</v>
      </c>
      <c r="Q12" s="1" t="s">
        <v>67</v>
      </c>
      <c r="R12" s="1" t="s">
        <v>35</v>
      </c>
      <c r="S12" s="7">
        <v>1706.184</v>
      </c>
      <c r="T12" s="1">
        <v>9</v>
      </c>
      <c r="U12" s="9">
        <v>1705.71</v>
      </c>
      <c r="V12" s="9">
        <v>15355.655999999999</v>
      </c>
      <c r="W12" s="9">
        <v>15351.39</v>
      </c>
      <c r="X12" s="12">
        <v>4.2659999999996217</v>
      </c>
      <c r="Y12" s="10">
        <v>2015</v>
      </c>
    </row>
    <row r="13" spans="1:25">
      <c r="A13" s="1" t="s">
        <v>56</v>
      </c>
      <c r="B13" s="8">
        <v>42253</v>
      </c>
      <c r="C13" s="11" t="s">
        <v>3356</v>
      </c>
      <c r="D13" s="11" t="s">
        <v>3345</v>
      </c>
      <c r="E13" s="5" t="s">
        <v>57</v>
      </c>
      <c r="F13" s="1" t="s">
        <v>49</v>
      </c>
      <c r="G13" s="1" t="s">
        <v>58</v>
      </c>
      <c r="H13" s="1" t="s">
        <v>3357</v>
      </c>
      <c r="I13" s="1" t="s">
        <v>3358</v>
      </c>
      <c r="J13" s="1"/>
      <c r="K13" s="1" t="s">
        <v>29</v>
      </c>
      <c r="L13" s="1" t="s">
        <v>30</v>
      </c>
      <c r="M13" s="1" t="s">
        <v>42</v>
      </c>
      <c r="N13" s="1" t="s">
        <v>68</v>
      </c>
      <c r="O13" s="1">
        <v>90032</v>
      </c>
      <c r="P13" s="1" t="s">
        <v>44</v>
      </c>
      <c r="Q13" s="1" t="s">
        <v>69</v>
      </c>
      <c r="R13" s="1" t="s">
        <v>64</v>
      </c>
      <c r="S13" s="7">
        <v>911.42399999999998</v>
      </c>
      <c r="T13" s="1">
        <v>9</v>
      </c>
      <c r="U13" s="9">
        <v>911.17</v>
      </c>
      <c r="V13" s="9">
        <v>8202.8159999999989</v>
      </c>
      <c r="W13" s="9">
        <v>8200.5299999999988</v>
      </c>
      <c r="X13" s="12">
        <v>2.2860000000000582</v>
      </c>
      <c r="Y13" s="10">
        <v>2015</v>
      </c>
    </row>
    <row r="14" spans="1:25">
      <c r="A14" s="1" t="s">
        <v>70</v>
      </c>
      <c r="B14" s="8">
        <v>43205</v>
      </c>
      <c r="C14" s="11" t="s">
        <v>3359</v>
      </c>
      <c r="D14" s="11" t="s">
        <v>3360</v>
      </c>
      <c r="E14" s="5" t="s">
        <v>71</v>
      </c>
      <c r="F14" s="1" t="s">
        <v>49</v>
      </c>
      <c r="G14" s="1" t="s">
        <v>72</v>
      </c>
      <c r="H14" s="1" t="s">
        <v>3361</v>
      </c>
      <c r="I14" s="1" t="s">
        <v>3362</v>
      </c>
      <c r="J14" s="1"/>
      <c r="K14" s="1" t="s">
        <v>29</v>
      </c>
      <c r="L14" s="1" t="s">
        <v>30</v>
      </c>
      <c r="M14" s="1" t="s">
        <v>74</v>
      </c>
      <c r="N14" s="1" t="s">
        <v>75</v>
      </c>
      <c r="O14" s="1">
        <v>28027</v>
      </c>
      <c r="P14" s="1" t="s">
        <v>33</v>
      </c>
      <c r="Q14" s="1" t="s">
        <v>76</v>
      </c>
      <c r="R14" s="1" t="s">
        <v>46</v>
      </c>
      <c r="S14" s="7">
        <v>15.552</v>
      </c>
      <c r="T14" s="1">
        <v>2</v>
      </c>
      <c r="U14" s="9">
        <v>14.71</v>
      </c>
      <c r="V14" s="9">
        <v>31.103999999999999</v>
      </c>
      <c r="W14" s="9">
        <v>29.42</v>
      </c>
      <c r="X14" s="12">
        <v>1.6839999999999975</v>
      </c>
      <c r="Y14" s="10">
        <v>2018</v>
      </c>
    </row>
    <row r="15" spans="1:25">
      <c r="A15" s="1" t="s">
        <v>77</v>
      </c>
      <c r="B15" s="8">
        <v>42867</v>
      </c>
      <c r="C15" s="11" t="s">
        <v>3363</v>
      </c>
      <c r="D15" s="11" t="s">
        <v>3360</v>
      </c>
      <c r="E15" s="5">
        <v>43020</v>
      </c>
      <c r="F15" s="1" t="s">
        <v>49</v>
      </c>
      <c r="G15" s="1" t="s">
        <v>78</v>
      </c>
      <c r="H15" s="1" t="s">
        <v>3364</v>
      </c>
      <c r="I15" s="1" t="s">
        <v>3365</v>
      </c>
      <c r="J15" s="1"/>
      <c r="K15" s="1" t="s">
        <v>29</v>
      </c>
      <c r="L15" s="1" t="s">
        <v>30</v>
      </c>
      <c r="M15" s="1" t="s">
        <v>80</v>
      </c>
      <c r="N15" s="1" t="s">
        <v>81</v>
      </c>
      <c r="O15" s="1">
        <v>98103</v>
      </c>
      <c r="P15" s="1" t="s">
        <v>44</v>
      </c>
      <c r="Q15" s="1" t="s">
        <v>82</v>
      </c>
      <c r="R15" s="1" t="s">
        <v>46</v>
      </c>
      <c r="S15" s="7">
        <v>407.976</v>
      </c>
      <c r="T15" s="1">
        <v>9</v>
      </c>
      <c r="U15" s="9">
        <v>407.54</v>
      </c>
      <c r="V15" s="9">
        <v>3671.7840000000001</v>
      </c>
      <c r="W15" s="9">
        <v>3667.86</v>
      </c>
      <c r="X15" s="12">
        <v>3.9239999999999782</v>
      </c>
      <c r="Y15" s="10">
        <v>2017</v>
      </c>
    </row>
    <row r="16" spans="1:25">
      <c r="A16" s="1" t="s">
        <v>83</v>
      </c>
      <c r="B16" s="8">
        <v>42696</v>
      </c>
      <c r="C16" s="11" t="s">
        <v>3353</v>
      </c>
      <c r="D16" s="11" t="s">
        <v>3349</v>
      </c>
      <c r="E16" s="5" t="s">
        <v>84</v>
      </c>
      <c r="F16" s="1" t="s">
        <v>49</v>
      </c>
      <c r="G16" s="1" t="s">
        <v>85</v>
      </c>
      <c r="H16" s="1" t="s">
        <v>3366</v>
      </c>
      <c r="I16" s="1" t="s">
        <v>3367</v>
      </c>
      <c r="J16" s="1"/>
      <c r="K16" s="1" t="s">
        <v>87</v>
      </c>
      <c r="L16" s="1" t="s">
        <v>30</v>
      </c>
      <c r="M16" s="1" t="s">
        <v>88</v>
      </c>
      <c r="N16" s="1" t="s">
        <v>89</v>
      </c>
      <c r="O16" s="1">
        <v>76106</v>
      </c>
      <c r="P16" s="1" t="s">
        <v>90</v>
      </c>
      <c r="Q16" s="1" t="s">
        <v>91</v>
      </c>
      <c r="R16" s="1" t="s">
        <v>46</v>
      </c>
      <c r="S16" s="7">
        <v>68.81</v>
      </c>
      <c r="T16" s="1">
        <v>7</v>
      </c>
      <c r="U16" s="9">
        <v>67.819999999999993</v>
      </c>
      <c r="V16" s="9">
        <v>481.67</v>
      </c>
      <c r="W16" s="9">
        <v>474.73999999999995</v>
      </c>
      <c r="X16" s="12">
        <v>6.9300000000000637</v>
      </c>
      <c r="Y16" s="10">
        <v>2016</v>
      </c>
    </row>
    <row r="17" spans="1:25">
      <c r="A17" s="1" t="s">
        <v>83</v>
      </c>
      <c r="B17" s="8">
        <v>42696</v>
      </c>
      <c r="C17" s="11" t="s">
        <v>3353</v>
      </c>
      <c r="D17" s="11" t="s">
        <v>3349</v>
      </c>
      <c r="E17" s="5" t="s">
        <v>84</v>
      </c>
      <c r="F17" s="1" t="s">
        <v>49</v>
      </c>
      <c r="G17" s="1" t="s">
        <v>85</v>
      </c>
      <c r="H17" s="1" t="s">
        <v>3366</v>
      </c>
      <c r="I17" s="1" t="s">
        <v>3367</v>
      </c>
      <c r="J17" s="1"/>
      <c r="K17" s="1" t="s">
        <v>87</v>
      </c>
      <c r="L17" s="1" t="s">
        <v>30</v>
      </c>
      <c r="M17" s="1" t="s">
        <v>88</v>
      </c>
      <c r="N17" s="1" t="s">
        <v>89</v>
      </c>
      <c r="O17" s="1">
        <v>76106</v>
      </c>
      <c r="P17" s="1" t="s">
        <v>90</v>
      </c>
      <c r="Q17" s="1" t="s">
        <v>92</v>
      </c>
      <c r="R17" s="1" t="s">
        <v>46</v>
      </c>
      <c r="S17" s="7">
        <v>2.544</v>
      </c>
      <c r="T17" s="1">
        <v>7</v>
      </c>
      <c r="U17" s="9">
        <v>1.62</v>
      </c>
      <c r="V17" s="9">
        <v>17.808</v>
      </c>
      <c r="W17" s="9">
        <v>11.34</v>
      </c>
      <c r="X17" s="12">
        <v>6.468</v>
      </c>
      <c r="Y17" s="10">
        <v>2016</v>
      </c>
    </row>
    <row r="18" spans="1:25">
      <c r="A18" s="1" t="s">
        <v>93</v>
      </c>
      <c r="B18" s="8">
        <v>42319</v>
      </c>
      <c r="C18" s="11" t="s">
        <v>3353</v>
      </c>
      <c r="D18" s="11" t="s">
        <v>3349</v>
      </c>
      <c r="E18" s="5" t="s">
        <v>94</v>
      </c>
      <c r="F18" s="1" t="s">
        <v>49</v>
      </c>
      <c r="G18" s="1" t="s">
        <v>95</v>
      </c>
      <c r="H18" s="1" t="s">
        <v>3368</v>
      </c>
      <c r="I18" s="1" t="s">
        <v>3369</v>
      </c>
      <c r="J18" s="1"/>
      <c r="K18" s="1" t="s">
        <v>29</v>
      </c>
      <c r="L18" s="1" t="s">
        <v>30</v>
      </c>
      <c r="M18" s="1" t="s">
        <v>97</v>
      </c>
      <c r="N18" s="1" t="s">
        <v>98</v>
      </c>
      <c r="O18" s="1">
        <v>53711</v>
      </c>
      <c r="P18" s="1" t="s">
        <v>90</v>
      </c>
      <c r="Q18" s="1" t="s">
        <v>99</v>
      </c>
      <c r="R18" s="1" t="s">
        <v>46</v>
      </c>
      <c r="S18" s="7">
        <v>665.88</v>
      </c>
      <c r="T18" s="1">
        <v>5</v>
      </c>
      <c r="U18" s="9">
        <v>665.32</v>
      </c>
      <c r="V18" s="9">
        <v>3329.4</v>
      </c>
      <c r="W18" s="9">
        <v>3326.6000000000004</v>
      </c>
      <c r="X18" s="12">
        <v>2.7999999999997272</v>
      </c>
      <c r="Y18" s="10">
        <v>2015</v>
      </c>
    </row>
    <row r="19" spans="1:25">
      <c r="A19" s="1" t="s">
        <v>100</v>
      </c>
      <c r="B19" s="8">
        <v>42137</v>
      </c>
      <c r="C19" s="11" t="s">
        <v>3363</v>
      </c>
      <c r="D19" s="11" t="s">
        <v>3360</v>
      </c>
      <c r="E19" s="5" t="s">
        <v>101</v>
      </c>
      <c r="F19" s="1" t="s">
        <v>26</v>
      </c>
      <c r="G19" s="1" t="s">
        <v>102</v>
      </c>
      <c r="H19" s="1" t="s">
        <v>3370</v>
      </c>
      <c r="I19" s="1" t="s">
        <v>3371</v>
      </c>
      <c r="J19" s="1"/>
      <c r="K19" s="1" t="s">
        <v>29</v>
      </c>
      <c r="L19" s="1" t="s">
        <v>30</v>
      </c>
      <c r="M19" s="1" t="s">
        <v>104</v>
      </c>
      <c r="N19" s="1" t="s">
        <v>105</v>
      </c>
      <c r="O19" s="1">
        <v>84084</v>
      </c>
      <c r="P19" s="1" t="s">
        <v>44</v>
      </c>
      <c r="Q19" s="1" t="s">
        <v>106</v>
      </c>
      <c r="R19" s="1" t="s">
        <v>46</v>
      </c>
      <c r="S19" s="7">
        <v>55.5</v>
      </c>
      <c r="T19" s="1">
        <v>8</v>
      </c>
      <c r="U19" s="9">
        <v>54.76</v>
      </c>
      <c r="V19" s="9">
        <v>444</v>
      </c>
      <c r="W19" s="9">
        <v>438.08</v>
      </c>
      <c r="X19" s="12">
        <v>5.9200000000000159</v>
      </c>
      <c r="Y19" s="10">
        <v>2015</v>
      </c>
    </row>
    <row r="20" spans="1:25">
      <c r="A20" s="1" t="s">
        <v>107</v>
      </c>
      <c r="B20" s="8">
        <v>42243</v>
      </c>
      <c r="C20" s="11" t="s">
        <v>3344</v>
      </c>
      <c r="D20" s="11" t="s">
        <v>3345</v>
      </c>
      <c r="E20" s="5">
        <v>42013</v>
      </c>
      <c r="F20" s="1" t="s">
        <v>26</v>
      </c>
      <c r="G20" s="1" t="s">
        <v>108</v>
      </c>
      <c r="H20" s="1" t="s">
        <v>3372</v>
      </c>
      <c r="I20" s="1" t="s">
        <v>3373</v>
      </c>
      <c r="J20" s="1"/>
      <c r="K20" s="1" t="s">
        <v>29</v>
      </c>
      <c r="L20" s="1" t="s">
        <v>30</v>
      </c>
      <c r="M20" s="1" t="s">
        <v>110</v>
      </c>
      <c r="N20" s="1" t="s">
        <v>68</v>
      </c>
      <c r="O20" s="1">
        <v>94109</v>
      </c>
      <c r="P20" s="1" t="s">
        <v>44</v>
      </c>
      <c r="Q20" s="1" t="s">
        <v>111</v>
      </c>
      <c r="R20" s="1" t="s">
        <v>46</v>
      </c>
      <c r="S20" s="7">
        <v>8.56</v>
      </c>
      <c r="T20" s="1">
        <v>9</v>
      </c>
      <c r="U20" s="9">
        <v>7.72</v>
      </c>
      <c r="V20" s="9">
        <v>77.040000000000006</v>
      </c>
      <c r="W20" s="9">
        <v>69.48</v>
      </c>
      <c r="X20" s="12">
        <v>7.5600000000000023</v>
      </c>
      <c r="Y20" s="10">
        <v>2015</v>
      </c>
    </row>
    <row r="21" spans="1:25">
      <c r="A21" s="1" t="s">
        <v>107</v>
      </c>
      <c r="B21" s="8">
        <v>42243</v>
      </c>
      <c r="C21" s="11" t="s">
        <v>3344</v>
      </c>
      <c r="D21" s="11" t="s">
        <v>3345</v>
      </c>
      <c r="E21" s="5">
        <v>42013</v>
      </c>
      <c r="F21" s="1" t="s">
        <v>26</v>
      </c>
      <c r="G21" s="1" t="s">
        <v>108</v>
      </c>
      <c r="H21" s="1" t="s">
        <v>3372</v>
      </c>
      <c r="I21" s="1" t="s">
        <v>3373</v>
      </c>
      <c r="J21" s="1"/>
      <c r="K21" s="1" t="s">
        <v>29</v>
      </c>
      <c r="L21" s="1" t="s">
        <v>30</v>
      </c>
      <c r="M21" s="1" t="s">
        <v>110</v>
      </c>
      <c r="N21" s="1" t="s">
        <v>68</v>
      </c>
      <c r="O21" s="1">
        <v>94109</v>
      </c>
      <c r="P21" s="1" t="s">
        <v>44</v>
      </c>
      <c r="Q21" s="1" t="s">
        <v>112</v>
      </c>
      <c r="R21" s="1" t="s">
        <v>64</v>
      </c>
      <c r="S21" s="7">
        <v>213.48</v>
      </c>
      <c r="T21" s="1">
        <v>9</v>
      </c>
      <c r="U21" s="9">
        <v>212.79</v>
      </c>
      <c r="V21" s="9">
        <v>1921.32</v>
      </c>
      <c r="W21" s="9">
        <v>1915.11</v>
      </c>
      <c r="X21" s="12">
        <v>6.2100000000000364</v>
      </c>
      <c r="Y21" s="10">
        <v>2015</v>
      </c>
    </row>
    <row r="22" spans="1:25">
      <c r="A22" s="1" t="s">
        <v>107</v>
      </c>
      <c r="B22" s="8">
        <v>42243</v>
      </c>
      <c r="C22" s="11" t="s">
        <v>3344</v>
      </c>
      <c r="D22" s="11" t="s">
        <v>3345</v>
      </c>
      <c r="E22" s="5">
        <v>42013</v>
      </c>
      <c r="F22" s="1" t="s">
        <v>26</v>
      </c>
      <c r="G22" s="1" t="s">
        <v>108</v>
      </c>
      <c r="H22" s="1" t="s">
        <v>3372</v>
      </c>
      <c r="I22" s="1" t="s">
        <v>3373</v>
      </c>
      <c r="J22" s="1"/>
      <c r="K22" s="1" t="s">
        <v>29</v>
      </c>
      <c r="L22" s="1" t="s">
        <v>30</v>
      </c>
      <c r="M22" s="1" t="s">
        <v>110</v>
      </c>
      <c r="N22" s="1" t="s">
        <v>68</v>
      </c>
      <c r="O22" s="1">
        <v>94109</v>
      </c>
      <c r="P22" s="1" t="s">
        <v>44</v>
      </c>
      <c r="Q22" s="1" t="s">
        <v>113</v>
      </c>
      <c r="R22" s="1" t="s">
        <v>46</v>
      </c>
      <c r="S22" s="7">
        <v>22.72</v>
      </c>
      <c r="T22" s="1">
        <v>9</v>
      </c>
      <c r="U22" s="9">
        <v>22.41</v>
      </c>
      <c r="V22" s="9">
        <v>204.48</v>
      </c>
      <c r="W22" s="9">
        <v>201.69</v>
      </c>
      <c r="X22" s="12">
        <v>2.789999999999992</v>
      </c>
      <c r="Y22" s="10">
        <v>2015</v>
      </c>
    </row>
    <row r="23" spans="1:25">
      <c r="A23" s="1" t="s">
        <v>114</v>
      </c>
      <c r="B23" s="8">
        <v>42990</v>
      </c>
      <c r="C23" s="11" t="s">
        <v>3356</v>
      </c>
      <c r="D23" s="11" t="s">
        <v>3345</v>
      </c>
      <c r="E23" s="5" t="s">
        <v>115</v>
      </c>
      <c r="F23" s="1" t="s">
        <v>49</v>
      </c>
      <c r="G23" s="1" t="s">
        <v>116</v>
      </c>
      <c r="H23" s="1" t="s">
        <v>3374</v>
      </c>
      <c r="I23" s="1" t="s">
        <v>3375</v>
      </c>
      <c r="J23" s="1"/>
      <c r="K23" s="1" t="s">
        <v>41</v>
      </c>
      <c r="L23" s="1" t="s">
        <v>30</v>
      </c>
      <c r="M23" s="1" t="s">
        <v>118</v>
      </c>
      <c r="N23" s="1" t="s">
        <v>119</v>
      </c>
      <c r="O23" s="1">
        <v>68025</v>
      </c>
      <c r="P23" s="1" t="s">
        <v>90</v>
      </c>
      <c r="Q23" s="1" t="s">
        <v>120</v>
      </c>
      <c r="R23" s="1" t="s">
        <v>46</v>
      </c>
      <c r="S23" s="7">
        <v>19.46</v>
      </c>
      <c r="T23" s="1">
        <v>6</v>
      </c>
      <c r="U23" s="9">
        <v>18.809999999999999</v>
      </c>
      <c r="V23" s="9">
        <v>116.76</v>
      </c>
      <c r="W23" s="9">
        <v>112.85999999999999</v>
      </c>
      <c r="X23" s="12">
        <v>3.9000000000000199</v>
      </c>
      <c r="Y23" s="10">
        <v>2017</v>
      </c>
    </row>
    <row r="24" spans="1:25">
      <c r="A24" s="1" t="s">
        <v>114</v>
      </c>
      <c r="B24" s="8">
        <v>42990</v>
      </c>
      <c r="C24" s="11" t="s">
        <v>3356</v>
      </c>
      <c r="D24" s="11" t="s">
        <v>3345</v>
      </c>
      <c r="E24" s="5" t="s">
        <v>115</v>
      </c>
      <c r="F24" s="1" t="s">
        <v>49</v>
      </c>
      <c r="G24" s="1" t="s">
        <v>116</v>
      </c>
      <c r="H24" s="1" t="s">
        <v>3374</v>
      </c>
      <c r="I24" s="1" t="s">
        <v>3375</v>
      </c>
      <c r="J24" s="1"/>
      <c r="K24" s="1" t="s">
        <v>41</v>
      </c>
      <c r="L24" s="1" t="s">
        <v>30</v>
      </c>
      <c r="M24" s="1" t="s">
        <v>118</v>
      </c>
      <c r="N24" s="1" t="s">
        <v>119</v>
      </c>
      <c r="O24" s="1">
        <v>68025</v>
      </c>
      <c r="P24" s="1" t="s">
        <v>90</v>
      </c>
      <c r="Q24" s="1" t="s">
        <v>121</v>
      </c>
      <c r="R24" s="1" t="s">
        <v>46</v>
      </c>
      <c r="S24" s="7">
        <v>60.34</v>
      </c>
      <c r="T24" s="1">
        <v>6</v>
      </c>
      <c r="U24" s="9">
        <v>59.54</v>
      </c>
      <c r="V24" s="9">
        <v>362.04</v>
      </c>
      <c r="W24" s="9">
        <v>357.24</v>
      </c>
      <c r="X24" s="12">
        <v>4.8000000000000114</v>
      </c>
      <c r="Y24" s="10">
        <v>2017</v>
      </c>
    </row>
    <row r="25" spans="1:25">
      <c r="A25" s="1" t="s">
        <v>122</v>
      </c>
      <c r="B25" s="8">
        <v>43297</v>
      </c>
      <c r="C25" s="11" t="s">
        <v>3376</v>
      </c>
      <c r="D25" s="11" t="s">
        <v>3345</v>
      </c>
      <c r="E25" s="5" t="s">
        <v>123</v>
      </c>
      <c r="F25" s="1" t="s">
        <v>26</v>
      </c>
      <c r="G25" s="1" t="s">
        <v>124</v>
      </c>
      <c r="H25" s="1" t="s">
        <v>3377</v>
      </c>
      <c r="I25" s="1" t="s">
        <v>3378</v>
      </c>
      <c r="J25" s="1"/>
      <c r="K25" s="1" t="s">
        <v>29</v>
      </c>
      <c r="L25" s="1" t="s">
        <v>30</v>
      </c>
      <c r="M25" s="1" t="s">
        <v>126</v>
      </c>
      <c r="N25" s="1" t="s">
        <v>127</v>
      </c>
      <c r="O25" s="1">
        <v>19140</v>
      </c>
      <c r="P25" s="1" t="s">
        <v>128</v>
      </c>
      <c r="Q25" s="1" t="s">
        <v>129</v>
      </c>
      <c r="R25" s="1" t="s">
        <v>35</v>
      </c>
      <c r="S25" s="7">
        <v>71.372</v>
      </c>
      <c r="T25" s="1">
        <v>1</v>
      </c>
      <c r="U25" s="9">
        <v>70.8</v>
      </c>
      <c r="V25" s="9">
        <v>71.372</v>
      </c>
      <c r="W25" s="9">
        <v>70.8</v>
      </c>
      <c r="X25" s="12">
        <v>0.57200000000000273</v>
      </c>
      <c r="Y25" s="10">
        <v>2018</v>
      </c>
    </row>
    <row r="26" spans="1:25">
      <c r="A26" s="1" t="s">
        <v>130</v>
      </c>
      <c r="B26" s="8">
        <v>42638</v>
      </c>
      <c r="C26" s="11" t="s">
        <v>3356</v>
      </c>
      <c r="D26" s="11" t="s">
        <v>3345</v>
      </c>
      <c r="E26" s="5" t="s">
        <v>131</v>
      </c>
      <c r="F26" s="1" t="s">
        <v>49</v>
      </c>
      <c r="G26" s="1" t="s">
        <v>132</v>
      </c>
      <c r="H26" s="1" t="s">
        <v>3379</v>
      </c>
      <c r="I26" s="1" t="s">
        <v>3380</v>
      </c>
      <c r="J26" s="1"/>
      <c r="K26" s="1" t="s">
        <v>29</v>
      </c>
      <c r="L26" s="1" t="s">
        <v>30</v>
      </c>
      <c r="M26" s="1" t="s">
        <v>134</v>
      </c>
      <c r="N26" s="1" t="s">
        <v>105</v>
      </c>
      <c r="O26" s="1">
        <v>84057</v>
      </c>
      <c r="P26" s="1" t="s">
        <v>44</v>
      </c>
      <c r="Q26" s="1" t="s">
        <v>54</v>
      </c>
      <c r="R26" s="1" t="s">
        <v>35</v>
      </c>
      <c r="S26" s="7">
        <v>1044.6300000000001</v>
      </c>
      <c r="T26" s="1">
        <v>8</v>
      </c>
      <c r="U26" s="9">
        <v>1044.05</v>
      </c>
      <c r="V26" s="9">
        <v>8357.0400000000009</v>
      </c>
      <c r="W26" s="9">
        <v>8352.4</v>
      </c>
      <c r="X26" s="12">
        <v>4.6400000000012369</v>
      </c>
      <c r="Y26" s="10">
        <v>2016</v>
      </c>
    </row>
    <row r="27" spans="1:25">
      <c r="A27" s="1" t="s">
        <v>135</v>
      </c>
      <c r="B27" s="8">
        <v>42751</v>
      </c>
      <c r="C27" s="11" t="s">
        <v>3381</v>
      </c>
      <c r="D27" s="11" t="s">
        <v>3382</v>
      </c>
      <c r="E27" s="5" t="s">
        <v>136</v>
      </c>
      <c r="F27" s="1" t="s">
        <v>26</v>
      </c>
      <c r="G27" s="1" t="s">
        <v>137</v>
      </c>
      <c r="H27" s="1" t="s">
        <v>3383</v>
      </c>
      <c r="I27" s="1" t="s">
        <v>3384</v>
      </c>
      <c r="J27" s="1"/>
      <c r="K27" s="1" t="s">
        <v>29</v>
      </c>
      <c r="L27" s="1" t="s">
        <v>30</v>
      </c>
      <c r="M27" s="1" t="s">
        <v>42</v>
      </c>
      <c r="N27" s="1" t="s">
        <v>68</v>
      </c>
      <c r="O27" s="1">
        <v>90049</v>
      </c>
      <c r="P27" s="1" t="s">
        <v>44</v>
      </c>
      <c r="Q27" s="1" t="s">
        <v>139</v>
      </c>
      <c r="R27" s="1" t="s">
        <v>46</v>
      </c>
      <c r="S27" s="7">
        <v>11.648</v>
      </c>
      <c r="T27" s="1">
        <v>9</v>
      </c>
      <c r="U27" s="9">
        <v>11.39</v>
      </c>
      <c r="V27" s="9">
        <v>104.83199999999999</v>
      </c>
      <c r="W27" s="9">
        <v>102.51</v>
      </c>
      <c r="X27" s="12">
        <v>2.3219999999999885</v>
      </c>
      <c r="Y27" s="10">
        <v>2017</v>
      </c>
    </row>
    <row r="28" spans="1:25">
      <c r="A28" s="1" t="s">
        <v>135</v>
      </c>
      <c r="B28" s="8">
        <v>42751</v>
      </c>
      <c r="C28" s="11" t="s">
        <v>3381</v>
      </c>
      <c r="D28" s="11" t="s">
        <v>3382</v>
      </c>
      <c r="E28" s="5" t="s">
        <v>136</v>
      </c>
      <c r="F28" s="1" t="s">
        <v>26</v>
      </c>
      <c r="G28" s="1" t="s">
        <v>137</v>
      </c>
      <c r="H28" s="1" t="s">
        <v>3383</v>
      </c>
      <c r="I28" s="1" t="s">
        <v>3384</v>
      </c>
      <c r="J28" s="1"/>
      <c r="K28" s="1" t="s">
        <v>29</v>
      </c>
      <c r="L28" s="1" t="s">
        <v>30</v>
      </c>
      <c r="M28" s="1" t="s">
        <v>42</v>
      </c>
      <c r="N28" s="1" t="s">
        <v>68</v>
      </c>
      <c r="O28" s="1">
        <v>90049</v>
      </c>
      <c r="P28" s="1" t="s">
        <v>44</v>
      </c>
      <c r="Q28" s="1" t="s">
        <v>140</v>
      </c>
      <c r="R28" s="1" t="s">
        <v>64</v>
      </c>
      <c r="S28" s="7">
        <v>90.57</v>
      </c>
      <c r="T28" s="1">
        <v>9</v>
      </c>
      <c r="U28" s="9">
        <v>89.64</v>
      </c>
      <c r="V28" s="9">
        <v>815.12999999999988</v>
      </c>
      <c r="W28" s="9">
        <v>806.76</v>
      </c>
      <c r="X28" s="12">
        <v>8.3699999999998909</v>
      </c>
      <c r="Y28" s="10">
        <v>2017</v>
      </c>
    </row>
    <row r="29" spans="1:25">
      <c r="A29" s="1" t="s">
        <v>141</v>
      </c>
      <c r="B29" s="8">
        <v>42630</v>
      </c>
      <c r="C29" s="11" t="s">
        <v>3356</v>
      </c>
      <c r="D29" s="11" t="s">
        <v>3345</v>
      </c>
      <c r="E29" s="5" t="s">
        <v>142</v>
      </c>
      <c r="F29" s="1" t="s">
        <v>49</v>
      </c>
      <c r="G29" s="1" t="s">
        <v>143</v>
      </c>
      <c r="H29" s="1" t="s">
        <v>3385</v>
      </c>
      <c r="I29" s="1" t="s">
        <v>3386</v>
      </c>
      <c r="J29" s="1"/>
      <c r="K29" s="1" t="s">
        <v>29</v>
      </c>
      <c r="L29" s="1" t="s">
        <v>30</v>
      </c>
      <c r="M29" s="1" t="s">
        <v>126</v>
      </c>
      <c r="N29" s="1" t="s">
        <v>127</v>
      </c>
      <c r="O29" s="1">
        <v>19140</v>
      </c>
      <c r="P29" s="1" t="s">
        <v>128</v>
      </c>
      <c r="Q29" s="1" t="s">
        <v>146</v>
      </c>
      <c r="R29" s="1" t="s">
        <v>35</v>
      </c>
      <c r="S29" s="7">
        <v>3083.43</v>
      </c>
      <c r="T29" s="1">
        <v>1</v>
      </c>
      <c r="U29" s="9">
        <v>3082.52</v>
      </c>
      <c r="V29" s="9">
        <v>3083.43</v>
      </c>
      <c r="W29" s="9">
        <v>3082.52</v>
      </c>
      <c r="X29" s="12">
        <v>0.90999999999985448</v>
      </c>
      <c r="Y29" s="10">
        <v>2016</v>
      </c>
    </row>
    <row r="30" spans="1:25">
      <c r="A30" s="1" t="s">
        <v>141</v>
      </c>
      <c r="B30" s="8">
        <v>42630</v>
      </c>
      <c r="C30" s="11" t="s">
        <v>3356</v>
      </c>
      <c r="D30" s="11" t="s">
        <v>3345</v>
      </c>
      <c r="E30" s="5" t="s">
        <v>142</v>
      </c>
      <c r="F30" s="1" t="s">
        <v>49</v>
      </c>
      <c r="G30" s="1" t="s">
        <v>143</v>
      </c>
      <c r="H30" s="1" t="s">
        <v>3385</v>
      </c>
      <c r="I30" s="1" t="s">
        <v>3386</v>
      </c>
      <c r="J30" s="1"/>
      <c r="K30" s="1" t="s">
        <v>29</v>
      </c>
      <c r="L30" s="1" t="s">
        <v>30</v>
      </c>
      <c r="M30" s="1" t="s">
        <v>126</v>
      </c>
      <c r="N30" s="1" t="s">
        <v>127</v>
      </c>
      <c r="O30" s="1">
        <v>19140</v>
      </c>
      <c r="P30" s="1" t="s">
        <v>128</v>
      </c>
      <c r="Q30" s="1" t="s">
        <v>149</v>
      </c>
      <c r="R30" s="1" t="s">
        <v>46</v>
      </c>
      <c r="S30" s="7">
        <v>9.6180000000000003</v>
      </c>
      <c r="T30" s="1">
        <v>1</v>
      </c>
      <c r="U30" s="9">
        <v>9.01</v>
      </c>
      <c r="V30" s="9">
        <v>9.6180000000000003</v>
      </c>
      <c r="W30" s="9">
        <v>9.01</v>
      </c>
      <c r="X30" s="12">
        <v>0.60800000000000054</v>
      </c>
      <c r="Y30" s="10">
        <v>2016</v>
      </c>
    </row>
    <row r="31" spans="1:25">
      <c r="A31" s="1" t="s">
        <v>141</v>
      </c>
      <c r="B31" s="8">
        <v>42630</v>
      </c>
      <c r="C31" s="11" t="s">
        <v>3356</v>
      </c>
      <c r="D31" s="11" t="s">
        <v>3345</v>
      </c>
      <c r="E31" s="5" t="s">
        <v>142</v>
      </c>
      <c r="F31" s="1" t="s">
        <v>49</v>
      </c>
      <c r="G31" s="1" t="s">
        <v>143</v>
      </c>
      <c r="H31" s="1" t="s">
        <v>3385</v>
      </c>
      <c r="I31" s="1" t="s">
        <v>3386</v>
      </c>
      <c r="J31" s="1"/>
      <c r="K31" s="1" t="s">
        <v>29</v>
      </c>
      <c r="L31" s="1" t="s">
        <v>30</v>
      </c>
      <c r="M31" s="1" t="s">
        <v>126</v>
      </c>
      <c r="N31" s="1" t="s">
        <v>127</v>
      </c>
      <c r="O31" s="1">
        <v>19140</v>
      </c>
      <c r="P31" s="1" t="s">
        <v>128</v>
      </c>
      <c r="Q31" s="1" t="s">
        <v>150</v>
      </c>
      <c r="R31" s="1" t="s">
        <v>35</v>
      </c>
      <c r="S31" s="7">
        <v>124.2</v>
      </c>
      <c r="T31" s="1">
        <v>1</v>
      </c>
      <c r="U31" s="9">
        <v>123.99</v>
      </c>
      <c r="V31" s="9">
        <v>124.2</v>
      </c>
      <c r="W31" s="9">
        <v>123.99</v>
      </c>
      <c r="X31" s="12">
        <v>0.21000000000000796</v>
      </c>
      <c r="Y31" s="10">
        <v>2016</v>
      </c>
    </row>
    <row r="32" spans="1:25">
      <c r="A32" s="1" t="s">
        <v>141</v>
      </c>
      <c r="B32" s="8">
        <v>42630</v>
      </c>
      <c r="C32" s="11" t="s">
        <v>3356</v>
      </c>
      <c r="D32" s="11" t="s">
        <v>3345</v>
      </c>
      <c r="E32" s="5" t="s">
        <v>142</v>
      </c>
      <c r="F32" s="1" t="s">
        <v>49</v>
      </c>
      <c r="G32" s="1" t="s">
        <v>143</v>
      </c>
      <c r="H32" s="1" t="s">
        <v>3385</v>
      </c>
      <c r="I32" s="1" t="s">
        <v>3386</v>
      </c>
      <c r="J32" s="1"/>
      <c r="K32" s="1" t="s">
        <v>29</v>
      </c>
      <c r="L32" s="1" t="s">
        <v>30</v>
      </c>
      <c r="M32" s="1" t="s">
        <v>126</v>
      </c>
      <c r="N32" s="1" t="s">
        <v>127</v>
      </c>
      <c r="O32" s="1">
        <v>19140</v>
      </c>
      <c r="P32" s="1" t="s">
        <v>128</v>
      </c>
      <c r="Q32" s="1" t="s">
        <v>151</v>
      </c>
      <c r="R32" s="1" t="s">
        <v>46</v>
      </c>
      <c r="S32" s="7">
        <v>3.2639999999999998</v>
      </c>
      <c r="T32" s="1">
        <v>1</v>
      </c>
      <c r="U32" s="9">
        <v>3.11</v>
      </c>
      <c r="V32" s="9">
        <v>3.2639999999999998</v>
      </c>
      <c r="W32" s="9">
        <v>3.11</v>
      </c>
      <c r="X32" s="12">
        <v>0.15399999999999991</v>
      </c>
      <c r="Y32" s="10">
        <v>2016</v>
      </c>
    </row>
    <row r="33" spans="1:25">
      <c r="A33" s="1" t="s">
        <v>141</v>
      </c>
      <c r="B33" s="8">
        <v>42630</v>
      </c>
      <c r="C33" s="11" t="s">
        <v>3356</v>
      </c>
      <c r="D33" s="11" t="s">
        <v>3345</v>
      </c>
      <c r="E33" s="5" t="s">
        <v>142</v>
      </c>
      <c r="F33" s="1" t="s">
        <v>49</v>
      </c>
      <c r="G33" s="1" t="s">
        <v>143</v>
      </c>
      <c r="H33" s="1" t="s">
        <v>3385</v>
      </c>
      <c r="I33" s="1" t="s">
        <v>3386</v>
      </c>
      <c r="J33" s="1"/>
      <c r="K33" s="1" t="s">
        <v>29</v>
      </c>
      <c r="L33" s="1" t="s">
        <v>30</v>
      </c>
      <c r="M33" s="1" t="s">
        <v>126</v>
      </c>
      <c r="N33" s="1" t="s">
        <v>127</v>
      </c>
      <c r="O33" s="1">
        <v>19140</v>
      </c>
      <c r="P33" s="1" t="s">
        <v>128</v>
      </c>
      <c r="Q33" s="1" t="s">
        <v>152</v>
      </c>
      <c r="R33" s="1" t="s">
        <v>46</v>
      </c>
      <c r="S33" s="7">
        <v>86.304000000000002</v>
      </c>
      <c r="T33" s="1">
        <v>1</v>
      </c>
      <c r="U33" s="9">
        <v>85.88</v>
      </c>
      <c r="V33" s="9">
        <v>86.304000000000002</v>
      </c>
      <c r="W33" s="9">
        <v>85.88</v>
      </c>
      <c r="X33" s="12">
        <v>0.42400000000000659</v>
      </c>
      <c r="Y33" s="10">
        <v>2016</v>
      </c>
    </row>
    <row r="34" spans="1:25">
      <c r="A34" s="1" t="s">
        <v>141</v>
      </c>
      <c r="B34" s="8">
        <v>42630</v>
      </c>
      <c r="C34" s="11" t="s">
        <v>3356</v>
      </c>
      <c r="D34" s="11" t="s">
        <v>3345</v>
      </c>
      <c r="E34" s="5" t="s">
        <v>142</v>
      </c>
      <c r="F34" s="1" t="s">
        <v>49</v>
      </c>
      <c r="G34" s="1" t="s">
        <v>143</v>
      </c>
      <c r="H34" s="1" t="s">
        <v>3385</v>
      </c>
      <c r="I34" s="1" t="s">
        <v>3386</v>
      </c>
      <c r="J34" s="1"/>
      <c r="K34" s="1" t="s">
        <v>29</v>
      </c>
      <c r="L34" s="1" t="s">
        <v>30</v>
      </c>
      <c r="M34" s="1" t="s">
        <v>126</v>
      </c>
      <c r="N34" s="1" t="s">
        <v>127</v>
      </c>
      <c r="O34" s="1">
        <v>19140</v>
      </c>
      <c r="P34" s="1" t="s">
        <v>128</v>
      </c>
      <c r="Q34" s="1" t="s">
        <v>153</v>
      </c>
      <c r="R34" s="1" t="s">
        <v>46</v>
      </c>
      <c r="S34" s="7">
        <v>6.8579999999999997</v>
      </c>
      <c r="T34" s="1">
        <v>1</v>
      </c>
      <c r="U34" s="9">
        <v>6.8</v>
      </c>
      <c r="V34" s="9">
        <v>6.8579999999999997</v>
      </c>
      <c r="W34" s="9">
        <v>6.8</v>
      </c>
      <c r="X34" s="12">
        <v>5.7999999999999829E-2</v>
      </c>
      <c r="Y34" s="10">
        <v>2016</v>
      </c>
    </row>
    <row r="35" spans="1:25">
      <c r="A35" s="1" t="s">
        <v>141</v>
      </c>
      <c r="B35" s="8">
        <v>42630</v>
      </c>
      <c r="C35" s="11" t="s">
        <v>3356</v>
      </c>
      <c r="D35" s="11" t="s">
        <v>3345</v>
      </c>
      <c r="E35" s="5" t="s">
        <v>142</v>
      </c>
      <c r="F35" s="1" t="s">
        <v>49</v>
      </c>
      <c r="G35" s="1" t="s">
        <v>143</v>
      </c>
      <c r="H35" s="1" t="s">
        <v>3385</v>
      </c>
      <c r="I35" s="1" t="s">
        <v>3386</v>
      </c>
      <c r="J35" s="1"/>
      <c r="K35" s="1" t="s">
        <v>29</v>
      </c>
      <c r="L35" s="1" t="s">
        <v>30</v>
      </c>
      <c r="M35" s="1" t="s">
        <v>126</v>
      </c>
      <c r="N35" s="1" t="s">
        <v>127</v>
      </c>
      <c r="O35" s="1">
        <v>19140</v>
      </c>
      <c r="P35" s="1" t="s">
        <v>128</v>
      </c>
      <c r="Q35" s="1" t="s">
        <v>154</v>
      </c>
      <c r="R35" s="1" t="s">
        <v>46</v>
      </c>
      <c r="S35" s="7">
        <v>15.76</v>
      </c>
      <c r="T35" s="1">
        <v>1</v>
      </c>
      <c r="U35" s="9">
        <v>15.66</v>
      </c>
      <c r="V35" s="9">
        <v>15.76</v>
      </c>
      <c r="W35" s="9">
        <v>15.66</v>
      </c>
      <c r="X35" s="12">
        <v>9.9999999999999645E-2</v>
      </c>
      <c r="Y35" s="10">
        <v>2016</v>
      </c>
    </row>
    <row r="36" spans="1:25">
      <c r="A36" s="1" t="s">
        <v>155</v>
      </c>
      <c r="B36" s="8">
        <v>43392</v>
      </c>
      <c r="C36" s="11" t="s">
        <v>3387</v>
      </c>
      <c r="D36" s="11" t="s">
        <v>3349</v>
      </c>
      <c r="E36" s="5" t="s">
        <v>156</v>
      </c>
      <c r="F36" s="1" t="s">
        <v>26</v>
      </c>
      <c r="G36" s="1" t="s">
        <v>157</v>
      </c>
      <c r="H36" s="1" t="s">
        <v>3388</v>
      </c>
      <c r="I36" s="1" t="s">
        <v>3389</v>
      </c>
      <c r="J36" s="1"/>
      <c r="K36" s="1" t="s">
        <v>87</v>
      </c>
      <c r="L36" s="1" t="s">
        <v>30</v>
      </c>
      <c r="M36" s="1" t="s">
        <v>172</v>
      </c>
      <c r="N36" s="1" t="s">
        <v>89</v>
      </c>
      <c r="O36" s="1">
        <v>77095</v>
      </c>
      <c r="P36" s="1" t="s">
        <v>90</v>
      </c>
      <c r="Q36" s="1" t="s">
        <v>160</v>
      </c>
      <c r="R36" s="1" t="s">
        <v>46</v>
      </c>
      <c r="S36" s="7">
        <v>29.472000000000001</v>
      </c>
      <c r="T36" s="1">
        <v>7</v>
      </c>
      <c r="U36" s="9">
        <v>28.94</v>
      </c>
      <c r="V36" s="9">
        <v>206.304</v>
      </c>
      <c r="W36" s="9">
        <v>202.58</v>
      </c>
      <c r="X36" s="12">
        <v>3.7239999999999895</v>
      </c>
      <c r="Y36" s="10">
        <v>2018</v>
      </c>
    </row>
    <row r="37" spans="1:25">
      <c r="A37" s="1" t="s">
        <v>161</v>
      </c>
      <c r="B37" s="8">
        <v>42959</v>
      </c>
      <c r="C37" s="11" t="s">
        <v>3344</v>
      </c>
      <c r="D37" s="11" t="s">
        <v>3345</v>
      </c>
      <c r="E37" s="5">
        <v>43020</v>
      </c>
      <c r="F37" s="1" t="s">
        <v>162</v>
      </c>
      <c r="G37" s="1" t="s">
        <v>163</v>
      </c>
      <c r="H37" s="1" t="s">
        <v>3390</v>
      </c>
      <c r="I37" s="1" t="s">
        <v>3391</v>
      </c>
      <c r="J37" s="1"/>
      <c r="K37" s="1" t="s">
        <v>41</v>
      </c>
      <c r="L37" s="1" t="s">
        <v>30</v>
      </c>
      <c r="M37" s="1" t="s">
        <v>165</v>
      </c>
      <c r="N37" s="1" t="s">
        <v>89</v>
      </c>
      <c r="O37" s="1">
        <v>75080</v>
      </c>
      <c r="P37" s="1" t="s">
        <v>90</v>
      </c>
      <c r="Q37" s="1" t="s">
        <v>166</v>
      </c>
      <c r="R37" s="1" t="s">
        <v>64</v>
      </c>
      <c r="S37" s="7">
        <v>1097.5440000000001</v>
      </c>
      <c r="T37" s="1">
        <v>7</v>
      </c>
      <c r="U37" s="9">
        <v>1096.67</v>
      </c>
      <c r="V37" s="9">
        <v>7682.8080000000009</v>
      </c>
      <c r="W37" s="9">
        <v>7676.6900000000005</v>
      </c>
      <c r="X37" s="12">
        <v>6.1180000000003929</v>
      </c>
      <c r="Y37" s="10">
        <v>2017</v>
      </c>
    </row>
    <row r="38" spans="1:25">
      <c r="A38" s="1" t="s">
        <v>161</v>
      </c>
      <c r="B38" s="8">
        <v>42959</v>
      </c>
      <c r="C38" s="11" t="s">
        <v>3344</v>
      </c>
      <c r="D38" s="11" t="s">
        <v>3345</v>
      </c>
      <c r="E38" s="5">
        <v>43020</v>
      </c>
      <c r="F38" s="1" t="s">
        <v>162</v>
      </c>
      <c r="G38" s="1" t="s">
        <v>163</v>
      </c>
      <c r="H38" s="1" t="s">
        <v>3390</v>
      </c>
      <c r="I38" s="1" t="s">
        <v>3391</v>
      </c>
      <c r="J38" s="1"/>
      <c r="K38" s="1" t="s">
        <v>41</v>
      </c>
      <c r="L38" s="1" t="s">
        <v>30</v>
      </c>
      <c r="M38" s="1" t="s">
        <v>165</v>
      </c>
      <c r="N38" s="1" t="s">
        <v>89</v>
      </c>
      <c r="O38" s="1">
        <v>75080</v>
      </c>
      <c r="P38" s="1" t="s">
        <v>90</v>
      </c>
      <c r="Q38" s="1" t="s">
        <v>167</v>
      </c>
      <c r="R38" s="1" t="s">
        <v>35</v>
      </c>
      <c r="S38" s="7">
        <v>190.92</v>
      </c>
      <c r="T38" s="1">
        <v>7</v>
      </c>
      <c r="U38" s="9">
        <v>190.8</v>
      </c>
      <c r="V38" s="9">
        <v>1336.4399999999998</v>
      </c>
      <c r="W38" s="9">
        <v>1335.6000000000001</v>
      </c>
      <c r="X38" s="12">
        <v>0.83999999999969077</v>
      </c>
      <c r="Y38" s="10">
        <v>2017</v>
      </c>
    </row>
    <row r="39" spans="1:25">
      <c r="A39" s="1" t="s">
        <v>168</v>
      </c>
      <c r="B39" s="8">
        <v>42731</v>
      </c>
      <c r="C39" s="11" t="s">
        <v>3348</v>
      </c>
      <c r="D39" s="11" t="s">
        <v>3349</v>
      </c>
      <c r="E39" s="5" t="s">
        <v>169</v>
      </c>
      <c r="F39" s="1" t="s">
        <v>49</v>
      </c>
      <c r="G39" s="1" t="s">
        <v>170</v>
      </c>
      <c r="H39" s="1" t="s">
        <v>3392</v>
      </c>
      <c r="I39" s="1" t="s">
        <v>3393</v>
      </c>
      <c r="J39" s="1"/>
      <c r="K39" s="1" t="s">
        <v>87</v>
      </c>
      <c r="L39" s="1" t="s">
        <v>30</v>
      </c>
      <c r="M39" s="1" t="s">
        <v>172</v>
      </c>
      <c r="N39" s="1" t="s">
        <v>89</v>
      </c>
      <c r="O39" s="1">
        <v>77041</v>
      </c>
      <c r="P39" s="1" t="s">
        <v>90</v>
      </c>
      <c r="Q39" s="1" t="s">
        <v>173</v>
      </c>
      <c r="R39" s="1" t="s">
        <v>46</v>
      </c>
      <c r="S39" s="7">
        <v>113.328</v>
      </c>
      <c r="T39" s="1">
        <v>7</v>
      </c>
      <c r="U39" s="9">
        <v>112.36</v>
      </c>
      <c r="V39" s="9">
        <v>793.29600000000005</v>
      </c>
      <c r="W39" s="9">
        <v>786.52</v>
      </c>
      <c r="X39" s="12">
        <v>6.7760000000000673</v>
      </c>
      <c r="Y39" s="10">
        <v>2016</v>
      </c>
    </row>
    <row r="40" spans="1:25">
      <c r="A40" s="1" t="s">
        <v>168</v>
      </c>
      <c r="B40" s="8">
        <v>42731</v>
      </c>
      <c r="C40" s="11" t="s">
        <v>3348</v>
      </c>
      <c r="D40" s="11" t="s">
        <v>3349</v>
      </c>
      <c r="E40" s="5" t="s">
        <v>169</v>
      </c>
      <c r="F40" s="1" t="s">
        <v>49</v>
      </c>
      <c r="G40" s="1" t="s">
        <v>170</v>
      </c>
      <c r="H40" s="1" t="s">
        <v>3392</v>
      </c>
      <c r="I40" s="1" t="s">
        <v>3393</v>
      </c>
      <c r="J40" s="1"/>
      <c r="K40" s="1" t="s">
        <v>87</v>
      </c>
      <c r="L40" s="1" t="s">
        <v>30</v>
      </c>
      <c r="M40" s="1" t="s">
        <v>172</v>
      </c>
      <c r="N40" s="1" t="s">
        <v>89</v>
      </c>
      <c r="O40" s="1">
        <v>77041</v>
      </c>
      <c r="P40" s="1" t="s">
        <v>90</v>
      </c>
      <c r="Q40" s="1" t="s">
        <v>174</v>
      </c>
      <c r="R40" s="1" t="s">
        <v>35</v>
      </c>
      <c r="S40" s="7">
        <v>532.39919999999995</v>
      </c>
      <c r="T40" s="1">
        <v>7</v>
      </c>
      <c r="U40" s="9">
        <v>532.02</v>
      </c>
      <c r="V40" s="9">
        <v>3726.7943999999998</v>
      </c>
      <c r="W40" s="9">
        <v>3724.14</v>
      </c>
      <c r="X40" s="12">
        <v>2.654399999999896</v>
      </c>
      <c r="Y40" s="10">
        <v>2016</v>
      </c>
    </row>
    <row r="41" spans="1:25">
      <c r="A41" s="1" t="s">
        <v>168</v>
      </c>
      <c r="B41" s="8">
        <v>42731</v>
      </c>
      <c r="C41" s="11" t="s">
        <v>3348</v>
      </c>
      <c r="D41" s="11" t="s">
        <v>3349</v>
      </c>
      <c r="E41" s="5" t="s">
        <v>169</v>
      </c>
      <c r="F41" s="1" t="s">
        <v>49</v>
      </c>
      <c r="G41" s="1" t="s">
        <v>170</v>
      </c>
      <c r="H41" s="1" t="s">
        <v>3392</v>
      </c>
      <c r="I41" s="1" t="s">
        <v>3393</v>
      </c>
      <c r="J41" s="1"/>
      <c r="K41" s="1" t="s">
        <v>87</v>
      </c>
      <c r="L41" s="1" t="s">
        <v>30</v>
      </c>
      <c r="M41" s="1" t="s">
        <v>172</v>
      </c>
      <c r="N41" s="1" t="s">
        <v>89</v>
      </c>
      <c r="O41" s="1">
        <v>77041</v>
      </c>
      <c r="P41" s="1" t="s">
        <v>90</v>
      </c>
      <c r="Q41" s="1" t="s">
        <v>175</v>
      </c>
      <c r="R41" s="1" t="s">
        <v>35</v>
      </c>
      <c r="S41" s="7">
        <v>212.05799999999999</v>
      </c>
      <c r="T41" s="1">
        <v>7</v>
      </c>
      <c r="U41" s="9">
        <v>211.08</v>
      </c>
      <c r="V41" s="9">
        <v>1484.4059999999999</v>
      </c>
      <c r="W41" s="9">
        <v>1477.5600000000002</v>
      </c>
      <c r="X41" s="12">
        <v>6.8459999999997763</v>
      </c>
      <c r="Y41" s="10">
        <v>2016</v>
      </c>
    </row>
    <row r="42" spans="1:25">
      <c r="A42" s="1" t="s">
        <v>168</v>
      </c>
      <c r="B42" s="8">
        <v>42731</v>
      </c>
      <c r="C42" s="11" t="s">
        <v>3348</v>
      </c>
      <c r="D42" s="11" t="s">
        <v>3349</v>
      </c>
      <c r="E42" s="5" t="s">
        <v>169</v>
      </c>
      <c r="F42" s="1" t="s">
        <v>49</v>
      </c>
      <c r="G42" s="1" t="s">
        <v>170</v>
      </c>
      <c r="H42" s="1" t="s">
        <v>3392</v>
      </c>
      <c r="I42" s="1" t="s">
        <v>3393</v>
      </c>
      <c r="J42" s="1"/>
      <c r="K42" s="1" t="s">
        <v>87</v>
      </c>
      <c r="L42" s="1" t="s">
        <v>30</v>
      </c>
      <c r="M42" s="1" t="s">
        <v>172</v>
      </c>
      <c r="N42" s="1" t="s">
        <v>89</v>
      </c>
      <c r="O42" s="1">
        <v>77041</v>
      </c>
      <c r="P42" s="1" t="s">
        <v>90</v>
      </c>
      <c r="Q42" s="1" t="s">
        <v>176</v>
      </c>
      <c r="R42" s="1" t="s">
        <v>64</v>
      </c>
      <c r="S42" s="7">
        <v>371.16800000000001</v>
      </c>
      <c r="T42" s="1">
        <v>7</v>
      </c>
      <c r="U42" s="9">
        <v>370.36</v>
      </c>
      <c r="V42" s="9">
        <v>2598.1759999999999</v>
      </c>
      <c r="W42" s="9">
        <v>2592.52</v>
      </c>
      <c r="X42" s="12">
        <v>5.6559999999999491</v>
      </c>
      <c r="Y42" s="10">
        <v>2016</v>
      </c>
    </row>
    <row r="43" spans="1:25">
      <c r="A43" s="1" t="s">
        <v>177</v>
      </c>
      <c r="B43" s="8">
        <v>43382</v>
      </c>
      <c r="C43" s="11" t="s">
        <v>3387</v>
      </c>
      <c r="D43" s="11" t="s">
        <v>3349</v>
      </c>
      <c r="E43" s="5" t="s">
        <v>178</v>
      </c>
      <c r="F43" s="1" t="s">
        <v>49</v>
      </c>
      <c r="G43" s="1" t="s">
        <v>179</v>
      </c>
      <c r="H43" s="1" t="s">
        <v>3394</v>
      </c>
      <c r="I43" s="1" t="s">
        <v>3395</v>
      </c>
      <c r="J43" s="1"/>
      <c r="K43" s="1" t="s">
        <v>41</v>
      </c>
      <c r="L43" s="1" t="s">
        <v>30</v>
      </c>
      <c r="M43" s="1" t="s">
        <v>181</v>
      </c>
      <c r="N43" s="1" t="s">
        <v>182</v>
      </c>
      <c r="O43" s="1">
        <v>60540</v>
      </c>
      <c r="P43" s="1" t="s">
        <v>90</v>
      </c>
      <c r="Q43" s="1" t="s">
        <v>183</v>
      </c>
      <c r="R43" s="1" t="s">
        <v>64</v>
      </c>
      <c r="S43" s="7">
        <v>147.16800000000001</v>
      </c>
      <c r="T43" s="1">
        <v>6</v>
      </c>
      <c r="U43" s="9">
        <v>146.34</v>
      </c>
      <c r="V43" s="9">
        <v>883.00800000000004</v>
      </c>
      <c r="W43" s="9">
        <v>878.04</v>
      </c>
      <c r="X43" s="12">
        <v>4.9680000000000746</v>
      </c>
      <c r="Y43" s="10">
        <v>2018</v>
      </c>
    </row>
    <row r="44" spans="1:25">
      <c r="A44" s="1" t="s">
        <v>184</v>
      </c>
      <c r="B44" s="8">
        <v>42933</v>
      </c>
      <c r="C44" s="11" t="s">
        <v>3376</v>
      </c>
      <c r="D44" s="11" t="s">
        <v>3345</v>
      </c>
      <c r="E44" s="5" t="s">
        <v>185</v>
      </c>
      <c r="F44" s="1" t="s">
        <v>49</v>
      </c>
      <c r="G44" s="1" t="s">
        <v>186</v>
      </c>
      <c r="H44" s="1" t="s">
        <v>3396</v>
      </c>
      <c r="I44" s="1" t="s">
        <v>3397</v>
      </c>
      <c r="J44" s="1"/>
      <c r="K44" s="1" t="s">
        <v>41</v>
      </c>
      <c r="L44" s="1" t="s">
        <v>30</v>
      </c>
      <c r="M44" s="1" t="s">
        <v>42</v>
      </c>
      <c r="N44" s="1" t="s">
        <v>68</v>
      </c>
      <c r="O44" s="1">
        <v>90049</v>
      </c>
      <c r="P44" s="1" t="s">
        <v>44</v>
      </c>
      <c r="Q44" s="1" t="s">
        <v>188</v>
      </c>
      <c r="R44" s="1" t="s">
        <v>46</v>
      </c>
      <c r="S44" s="7">
        <v>77.88</v>
      </c>
      <c r="T44" s="1">
        <v>9</v>
      </c>
      <c r="U44" s="9">
        <v>77.430000000000007</v>
      </c>
      <c r="V44" s="9">
        <v>700.92</v>
      </c>
      <c r="W44" s="9">
        <v>696.87000000000012</v>
      </c>
      <c r="X44" s="12">
        <v>4.0499999999998408</v>
      </c>
      <c r="Y44" s="10">
        <v>2017</v>
      </c>
    </row>
    <row r="45" spans="1:25">
      <c r="A45" s="1" t="s">
        <v>189</v>
      </c>
      <c r="B45" s="8">
        <v>43362</v>
      </c>
      <c r="C45" s="11" t="s">
        <v>3356</v>
      </c>
      <c r="D45" s="11" t="s">
        <v>3345</v>
      </c>
      <c r="E45" s="5" t="s">
        <v>190</v>
      </c>
      <c r="F45" s="1" t="s">
        <v>49</v>
      </c>
      <c r="G45" s="1" t="s">
        <v>191</v>
      </c>
      <c r="H45" s="1" t="s">
        <v>3398</v>
      </c>
      <c r="I45" s="1" t="s">
        <v>3399</v>
      </c>
      <c r="J45" s="1"/>
      <c r="K45" s="1" t="s">
        <v>41</v>
      </c>
      <c r="L45" s="1" t="s">
        <v>30</v>
      </c>
      <c r="M45" s="1" t="s">
        <v>193</v>
      </c>
      <c r="N45" s="1" t="s">
        <v>194</v>
      </c>
      <c r="O45" s="1">
        <v>32935</v>
      </c>
      <c r="P45" s="1" t="s">
        <v>33</v>
      </c>
      <c r="Q45" s="1" t="s">
        <v>195</v>
      </c>
      <c r="R45" s="1" t="s">
        <v>46</v>
      </c>
      <c r="S45" s="7">
        <v>95.616</v>
      </c>
      <c r="T45" s="1">
        <v>3</v>
      </c>
      <c r="U45" s="9">
        <v>94.71</v>
      </c>
      <c r="V45" s="9">
        <v>286.84800000000001</v>
      </c>
      <c r="W45" s="9">
        <v>284.13</v>
      </c>
      <c r="X45" s="12">
        <v>2.7180000000000177</v>
      </c>
      <c r="Y45" s="10">
        <v>2018</v>
      </c>
    </row>
    <row r="46" spans="1:25">
      <c r="A46" s="1" t="s">
        <v>196</v>
      </c>
      <c r="B46" s="8">
        <v>43042</v>
      </c>
      <c r="C46" s="11" t="s">
        <v>3353</v>
      </c>
      <c r="D46" s="11" t="s">
        <v>3349</v>
      </c>
      <c r="E46" s="5" t="s">
        <v>197</v>
      </c>
      <c r="F46" s="1" t="s">
        <v>162</v>
      </c>
      <c r="G46" s="1" t="s">
        <v>198</v>
      </c>
      <c r="H46" s="1" t="s">
        <v>3400</v>
      </c>
      <c r="I46" s="1" t="s">
        <v>3401</v>
      </c>
      <c r="J46" s="1"/>
      <c r="K46" s="1" t="s">
        <v>41</v>
      </c>
      <c r="L46" s="1" t="s">
        <v>30</v>
      </c>
      <c r="M46" s="1" t="s">
        <v>200</v>
      </c>
      <c r="N46" s="1" t="s">
        <v>201</v>
      </c>
      <c r="O46" s="1">
        <v>55122</v>
      </c>
      <c r="P46" s="1" t="s">
        <v>90</v>
      </c>
      <c r="Q46" s="1" t="s">
        <v>202</v>
      </c>
      <c r="R46" s="1" t="s">
        <v>64</v>
      </c>
      <c r="S46" s="7">
        <v>45.98</v>
      </c>
      <c r="T46" s="1">
        <v>5</v>
      </c>
      <c r="U46" s="9">
        <v>45.84</v>
      </c>
      <c r="V46" s="9">
        <v>229.89999999999998</v>
      </c>
      <c r="W46" s="9">
        <v>229.20000000000002</v>
      </c>
      <c r="X46" s="12">
        <v>0.69999999999996021</v>
      </c>
      <c r="Y46" s="10">
        <v>2017</v>
      </c>
    </row>
    <row r="47" spans="1:25">
      <c r="A47" s="1" t="s">
        <v>196</v>
      </c>
      <c r="B47" s="8">
        <v>43042</v>
      </c>
      <c r="C47" s="11" t="s">
        <v>3353</v>
      </c>
      <c r="D47" s="11" t="s">
        <v>3349</v>
      </c>
      <c r="E47" s="5" t="s">
        <v>197</v>
      </c>
      <c r="F47" s="1" t="s">
        <v>162</v>
      </c>
      <c r="G47" s="1" t="s">
        <v>198</v>
      </c>
      <c r="H47" s="1" t="s">
        <v>3400</v>
      </c>
      <c r="I47" s="1" t="s">
        <v>3401</v>
      </c>
      <c r="J47" s="1"/>
      <c r="K47" s="1" t="s">
        <v>41</v>
      </c>
      <c r="L47" s="1" t="s">
        <v>30</v>
      </c>
      <c r="M47" s="1" t="s">
        <v>200</v>
      </c>
      <c r="N47" s="1" t="s">
        <v>201</v>
      </c>
      <c r="O47" s="1">
        <v>55122</v>
      </c>
      <c r="P47" s="1" t="s">
        <v>90</v>
      </c>
      <c r="Q47" s="1" t="s">
        <v>203</v>
      </c>
      <c r="R47" s="1" t="s">
        <v>46</v>
      </c>
      <c r="S47" s="7">
        <v>17.46</v>
      </c>
      <c r="T47" s="1">
        <v>5</v>
      </c>
      <c r="U47" s="9">
        <v>17.12</v>
      </c>
      <c r="V47" s="9">
        <v>87.300000000000011</v>
      </c>
      <c r="W47" s="9">
        <v>85.600000000000009</v>
      </c>
      <c r="X47" s="12">
        <v>1.7000000000000028</v>
      </c>
      <c r="Y47" s="10">
        <v>2017</v>
      </c>
    </row>
    <row r="48" spans="1:25">
      <c r="A48" s="1" t="s">
        <v>204</v>
      </c>
      <c r="B48" s="8">
        <v>42297</v>
      </c>
      <c r="C48" s="11" t="s">
        <v>3387</v>
      </c>
      <c r="D48" s="11" t="s">
        <v>3349</v>
      </c>
      <c r="E48" s="5" t="s">
        <v>205</v>
      </c>
      <c r="F48" s="1" t="s">
        <v>26</v>
      </c>
      <c r="G48" s="1" t="s">
        <v>206</v>
      </c>
      <c r="H48" s="1" t="s">
        <v>3402</v>
      </c>
      <c r="I48" s="1" t="s">
        <v>3355</v>
      </c>
      <c r="J48" s="1"/>
      <c r="K48" s="1" t="s">
        <v>29</v>
      </c>
      <c r="L48" s="1" t="s">
        <v>30</v>
      </c>
      <c r="M48" s="1" t="s">
        <v>208</v>
      </c>
      <c r="N48" s="1" t="s">
        <v>209</v>
      </c>
      <c r="O48" s="1">
        <v>48185</v>
      </c>
      <c r="P48" s="1" t="s">
        <v>90</v>
      </c>
      <c r="Q48" s="1" t="s">
        <v>210</v>
      </c>
      <c r="R48" s="1" t="s">
        <v>46</v>
      </c>
      <c r="S48" s="7">
        <v>211.96</v>
      </c>
      <c r="T48" s="1">
        <v>4</v>
      </c>
      <c r="U48" s="9">
        <v>211.46</v>
      </c>
      <c r="V48" s="9">
        <v>847.84</v>
      </c>
      <c r="W48" s="9">
        <v>845.84</v>
      </c>
      <c r="X48" s="12">
        <v>2</v>
      </c>
      <c r="Y48" s="10">
        <v>2015</v>
      </c>
    </row>
    <row r="49" spans="1:25">
      <c r="A49" s="1" t="s">
        <v>211</v>
      </c>
      <c r="B49" s="8">
        <v>42906</v>
      </c>
      <c r="C49" s="11" t="s">
        <v>3403</v>
      </c>
      <c r="D49" s="11" t="s">
        <v>3360</v>
      </c>
      <c r="E49" s="5" t="s">
        <v>212</v>
      </c>
      <c r="F49" s="1" t="s">
        <v>49</v>
      </c>
      <c r="G49" s="1" t="s">
        <v>213</v>
      </c>
      <c r="H49" s="1" t="s">
        <v>3404</v>
      </c>
      <c r="I49" s="1" t="s">
        <v>3405</v>
      </c>
      <c r="J49" s="1"/>
      <c r="K49" s="1" t="s">
        <v>29</v>
      </c>
      <c r="L49" s="1" t="s">
        <v>30</v>
      </c>
      <c r="M49" s="1" t="s">
        <v>215</v>
      </c>
      <c r="N49" s="1" t="s">
        <v>216</v>
      </c>
      <c r="O49" s="1">
        <v>19901</v>
      </c>
      <c r="P49" s="1" t="s">
        <v>128</v>
      </c>
      <c r="Q49" s="1" t="s">
        <v>217</v>
      </c>
      <c r="R49" s="1" t="s">
        <v>64</v>
      </c>
      <c r="S49" s="7">
        <v>45</v>
      </c>
      <c r="T49" s="1">
        <v>1</v>
      </c>
      <c r="U49" s="9">
        <v>44.59</v>
      </c>
      <c r="V49" s="9">
        <v>45</v>
      </c>
      <c r="W49" s="9">
        <v>44.59</v>
      </c>
      <c r="X49" s="12">
        <v>0.40999999999999659</v>
      </c>
      <c r="Y49" s="10">
        <v>2017</v>
      </c>
    </row>
    <row r="50" spans="1:25">
      <c r="A50" s="1" t="s">
        <v>211</v>
      </c>
      <c r="B50" s="8">
        <v>42906</v>
      </c>
      <c r="C50" s="11" t="s">
        <v>3403</v>
      </c>
      <c r="D50" s="11" t="s">
        <v>3360</v>
      </c>
      <c r="E50" s="5" t="s">
        <v>212</v>
      </c>
      <c r="F50" s="1" t="s">
        <v>49</v>
      </c>
      <c r="G50" s="1" t="s">
        <v>213</v>
      </c>
      <c r="H50" s="1" t="s">
        <v>3404</v>
      </c>
      <c r="I50" s="1" t="s">
        <v>3405</v>
      </c>
      <c r="J50" s="1"/>
      <c r="K50" s="1" t="s">
        <v>29</v>
      </c>
      <c r="L50" s="1" t="s">
        <v>30</v>
      </c>
      <c r="M50" s="1" t="s">
        <v>215</v>
      </c>
      <c r="N50" s="1" t="s">
        <v>216</v>
      </c>
      <c r="O50" s="1">
        <v>19901</v>
      </c>
      <c r="P50" s="1" t="s">
        <v>128</v>
      </c>
      <c r="Q50" s="1" t="s">
        <v>218</v>
      </c>
      <c r="R50" s="1" t="s">
        <v>64</v>
      </c>
      <c r="S50" s="7">
        <v>21.8</v>
      </c>
      <c r="T50" s="1">
        <v>1</v>
      </c>
      <c r="U50" s="9">
        <v>21.04</v>
      </c>
      <c r="V50" s="9">
        <v>21.8</v>
      </c>
      <c r="W50" s="9">
        <v>21.04</v>
      </c>
      <c r="X50" s="12">
        <v>0.76000000000000156</v>
      </c>
      <c r="Y50" s="10">
        <v>2017</v>
      </c>
    </row>
    <row r="51" spans="1:25">
      <c r="A51" s="1" t="s">
        <v>219</v>
      </c>
      <c r="B51" s="8">
        <v>42478</v>
      </c>
      <c r="C51" s="11" t="s">
        <v>3359</v>
      </c>
      <c r="D51" s="11" t="s">
        <v>3360</v>
      </c>
      <c r="E51" s="5" t="s">
        <v>220</v>
      </c>
      <c r="F51" s="1" t="s">
        <v>49</v>
      </c>
      <c r="G51" s="1" t="s">
        <v>221</v>
      </c>
      <c r="H51" s="1" t="s">
        <v>3406</v>
      </c>
      <c r="I51" s="1" t="s">
        <v>3407</v>
      </c>
      <c r="J51" s="1"/>
      <c r="K51" s="1" t="s">
        <v>29</v>
      </c>
      <c r="L51" s="1" t="s">
        <v>30</v>
      </c>
      <c r="M51" s="1" t="s">
        <v>223</v>
      </c>
      <c r="N51" s="1" t="s">
        <v>224</v>
      </c>
      <c r="O51" s="1">
        <v>47150</v>
      </c>
      <c r="P51" s="1" t="s">
        <v>90</v>
      </c>
      <c r="Q51" s="1" t="s">
        <v>225</v>
      </c>
      <c r="R51" s="1" t="s">
        <v>46</v>
      </c>
      <c r="S51" s="7">
        <v>38.22</v>
      </c>
      <c r="T51" s="1">
        <v>4</v>
      </c>
      <c r="U51" s="9">
        <v>37.28</v>
      </c>
      <c r="V51" s="9">
        <v>152.88</v>
      </c>
      <c r="W51" s="9">
        <v>149.12</v>
      </c>
      <c r="X51" s="12">
        <v>3.7599999999999909</v>
      </c>
      <c r="Y51" s="10">
        <v>2016</v>
      </c>
    </row>
    <row r="52" spans="1:25">
      <c r="A52" s="1" t="s">
        <v>219</v>
      </c>
      <c r="B52" s="8">
        <v>42478</v>
      </c>
      <c r="C52" s="11" t="s">
        <v>3359</v>
      </c>
      <c r="D52" s="11" t="s">
        <v>3360</v>
      </c>
      <c r="E52" s="5" t="s">
        <v>220</v>
      </c>
      <c r="F52" s="1" t="s">
        <v>49</v>
      </c>
      <c r="G52" s="1" t="s">
        <v>221</v>
      </c>
      <c r="H52" s="1" t="s">
        <v>3406</v>
      </c>
      <c r="I52" s="1" t="s">
        <v>3407</v>
      </c>
      <c r="J52" s="1"/>
      <c r="K52" s="1" t="s">
        <v>29</v>
      </c>
      <c r="L52" s="1" t="s">
        <v>30</v>
      </c>
      <c r="M52" s="1" t="s">
        <v>223</v>
      </c>
      <c r="N52" s="1" t="s">
        <v>224</v>
      </c>
      <c r="O52" s="1">
        <v>47150</v>
      </c>
      <c r="P52" s="1" t="s">
        <v>90</v>
      </c>
      <c r="Q52" s="1" t="s">
        <v>226</v>
      </c>
      <c r="R52" s="1" t="s">
        <v>46</v>
      </c>
      <c r="S52" s="7">
        <v>75.180000000000007</v>
      </c>
      <c r="T52" s="1">
        <v>4</v>
      </c>
      <c r="U52" s="9">
        <v>75.010000000000005</v>
      </c>
      <c r="V52" s="9">
        <v>300.72000000000003</v>
      </c>
      <c r="W52" s="9">
        <v>300.04000000000002</v>
      </c>
      <c r="X52" s="12">
        <v>0.68000000000000682</v>
      </c>
      <c r="Y52" s="10">
        <v>2016</v>
      </c>
    </row>
    <row r="53" spans="1:25">
      <c r="A53" s="1" t="s">
        <v>219</v>
      </c>
      <c r="B53" s="8">
        <v>42478</v>
      </c>
      <c r="C53" s="11" t="s">
        <v>3359</v>
      </c>
      <c r="D53" s="11" t="s">
        <v>3360</v>
      </c>
      <c r="E53" s="5" t="s">
        <v>220</v>
      </c>
      <c r="F53" s="1" t="s">
        <v>49</v>
      </c>
      <c r="G53" s="1" t="s">
        <v>221</v>
      </c>
      <c r="H53" s="1" t="s">
        <v>3406</v>
      </c>
      <c r="I53" s="1" t="s">
        <v>3407</v>
      </c>
      <c r="J53" s="1"/>
      <c r="K53" s="1" t="s">
        <v>29</v>
      </c>
      <c r="L53" s="1" t="s">
        <v>30</v>
      </c>
      <c r="M53" s="1" t="s">
        <v>223</v>
      </c>
      <c r="N53" s="1" t="s">
        <v>224</v>
      </c>
      <c r="O53" s="1">
        <v>47150</v>
      </c>
      <c r="P53" s="1" t="s">
        <v>90</v>
      </c>
      <c r="Q53" s="1" t="s">
        <v>227</v>
      </c>
      <c r="R53" s="1" t="s">
        <v>35</v>
      </c>
      <c r="S53" s="7">
        <v>6.16</v>
      </c>
      <c r="T53" s="1">
        <v>4</v>
      </c>
      <c r="U53" s="9">
        <v>6.03</v>
      </c>
      <c r="V53" s="9">
        <v>24.64</v>
      </c>
      <c r="W53" s="9">
        <v>24.12</v>
      </c>
      <c r="X53" s="12">
        <v>0.51999999999999957</v>
      </c>
      <c r="Y53" s="10">
        <v>2016</v>
      </c>
    </row>
    <row r="54" spans="1:25">
      <c r="A54" s="1" t="s">
        <v>219</v>
      </c>
      <c r="B54" s="8">
        <v>42478</v>
      </c>
      <c r="C54" s="11" t="s">
        <v>3359</v>
      </c>
      <c r="D54" s="11" t="s">
        <v>3360</v>
      </c>
      <c r="E54" s="5" t="s">
        <v>220</v>
      </c>
      <c r="F54" s="1" t="s">
        <v>49</v>
      </c>
      <c r="G54" s="1" t="s">
        <v>221</v>
      </c>
      <c r="H54" s="1" t="s">
        <v>3406</v>
      </c>
      <c r="I54" s="1" t="s">
        <v>3407</v>
      </c>
      <c r="J54" s="1"/>
      <c r="K54" s="1" t="s">
        <v>29</v>
      </c>
      <c r="L54" s="1" t="s">
        <v>30</v>
      </c>
      <c r="M54" s="1" t="s">
        <v>223</v>
      </c>
      <c r="N54" s="1" t="s">
        <v>224</v>
      </c>
      <c r="O54" s="1">
        <v>47150</v>
      </c>
      <c r="P54" s="1" t="s">
        <v>90</v>
      </c>
      <c r="Q54" s="1" t="s">
        <v>228</v>
      </c>
      <c r="R54" s="1" t="s">
        <v>35</v>
      </c>
      <c r="S54" s="7">
        <v>89.99</v>
      </c>
      <c r="T54" s="1">
        <v>4</v>
      </c>
      <c r="U54" s="9">
        <v>89.04</v>
      </c>
      <c r="V54" s="9">
        <v>359.96</v>
      </c>
      <c r="W54" s="9">
        <v>356.16</v>
      </c>
      <c r="X54" s="12">
        <v>3.7999999999999545</v>
      </c>
      <c r="Y54" s="10">
        <v>2016</v>
      </c>
    </row>
    <row r="55" spans="1:25">
      <c r="A55" s="1" t="s">
        <v>229</v>
      </c>
      <c r="B55" s="8">
        <v>43051</v>
      </c>
      <c r="C55" s="11" t="s">
        <v>3353</v>
      </c>
      <c r="D55" s="11" t="s">
        <v>3349</v>
      </c>
      <c r="E55" s="5" t="s">
        <v>230</v>
      </c>
      <c r="F55" s="1" t="s">
        <v>49</v>
      </c>
      <c r="G55" s="1" t="s">
        <v>231</v>
      </c>
      <c r="H55" s="1" t="s">
        <v>3408</v>
      </c>
      <c r="I55" s="1" t="s">
        <v>3409</v>
      </c>
      <c r="J55" s="1"/>
      <c r="K55" s="1" t="s">
        <v>41</v>
      </c>
      <c r="L55" s="1" t="s">
        <v>30</v>
      </c>
      <c r="M55" s="1" t="s">
        <v>233</v>
      </c>
      <c r="N55" s="1" t="s">
        <v>234</v>
      </c>
      <c r="O55" s="1">
        <v>10024</v>
      </c>
      <c r="P55" s="1" t="s">
        <v>128</v>
      </c>
      <c r="Q55" s="1" t="s">
        <v>235</v>
      </c>
      <c r="R55" s="1" t="s">
        <v>46</v>
      </c>
      <c r="S55" s="7">
        <v>15.26</v>
      </c>
      <c r="T55" s="1">
        <v>1</v>
      </c>
      <c r="U55" s="9">
        <v>14.39</v>
      </c>
      <c r="V55" s="9">
        <v>15.26</v>
      </c>
      <c r="W55" s="9">
        <v>14.39</v>
      </c>
      <c r="X55" s="12">
        <v>0.86999999999999922</v>
      </c>
      <c r="Y55" s="10">
        <v>2017</v>
      </c>
    </row>
    <row r="56" spans="1:25">
      <c r="A56" s="1" t="s">
        <v>229</v>
      </c>
      <c r="B56" s="8">
        <v>43051</v>
      </c>
      <c r="C56" s="11" t="s">
        <v>3353</v>
      </c>
      <c r="D56" s="11" t="s">
        <v>3349</v>
      </c>
      <c r="E56" s="5" t="s">
        <v>230</v>
      </c>
      <c r="F56" s="1" t="s">
        <v>49</v>
      </c>
      <c r="G56" s="1" t="s">
        <v>231</v>
      </c>
      <c r="H56" s="1" t="s">
        <v>3408</v>
      </c>
      <c r="I56" s="1" t="s">
        <v>3409</v>
      </c>
      <c r="J56" s="1"/>
      <c r="K56" s="1" t="s">
        <v>41</v>
      </c>
      <c r="L56" s="1" t="s">
        <v>30</v>
      </c>
      <c r="M56" s="1" t="s">
        <v>233</v>
      </c>
      <c r="N56" s="1" t="s">
        <v>234</v>
      </c>
      <c r="O56" s="1">
        <v>10024</v>
      </c>
      <c r="P56" s="1" t="s">
        <v>128</v>
      </c>
      <c r="Q56" s="1" t="s">
        <v>236</v>
      </c>
      <c r="R56" s="1" t="s">
        <v>64</v>
      </c>
      <c r="S56" s="7">
        <v>1029.95</v>
      </c>
      <c r="T56" s="1">
        <v>1</v>
      </c>
      <c r="U56" s="9">
        <v>1029.71</v>
      </c>
      <c r="V56" s="9">
        <v>1029.95</v>
      </c>
      <c r="W56" s="9">
        <v>1029.71</v>
      </c>
      <c r="X56" s="12">
        <v>0.24000000000000909</v>
      </c>
      <c r="Y56" s="10">
        <v>2017</v>
      </c>
    </row>
    <row r="57" spans="1:25">
      <c r="A57" s="1" t="s">
        <v>237</v>
      </c>
      <c r="B57" s="8">
        <v>42903</v>
      </c>
      <c r="C57" s="11" t="s">
        <v>3403</v>
      </c>
      <c r="D57" s="11" t="s">
        <v>3360</v>
      </c>
      <c r="E57" s="5" t="s">
        <v>238</v>
      </c>
      <c r="F57" s="1" t="s">
        <v>162</v>
      </c>
      <c r="G57" s="1" t="s">
        <v>239</v>
      </c>
      <c r="H57" s="1" t="s">
        <v>3410</v>
      </c>
      <c r="I57" s="1" t="s">
        <v>3411</v>
      </c>
      <c r="J57" s="1"/>
      <c r="K57" s="1" t="s">
        <v>29</v>
      </c>
      <c r="L57" s="1" t="s">
        <v>30</v>
      </c>
      <c r="M57" s="1" t="s">
        <v>241</v>
      </c>
      <c r="N57" s="1" t="s">
        <v>234</v>
      </c>
      <c r="O57" s="1">
        <v>12180</v>
      </c>
      <c r="P57" s="1" t="s">
        <v>128</v>
      </c>
      <c r="Q57" s="1" t="s">
        <v>242</v>
      </c>
      <c r="R57" s="1" t="s">
        <v>46</v>
      </c>
      <c r="S57" s="7">
        <v>208.56</v>
      </c>
      <c r="T57" s="1">
        <v>1</v>
      </c>
      <c r="U57" s="9">
        <v>208.05</v>
      </c>
      <c r="V57" s="9">
        <v>208.56</v>
      </c>
      <c r="W57" s="9">
        <v>208.05</v>
      </c>
      <c r="X57" s="12">
        <v>0.50999999999999091</v>
      </c>
      <c r="Y57" s="10">
        <v>2017</v>
      </c>
    </row>
    <row r="58" spans="1:25">
      <c r="A58" s="1" t="s">
        <v>237</v>
      </c>
      <c r="B58" s="8">
        <v>42903</v>
      </c>
      <c r="C58" s="11" t="s">
        <v>3403</v>
      </c>
      <c r="D58" s="11" t="s">
        <v>3360</v>
      </c>
      <c r="E58" s="5" t="s">
        <v>238</v>
      </c>
      <c r="F58" s="1" t="s">
        <v>162</v>
      </c>
      <c r="G58" s="1" t="s">
        <v>239</v>
      </c>
      <c r="H58" s="1" t="s">
        <v>3410</v>
      </c>
      <c r="I58" s="1" t="s">
        <v>3411</v>
      </c>
      <c r="J58" s="1"/>
      <c r="K58" s="1" t="s">
        <v>29</v>
      </c>
      <c r="L58" s="1" t="s">
        <v>30</v>
      </c>
      <c r="M58" s="1" t="s">
        <v>241</v>
      </c>
      <c r="N58" s="1" t="s">
        <v>234</v>
      </c>
      <c r="O58" s="1">
        <v>12180</v>
      </c>
      <c r="P58" s="1" t="s">
        <v>128</v>
      </c>
      <c r="Q58" s="1" t="s">
        <v>243</v>
      </c>
      <c r="R58" s="1" t="s">
        <v>46</v>
      </c>
      <c r="S58" s="7">
        <v>32.4</v>
      </c>
      <c r="T58" s="1">
        <v>1</v>
      </c>
      <c r="U58" s="9">
        <v>31.73</v>
      </c>
      <c r="V58" s="9">
        <v>32.4</v>
      </c>
      <c r="W58" s="9">
        <v>31.73</v>
      </c>
      <c r="X58" s="12">
        <v>0.66999999999999815</v>
      </c>
      <c r="Y58" s="10">
        <v>2017</v>
      </c>
    </row>
    <row r="59" spans="1:25">
      <c r="A59" s="1" t="s">
        <v>237</v>
      </c>
      <c r="B59" s="8">
        <v>42903</v>
      </c>
      <c r="C59" s="11" t="s">
        <v>3403</v>
      </c>
      <c r="D59" s="11" t="s">
        <v>3360</v>
      </c>
      <c r="E59" s="5" t="s">
        <v>238</v>
      </c>
      <c r="F59" s="1" t="s">
        <v>162</v>
      </c>
      <c r="G59" s="1" t="s">
        <v>239</v>
      </c>
      <c r="H59" s="1" t="s">
        <v>3410</v>
      </c>
      <c r="I59" s="1" t="s">
        <v>3411</v>
      </c>
      <c r="J59" s="1"/>
      <c r="K59" s="1" t="s">
        <v>29</v>
      </c>
      <c r="L59" s="1" t="s">
        <v>30</v>
      </c>
      <c r="M59" s="1" t="s">
        <v>241</v>
      </c>
      <c r="N59" s="1" t="s">
        <v>234</v>
      </c>
      <c r="O59" s="1">
        <v>12180</v>
      </c>
      <c r="P59" s="1" t="s">
        <v>128</v>
      </c>
      <c r="Q59" s="1" t="s">
        <v>244</v>
      </c>
      <c r="R59" s="1" t="s">
        <v>35</v>
      </c>
      <c r="S59" s="7">
        <v>319.41000000000003</v>
      </c>
      <c r="T59" s="1">
        <v>1</v>
      </c>
      <c r="U59" s="9">
        <v>319.3</v>
      </c>
      <c r="V59" s="9">
        <v>319.41000000000003</v>
      </c>
      <c r="W59" s="9">
        <v>319.3</v>
      </c>
      <c r="X59" s="12">
        <v>0.11000000000001364</v>
      </c>
      <c r="Y59" s="10">
        <v>2017</v>
      </c>
    </row>
    <row r="60" spans="1:25">
      <c r="A60" s="1" t="s">
        <v>237</v>
      </c>
      <c r="B60" s="8">
        <v>42903</v>
      </c>
      <c r="C60" s="11" t="s">
        <v>3403</v>
      </c>
      <c r="D60" s="11" t="s">
        <v>3360</v>
      </c>
      <c r="E60" s="5" t="s">
        <v>238</v>
      </c>
      <c r="F60" s="1" t="s">
        <v>162</v>
      </c>
      <c r="G60" s="1" t="s">
        <v>239</v>
      </c>
      <c r="H60" s="1" t="s">
        <v>3410</v>
      </c>
      <c r="I60" s="1" t="s">
        <v>3411</v>
      </c>
      <c r="J60" s="1"/>
      <c r="K60" s="1" t="s">
        <v>29</v>
      </c>
      <c r="L60" s="1" t="s">
        <v>30</v>
      </c>
      <c r="M60" s="1" t="s">
        <v>241</v>
      </c>
      <c r="N60" s="1" t="s">
        <v>234</v>
      </c>
      <c r="O60" s="1">
        <v>12180</v>
      </c>
      <c r="P60" s="1" t="s">
        <v>128</v>
      </c>
      <c r="Q60" s="1" t="s">
        <v>245</v>
      </c>
      <c r="R60" s="1" t="s">
        <v>46</v>
      </c>
      <c r="S60" s="7">
        <v>14.56</v>
      </c>
      <c r="T60" s="1">
        <v>1</v>
      </c>
      <c r="U60" s="9">
        <v>13.78</v>
      </c>
      <c r="V60" s="9">
        <v>14.56</v>
      </c>
      <c r="W60" s="9">
        <v>13.78</v>
      </c>
      <c r="X60" s="12">
        <v>0.78000000000000114</v>
      </c>
      <c r="Y60" s="10">
        <v>2017</v>
      </c>
    </row>
    <row r="61" spans="1:25">
      <c r="A61" s="1" t="s">
        <v>237</v>
      </c>
      <c r="B61" s="8">
        <v>42903</v>
      </c>
      <c r="C61" s="11" t="s">
        <v>3403</v>
      </c>
      <c r="D61" s="11" t="s">
        <v>3360</v>
      </c>
      <c r="E61" s="5" t="s">
        <v>238</v>
      </c>
      <c r="F61" s="1" t="s">
        <v>162</v>
      </c>
      <c r="G61" s="1" t="s">
        <v>239</v>
      </c>
      <c r="H61" s="1" t="s">
        <v>3410</v>
      </c>
      <c r="I61" s="1" t="s">
        <v>3411</v>
      </c>
      <c r="J61" s="1"/>
      <c r="K61" s="1" t="s">
        <v>29</v>
      </c>
      <c r="L61" s="1" t="s">
        <v>30</v>
      </c>
      <c r="M61" s="1" t="s">
        <v>241</v>
      </c>
      <c r="N61" s="1" t="s">
        <v>234</v>
      </c>
      <c r="O61" s="1">
        <v>12180</v>
      </c>
      <c r="P61" s="1" t="s">
        <v>128</v>
      </c>
      <c r="Q61" s="1" t="s">
        <v>217</v>
      </c>
      <c r="R61" s="1" t="s">
        <v>64</v>
      </c>
      <c r="S61" s="7">
        <v>30</v>
      </c>
      <c r="T61" s="1">
        <v>1</v>
      </c>
      <c r="U61" s="9">
        <v>29.62</v>
      </c>
      <c r="V61" s="9">
        <v>30</v>
      </c>
      <c r="W61" s="9">
        <v>29.62</v>
      </c>
      <c r="X61" s="12">
        <v>0.37999999999999901</v>
      </c>
      <c r="Y61" s="10">
        <v>2017</v>
      </c>
    </row>
    <row r="62" spans="1:25">
      <c r="A62" s="1" t="s">
        <v>237</v>
      </c>
      <c r="B62" s="8">
        <v>42903</v>
      </c>
      <c r="C62" s="11" t="s">
        <v>3403</v>
      </c>
      <c r="D62" s="11" t="s">
        <v>3360</v>
      </c>
      <c r="E62" s="5" t="s">
        <v>238</v>
      </c>
      <c r="F62" s="1" t="s">
        <v>162</v>
      </c>
      <c r="G62" s="1" t="s">
        <v>239</v>
      </c>
      <c r="H62" s="1" t="s">
        <v>3410</v>
      </c>
      <c r="I62" s="1" t="s">
        <v>3411</v>
      </c>
      <c r="J62" s="1"/>
      <c r="K62" s="1" t="s">
        <v>29</v>
      </c>
      <c r="L62" s="1" t="s">
        <v>30</v>
      </c>
      <c r="M62" s="1" t="s">
        <v>241</v>
      </c>
      <c r="N62" s="1" t="s">
        <v>234</v>
      </c>
      <c r="O62" s="1">
        <v>12180</v>
      </c>
      <c r="P62" s="1" t="s">
        <v>128</v>
      </c>
      <c r="Q62" s="1" t="s">
        <v>246</v>
      </c>
      <c r="R62" s="1" t="s">
        <v>46</v>
      </c>
      <c r="S62" s="7">
        <v>48.48</v>
      </c>
      <c r="T62" s="1">
        <v>1</v>
      </c>
      <c r="U62" s="9">
        <v>48.41</v>
      </c>
      <c r="V62" s="9">
        <v>48.48</v>
      </c>
      <c r="W62" s="9">
        <v>48.41</v>
      </c>
      <c r="X62" s="12">
        <v>7.0000000000000284E-2</v>
      </c>
      <c r="Y62" s="10">
        <v>2017</v>
      </c>
    </row>
    <row r="63" spans="1:25">
      <c r="A63" s="1" t="s">
        <v>237</v>
      </c>
      <c r="B63" s="8">
        <v>42903</v>
      </c>
      <c r="C63" s="11" t="s">
        <v>3403</v>
      </c>
      <c r="D63" s="11" t="s">
        <v>3360</v>
      </c>
      <c r="E63" s="5" t="s">
        <v>238</v>
      </c>
      <c r="F63" s="1" t="s">
        <v>162</v>
      </c>
      <c r="G63" s="1" t="s">
        <v>239</v>
      </c>
      <c r="H63" s="1" t="s">
        <v>3410</v>
      </c>
      <c r="I63" s="1" t="s">
        <v>3411</v>
      </c>
      <c r="J63" s="1"/>
      <c r="K63" s="1" t="s">
        <v>29</v>
      </c>
      <c r="L63" s="1" t="s">
        <v>30</v>
      </c>
      <c r="M63" s="1" t="s">
        <v>241</v>
      </c>
      <c r="N63" s="1" t="s">
        <v>234</v>
      </c>
      <c r="O63" s="1">
        <v>12180</v>
      </c>
      <c r="P63" s="1" t="s">
        <v>128</v>
      </c>
      <c r="Q63" s="1" t="s">
        <v>247</v>
      </c>
      <c r="R63" s="1" t="s">
        <v>46</v>
      </c>
      <c r="S63" s="7">
        <v>1.68</v>
      </c>
      <c r="T63" s="1">
        <v>1</v>
      </c>
      <c r="U63" s="9">
        <v>0.97</v>
      </c>
      <c r="V63" s="9">
        <v>1.68</v>
      </c>
      <c r="W63" s="9">
        <v>0.97</v>
      </c>
      <c r="X63" s="12">
        <v>0.71</v>
      </c>
      <c r="Y63" s="10">
        <v>2017</v>
      </c>
    </row>
    <row r="64" spans="1:25">
      <c r="A64" s="1" t="s">
        <v>248</v>
      </c>
      <c r="B64" s="8">
        <v>42698</v>
      </c>
      <c r="C64" s="11" t="s">
        <v>3353</v>
      </c>
      <c r="D64" s="11" t="s">
        <v>3349</v>
      </c>
      <c r="E64" s="5" t="s">
        <v>249</v>
      </c>
      <c r="F64" s="1" t="s">
        <v>49</v>
      </c>
      <c r="G64" s="1" t="s">
        <v>250</v>
      </c>
      <c r="H64" s="1" t="s">
        <v>3412</v>
      </c>
      <c r="I64" s="1" t="s">
        <v>3413</v>
      </c>
      <c r="J64" s="1"/>
      <c r="K64" s="1" t="s">
        <v>29</v>
      </c>
      <c r="L64" s="1" t="s">
        <v>30</v>
      </c>
      <c r="M64" s="1" t="s">
        <v>42</v>
      </c>
      <c r="N64" s="1" t="s">
        <v>68</v>
      </c>
      <c r="O64" s="1">
        <v>90004</v>
      </c>
      <c r="P64" s="1" t="s">
        <v>44</v>
      </c>
      <c r="Q64" s="1" t="s">
        <v>252</v>
      </c>
      <c r="R64" s="1" t="s">
        <v>64</v>
      </c>
      <c r="S64" s="7">
        <v>13.98</v>
      </c>
      <c r="T64" s="1">
        <v>9</v>
      </c>
      <c r="U64" s="9">
        <v>13.69</v>
      </c>
      <c r="V64" s="9">
        <v>125.82000000000001</v>
      </c>
      <c r="W64" s="9">
        <v>123.21</v>
      </c>
      <c r="X64" s="12">
        <v>2.6100000000000136</v>
      </c>
      <c r="Y64" s="10">
        <v>2016</v>
      </c>
    </row>
    <row r="65" spans="1:25">
      <c r="A65" s="1" t="s">
        <v>248</v>
      </c>
      <c r="B65" s="8">
        <v>42698</v>
      </c>
      <c r="C65" s="11" t="s">
        <v>3353</v>
      </c>
      <c r="D65" s="11" t="s">
        <v>3349</v>
      </c>
      <c r="E65" s="5" t="s">
        <v>249</v>
      </c>
      <c r="F65" s="1" t="s">
        <v>49</v>
      </c>
      <c r="G65" s="1" t="s">
        <v>250</v>
      </c>
      <c r="H65" s="1" t="s">
        <v>3412</v>
      </c>
      <c r="I65" s="1" t="s">
        <v>3413</v>
      </c>
      <c r="J65" s="1"/>
      <c r="K65" s="1" t="s">
        <v>29</v>
      </c>
      <c r="L65" s="1" t="s">
        <v>30</v>
      </c>
      <c r="M65" s="1" t="s">
        <v>42</v>
      </c>
      <c r="N65" s="1" t="s">
        <v>68</v>
      </c>
      <c r="O65" s="1">
        <v>90004</v>
      </c>
      <c r="P65" s="1" t="s">
        <v>44</v>
      </c>
      <c r="Q65" s="1" t="s">
        <v>253</v>
      </c>
      <c r="R65" s="1" t="s">
        <v>46</v>
      </c>
      <c r="S65" s="7">
        <v>25.824000000000002</v>
      </c>
      <c r="T65" s="1">
        <v>9</v>
      </c>
      <c r="U65" s="9">
        <v>25.3</v>
      </c>
      <c r="V65" s="9">
        <v>232.41600000000003</v>
      </c>
      <c r="W65" s="9">
        <v>227.70000000000002</v>
      </c>
      <c r="X65" s="12">
        <v>4.7160000000000082</v>
      </c>
      <c r="Y65" s="10">
        <v>2016</v>
      </c>
    </row>
    <row r="66" spans="1:25">
      <c r="A66" s="1" t="s">
        <v>248</v>
      </c>
      <c r="B66" s="8">
        <v>42698</v>
      </c>
      <c r="C66" s="11" t="s">
        <v>3353</v>
      </c>
      <c r="D66" s="11" t="s">
        <v>3349</v>
      </c>
      <c r="E66" s="5" t="s">
        <v>249</v>
      </c>
      <c r="F66" s="1" t="s">
        <v>49</v>
      </c>
      <c r="G66" s="1" t="s">
        <v>250</v>
      </c>
      <c r="H66" s="1" t="s">
        <v>3412</v>
      </c>
      <c r="I66" s="1" t="s">
        <v>3413</v>
      </c>
      <c r="J66" s="1"/>
      <c r="K66" s="1" t="s">
        <v>29</v>
      </c>
      <c r="L66" s="1" t="s">
        <v>30</v>
      </c>
      <c r="M66" s="1" t="s">
        <v>42</v>
      </c>
      <c r="N66" s="1" t="s">
        <v>68</v>
      </c>
      <c r="O66" s="1">
        <v>90004</v>
      </c>
      <c r="P66" s="1" t="s">
        <v>44</v>
      </c>
      <c r="Q66" s="1" t="s">
        <v>254</v>
      </c>
      <c r="R66" s="1" t="s">
        <v>46</v>
      </c>
      <c r="S66" s="7">
        <v>146.72999999999999</v>
      </c>
      <c r="T66" s="1">
        <v>9</v>
      </c>
      <c r="U66" s="9">
        <v>146.32</v>
      </c>
      <c r="V66" s="9">
        <v>1320.57</v>
      </c>
      <c r="W66" s="9">
        <v>1316.8799999999999</v>
      </c>
      <c r="X66" s="12">
        <v>3.6900000000000546</v>
      </c>
      <c r="Y66" s="10">
        <v>2016</v>
      </c>
    </row>
    <row r="67" spans="1:25">
      <c r="A67" s="1" t="s">
        <v>248</v>
      </c>
      <c r="B67" s="8">
        <v>42698</v>
      </c>
      <c r="C67" s="11" t="s">
        <v>3353</v>
      </c>
      <c r="D67" s="11" t="s">
        <v>3349</v>
      </c>
      <c r="E67" s="5" t="s">
        <v>249</v>
      </c>
      <c r="F67" s="1" t="s">
        <v>49</v>
      </c>
      <c r="G67" s="1" t="s">
        <v>250</v>
      </c>
      <c r="H67" s="1" t="s">
        <v>3412</v>
      </c>
      <c r="I67" s="1" t="s">
        <v>3413</v>
      </c>
      <c r="J67" s="1"/>
      <c r="K67" s="1" t="s">
        <v>29</v>
      </c>
      <c r="L67" s="1" t="s">
        <v>30</v>
      </c>
      <c r="M67" s="1" t="s">
        <v>42</v>
      </c>
      <c r="N67" s="1" t="s">
        <v>68</v>
      </c>
      <c r="O67" s="1">
        <v>90004</v>
      </c>
      <c r="P67" s="1" t="s">
        <v>44</v>
      </c>
      <c r="Q67" s="1" t="s">
        <v>255</v>
      </c>
      <c r="R67" s="1" t="s">
        <v>35</v>
      </c>
      <c r="S67" s="7">
        <v>79.760000000000005</v>
      </c>
      <c r="T67" s="1">
        <v>9</v>
      </c>
      <c r="U67" s="9">
        <v>79.56</v>
      </c>
      <c r="V67" s="9">
        <v>717.84</v>
      </c>
      <c r="W67" s="9">
        <v>716.04</v>
      </c>
      <c r="X67" s="12">
        <v>1.8000000000000682</v>
      </c>
      <c r="Y67" s="10">
        <v>2016</v>
      </c>
    </row>
    <row r="68" spans="1:25">
      <c r="A68" s="1" t="s">
        <v>256</v>
      </c>
      <c r="B68" s="8">
        <v>42490</v>
      </c>
      <c r="C68" s="11" t="s">
        <v>3359</v>
      </c>
      <c r="D68" s="11" t="s">
        <v>3360</v>
      </c>
      <c r="E68" s="5">
        <v>42495</v>
      </c>
      <c r="F68" s="1" t="s">
        <v>49</v>
      </c>
      <c r="G68" s="1" t="s">
        <v>257</v>
      </c>
      <c r="H68" s="1" t="s">
        <v>3414</v>
      </c>
      <c r="I68" s="1" t="s">
        <v>3415</v>
      </c>
      <c r="J68" s="1"/>
      <c r="K68" s="1" t="s">
        <v>87</v>
      </c>
      <c r="L68" s="1" t="s">
        <v>30</v>
      </c>
      <c r="M68" s="1" t="s">
        <v>259</v>
      </c>
      <c r="N68" s="1" t="s">
        <v>182</v>
      </c>
      <c r="O68" s="1">
        <v>60610</v>
      </c>
      <c r="P68" s="1" t="s">
        <v>90</v>
      </c>
      <c r="Q68" s="1" t="s">
        <v>260</v>
      </c>
      <c r="R68" s="1" t="s">
        <v>35</v>
      </c>
      <c r="S68" s="7">
        <v>213.11500000000001</v>
      </c>
      <c r="T68" s="1">
        <v>6</v>
      </c>
      <c r="U68" s="9">
        <v>212.69</v>
      </c>
      <c r="V68" s="9">
        <v>1278.69</v>
      </c>
      <c r="W68" s="9">
        <v>1276.1399999999999</v>
      </c>
      <c r="X68" s="12">
        <v>2.5500000000001819</v>
      </c>
      <c r="Y68" s="10">
        <v>2016</v>
      </c>
    </row>
    <row r="69" spans="1:25">
      <c r="A69" s="1" t="s">
        <v>261</v>
      </c>
      <c r="B69" s="8">
        <v>42136</v>
      </c>
      <c r="C69" s="11" t="s">
        <v>3363</v>
      </c>
      <c r="D69" s="11" t="s">
        <v>3360</v>
      </c>
      <c r="E69" s="5">
        <v>42289</v>
      </c>
      <c r="F69" s="1" t="s">
        <v>49</v>
      </c>
      <c r="G69" s="1" t="s">
        <v>262</v>
      </c>
      <c r="H69" s="1" t="s">
        <v>3416</v>
      </c>
      <c r="I69" s="1" t="s">
        <v>3417</v>
      </c>
      <c r="J69" s="1"/>
      <c r="K69" s="1" t="s">
        <v>41</v>
      </c>
      <c r="L69" s="1" t="s">
        <v>30</v>
      </c>
      <c r="M69" s="1" t="s">
        <v>264</v>
      </c>
      <c r="N69" s="1" t="s">
        <v>265</v>
      </c>
      <c r="O69" s="1">
        <v>85234</v>
      </c>
      <c r="P69" s="1" t="s">
        <v>44</v>
      </c>
      <c r="Q69" s="1" t="s">
        <v>266</v>
      </c>
      <c r="R69" s="1" t="s">
        <v>46</v>
      </c>
      <c r="S69" s="7">
        <v>1113.0239999999999</v>
      </c>
      <c r="T69" s="1">
        <v>8</v>
      </c>
      <c r="U69" s="9">
        <v>1112.23</v>
      </c>
      <c r="V69" s="9">
        <v>8904.1919999999991</v>
      </c>
      <c r="W69" s="9">
        <v>8897.84</v>
      </c>
      <c r="X69" s="12">
        <v>6.3519999999989523</v>
      </c>
      <c r="Y69" s="10">
        <v>2015</v>
      </c>
    </row>
    <row r="70" spans="1:25">
      <c r="A70" s="1" t="s">
        <v>261</v>
      </c>
      <c r="B70" s="8">
        <v>42136</v>
      </c>
      <c r="C70" s="11" t="s">
        <v>3363</v>
      </c>
      <c r="D70" s="11" t="s">
        <v>3360</v>
      </c>
      <c r="E70" s="5">
        <v>42289</v>
      </c>
      <c r="F70" s="1" t="s">
        <v>49</v>
      </c>
      <c r="G70" s="1" t="s">
        <v>262</v>
      </c>
      <c r="H70" s="1" t="s">
        <v>3416</v>
      </c>
      <c r="I70" s="1" t="s">
        <v>3417</v>
      </c>
      <c r="J70" s="1"/>
      <c r="K70" s="1" t="s">
        <v>41</v>
      </c>
      <c r="L70" s="1" t="s">
        <v>30</v>
      </c>
      <c r="M70" s="1" t="s">
        <v>264</v>
      </c>
      <c r="N70" s="1" t="s">
        <v>265</v>
      </c>
      <c r="O70" s="1">
        <v>85234</v>
      </c>
      <c r="P70" s="1" t="s">
        <v>44</v>
      </c>
      <c r="Q70" s="1" t="s">
        <v>267</v>
      </c>
      <c r="R70" s="1" t="s">
        <v>64</v>
      </c>
      <c r="S70" s="7">
        <v>167.96799999999999</v>
      </c>
      <c r="T70" s="1">
        <v>8</v>
      </c>
      <c r="U70" s="9">
        <v>167.14</v>
      </c>
      <c r="V70" s="9">
        <v>1343.7439999999999</v>
      </c>
      <c r="W70" s="9">
        <v>1337.12</v>
      </c>
      <c r="X70" s="12">
        <v>6.6240000000000236</v>
      </c>
      <c r="Y70" s="10">
        <v>2015</v>
      </c>
    </row>
    <row r="71" spans="1:25">
      <c r="A71" s="1" t="s">
        <v>268</v>
      </c>
      <c r="B71" s="8">
        <v>42831</v>
      </c>
      <c r="C71" s="11" t="s">
        <v>3359</v>
      </c>
      <c r="D71" s="11" t="s">
        <v>3360</v>
      </c>
      <c r="E71" s="5">
        <v>42892</v>
      </c>
      <c r="F71" s="1" t="s">
        <v>162</v>
      </c>
      <c r="G71" s="1" t="s">
        <v>269</v>
      </c>
      <c r="H71" s="1" t="s">
        <v>3418</v>
      </c>
      <c r="I71" s="1" t="s">
        <v>3419</v>
      </c>
      <c r="J71" s="1"/>
      <c r="K71" s="1" t="s">
        <v>29</v>
      </c>
      <c r="L71" s="1" t="s">
        <v>30</v>
      </c>
      <c r="M71" s="1" t="s">
        <v>271</v>
      </c>
      <c r="N71" s="1" t="s">
        <v>272</v>
      </c>
      <c r="O71" s="1">
        <v>22153</v>
      </c>
      <c r="P71" s="1" t="s">
        <v>33</v>
      </c>
      <c r="Q71" s="1" t="s">
        <v>273</v>
      </c>
      <c r="R71" s="1" t="s">
        <v>46</v>
      </c>
      <c r="S71" s="7">
        <v>75.88</v>
      </c>
      <c r="T71" s="1">
        <v>2</v>
      </c>
      <c r="U71" s="9">
        <v>74.930000000000007</v>
      </c>
      <c r="V71" s="9">
        <v>151.76</v>
      </c>
      <c r="W71" s="9">
        <v>149.86000000000001</v>
      </c>
      <c r="X71" s="12">
        <v>1.8999999999999773</v>
      </c>
      <c r="Y71" s="10">
        <v>2017</v>
      </c>
    </row>
    <row r="72" spans="1:25">
      <c r="A72" s="1" t="s">
        <v>274</v>
      </c>
      <c r="B72" s="8">
        <v>42996</v>
      </c>
      <c r="C72" s="11" t="s">
        <v>3356</v>
      </c>
      <c r="D72" s="11" t="s">
        <v>3345</v>
      </c>
      <c r="E72" s="5" t="s">
        <v>275</v>
      </c>
      <c r="F72" s="1" t="s">
        <v>49</v>
      </c>
      <c r="G72" s="1" t="s">
        <v>276</v>
      </c>
      <c r="H72" s="1" t="s">
        <v>3420</v>
      </c>
      <c r="I72" s="1" t="s">
        <v>3421</v>
      </c>
      <c r="J72" s="1"/>
      <c r="K72" s="1" t="s">
        <v>29</v>
      </c>
      <c r="L72" s="1" t="s">
        <v>30</v>
      </c>
      <c r="M72" s="1" t="s">
        <v>233</v>
      </c>
      <c r="N72" s="1" t="s">
        <v>234</v>
      </c>
      <c r="O72" s="1">
        <v>10009</v>
      </c>
      <c r="P72" s="1" t="s">
        <v>128</v>
      </c>
      <c r="Q72" s="1" t="s">
        <v>278</v>
      </c>
      <c r="R72" s="1" t="s">
        <v>46</v>
      </c>
      <c r="S72" s="7">
        <v>4.6159999999999997</v>
      </c>
      <c r="T72" s="1">
        <v>1</v>
      </c>
      <c r="U72" s="9">
        <v>3.87</v>
      </c>
      <c r="V72" s="9">
        <v>4.6159999999999997</v>
      </c>
      <c r="W72" s="9">
        <v>3.87</v>
      </c>
      <c r="X72" s="12">
        <v>0.74599999999999955</v>
      </c>
      <c r="Y72" s="10">
        <v>2017</v>
      </c>
    </row>
    <row r="73" spans="1:25">
      <c r="A73" s="1" t="s">
        <v>279</v>
      </c>
      <c r="B73" s="8">
        <v>43357</v>
      </c>
      <c r="C73" s="11" t="s">
        <v>3356</v>
      </c>
      <c r="D73" s="11" t="s">
        <v>3345</v>
      </c>
      <c r="E73" s="5" t="s">
        <v>280</v>
      </c>
      <c r="F73" s="1" t="s">
        <v>26</v>
      </c>
      <c r="G73" s="1" t="s">
        <v>143</v>
      </c>
      <c r="H73" s="1" t="s">
        <v>3385</v>
      </c>
      <c r="I73" s="1" t="s">
        <v>3386</v>
      </c>
      <c r="J73" s="1"/>
      <c r="K73" s="1" t="s">
        <v>29</v>
      </c>
      <c r="L73" s="1" t="s">
        <v>30</v>
      </c>
      <c r="M73" s="1" t="s">
        <v>281</v>
      </c>
      <c r="N73" s="1" t="s">
        <v>209</v>
      </c>
      <c r="O73" s="1">
        <v>49201</v>
      </c>
      <c r="P73" s="1" t="s">
        <v>90</v>
      </c>
      <c r="Q73" s="1" t="s">
        <v>282</v>
      </c>
      <c r="R73" s="1" t="s">
        <v>46</v>
      </c>
      <c r="S73" s="7">
        <v>19.05</v>
      </c>
      <c r="T73" s="1">
        <v>4</v>
      </c>
      <c r="U73" s="9">
        <v>18.79</v>
      </c>
      <c r="V73" s="9">
        <v>76.2</v>
      </c>
      <c r="W73" s="9">
        <v>75.16</v>
      </c>
      <c r="X73" s="12">
        <v>1.0400000000000063</v>
      </c>
      <c r="Y73" s="10">
        <v>2018</v>
      </c>
    </row>
    <row r="74" spans="1:25">
      <c r="A74" s="1" t="s">
        <v>283</v>
      </c>
      <c r="B74" s="8">
        <v>42486</v>
      </c>
      <c r="C74" s="11" t="s">
        <v>3359</v>
      </c>
      <c r="D74" s="11" t="s">
        <v>3360</v>
      </c>
      <c r="E74" s="5">
        <v>42405</v>
      </c>
      <c r="F74" s="1" t="s">
        <v>49</v>
      </c>
      <c r="G74" s="1" t="s">
        <v>284</v>
      </c>
      <c r="H74" s="1" t="s">
        <v>3422</v>
      </c>
      <c r="I74" s="1" t="s">
        <v>3423</v>
      </c>
      <c r="J74" s="1"/>
      <c r="K74" s="1" t="s">
        <v>29</v>
      </c>
      <c r="L74" s="1" t="s">
        <v>30</v>
      </c>
      <c r="M74" s="1" t="s">
        <v>286</v>
      </c>
      <c r="N74" s="1" t="s">
        <v>287</v>
      </c>
      <c r="O74" s="1">
        <v>38109</v>
      </c>
      <c r="P74" s="1" t="s">
        <v>33</v>
      </c>
      <c r="Q74" s="1" t="s">
        <v>288</v>
      </c>
      <c r="R74" s="1" t="s">
        <v>35</v>
      </c>
      <c r="S74" s="7">
        <v>831.93600000000004</v>
      </c>
      <c r="T74" s="1">
        <v>3</v>
      </c>
      <c r="U74" s="9">
        <v>831.72</v>
      </c>
      <c r="V74" s="9">
        <v>2495.808</v>
      </c>
      <c r="W74" s="9">
        <v>2495.16</v>
      </c>
      <c r="X74" s="12">
        <v>0.64800000000013824</v>
      </c>
      <c r="Y74" s="10">
        <v>2016</v>
      </c>
    </row>
    <row r="75" spans="1:25">
      <c r="A75" s="1" t="s">
        <v>283</v>
      </c>
      <c r="B75" s="8">
        <v>42486</v>
      </c>
      <c r="C75" s="11" t="s">
        <v>3359</v>
      </c>
      <c r="D75" s="11" t="s">
        <v>3360</v>
      </c>
      <c r="E75" s="5">
        <v>42405</v>
      </c>
      <c r="F75" s="1" t="s">
        <v>49</v>
      </c>
      <c r="G75" s="1" t="s">
        <v>284</v>
      </c>
      <c r="H75" s="1" t="s">
        <v>3422</v>
      </c>
      <c r="I75" s="1" t="s">
        <v>3423</v>
      </c>
      <c r="J75" s="1"/>
      <c r="K75" s="1" t="s">
        <v>29</v>
      </c>
      <c r="L75" s="1" t="s">
        <v>30</v>
      </c>
      <c r="M75" s="1" t="s">
        <v>286</v>
      </c>
      <c r="N75" s="1" t="s">
        <v>287</v>
      </c>
      <c r="O75" s="1">
        <v>38109</v>
      </c>
      <c r="P75" s="1" t="s">
        <v>33</v>
      </c>
      <c r="Q75" s="1" t="s">
        <v>289</v>
      </c>
      <c r="R75" s="1" t="s">
        <v>35</v>
      </c>
      <c r="S75" s="7">
        <v>97.04</v>
      </c>
      <c r="T75" s="1">
        <v>3</v>
      </c>
      <c r="U75" s="9">
        <v>96.98</v>
      </c>
      <c r="V75" s="9">
        <v>291.12</v>
      </c>
      <c r="W75" s="9">
        <v>290.94</v>
      </c>
      <c r="X75" s="12">
        <v>0.18000000000000682</v>
      </c>
      <c r="Y75" s="10">
        <v>2016</v>
      </c>
    </row>
    <row r="76" spans="1:25">
      <c r="A76" s="1" t="s">
        <v>283</v>
      </c>
      <c r="B76" s="8">
        <v>42486</v>
      </c>
      <c r="C76" s="11" t="s">
        <v>3359</v>
      </c>
      <c r="D76" s="11" t="s">
        <v>3360</v>
      </c>
      <c r="E76" s="5">
        <v>42405</v>
      </c>
      <c r="F76" s="1" t="s">
        <v>49</v>
      </c>
      <c r="G76" s="1" t="s">
        <v>284</v>
      </c>
      <c r="H76" s="1" t="s">
        <v>3422</v>
      </c>
      <c r="I76" s="1" t="s">
        <v>3423</v>
      </c>
      <c r="J76" s="1"/>
      <c r="K76" s="1" t="s">
        <v>29</v>
      </c>
      <c r="L76" s="1" t="s">
        <v>30</v>
      </c>
      <c r="M76" s="1" t="s">
        <v>286</v>
      </c>
      <c r="N76" s="1" t="s">
        <v>287</v>
      </c>
      <c r="O76" s="1">
        <v>38109</v>
      </c>
      <c r="P76" s="1" t="s">
        <v>33</v>
      </c>
      <c r="Q76" s="1" t="s">
        <v>290</v>
      </c>
      <c r="R76" s="1" t="s">
        <v>46</v>
      </c>
      <c r="S76" s="7">
        <v>72.784000000000006</v>
      </c>
      <c r="T76" s="1">
        <v>3</v>
      </c>
      <c r="U76" s="9">
        <v>72.569999999999993</v>
      </c>
      <c r="V76" s="9">
        <v>218.35200000000003</v>
      </c>
      <c r="W76" s="9">
        <v>217.70999999999998</v>
      </c>
      <c r="X76" s="12">
        <v>0.64200000000005275</v>
      </c>
      <c r="Y76" s="10">
        <v>2016</v>
      </c>
    </row>
    <row r="77" spans="1:25">
      <c r="A77" s="1" t="s">
        <v>291</v>
      </c>
      <c r="B77" s="8">
        <v>43355</v>
      </c>
      <c r="C77" s="11" t="s">
        <v>3356</v>
      </c>
      <c r="D77" s="11" t="s">
        <v>3345</v>
      </c>
      <c r="E77" s="5">
        <v>43416</v>
      </c>
      <c r="F77" s="1" t="s">
        <v>162</v>
      </c>
      <c r="G77" s="1" t="s">
        <v>292</v>
      </c>
      <c r="H77" s="1" t="s">
        <v>3374</v>
      </c>
      <c r="I77" s="1" t="s">
        <v>3424</v>
      </c>
      <c r="J77" s="1"/>
      <c r="K77" s="1" t="s">
        <v>41</v>
      </c>
      <c r="L77" s="1" t="s">
        <v>30</v>
      </c>
      <c r="M77" s="1" t="s">
        <v>172</v>
      </c>
      <c r="N77" s="1" t="s">
        <v>89</v>
      </c>
      <c r="O77" s="1">
        <v>77041</v>
      </c>
      <c r="P77" s="1" t="s">
        <v>90</v>
      </c>
      <c r="Q77" s="1" t="s">
        <v>294</v>
      </c>
      <c r="R77" s="1" t="s">
        <v>46</v>
      </c>
      <c r="S77" s="7">
        <v>1.248</v>
      </c>
      <c r="T77" s="1">
        <v>7</v>
      </c>
      <c r="U77" s="9">
        <v>0.33</v>
      </c>
      <c r="V77" s="9">
        <v>8.7360000000000007</v>
      </c>
      <c r="W77" s="9">
        <v>2.31</v>
      </c>
      <c r="X77" s="12">
        <v>6.4260000000000002</v>
      </c>
      <c r="Y77" s="10">
        <v>2018</v>
      </c>
    </row>
    <row r="78" spans="1:25">
      <c r="A78" s="1" t="s">
        <v>291</v>
      </c>
      <c r="B78" s="8">
        <v>43355</v>
      </c>
      <c r="C78" s="11" t="s">
        <v>3356</v>
      </c>
      <c r="D78" s="11" t="s">
        <v>3345</v>
      </c>
      <c r="E78" s="5">
        <v>43416</v>
      </c>
      <c r="F78" s="1" t="s">
        <v>162</v>
      </c>
      <c r="G78" s="1" t="s">
        <v>292</v>
      </c>
      <c r="H78" s="1" t="s">
        <v>3374</v>
      </c>
      <c r="I78" s="1" t="s">
        <v>3424</v>
      </c>
      <c r="J78" s="1"/>
      <c r="K78" s="1" t="s">
        <v>41</v>
      </c>
      <c r="L78" s="1" t="s">
        <v>30</v>
      </c>
      <c r="M78" s="1" t="s">
        <v>172</v>
      </c>
      <c r="N78" s="1" t="s">
        <v>89</v>
      </c>
      <c r="O78" s="1">
        <v>77041</v>
      </c>
      <c r="P78" s="1" t="s">
        <v>90</v>
      </c>
      <c r="Q78" s="1" t="s">
        <v>295</v>
      </c>
      <c r="R78" s="1" t="s">
        <v>35</v>
      </c>
      <c r="S78" s="7">
        <v>9.7080000000000002</v>
      </c>
      <c r="T78" s="1">
        <v>7</v>
      </c>
      <c r="U78" s="9">
        <v>8.8800000000000008</v>
      </c>
      <c r="V78" s="9">
        <v>67.956000000000003</v>
      </c>
      <c r="W78" s="9">
        <v>62.160000000000004</v>
      </c>
      <c r="X78" s="12">
        <v>5.7959999999999994</v>
      </c>
      <c r="Y78" s="10">
        <v>2018</v>
      </c>
    </row>
    <row r="79" spans="1:25">
      <c r="A79" s="1" t="s">
        <v>291</v>
      </c>
      <c r="B79" s="8">
        <v>43355</v>
      </c>
      <c r="C79" s="11" t="s">
        <v>3356</v>
      </c>
      <c r="D79" s="11" t="s">
        <v>3345</v>
      </c>
      <c r="E79" s="5">
        <v>43416</v>
      </c>
      <c r="F79" s="1" t="s">
        <v>162</v>
      </c>
      <c r="G79" s="1" t="s">
        <v>292</v>
      </c>
      <c r="H79" s="1" t="s">
        <v>3374</v>
      </c>
      <c r="I79" s="1" t="s">
        <v>3424</v>
      </c>
      <c r="J79" s="1"/>
      <c r="K79" s="1" t="s">
        <v>41</v>
      </c>
      <c r="L79" s="1" t="s">
        <v>30</v>
      </c>
      <c r="M79" s="1" t="s">
        <v>172</v>
      </c>
      <c r="N79" s="1" t="s">
        <v>89</v>
      </c>
      <c r="O79" s="1">
        <v>77041</v>
      </c>
      <c r="P79" s="1" t="s">
        <v>90</v>
      </c>
      <c r="Q79" s="1" t="s">
        <v>296</v>
      </c>
      <c r="R79" s="1" t="s">
        <v>46</v>
      </c>
      <c r="S79" s="7">
        <v>27.24</v>
      </c>
      <c r="T79" s="1">
        <v>7</v>
      </c>
      <c r="U79" s="9">
        <v>26.58</v>
      </c>
      <c r="V79" s="9">
        <v>190.67999999999998</v>
      </c>
      <c r="W79" s="9">
        <v>186.06</v>
      </c>
      <c r="X79" s="12">
        <v>4.6199999999999761</v>
      </c>
      <c r="Y79" s="10">
        <v>2018</v>
      </c>
    </row>
    <row r="80" spans="1:25">
      <c r="A80" s="1" t="s">
        <v>297</v>
      </c>
      <c r="B80" s="8">
        <v>42334</v>
      </c>
      <c r="C80" s="11" t="s">
        <v>3353</v>
      </c>
      <c r="D80" s="11" t="s">
        <v>3349</v>
      </c>
      <c r="E80" s="5">
        <v>42016</v>
      </c>
      <c r="F80" s="1" t="s">
        <v>26</v>
      </c>
      <c r="G80" s="1" t="s">
        <v>284</v>
      </c>
      <c r="H80" s="1" t="s">
        <v>3422</v>
      </c>
      <c r="I80" s="1" t="s">
        <v>3423</v>
      </c>
      <c r="J80" s="1"/>
      <c r="K80" s="1" t="s">
        <v>29</v>
      </c>
      <c r="L80" s="1" t="s">
        <v>30</v>
      </c>
      <c r="M80" s="1" t="s">
        <v>172</v>
      </c>
      <c r="N80" s="1" t="s">
        <v>89</v>
      </c>
      <c r="O80" s="1">
        <v>77070</v>
      </c>
      <c r="P80" s="1" t="s">
        <v>90</v>
      </c>
      <c r="Q80" s="1" t="s">
        <v>298</v>
      </c>
      <c r="R80" s="1" t="s">
        <v>35</v>
      </c>
      <c r="S80" s="7">
        <v>19.3</v>
      </c>
      <c r="T80" s="1">
        <v>7</v>
      </c>
      <c r="U80" s="9">
        <v>18.649999999999999</v>
      </c>
      <c r="V80" s="9">
        <v>135.1</v>
      </c>
      <c r="W80" s="9">
        <v>130.54999999999998</v>
      </c>
      <c r="X80" s="12">
        <v>4.5500000000000114</v>
      </c>
      <c r="Y80" s="10">
        <v>2015</v>
      </c>
    </row>
    <row r="81" spans="1:25">
      <c r="A81" s="1" t="s">
        <v>299</v>
      </c>
      <c r="B81" s="8">
        <v>43075</v>
      </c>
      <c r="C81" s="11" t="s">
        <v>3348</v>
      </c>
      <c r="D81" s="11" t="s">
        <v>3349</v>
      </c>
      <c r="E81" s="5" t="s">
        <v>300</v>
      </c>
      <c r="F81" s="1" t="s">
        <v>162</v>
      </c>
      <c r="G81" s="1" t="s">
        <v>301</v>
      </c>
      <c r="H81" s="1" t="s">
        <v>3425</v>
      </c>
      <c r="I81" s="1" t="s">
        <v>3426</v>
      </c>
      <c r="J81" s="1"/>
      <c r="K81" s="1" t="s">
        <v>41</v>
      </c>
      <c r="L81" s="1" t="s">
        <v>30</v>
      </c>
      <c r="M81" s="1" t="s">
        <v>303</v>
      </c>
      <c r="N81" s="1" t="s">
        <v>304</v>
      </c>
      <c r="O81" s="1">
        <v>35601</v>
      </c>
      <c r="P81" s="1" t="s">
        <v>33</v>
      </c>
      <c r="Q81" s="1" t="s">
        <v>305</v>
      </c>
      <c r="R81" s="1" t="s">
        <v>46</v>
      </c>
      <c r="S81" s="7">
        <v>208.16</v>
      </c>
      <c r="T81" s="1">
        <v>3</v>
      </c>
      <c r="U81" s="9">
        <v>208.11</v>
      </c>
      <c r="V81" s="9">
        <v>624.48</v>
      </c>
      <c r="W81" s="9">
        <v>624.33000000000004</v>
      </c>
      <c r="X81" s="12">
        <v>0.14999999999997726</v>
      </c>
      <c r="Y81" s="10">
        <v>2017</v>
      </c>
    </row>
    <row r="82" spans="1:25">
      <c r="A82" s="1" t="s">
        <v>299</v>
      </c>
      <c r="B82" s="8">
        <v>43075</v>
      </c>
      <c r="C82" s="11" t="s">
        <v>3348</v>
      </c>
      <c r="D82" s="11" t="s">
        <v>3349</v>
      </c>
      <c r="E82" s="5" t="s">
        <v>300</v>
      </c>
      <c r="F82" s="1" t="s">
        <v>162</v>
      </c>
      <c r="G82" s="1" t="s">
        <v>301</v>
      </c>
      <c r="H82" s="1" t="s">
        <v>3425</v>
      </c>
      <c r="I82" s="1" t="s">
        <v>3426</v>
      </c>
      <c r="J82" s="1"/>
      <c r="K82" s="1" t="s">
        <v>41</v>
      </c>
      <c r="L82" s="1" t="s">
        <v>30</v>
      </c>
      <c r="M82" s="1" t="s">
        <v>303</v>
      </c>
      <c r="N82" s="1" t="s">
        <v>304</v>
      </c>
      <c r="O82" s="1">
        <v>35601</v>
      </c>
      <c r="P82" s="1" t="s">
        <v>33</v>
      </c>
      <c r="Q82" s="1" t="s">
        <v>306</v>
      </c>
      <c r="R82" s="1" t="s">
        <v>46</v>
      </c>
      <c r="S82" s="7">
        <v>16.739999999999998</v>
      </c>
      <c r="T82" s="1">
        <v>3</v>
      </c>
      <c r="U82" s="9">
        <v>16.28</v>
      </c>
      <c r="V82" s="9">
        <v>50.22</v>
      </c>
      <c r="W82" s="9">
        <v>48.84</v>
      </c>
      <c r="X82" s="12">
        <v>1.3799999999999955</v>
      </c>
      <c r="Y82" s="10">
        <v>2017</v>
      </c>
    </row>
    <row r="83" spans="1:25">
      <c r="A83" s="1" t="s">
        <v>307</v>
      </c>
      <c r="B83" s="8">
        <v>42348</v>
      </c>
      <c r="C83" s="11" t="s">
        <v>3348</v>
      </c>
      <c r="D83" s="11" t="s">
        <v>3349</v>
      </c>
      <c r="E83" s="5" t="s">
        <v>308</v>
      </c>
      <c r="F83" s="1" t="s">
        <v>49</v>
      </c>
      <c r="G83" s="1" t="s">
        <v>309</v>
      </c>
      <c r="H83" s="1" t="s">
        <v>3427</v>
      </c>
      <c r="I83" s="1" t="s">
        <v>3428</v>
      </c>
      <c r="J83" s="1"/>
      <c r="K83" s="1" t="s">
        <v>29</v>
      </c>
      <c r="L83" s="1" t="s">
        <v>30</v>
      </c>
      <c r="M83" s="1" t="s">
        <v>110</v>
      </c>
      <c r="N83" s="1" t="s">
        <v>68</v>
      </c>
      <c r="O83" s="1">
        <v>94122</v>
      </c>
      <c r="P83" s="1" t="s">
        <v>44</v>
      </c>
      <c r="Q83" s="1" t="s">
        <v>311</v>
      </c>
      <c r="R83" s="1" t="s">
        <v>46</v>
      </c>
      <c r="S83" s="7">
        <v>14.9</v>
      </c>
      <c r="T83" s="1">
        <v>9</v>
      </c>
      <c r="U83" s="9">
        <v>14.61</v>
      </c>
      <c r="V83" s="9">
        <v>134.1</v>
      </c>
      <c r="W83" s="9">
        <v>131.49</v>
      </c>
      <c r="X83" s="12">
        <v>2.6099999999999852</v>
      </c>
      <c r="Y83" s="10">
        <v>2015</v>
      </c>
    </row>
    <row r="84" spans="1:25">
      <c r="A84" s="1" t="s">
        <v>307</v>
      </c>
      <c r="B84" s="8">
        <v>42348</v>
      </c>
      <c r="C84" s="11" t="s">
        <v>3348</v>
      </c>
      <c r="D84" s="11" t="s">
        <v>3349</v>
      </c>
      <c r="E84" s="5" t="s">
        <v>308</v>
      </c>
      <c r="F84" s="1" t="s">
        <v>49</v>
      </c>
      <c r="G84" s="1" t="s">
        <v>309</v>
      </c>
      <c r="H84" s="1" t="s">
        <v>3427</v>
      </c>
      <c r="I84" s="1" t="s">
        <v>3428</v>
      </c>
      <c r="J84" s="1"/>
      <c r="K84" s="1" t="s">
        <v>29</v>
      </c>
      <c r="L84" s="1" t="s">
        <v>30</v>
      </c>
      <c r="M84" s="1" t="s">
        <v>110</v>
      </c>
      <c r="N84" s="1" t="s">
        <v>68</v>
      </c>
      <c r="O84" s="1">
        <v>94122</v>
      </c>
      <c r="P84" s="1" t="s">
        <v>44</v>
      </c>
      <c r="Q84" s="1" t="s">
        <v>312</v>
      </c>
      <c r="R84" s="1" t="s">
        <v>46</v>
      </c>
      <c r="S84" s="7">
        <v>21.39</v>
      </c>
      <c r="T84" s="1">
        <v>9</v>
      </c>
      <c r="U84" s="9">
        <v>20.68</v>
      </c>
      <c r="V84" s="9">
        <v>192.51</v>
      </c>
      <c r="W84" s="9">
        <v>186.12</v>
      </c>
      <c r="X84" s="12">
        <v>6.3899999999999864</v>
      </c>
      <c r="Y84" s="10">
        <v>2015</v>
      </c>
    </row>
    <row r="85" spans="1:25">
      <c r="A85" s="1" t="s">
        <v>313</v>
      </c>
      <c r="B85" s="8">
        <v>42438</v>
      </c>
      <c r="C85" s="11" t="s">
        <v>3429</v>
      </c>
      <c r="D85" s="11" t="s">
        <v>3382</v>
      </c>
      <c r="E85" s="5">
        <v>42591</v>
      </c>
      <c r="F85" s="1" t="s">
        <v>49</v>
      </c>
      <c r="G85" s="1" t="s">
        <v>314</v>
      </c>
      <c r="H85" s="1" t="s">
        <v>3430</v>
      </c>
      <c r="I85" s="1" t="s">
        <v>3431</v>
      </c>
      <c r="J85" s="1"/>
      <c r="K85" s="1" t="s">
        <v>41</v>
      </c>
      <c r="L85" s="1" t="s">
        <v>30</v>
      </c>
      <c r="M85" s="1" t="s">
        <v>316</v>
      </c>
      <c r="N85" s="1" t="s">
        <v>75</v>
      </c>
      <c r="O85" s="1">
        <v>27707</v>
      </c>
      <c r="P85" s="1" t="s">
        <v>33</v>
      </c>
      <c r="Q85" s="1" t="s">
        <v>317</v>
      </c>
      <c r="R85" s="1" t="s">
        <v>46</v>
      </c>
      <c r="S85" s="7">
        <v>200.98400000000001</v>
      </c>
      <c r="T85" s="1">
        <v>2</v>
      </c>
      <c r="U85" s="9">
        <v>200.44</v>
      </c>
      <c r="V85" s="9">
        <v>401.96800000000002</v>
      </c>
      <c r="W85" s="9">
        <v>400.88</v>
      </c>
      <c r="X85" s="12">
        <v>1.0880000000000223</v>
      </c>
      <c r="Y85" s="10">
        <v>2016</v>
      </c>
    </row>
    <row r="86" spans="1:25">
      <c r="A86" s="1" t="s">
        <v>318</v>
      </c>
      <c r="B86" s="8">
        <v>43417</v>
      </c>
      <c r="C86" s="11" t="s">
        <v>3353</v>
      </c>
      <c r="D86" s="11" t="s">
        <v>3349</v>
      </c>
      <c r="E86" s="5" t="s">
        <v>319</v>
      </c>
      <c r="F86" s="1" t="s">
        <v>162</v>
      </c>
      <c r="G86" s="1" t="s">
        <v>320</v>
      </c>
      <c r="H86" s="1" t="s">
        <v>3432</v>
      </c>
      <c r="I86" s="1" t="s">
        <v>3433</v>
      </c>
      <c r="J86" s="1"/>
      <c r="K86" s="1" t="s">
        <v>87</v>
      </c>
      <c r="L86" s="1" t="s">
        <v>30</v>
      </c>
      <c r="M86" s="1" t="s">
        <v>259</v>
      </c>
      <c r="N86" s="1" t="s">
        <v>182</v>
      </c>
      <c r="O86" s="1">
        <v>60623</v>
      </c>
      <c r="P86" s="1" t="s">
        <v>90</v>
      </c>
      <c r="Q86" s="1" t="s">
        <v>322</v>
      </c>
      <c r="R86" s="1" t="s">
        <v>46</v>
      </c>
      <c r="S86" s="7">
        <v>230.376</v>
      </c>
      <c r="T86" s="1">
        <v>6</v>
      </c>
      <c r="U86" s="9">
        <v>229.82</v>
      </c>
      <c r="V86" s="9">
        <v>1382.2560000000001</v>
      </c>
      <c r="W86" s="9">
        <v>1378.92</v>
      </c>
      <c r="X86" s="12">
        <v>3.3360000000000127</v>
      </c>
      <c r="Y86" s="10">
        <v>2018</v>
      </c>
    </row>
    <row r="87" spans="1:25">
      <c r="A87" s="1" t="s">
        <v>323</v>
      </c>
      <c r="B87" s="8">
        <v>43248</v>
      </c>
      <c r="C87" s="11" t="s">
        <v>3363</v>
      </c>
      <c r="D87" s="11" t="s">
        <v>3360</v>
      </c>
      <c r="E87" s="5" t="s">
        <v>324</v>
      </c>
      <c r="F87" s="1" t="s">
        <v>26</v>
      </c>
      <c r="G87" s="1" t="s">
        <v>206</v>
      </c>
      <c r="H87" s="1" t="s">
        <v>3402</v>
      </c>
      <c r="I87" s="1" t="s">
        <v>3355</v>
      </c>
      <c r="J87" s="1"/>
      <c r="K87" s="1" t="s">
        <v>29</v>
      </c>
      <c r="L87" s="1" t="s">
        <v>30</v>
      </c>
      <c r="M87" s="1" t="s">
        <v>325</v>
      </c>
      <c r="N87" s="1" t="s">
        <v>326</v>
      </c>
      <c r="O87" s="1">
        <v>29203</v>
      </c>
      <c r="P87" s="1" t="s">
        <v>33</v>
      </c>
      <c r="Q87" s="1" t="s">
        <v>327</v>
      </c>
      <c r="R87" s="1" t="s">
        <v>35</v>
      </c>
      <c r="S87" s="7">
        <v>301.95999999999998</v>
      </c>
      <c r="T87" s="1">
        <v>2</v>
      </c>
      <c r="U87" s="9">
        <v>301.07</v>
      </c>
      <c r="V87" s="9">
        <v>603.91999999999996</v>
      </c>
      <c r="W87" s="9">
        <v>602.14</v>
      </c>
      <c r="X87" s="12">
        <v>1.7799999999999727</v>
      </c>
      <c r="Y87" s="10">
        <v>2018</v>
      </c>
    </row>
    <row r="88" spans="1:25">
      <c r="A88" s="1" t="s">
        <v>328</v>
      </c>
      <c r="B88" s="8">
        <v>43399</v>
      </c>
      <c r="C88" s="11" t="s">
        <v>3387</v>
      </c>
      <c r="D88" s="11" t="s">
        <v>3349</v>
      </c>
      <c r="E88" s="5">
        <v>43142</v>
      </c>
      <c r="F88" s="1" t="s">
        <v>49</v>
      </c>
      <c r="G88" s="1" t="s">
        <v>329</v>
      </c>
      <c r="H88" s="1" t="s">
        <v>3414</v>
      </c>
      <c r="I88" s="1" t="s">
        <v>3434</v>
      </c>
      <c r="J88" s="1"/>
      <c r="K88" s="1" t="s">
        <v>29</v>
      </c>
      <c r="L88" s="1" t="s">
        <v>30</v>
      </c>
      <c r="M88" s="1" t="s">
        <v>331</v>
      </c>
      <c r="N88" s="1" t="s">
        <v>201</v>
      </c>
      <c r="O88" s="1">
        <v>55901</v>
      </c>
      <c r="P88" s="1" t="s">
        <v>90</v>
      </c>
      <c r="Q88" s="1" t="s">
        <v>332</v>
      </c>
      <c r="R88" s="1" t="s">
        <v>64</v>
      </c>
      <c r="S88" s="7">
        <v>19.989999999999998</v>
      </c>
      <c r="T88" s="1">
        <v>5</v>
      </c>
      <c r="U88" s="9">
        <v>19.77</v>
      </c>
      <c r="V88" s="9">
        <v>99.949999999999989</v>
      </c>
      <c r="W88" s="9">
        <v>98.85</v>
      </c>
      <c r="X88" s="12">
        <v>1.0999999999999943</v>
      </c>
      <c r="Y88" s="10">
        <v>2018</v>
      </c>
    </row>
    <row r="89" spans="1:25">
      <c r="A89" s="1" t="s">
        <v>328</v>
      </c>
      <c r="B89" s="8">
        <v>43399</v>
      </c>
      <c r="C89" s="11" t="s">
        <v>3387</v>
      </c>
      <c r="D89" s="11" t="s">
        <v>3349</v>
      </c>
      <c r="E89" s="5">
        <v>43142</v>
      </c>
      <c r="F89" s="1" t="s">
        <v>49</v>
      </c>
      <c r="G89" s="1" t="s">
        <v>329</v>
      </c>
      <c r="H89" s="1" t="s">
        <v>3414</v>
      </c>
      <c r="I89" s="1" t="s">
        <v>3434</v>
      </c>
      <c r="J89" s="1"/>
      <c r="K89" s="1" t="s">
        <v>29</v>
      </c>
      <c r="L89" s="1" t="s">
        <v>30</v>
      </c>
      <c r="M89" s="1" t="s">
        <v>331</v>
      </c>
      <c r="N89" s="1" t="s">
        <v>201</v>
      </c>
      <c r="O89" s="1">
        <v>55901</v>
      </c>
      <c r="P89" s="1" t="s">
        <v>90</v>
      </c>
      <c r="Q89" s="1" t="s">
        <v>333</v>
      </c>
      <c r="R89" s="1" t="s">
        <v>46</v>
      </c>
      <c r="S89" s="7">
        <v>6.16</v>
      </c>
      <c r="T89" s="1">
        <v>5</v>
      </c>
      <c r="U89" s="9">
        <v>5.27</v>
      </c>
      <c r="V89" s="9">
        <v>30.8</v>
      </c>
      <c r="W89" s="9">
        <v>26.349999999999998</v>
      </c>
      <c r="X89" s="12">
        <v>4.4500000000000028</v>
      </c>
      <c r="Y89" s="10">
        <v>2018</v>
      </c>
    </row>
    <row r="90" spans="1:25">
      <c r="A90" s="1" t="s">
        <v>334</v>
      </c>
      <c r="B90" s="8">
        <v>42859</v>
      </c>
      <c r="C90" s="11" t="s">
        <v>3363</v>
      </c>
      <c r="D90" s="11" t="s">
        <v>3360</v>
      </c>
      <c r="E90" s="5">
        <v>43012</v>
      </c>
      <c r="F90" s="1" t="s">
        <v>26</v>
      </c>
      <c r="G90" s="1" t="s">
        <v>335</v>
      </c>
      <c r="H90" s="1" t="s">
        <v>3435</v>
      </c>
      <c r="I90" s="1" t="s">
        <v>3436</v>
      </c>
      <c r="J90" s="1"/>
      <c r="K90" s="1" t="s">
        <v>87</v>
      </c>
      <c r="L90" s="1" t="s">
        <v>30</v>
      </c>
      <c r="M90" s="1" t="s">
        <v>172</v>
      </c>
      <c r="N90" s="1" t="s">
        <v>89</v>
      </c>
      <c r="O90" s="1">
        <v>77095</v>
      </c>
      <c r="P90" s="1" t="s">
        <v>90</v>
      </c>
      <c r="Q90" s="1" t="s">
        <v>337</v>
      </c>
      <c r="R90" s="1" t="s">
        <v>46</v>
      </c>
      <c r="S90" s="7">
        <v>158.36799999999999</v>
      </c>
      <c r="T90" s="1">
        <v>7</v>
      </c>
      <c r="U90" s="9">
        <v>158.13</v>
      </c>
      <c r="V90" s="9">
        <v>1108.576</v>
      </c>
      <c r="W90" s="9">
        <v>1106.9099999999999</v>
      </c>
      <c r="X90" s="12">
        <v>1.6660000000001673</v>
      </c>
      <c r="Y90" s="10">
        <v>2017</v>
      </c>
    </row>
    <row r="91" spans="1:25">
      <c r="A91" s="1" t="s">
        <v>338</v>
      </c>
      <c r="B91" s="8">
        <v>42995</v>
      </c>
      <c r="C91" s="11" t="s">
        <v>3356</v>
      </c>
      <c r="D91" s="11" t="s">
        <v>3345</v>
      </c>
      <c r="E91" s="5" t="s">
        <v>339</v>
      </c>
      <c r="F91" s="1" t="s">
        <v>49</v>
      </c>
      <c r="G91" s="1" t="s">
        <v>340</v>
      </c>
      <c r="H91" s="1" t="s">
        <v>3437</v>
      </c>
      <c r="I91" s="1" t="s">
        <v>3438</v>
      </c>
      <c r="J91" s="1"/>
      <c r="K91" s="1" t="s">
        <v>41</v>
      </c>
      <c r="L91" s="1" t="s">
        <v>30</v>
      </c>
      <c r="M91" s="1" t="s">
        <v>42</v>
      </c>
      <c r="N91" s="1" t="s">
        <v>68</v>
      </c>
      <c r="O91" s="1">
        <v>90036</v>
      </c>
      <c r="P91" s="1" t="s">
        <v>44</v>
      </c>
      <c r="Q91" s="1" t="s">
        <v>342</v>
      </c>
      <c r="R91" s="1" t="s">
        <v>46</v>
      </c>
      <c r="S91" s="7">
        <v>20.100000000000001</v>
      </c>
      <c r="T91" s="1">
        <v>9</v>
      </c>
      <c r="U91" s="9">
        <v>19.41</v>
      </c>
      <c r="V91" s="9">
        <v>180.9</v>
      </c>
      <c r="W91" s="9">
        <v>174.69</v>
      </c>
      <c r="X91" s="12">
        <v>6.210000000000008</v>
      </c>
      <c r="Y91" s="10">
        <v>2017</v>
      </c>
    </row>
    <row r="92" spans="1:25">
      <c r="A92" s="1" t="s">
        <v>338</v>
      </c>
      <c r="B92" s="8">
        <v>42995</v>
      </c>
      <c r="C92" s="11" t="s">
        <v>3356</v>
      </c>
      <c r="D92" s="11" t="s">
        <v>3345</v>
      </c>
      <c r="E92" s="5" t="s">
        <v>339</v>
      </c>
      <c r="F92" s="1" t="s">
        <v>49</v>
      </c>
      <c r="G92" s="1" t="s">
        <v>340</v>
      </c>
      <c r="H92" s="1" t="s">
        <v>3437</v>
      </c>
      <c r="I92" s="1" t="s">
        <v>3438</v>
      </c>
      <c r="J92" s="1"/>
      <c r="K92" s="1" t="s">
        <v>41</v>
      </c>
      <c r="L92" s="1" t="s">
        <v>30</v>
      </c>
      <c r="M92" s="1" t="s">
        <v>42</v>
      </c>
      <c r="N92" s="1" t="s">
        <v>68</v>
      </c>
      <c r="O92" s="1">
        <v>90036</v>
      </c>
      <c r="P92" s="1" t="s">
        <v>44</v>
      </c>
      <c r="Q92" s="1" t="s">
        <v>183</v>
      </c>
      <c r="R92" s="1" t="s">
        <v>64</v>
      </c>
      <c r="S92" s="7">
        <v>73.584000000000003</v>
      </c>
      <c r="T92" s="1">
        <v>9</v>
      </c>
      <c r="U92" s="9">
        <v>73.53</v>
      </c>
      <c r="V92" s="9">
        <v>662.25600000000009</v>
      </c>
      <c r="W92" s="9">
        <v>661.77</v>
      </c>
      <c r="X92" s="12">
        <v>0.48600000000010368</v>
      </c>
      <c r="Y92" s="10">
        <v>2017</v>
      </c>
    </row>
    <row r="93" spans="1:25">
      <c r="A93" s="1" t="s">
        <v>338</v>
      </c>
      <c r="B93" s="8">
        <v>42995</v>
      </c>
      <c r="C93" s="11" t="s">
        <v>3356</v>
      </c>
      <c r="D93" s="11" t="s">
        <v>3345</v>
      </c>
      <c r="E93" s="5" t="s">
        <v>339</v>
      </c>
      <c r="F93" s="1" t="s">
        <v>49</v>
      </c>
      <c r="G93" s="1" t="s">
        <v>340</v>
      </c>
      <c r="H93" s="1" t="s">
        <v>3437</v>
      </c>
      <c r="I93" s="1" t="s">
        <v>3438</v>
      </c>
      <c r="J93" s="1"/>
      <c r="K93" s="1" t="s">
        <v>41</v>
      </c>
      <c r="L93" s="1" t="s">
        <v>30</v>
      </c>
      <c r="M93" s="1" t="s">
        <v>42</v>
      </c>
      <c r="N93" s="1" t="s">
        <v>68</v>
      </c>
      <c r="O93" s="1">
        <v>90036</v>
      </c>
      <c r="P93" s="1" t="s">
        <v>44</v>
      </c>
      <c r="Q93" s="1" t="s">
        <v>343</v>
      </c>
      <c r="R93" s="1" t="s">
        <v>46</v>
      </c>
      <c r="S93" s="7">
        <v>6.48</v>
      </c>
      <c r="T93" s="1">
        <v>9</v>
      </c>
      <c r="U93" s="9">
        <v>6.27</v>
      </c>
      <c r="V93" s="9">
        <v>58.320000000000007</v>
      </c>
      <c r="W93" s="9">
        <v>56.429999999999993</v>
      </c>
      <c r="X93" s="12">
        <v>1.8900000000000148</v>
      </c>
      <c r="Y93" s="10">
        <v>2017</v>
      </c>
    </row>
    <row r="94" spans="1:25">
      <c r="A94" s="1" t="s">
        <v>344</v>
      </c>
      <c r="B94" s="8">
        <v>42400</v>
      </c>
      <c r="C94" s="11" t="s">
        <v>3381</v>
      </c>
      <c r="D94" s="11" t="s">
        <v>3382</v>
      </c>
      <c r="E94" s="5">
        <v>42492</v>
      </c>
      <c r="F94" s="1" t="s">
        <v>26</v>
      </c>
      <c r="G94" s="1" t="s">
        <v>345</v>
      </c>
      <c r="H94" s="1" t="s">
        <v>3439</v>
      </c>
      <c r="I94" s="1" t="s">
        <v>3440</v>
      </c>
      <c r="J94" s="1"/>
      <c r="K94" s="1" t="s">
        <v>29</v>
      </c>
      <c r="L94" s="1" t="s">
        <v>30</v>
      </c>
      <c r="M94" s="1" t="s">
        <v>347</v>
      </c>
      <c r="N94" s="1" t="s">
        <v>201</v>
      </c>
      <c r="O94" s="1">
        <v>55407</v>
      </c>
      <c r="P94" s="1" t="s">
        <v>90</v>
      </c>
      <c r="Q94" s="1" t="s">
        <v>348</v>
      </c>
      <c r="R94" s="1" t="s">
        <v>46</v>
      </c>
      <c r="S94" s="7">
        <v>12.96</v>
      </c>
      <c r="T94" s="1">
        <v>5</v>
      </c>
      <c r="U94" s="9">
        <v>12.69</v>
      </c>
      <c r="V94" s="9">
        <v>64.800000000000011</v>
      </c>
      <c r="W94" s="9">
        <v>63.449999999999996</v>
      </c>
      <c r="X94" s="12">
        <v>1.3500000000000156</v>
      </c>
      <c r="Y94" s="10">
        <v>2016</v>
      </c>
    </row>
    <row r="95" spans="1:25">
      <c r="A95" s="1" t="s">
        <v>344</v>
      </c>
      <c r="B95" s="8">
        <v>42400</v>
      </c>
      <c r="C95" s="11" t="s">
        <v>3381</v>
      </c>
      <c r="D95" s="11" t="s">
        <v>3382</v>
      </c>
      <c r="E95" s="5">
        <v>42492</v>
      </c>
      <c r="F95" s="1" t="s">
        <v>26</v>
      </c>
      <c r="G95" s="1" t="s">
        <v>345</v>
      </c>
      <c r="H95" s="1" t="s">
        <v>3439</v>
      </c>
      <c r="I95" s="1" t="s">
        <v>3440</v>
      </c>
      <c r="J95" s="1"/>
      <c r="K95" s="1" t="s">
        <v>29</v>
      </c>
      <c r="L95" s="1" t="s">
        <v>30</v>
      </c>
      <c r="M95" s="1" t="s">
        <v>347</v>
      </c>
      <c r="N95" s="1" t="s">
        <v>201</v>
      </c>
      <c r="O95" s="1">
        <v>55407</v>
      </c>
      <c r="P95" s="1" t="s">
        <v>90</v>
      </c>
      <c r="Q95" s="1" t="s">
        <v>349</v>
      </c>
      <c r="R95" s="1" t="s">
        <v>35</v>
      </c>
      <c r="S95" s="7">
        <v>53.34</v>
      </c>
      <c r="T95" s="1">
        <v>5</v>
      </c>
      <c r="U95" s="9">
        <v>53.3</v>
      </c>
      <c r="V95" s="9">
        <v>266.70000000000005</v>
      </c>
      <c r="W95" s="9">
        <v>266.5</v>
      </c>
      <c r="X95" s="12">
        <v>0.20000000000004547</v>
      </c>
      <c r="Y95" s="10">
        <v>2016</v>
      </c>
    </row>
    <row r="96" spans="1:25">
      <c r="A96" s="1" t="s">
        <v>344</v>
      </c>
      <c r="B96" s="8">
        <v>42400</v>
      </c>
      <c r="C96" s="11" t="s">
        <v>3381</v>
      </c>
      <c r="D96" s="11" t="s">
        <v>3382</v>
      </c>
      <c r="E96" s="5">
        <v>42492</v>
      </c>
      <c r="F96" s="1" t="s">
        <v>26</v>
      </c>
      <c r="G96" s="1" t="s">
        <v>345</v>
      </c>
      <c r="H96" s="1" t="s">
        <v>3439</v>
      </c>
      <c r="I96" s="1" t="s">
        <v>3440</v>
      </c>
      <c r="J96" s="1"/>
      <c r="K96" s="1" t="s">
        <v>29</v>
      </c>
      <c r="L96" s="1" t="s">
        <v>30</v>
      </c>
      <c r="M96" s="1" t="s">
        <v>347</v>
      </c>
      <c r="N96" s="1" t="s">
        <v>201</v>
      </c>
      <c r="O96" s="1">
        <v>55407</v>
      </c>
      <c r="P96" s="1" t="s">
        <v>90</v>
      </c>
      <c r="Q96" s="1" t="s">
        <v>350</v>
      </c>
      <c r="R96" s="1" t="s">
        <v>46</v>
      </c>
      <c r="S96" s="7">
        <v>32.96</v>
      </c>
      <c r="T96" s="1">
        <v>5</v>
      </c>
      <c r="U96" s="9">
        <v>32.549999999999997</v>
      </c>
      <c r="V96" s="9">
        <v>164.8</v>
      </c>
      <c r="W96" s="9">
        <v>162.75</v>
      </c>
      <c r="X96" s="12">
        <v>2.0500000000000114</v>
      </c>
      <c r="Y96" s="10">
        <v>2016</v>
      </c>
    </row>
    <row r="97" spans="1:25">
      <c r="A97" s="1" t="s">
        <v>351</v>
      </c>
      <c r="B97" s="8">
        <v>43262</v>
      </c>
      <c r="C97" s="11" t="s">
        <v>3403</v>
      </c>
      <c r="D97" s="11" t="s">
        <v>3360</v>
      </c>
      <c r="E97" s="5">
        <v>43445</v>
      </c>
      <c r="F97" s="1" t="s">
        <v>49</v>
      </c>
      <c r="G97" s="1" t="s">
        <v>352</v>
      </c>
      <c r="H97" s="1" t="s">
        <v>3441</v>
      </c>
      <c r="I97" s="1" t="s">
        <v>3442</v>
      </c>
      <c r="J97" s="1"/>
      <c r="K97" s="1" t="s">
        <v>87</v>
      </c>
      <c r="L97" s="1" t="s">
        <v>30</v>
      </c>
      <c r="M97" s="1" t="s">
        <v>354</v>
      </c>
      <c r="N97" s="1" t="s">
        <v>355</v>
      </c>
      <c r="O97" s="1">
        <v>97206</v>
      </c>
      <c r="P97" s="1" t="s">
        <v>44</v>
      </c>
      <c r="Q97" s="1" t="s">
        <v>356</v>
      </c>
      <c r="R97" s="1" t="s">
        <v>46</v>
      </c>
      <c r="S97" s="7">
        <v>5.6820000000000004</v>
      </c>
      <c r="T97" s="1">
        <v>9</v>
      </c>
      <c r="U97" s="9">
        <v>5.25</v>
      </c>
      <c r="V97" s="9">
        <v>51.138000000000005</v>
      </c>
      <c r="W97" s="9">
        <v>47.25</v>
      </c>
      <c r="X97" s="12">
        <v>3.8880000000000052</v>
      </c>
      <c r="Y97" s="10">
        <v>2018</v>
      </c>
    </row>
    <row r="98" spans="1:25">
      <c r="A98" s="1" t="s">
        <v>357</v>
      </c>
      <c r="B98" s="8">
        <v>43354</v>
      </c>
      <c r="C98" s="11" t="s">
        <v>3356</v>
      </c>
      <c r="D98" s="11" t="s">
        <v>3345</v>
      </c>
      <c r="E98" s="5">
        <v>43415</v>
      </c>
      <c r="F98" s="1" t="s">
        <v>26</v>
      </c>
      <c r="G98" s="1" t="s">
        <v>358</v>
      </c>
      <c r="H98" s="1" t="s">
        <v>3443</v>
      </c>
      <c r="I98" s="1" t="s">
        <v>3444</v>
      </c>
      <c r="J98" s="1"/>
      <c r="K98" s="1" t="s">
        <v>87</v>
      </c>
      <c r="L98" s="1" t="s">
        <v>30</v>
      </c>
      <c r="M98" s="1" t="s">
        <v>233</v>
      </c>
      <c r="N98" s="1" t="s">
        <v>234</v>
      </c>
      <c r="O98" s="1">
        <v>10009</v>
      </c>
      <c r="P98" s="1" t="s">
        <v>128</v>
      </c>
      <c r="Q98" s="1" t="s">
        <v>360</v>
      </c>
      <c r="R98" s="1" t="s">
        <v>35</v>
      </c>
      <c r="S98" s="7">
        <v>96.53</v>
      </c>
      <c r="T98" s="1">
        <v>1</v>
      </c>
      <c r="U98" s="9">
        <v>95.66</v>
      </c>
      <c r="V98" s="9">
        <v>96.53</v>
      </c>
      <c r="W98" s="9">
        <v>95.66</v>
      </c>
      <c r="X98" s="12">
        <v>0.87000000000000455</v>
      </c>
      <c r="Y98" s="10">
        <v>2018</v>
      </c>
    </row>
    <row r="99" spans="1:25">
      <c r="A99" s="1" t="s">
        <v>361</v>
      </c>
      <c r="B99" s="8">
        <v>43268</v>
      </c>
      <c r="C99" s="11" t="s">
        <v>3403</v>
      </c>
      <c r="D99" s="11" t="s">
        <v>3360</v>
      </c>
      <c r="E99" s="5" t="s">
        <v>362</v>
      </c>
      <c r="F99" s="1" t="s">
        <v>162</v>
      </c>
      <c r="G99" s="1" t="s">
        <v>363</v>
      </c>
      <c r="H99" s="1" t="s">
        <v>3445</v>
      </c>
      <c r="I99" s="1" t="s">
        <v>3446</v>
      </c>
      <c r="J99" s="1"/>
      <c r="K99" s="1" t="s">
        <v>29</v>
      </c>
      <c r="L99" s="1" t="s">
        <v>30</v>
      </c>
      <c r="M99" s="1" t="s">
        <v>110</v>
      </c>
      <c r="N99" s="1" t="s">
        <v>68</v>
      </c>
      <c r="O99" s="1">
        <v>94122</v>
      </c>
      <c r="P99" s="1" t="s">
        <v>44</v>
      </c>
      <c r="Q99" s="1" t="s">
        <v>365</v>
      </c>
      <c r="R99" s="1" t="s">
        <v>46</v>
      </c>
      <c r="S99" s="7">
        <v>51.311999999999998</v>
      </c>
      <c r="T99" s="1">
        <v>9</v>
      </c>
      <c r="U99" s="9">
        <v>50.59</v>
      </c>
      <c r="V99" s="9">
        <v>461.80799999999999</v>
      </c>
      <c r="W99" s="9">
        <v>455.31000000000006</v>
      </c>
      <c r="X99" s="12">
        <v>6.4979999999999336</v>
      </c>
      <c r="Y99" s="10">
        <v>2018</v>
      </c>
    </row>
    <row r="100" spans="1:25">
      <c r="A100" s="1" t="s">
        <v>366</v>
      </c>
      <c r="B100" s="8">
        <v>42895</v>
      </c>
      <c r="C100" s="11" t="s">
        <v>3403</v>
      </c>
      <c r="D100" s="11" t="s">
        <v>3360</v>
      </c>
      <c r="E100" s="5">
        <v>43048</v>
      </c>
      <c r="F100" s="1" t="s">
        <v>49</v>
      </c>
      <c r="G100" s="1" t="s">
        <v>367</v>
      </c>
      <c r="H100" s="1" t="s">
        <v>3447</v>
      </c>
      <c r="I100" s="1" t="s">
        <v>3448</v>
      </c>
      <c r="J100" s="1"/>
      <c r="K100" s="1" t="s">
        <v>41</v>
      </c>
      <c r="L100" s="1" t="s">
        <v>30</v>
      </c>
      <c r="M100" s="1" t="s">
        <v>369</v>
      </c>
      <c r="N100" s="1" t="s">
        <v>201</v>
      </c>
      <c r="O100" s="1">
        <v>55106</v>
      </c>
      <c r="P100" s="1" t="s">
        <v>90</v>
      </c>
      <c r="Q100" s="1" t="s">
        <v>370</v>
      </c>
      <c r="R100" s="1" t="s">
        <v>46</v>
      </c>
      <c r="S100" s="7">
        <v>77.88</v>
      </c>
      <c r="T100" s="1">
        <v>5</v>
      </c>
      <c r="U100" s="9">
        <v>77.709999999999994</v>
      </c>
      <c r="V100" s="9">
        <v>389.4</v>
      </c>
      <c r="W100" s="9">
        <v>388.54999999999995</v>
      </c>
      <c r="X100" s="12">
        <v>0.85000000000002274</v>
      </c>
      <c r="Y100" s="10">
        <v>2017</v>
      </c>
    </row>
    <row r="101" spans="1:25">
      <c r="A101" s="1" t="s">
        <v>371</v>
      </c>
      <c r="B101" s="8">
        <v>42976</v>
      </c>
      <c r="C101" s="11" t="s">
        <v>3344</v>
      </c>
      <c r="D101" s="11" t="s">
        <v>3345</v>
      </c>
      <c r="E101" s="5">
        <v>42775</v>
      </c>
      <c r="F101" s="1" t="s">
        <v>49</v>
      </c>
      <c r="G101" s="1" t="s">
        <v>372</v>
      </c>
      <c r="H101" s="1" t="s">
        <v>3449</v>
      </c>
      <c r="I101" s="1" t="s">
        <v>3450</v>
      </c>
      <c r="J101" s="1"/>
      <c r="K101" s="1" t="s">
        <v>87</v>
      </c>
      <c r="L101" s="1" t="s">
        <v>30</v>
      </c>
      <c r="M101" s="1" t="s">
        <v>259</v>
      </c>
      <c r="N101" s="1" t="s">
        <v>182</v>
      </c>
      <c r="O101" s="1">
        <v>60610</v>
      </c>
      <c r="P101" s="1" t="s">
        <v>90</v>
      </c>
      <c r="Q101" s="1" t="s">
        <v>374</v>
      </c>
      <c r="R101" s="1" t="s">
        <v>46</v>
      </c>
      <c r="S101" s="7">
        <v>64.623999999999995</v>
      </c>
      <c r="T101" s="1">
        <v>6</v>
      </c>
      <c r="U101" s="9">
        <v>63.94</v>
      </c>
      <c r="V101" s="9">
        <v>387.74399999999997</v>
      </c>
      <c r="W101" s="9">
        <v>383.64</v>
      </c>
      <c r="X101" s="12">
        <v>4.103999999999985</v>
      </c>
      <c r="Y101" s="10">
        <v>2017</v>
      </c>
    </row>
    <row r="102" spans="1:25">
      <c r="A102" s="1" t="s">
        <v>371</v>
      </c>
      <c r="B102" s="8">
        <v>42976</v>
      </c>
      <c r="C102" s="11" t="s">
        <v>3344</v>
      </c>
      <c r="D102" s="11" t="s">
        <v>3345</v>
      </c>
      <c r="E102" s="5">
        <v>42775</v>
      </c>
      <c r="F102" s="1" t="s">
        <v>49</v>
      </c>
      <c r="G102" s="1" t="s">
        <v>372</v>
      </c>
      <c r="H102" s="1" t="s">
        <v>3449</v>
      </c>
      <c r="I102" s="1" t="s">
        <v>3450</v>
      </c>
      <c r="J102" s="1"/>
      <c r="K102" s="1" t="s">
        <v>87</v>
      </c>
      <c r="L102" s="1" t="s">
        <v>30</v>
      </c>
      <c r="M102" s="1" t="s">
        <v>259</v>
      </c>
      <c r="N102" s="1" t="s">
        <v>182</v>
      </c>
      <c r="O102" s="1">
        <v>60610</v>
      </c>
      <c r="P102" s="1" t="s">
        <v>90</v>
      </c>
      <c r="Q102" s="1" t="s">
        <v>375</v>
      </c>
      <c r="R102" s="1" t="s">
        <v>64</v>
      </c>
      <c r="S102" s="7">
        <v>95.975999999999999</v>
      </c>
      <c r="T102" s="1">
        <v>6</v>
      </c>
      <c r="U102" s="9">
        <v>95.67</v>
      </c>
      <c r="V102" s="9">
        <v>575.85599999999999</v>
      </c>
      <c r="W102" s="9">
        <v>574.02</v>
      </c>
      <c r="X102" s="12">
        <v>1.8360000000000127</v>
      </c>
      <c r="Y102" s="10">
        <v>2017</v>
      </c>
    </row>
    <row r="103" spans="1:25">
      <c r="A103" s="1" t="s">
        <v>371</v>
      </c>
      <c r="B103" s="8">
        <v>42976</v>
      </c>
      <c r="C103" s="11" t="s">
        <v>3344</v>
      </c>
      <c r="D103" s="11" t="s">
        <v>3345</v>
      </c>
      <c r="E103" s="5">
        <v>42775</v>
      </c>
      <c r="F103" s="1" t="s">
        <v>49</v>
      </c>
      <c r="G103" s="1" t="s">
        <v>372</v>
      </c>
      <c r="H103" s="1" t="s">
        <v>3449</v>
      </c>
      <c r="I103" s="1" t="s">
        <v>3450</v>
      </c>
      <c r="J103" s="1"/>
      <c r="K103" s="1" t="s">
        <v>87</v>
      </c>
      <c r="L103" s="1" t="s">
        <v>30</v>
      </c>
      <c r="M103" s="1" t="s">
        <v>259</v>
      </c>
      <c r="N103" s="1" t="s">
        <v>182</v>
      </c>
      <c r="O103" s="1">
        <v>60610</v>
      </c>
      <c r="P103" s="1" t="s">
        <v>90</v>
      </c>
      <c r="Q103" s="1" t="s">
        <v>376</v>
      </c>
      <c r="R103" s="1" t="s">
        <v>46</v>
      </c>
      <c r="S103" s="7">
        <v>1.788</v>
      </c>
      <c r="T103" s="1">
        <v>6</v>
      </c>
      <c r="U103" s="9">
        <v>1.03</v>
      </c>
      <c r="V103" s="9">
        <v>10.728</v>
      </c>
      <c r="W103" s="9">
        <v>6.18</v>
      </c>
      <c r="X103" s="12">
        <v>4.548</v>
      </c>
      <c r="Y103" s="10">
        <v>2017</v>
      </c>
    </row>
    <row r="104" spans="1:25">
      <c r="A104" s="1" t="s">
        <v>377</v>
      </c>
      <c r="B104" s="8">
        <v>42747</v>
      </c>
      <c r="C104" s="11" t="s">
        <v>3381</v>
      </c>
      <c r="D104" s="11" t="s">
        <v>3382</v>
      </c>
      <c r="E104" s="5">
        <v>42837</v>
      </c>
      <c r="F104" s="1" t="s">
        <v>26</v>
      </c>
      <c r="G104" s="1" t="s">
        <v>378</v>
      </c>
      <c r="H104" s="1" t="s">
        <v>3435</v>
      </c>
      <c r="I104" s="1" t="s">
        <v>3451</v>
      </c>
      <c r="J104" s="1"/>
      <c r="K104" s="1" t="s">
        <v>29</v>
      </c>
      <c r="L104" s="1" t="s">
        <v>30</v>
      </c>
      <c r="M104" s="1" t="s">
        <v>331</v>
      </c>
      <c r="N104" s="1" t="s">
        <v>201</v>
      </c>
      <c r="O104" s="1">
        <v>55901</v>
      </c>
      <c r="P104" s="1" t="s">
        <v>90</v>
      </c>
      <c r="Q104" s="1" t="s">
        <v>380</v>
      </c>
      <c r="R104" s="1" t="s">
        <v>46</v>
      </c>
      <c r="S104" s="7">
        <v>23.92</v>
      </c>
      <c r="T104" s="1">
        <v>5</v>
      </c>
      <c r="U104" s="9">
        <v>23.15</v>
      </c>
      <c r="V104" s="9">
        <v>119.60000000000001</v>
      </c>
      <c r="W104" s="9">
        <v>115.75</v>
      </c>
      <c r="X104" s="12">
        <v>3.8500000000000085</v>
      </c>
      <c r="Y104" s="10">
        <v>2017</v>
      </c>
    </row>
    <row r="105" spans="1:25">
      <c r="A105" s="1" t="s">
        <v>381</v>
      </c>
      <c r="B105" s="8">
        <v>42687</v>
      </c>
      <c r="C105" s="11" t="s">
        <v>3353</v>
      </c>
      <c r="D105" s="11" t="s">
        <v>3349</v>
      </c>
      <c r="E105" s="5" t="s">
        <v>382</v>
      </c>
      <c r="F105" s="1" t="s">
        <v>49</v>
      </c>
      <c r="G105" s="1" t="s">
        <v>383</v>
      </c>
      <c r="H105" s="1" t="s">
        <v>3404</v>
      </c>
      <c r="I105" s="1" t="s">
        <v>3452</v>
      </c>
      <c r="J105" s="1"/>
      <c r="K105" s="1" t="s">
        <v>29</v>
      </c>
      <c r="L105" s="1" t="s">
        <v>30</v>
      </c>
      <c r="M105" s="1" t="s">
        <v>385</v>
      </c>
      <c r="N105" s="1" t="s">
        <v>386</v>
      </c>
      <c r="O105" s="1">
        <v>80013</v>
      </c>
      <c r="P105" s="1" t="s">
        <v>44</v>
      </c>
      <c r="Q105" s="1" t="s">
        <v>387</v>
      </c>
      <c r="R105" s="1" t="s">
        <v>64</v>
      </c>
      <c r="S105" s="7">
        <v>238.89599999999999</v>
      </c>
      <c r="T105" s="1">
        <v>8</v>
      </c>
      <c r="U105" s="9">
        <v>238.02</v>
      </c>
      <c r="V105" s="9">
        <v>1911.1679999999999</v>
      </c>
      <c r="W105" s="9">
        <v>1904.16</v>
      </c>
      <c r="X105" s="12">
        <v>7.0079999999998108</v>
      </c>
      <c r="Y105" s="10">
        <v>2016</v>
      </c>
    </row>
    <row r="106" spans="1:25">
      <c r="A106" s="1" t="s">
        <v>381</v>
      </c>
      <c r="B106" s="8">
        <v>42687</v>
      </c>
      <c r="C106" s="11" t="s">
        <v>3353</v>
      </c>
      <c r="D106" s="11" t="s">
        <v>3349</v>
      </c>
      <c r="E106" s="5" t="s">
        <v>382</v>
      </c>
      <c r="F106" s="1" t="s">
        <v>49</v>
      </c>
      <c r="G106" s="1" t="s">
        <v>383</v>
      </c>
      <c r="H106" s="1" t="s">
        <v>3404</v>
      </c>
      <c r="I106" s="1" t="s">
        <v>3452</v>
      </c>
      <c r="J106" s="1"/>
      <c r="K106" s="1" t="s">
        <v>29</v>
      </c>
      <c r="L106" s="1" t="s">
        <v>30</v>
      </c>
      <c r="M106" s="1" t="s">
        <v>385</v>
      </c>
      <c r="N106" s="1" t="s">
        <v>386</v>
      </c>
      <c r="O106" s="1">
        <v>80013</v>
      </c>
      <c r="P106" s="1" t="s">
        <v>44</v>
      </c>
      <c r="Q106" s="1" t="s">
        <v>388</v>
      </c>
      <c r="R106" s="1" t="s">
        <v>35</v>
      </c>
      <c r="S106" s="7">
        <v>102.36</v>
      </c>
      <c r="T106" s="1">
        <v>8</v>
      </c>
      <c r="U106" s="9">
        <v>101.97</v>
      </c>
      <c r="V106" s="9">
        <v>818.88</v>
      </c>
      <c r="W106" s="9">
        <v>815.76</v>
      </c>
      <c r="X106" s="12">
        <v>3.1200000000000045</v>
      </c>
      <c r="Y106" s="10">
        <v>2016</v>
      </c>
    </row>
    <row r="107" spans="1:25">
      <c r="A107" s="1" t="s">
        <v>381</v>
      </c>
      <c r="B107" s="8">
        <v>42687</v>
      </c>
      <c r="C107" s="11" t="s">
        <v>3353</v>
      </c>
      <c r="D107" s="11" t="s">
        <v>3349</v>
      </c>
      <c r="E107" s="5" t="s">
        <v>382</v>
      </c>
      <c r="F107" s="1" t="s">
        <v>49</v>
      </c>
      <c r="G107" s="1" t="s">
        <v>383</v>
      </c>
      <c r="H107" s="1" t="s">
        <v>3404</v>
      </c>
      <c r="I107" s="1" t="s">
        <v>3452</v>
      </c>
      <c r="J107" s="1"/>
      <c r="K107" s="1" t="s">
        <v>29</v>
      </c>
      <c r="L107" s="1" t="s">
        <v>30</v>
      </c>
      <c r="M107" s="1" t="s">
        <v>385</v>
      </c>
      <c r="N107" s="1" t="s">
        <v>386</v>
      </c>
      <c r="O107" s="1">
        <v>80013</v>
      </c>
      <c r="P107" s="1" t="s">
        <v>44</v>
      </c>
      <c r="Q107" s="1" t="s">
        <v>389</v>
      </c>
      <c r="R107" s="1" t="s">
        <v>46</v>
      </c>
      <c r="S107" s="7">
        <v>36.881999999999998</v>
      </c>
      <c r="T107" s="1">
        <v>8</v>
      </c>
      <c r="U107" s="9">
        <v>36.75</v>
      </c>
      <c r="V107" s="9">
        <v>295.05599999999998</v>
      </c>
      <c r="W107" s="9">
        <v>294</v>
      </c>
      <c r="X107" s="12">
        <v>1.0559999999999832</v>
      </c>
      <c r="Y107" s="10">
        <v>2016</v>
      </c>
    </row>
    <row r="108" spans="1:25">
      <c r="A108" s="1" t="s">
        <v>390</v>
      </c>
      <c r="B108" s="8">
        <v>43427</v>
      </c>
      <c r="C108" s="11" t="s">
        <v>3353</v>
      </c>
      <c r="D108" s="11" t="s">
        <v>3349</v>
      </c>
      <c r="E108" s="5" t="s">
        <v>391</v>
      </c>
      <c r="F108" s="1" t="s">
        <v>49</v>
      </c>
      <c r="G108" s="1" t="s">
        <v>392</v>
      </c>
      <c r="H108" s="1" t="s">
        <v>3408</v>
      </c>
      <c r="I108" s="1" t="s">
        <v>3453</v>
      </c>
      <c r="J108" s="1"/>
      <c r="K108" s="1" t="s">
        <v>29</v>
      </c>
      <c r="L108" s="1" t="s">
        <v>30</v>
      </c>
      <c r="M108" s="1" t="s">
        <v>394</v>
      </c>
      <c r="N108" s="1" t="s">
        <v>75</v>
      </c>
      <c r="O108" s="1">
        <v>28205</v>
      </c>
      <c r="P108" s="1" t="s">
        <v>33</v>
      </c>
      <c r="Q108" s="1" t="s">
        <v>395</v>
      </c>
      <c r="R108" s="1" t="s">
        <v>64</v>
      </c>
      <c r="S108" s="7">
        <v>74.111999999999995</v>
      </c>
      <c r="T108" s="1">
        <v>2</v>
      </c>
      <c r="U108" s="9">
        <v>73.41</v>
      </c>
      <c r="V108" s="9">
        <v>148.22399999999999</v>
      </c>
      <c r="W108" s="9">
        <v>146.82</v>
      </c>
      <c r="X108" s="12">
        <v>1.4039999999999964</v>
      </c>
      <c r="Y108" s="10">
        <v>2018</v>
      </c>
    </row>
    <row r="109" spans="1:25">
      <c r="A109" s="1" t="s">
        <v>390</v>
      </c>
      <c r="B109" s="8">
        <v>43427</v>
      </c>
      <c r="C109" s="11" t="s">
        <v>3353</v>
      </c>
      <c r="D109" s="11" t="s">
        <v>3349</v>
      </c>
      <c r="E109" s="5" t="s">
        <v>391</v>
      </c>
      <c r="F109" s="1" t="s">
        <v>49</v>
      </c>
      <c r="G109" s="1" t="s">
        <v>392</v>
      </c>
      <c r="H109" s="1" t="s">
        <v>3408</v>
      </c>
      <c r="I109" s="1" t="s">
        <v>3453</v>
      </c>
      <c r="J109" s="1"/>
      <c r="K109" s="1" t="s">
        <v>29</v>
      </c>
      <c r="L109" s="1" t="s">
        <v>30</v>
      </c>
      <c r="M109" s="1" t="s">
        <v>394</v>
      </c>
      <c r="N109" s="1" t="s">
        <v>75</v>
      </c>
      <c r="O109" s="1">
        <v>28205</v>
      </c>
      <c r="P109" s="1" t="s">
        <v>33</v>
      </c>
      <c r="Q109" s="1" t="s">
        <v>396</v>
      </c>
      <c r="R109" s="1" t="s">
        <v>64</v>
      </c>
      <c r="S109" s="7">
        <v>27.992000000000001</v>
      </c>
      <c r="T109" s="1">
        <v>2</v>
      </c>
      <c r="U109" s="9">
        <v>27.88</v>
      </c>
      <c r="V109" s="9">
        <v>55.984000000000002</v>
      </c>
      <c r="W109" s="9">
        <v>55.76</v>
      </c>
      <c r="X109" s="12">
        <v>0.22400000000000375</v>
      </c>
      <c r="Y109" s="10">
        <v>2018</v>
      </c>
    </row>
    <row r="110" spans="1:25">
      <c r="A110" s="1" t="s">
        <v>390</v>
      </c>
      <c r="B110" s="8">
        <v>43427</v>
      </c>
      <c r="C110" s="11" t="s">
        <v>3353</v>
      </c>
      <c r="D110" s="11" t="s">
        <v>3349</v>
      </c>
      <c r="E110" s="5" t="s">
        <v>391</v>
      </c>
      <c r="F110" s="1" t="s">
        <v>49</v>
      </c>
      <c r="G110" s="1" t="s">
        <v>392</v>
      </c>
      <c r="H110" s="1" t="s">
        <v>3408</v>
      </c>
      <c r="I110" s="1" t="s">
        <v>3453</v>
      </c>
      <c r="J110" s="1"/>
      <c r="K110" s="1" t="s">
        <v>29</v>
      </c>
      <c r="L110" s="1" t="s">
        <v>30</v>
      </c>
      <c r="M110" s="1" t="s">
        <v>394</v>
      </c>
      <c r="N110" s="1" t="s">
        <v>75</v>
      </c>
      <c r="O110" s="1">
        <v>28205</v>
      </c>
      <c r="P110" s="1" t="s">
        <v>33</v>
      </c>
      <c r="Q110" s="1" t="s">
        <v>397</v>
      </c>
      <c r="R110" s="1" t="s">
        <v>46</v>
      </c>
      <c r="S110" s="7">
        <v>3.3039999999999998</v>
      </c>
      <c r="T110" s="1">
        <v>2</v>
      </c>
      <c r="U110" s="9">
        <v>2.4700000000000002</v>
      </c>
      <c r="V110" s="9">
        <v>6.6079999999999997</v>
      </c>
      <c r="W110" s="9">
        <v>4.9400000000000004</v>
      </c>
      <c r="X110" s="12">
        <v>1.6679999999999993</v>
      </c>
      <c r="Y110" s="10">
        <v>2018</v>
      </c>
    </row>
    <row r="111" spans="1:25">
      <c r="A111" s="1" t="s">
        <v>398</v>
      </c>
      <c r="B111" s="8">
        <v>42658</v>
      </c>
      <c r="C111" s="11" t="s">
        <v>3387</v>
      </c>
      <c r="D111" s="11" t="s">
        <v>3349</v>
      </c>
      <c r="E111" s="5" t="s">
        <v>399</v>
      </c>
      <c r="F111" s="1" t="s">
        <v>49</v>
      </c>
      <c r="G111" s="1" t="s">
        <v>400</v>
      </c>
      <c r="H111" s="1" t="s">
        <v>3368</v>
      </c>
      <c r="I111" s="1" t="s">
        <v>3454</v>
      </c>
      <c r="J111" s="1"/>
      <c r="K111" s="1" t="s">
        <v>87</v>
      </c>
      <c r="L111" s="1" t="s">
        <v>30</v>
      </c>
      <c r="M111" s="1" t="s">
        <v>402</v>
      </c>
      <c r="N111" s="1" t="s">
        <v>182</v>
      </c>
      <c r="O111" s="1">
        <v>60462</v>
      </c>
      <c r="P111" s="1" t="s">
        <v>90</v>
      </c>
      <c r="Q111" s="1" t="s">
        <v>403</v>
      </c>
      <c r="R111" s="1" t="s">
        <v>64</v>
      </c>
      <c r="S111" s="7">
        <v>339.96</v>
      </c>
      <c r="T111" s="1">
        <v>6</v>
      </c>
      <c r="U111" s="9">
        <v>339.63</v>
      </c>
      <c r="V111" s="9">
        <v>2039.7599999999998</v>
      </c>
      <c r="W111" s="9">
        <v>2037.78</v>
      </c>
      <c r="X111" s="12">
        <v>1.9799999999997908</v>
      </c>
      <c r="Y111" s="10">
        <v>2016</v>
      </c>
    </row>
    <row r="112" spans="1:25">
      <c r="A112" s="1" t="s">
        <v>404</v>
      </c>
      <c r="B112" s="8">
        <v>43459</v>
      </c>
      <c r="C112" s="11" t="s">
        <v>3348</v>
      </c>
      <c r="D112" s="11" t="s">
        <v>3349</v>
      </c>
      <c r="E112" s="5" t="s">
        <v>405</v>
      </c>
      <c r="F112" s="1" t="s">
        <v>49</v>
      </c>
      <c r="G112" s="1" t="s">
        <v>406</v>
      </c>
      <c r="H112" s="1" t="s">
        <v>3455</v>
      </c>
      <c r="I112" s="1" t="s">
        <v>3456</v>
      </c>
      <c r="J112" s="1"/>
      <c r="K112" s="1" t="s">
        <v>41</v>
      </c>
      <c r="L112" s="1" t="s">
        <v>30</v>
      </c>
      <c r="M112" s="1" t="s">
        <v>233</v>
      </c>
      <c r="N112" s="1" t="s">
        <v>234</v>
      </c>
      <c r="O112" s="1">
        <v>10035</v>
      </c>
      <c r="P112" s="1" t="s">
        <v>128</v>
      </c>
      <c r="Q112" s="1" t="s">
        <v>408</v>
      </c>
      <c r="R112" s="1" t="s">
        <v>35</v>
      </c>
      <c r="S112" s="7">
        <v>41.96</v>
      </c>
      <c r="T112" s="1">
        <v>1</v>
      </c>
      <c r="U112" s="9">
        <v>41.02</v>
      </c>
      <c r="V112" s="9">
        <v>41.96</v>
      </c>
      <c r="W112" s="9">
        <v>41.02</v>
      </c>
      <c r="X112" s="12">
        <v>0.93999999999999773</v>
      </c>
      <c r="Y112" s="10">
        <v>2018</v>
      </c>
    </row>
    <row r="113" spans="1:25">
      <c r="A113" s="1" t="s">
        <v>409</v>
      </c>
      <c r="B113" s="8">
        <v>42805</v>
      </c>
      <c r="C113" s="11" t="s">
        <v>3429</v>
      </c>
      <c r="D113" s="11" t="s">
        <v>3382</v>
      </c>
      <c r="E113" s="5">
        <v>43019</v>
      </c>
      <c r="F113" s="1" t="s">
        <v>49</v>
      </c>
      <c r="G113" s="1" t="s">
        <v>410</v>
      </c>
      <c r="H113" s="1" t="s">
        <v>3457</v>
      </c>
      <c r="I113" s="1" t="s">
        <v>3458</v>
      </c>
      <c r="J113" s="1"/>
      <c r="K113" s="1" t="s">
        <v>29</v>
      </c>
      <c r="L113" s="1" t="s">
        <v>30</v>
      </c>
      <c r="M113" s="1" t="s">
        <v>412</v>
      </c>
      <c r="N113" s="1" t="s">
        <v>413</v>
      </c>
      <c r="O113" s="1">
        <v>50322</v>
      </c>
      <c r="P113" s="1" t="s">
        <v>90</v>
      </c>
      <c r="Q113" s="1" t="s">
        <v>414</v>
      </c>
      <c r="R113" s="1" t="s">
        <v>46</v>
      </c>
      <c r="S113" s="7">
        <v>75.959999999999994</v>
      </c>
      <c r="T113" s="1">
        <v>5</v>
      </c>
      <c r="U113" s="9">
        <v>75.3</v>
      </c>
      <c r="V113" s="9">
        <v>379.79999999999995</v>
      </c>
      <c r="W113" s="9">
        <v>376.5</v>
      </c>
      <c r="X113" s="12">
        <v>3.2999999999999545</v>
      </c>
      <c r="Y113" s="10">
        <v>2017</v>
      </c>
    </row>
    <row r="114" spans="1:25">
      <c r="A114" s="1" t="s">
        <v>409</v>
      </c>
      <c r="B114" s="8">
        <v>42805</v>
      </c>
      <c r="C114" s="11" t="s">
        <v>3429</v>
      </c>
      <c r="D114" s="11" t="s">
        <v>3382</v>
      </c>
      <c r="E114" s="5">
        <v>43019</v>
      </c>
      <c r="F114" s="1" t="s">
        <v>49</v>
      </c>
      <c r="G114" s="1" t="s">
        <v>410</v>
      </c>
      <c r="H114" s="1" t="s">
        <v>3457</v>
      </c>
      <c r="I114" s="1" t="s">
        <v>3458</v>
      </c>
      <c r="J114" s="1"/>
      <c r="K114" s="1" t="s">
        <v>29</v>
      </c>
      <c r="L114" s="1" t="s">
        <v>30</v>
      </c>
      <c r="M114" s="1" t="s">
        <v>412</v>
      </c>
      <c r="N114" s="1" t="s">
        <v>413</v>
      </c>
      <c r="O114" s="1">
        <v>50322</v>
      </c>
      <c r="P114" s="1" t="s">
        <v>90</v>
      </c>
      <c r="Q114" s="1" t="s">
        <v>415</v>
      </c>
      <c r="R114" s="1" t="s">
        <v>46</v>
      </c>
      <c r="S114" s="7">
        <v>27.24</v>
      </c>
      <c r="T114" s="1">
        <v>5</v>
      </c>
      <c r="U114" s="9">
        <v>26.8</v>
      </c>
      <c r="V114" s="9">
        <v>136.19999999999999</v>
      </c>
      <c r="W114" s="9">
        <v>134</v>
      </c>
      <c r="X114" s="12">
        <v>2.1999999999999886</v>
      </c>
      <c r="Y114" s="10">
        <v>2017</v>
      </c>
    </row>
    <row r="115" spans="1:25">
      <c r="A115" s="1" t="s">
        <v>416</v>
      </c>
      <c r="B115" s="8">
        <v>42241</v>
      </c>
      <c r="C115" s="11" t="s">
        <v>3344</v>
      </c>
      <c r="D115" s="11" t="s">
        <v>3345</v>
      </c>
      <c r="E115" s="5" t="s">
        <v>417</v>
      </c>
      <c r="F115" s="1" t="s">
        <v>26</v>
      </c>
      <c r="G115" s="1" t="s">
        <v>418</v>
      </c>
      <c r="H115" s="1" t="s">
        <v>3459</v>
      </c>
      <c r="I115" s="1" t="s">
        <v>3460</v>
      </c>
      <c r="J115" s="1"/>
      <c r="K115" s="1" t="s">
        <v>29</v>
      </c>
      <c r="L115" s="1" t="s">
        <v>30</v>
      </c>
      <c r="M115" s="1" t="s">
        <v>420</v>
      </c>
      <c r="N115" s="1" t="s">
        <v>421</v>
      </c>
      <c r="O115" s="1">
        <v>43229</v>
      </c>
      <c r="P115" s="1" t="s">
        <v>128</v>
      </c>
      <c r="Q115" s="1" t="s">
        <v>422</v>
      </c>
      <c r="R115" s="1" t="s">
        <v>46</v>
      </c>
      <c r="S115" s="7">
        <v>40.095999999999997</v>
      </c>
      <c r="T115" s="1">
        <v>4</v>
      </c>
      <c r="U115" s="9">
        <v>39.18</v>
      </c>
      <c r="V115" s="9">
        <v>160.38399999999999</v>
      </c>
      <c r="W115" s="9">
        <v>156.72</v>
      </c>
      <c r="X115" s="12">
        <v>3.6639999999999873</v>
      </c>
      <c r="Y115" s="10">
        <v>2015</v>
      </c>
    </row>
    <row r="116" spans="1:25">
      <c r="A116" s="1" t="s">
        <v>416</v>
      </c>
      <c r="B116" s="8">
        <v>42241</v>
      </c>
      <c r="C116" s="11" t="s">
        <v>3344</v>
      </c>
      <c r="D116" s="11" t="s">
        <v>3345</v>
      </c>
      <c r="E116" s="5" t="s">
        <v>417</v>
      </c>
      <c r="F116" s="1" t="s">
        <v>26</v>
      </c>
      <c r="G116" s="1" t="s">
        <v>418</v>
      </c>
      <c r="H116" s="1" t="s">
        <v>3459</v>
      </c>
      <c r="I116" s="1" t="s">
        <v>3460</v>
      </c>
      <c r="J116" s="1"/>
      <c r="K116" s="1" t="s">
        <v>29</v>
      </c>
      <c r="L116" s="1" t="s">
        <v>30</v>
      </c>
      <c r="M116" s="1" t="s">
        <v>420</v>
      </c>
      <c r="N116" s="1" t="s">
        <v>421</v>
      </c>
      <c r="O116" s="1">
        <v>43229</v>
      </c>
      <c r="P116" s="1" t="s">
        <v>128</v>
      </c>
      <c r="Q116" s="1" t="s">
        <v>423</v>
      </c>
      <c r="R116" s="1" t="s">
        <v>46</v>
      </c>
      <c r="S116" s="7">
        <v>4.72</v>
      </c>
      <c r="T116" s="1">
        <v>4</v>
      </c>
      <c r="U116" s="9">
        <v>4.5599999999999996</v>
      </c>
      <c r="V116" s="9">
        <v>18.88</v>
      </c>
      <c r="W116" s="9">
        <v>18.239999999999998</v>
      </c>
      <c r="X116" s="12">
        <v>0.64000000000000057</v>
      </c>
      <c r="Y116" s="10">
        <v>2015</v>
      </c>
    </row>
    <row r="117" spans="1:25">
      <c r="A117" s="1" t="s">
        <v>416</v>
      </c>
      <c r="B117" s="8">
        <v>42241</v>
      </c>
      <c r="C117" s="11" t="s">
        <v>3344</v>
      </c>
      <c r="D117" s="11" t="s">
        <v>3345</v>
      </c>
      <c r="E117" s="5" t="s">
        <v>417</v>
      </c>
      <c r="F117" s="1" t="s">
        <v>26</v>
      </c>
      <c r="G117" s="1" t="s">
        <v>418</v>
      </c>
      <c r="H117" s="1" t="s">
        <v>3459</v>
      </c>
      <c r="I117" s="1" t="s">
        <v>3460</v>
      </c>
      <c r="J117" s="1"/>
      <c r="K117" s="1" t="s">
        <v>29</v>
      </c>
      <c r="L117" s="1" t="s">
        <v>30</v>
      </c>
      <c r="M117" s="1" t="s">
        <v>420</v>
      </c>
      <c r="N117" s="1" t="s">
        <v>421</v>
      </c>
      <c r="O117" s="1">
        <v>43229</v>
      </c>
      <c r="P117" s="1" t="s">
        <v>128</v>
      </c>
      <c r="Q117" s="1" t="s">
        <v>424</v>
      </c>
      <c r="R117" s="1" t="s">
        <v>46</v>
      </c>
      <c r="S117" s="7">
        <v>23.975999999999999</v>
      </c>
      <c r="T117" s="1">
        <v>4</v>
      </c>
      <c r="U117" s="9">
        <v>23.97</v>
      </c>
      <c r="V117" s="9">
        <v>95.903999999999996</v>
      </c>
      <c r="W117" s="9">
        <v>95.88</v>
      </c>
      <c r="X117" s="12">
        <v>2.4000000000000909E-2</v>
      </c>
      <c r="Y117" s="10">
        <v>2015</v>
      </c>
    </row>
    <row r="118" spans="1:25">
      <c r="A118" s="1" t="s">
        <v>416</v>
      </c>
      <c r="B118" s="8">
        <v>42241</v>
      </c>
      <c r="C118" s="11" t="s">
        <v>3344</v>
      </c>
      <c r="D118" s="11" t="s">
        <v>3345</v>
      </c>
      <c r="E118" s="5" t="s">
        <v>417</v>
      </c>
      <c r="F118" s="1" t="s">
        <v>26</v>
      </c>
      <c r="G118" s="1" t="s">
        <v>418</v>
      </c>
      <c r="H118" s="1" t="s">
        <v>3459</v>
      </c>
      <c r="I118" s="1" t="s">
        <v>3460</v>
      </c>
      <c r="J118" s="1"/>
      <c r="K118" s="1" t="s">
        <v>29</v>
      </c>
      <c r="L118" s="1" t="s">
        <v>30</v>
      </c>
      <c r="M118" s="1" t="s">
        <v>420</v>
      </c>
      <c r="N118" s="1" t="s">
        <v>421</v>
      </c>
      <c r="O118" s="1">
        <v>43229</v>
      </c>
      <c r="P118" s="1" t="s">
        <v>128</v>
      </c>
      <c r="Q118" s="1" t="s">
        <v>425</v>
      </c>
      <c r="R118" s="1" t="s">
        <v>46</v>
      </c>
      <c r="S118" s="7">
        <v>130.464</v>
      </c>
      <c r="T118" s="1">
        <v>4</v>
      </c>
      <c r="U118" s="9">
        <v>129.68</v>
      </c>
      <c r="V118" s="9">
        <v>521.85599999999999</v>
      </c>
      <c r="W118" s="9">
        <v>518.72</v>
      </c>
      <c r="X118" s="12">
        <v>3.1359999999999673</v>
      </c>
      <c r="Y118" s="10">
        <v>2015</v>
      </c>
    </row>
    <row r="119" spans="1:25">
      <c r="A119" s="1" t="s">
        <v>426</v>
      </c>
      <c r="B119" s="8">
        <v>42403</v>
      </c>
      <c r="C119" s="11" t="s">
        <v>3461</v>
      </c>
      <c r="D119" s="11" t="s">
        <v>3382</v>
      </c>
      <c r="E119" s="5">
        <v>42524</v>
      </c>
      <c r="F119" s="1" t="s">
        <v>49</v>
      </c>
      <c r="G119" s="1" t="s">
        <v>427</v>
      </c>
      <c r="H119" s="1" t="s">
        <v>3462</v>
      </c>
      <c r="I119" s="1" t="s">
        <v>3463</v>
      </c>
      <c r="J119" s="1"/>
      <c r="K119" s="1" t="s">
        <v>29</v>
      </c>
      <c r="L119" s="1" t="s">
        <v>30</v>
      </c>
      <c r="M119" s="1" t="s">
        <v>80</v>
      </c>
      <c r="N119" s="1" t="s">
        <v>81</v>
      </c>
      <c r="O119" s="1">
        <v>98103</v>
      </c>
      <c r="P119" s="1" t="s">
        <v>44</v>
      </c>
      <c r="Q119" s="1" t="s">
        <v>429</v>
      </c>
      <c r="R119" s="1" t="s">
        <v>35</v>
      </c>
      <c r="S119" s="7">
        <v>787.53</v>
      </c>
      <c r="T119" s="1">
        <v>9</v>
      </c>
      <c r="U119" s="9">
        <v>786.93</v>
      </c>
      <c r="V119" s="9">
        <v>7087.7699999999995</v>
      </c>
      <c r="W119" s="9">
        <v>7082.37</v>
      </c>
      <c r="X119" s="12">
        <v>5.3999999999996362</v>
      </c>
      <c r="Y119" s="10">
        <v>2016</v>
      </c>
    </row>
    <row r="120" spans="1:25">
      <c r="A120" s="1" t="s">
        <v>430</v>
      </c>
      <c r="B120" s="8">
        <v>42494</v>
      </c>
      <c r="C120" s="11" t="s">
        <v>3363</v>
      </c>
      <c r="D120" s="11" t="s">
        <v>3360</v>
      </c>
      <c r="E120" s="5">
        <v>42647</v>
      </c>
      <c r="F120" s="1" t="s">
        <v>49</v>
      </c>
      <c r="G120" s="1" t="s">
        <v>431</v>
      </c>
      <c r="H120" s="1" t="s">
        <v>3464</v>
      </c>
      <c r="I120" s="1" t="s">
        <v>3465</v>
      </c>
      <c r="J120" s="1"/>
      <c r="K120" s="1" t="s">
        <v>41</v>
      </c>
      <c r="L120" s="1" t="s">
        <v>30</v>
      </c>
      <c r="M120" s="1" t="s">
        <v>433</v>
      </c>
      <c r="N120" s="1" t="s">
        <v>287</v>
      </c>
      <c r="O120" s="1">
        <v>37620</v>
      </c>
      <c r="P120" s="1" t="s">
        <v>33</v>
      </c>
      <c r="Q120" s="1" t="s">
        <v>434</v>
      </c>
      <c r="R120" s="1" t="s">
        <v>46</v>
      </c>
      <c r="S120" s="7">
        <v>157.79400000000001</v>
      </c>
      <c r="T120" s="1">
        <v>3</v>
      </c>
      <c r="U120" s="9">
        <v>156.91</v>
      </c>
      <c r="V120" s="9">
        <v>473.38200000000006</v>
      </c>
      <c r="W120" s="9">
        <v>470.73</v>
      </c>
      <c r="X120" s="12">
        <v>2.6520000000000437</v>
      </c>
      <c r="Y120" s="10">
        <v>2016</v>
      </c>
    </row>
    <row r="121" spans="1:25">
      <c r="A121" s="1" t="s">
        <v>435</v>
      </c>
      <c r="B121" s="8">
        <v>43075</v>
      </c>
      <c r="C121" s="11" t="s">
        <v>3348</v>
      </c>
      <c r="D121" s="11" t="s">
        <v>3349</v>
      </c>
      <c r="E121" s="5" t="s">
        <v>300</v>
      </c>
      <c r="F121" s="1" t="s">
        <v>162</v>
      </c>
      <c r="G121" s="1" t="s">
        <v>436</v>
      </c>
      <c r="H121" s="1" t="s">
        <v>3466</v>
      </c>
      <c r="I121" s="1" t="s">
        <v>3467</v>
      </c>
      <c r="J121" s="1"/>
      <c r="K121" s="1" t="s">
        <v>29</v>
      </c>
      <c r="L121" s="1" t="s">
        <v>30</v>
      </c>
      <c r="M121" s="1" t="s">
        <v>438</v>
      </c>
      <c r="N121" s="1" t="s">
        <v>216</v>
      </c>
      <c r="O121" s="1">
        <v>19805</v>
      </c>
      <c r="P121" s="1" t="s">
        <v>128</v>
      </c>
      <c r="Q121" s="1" t="s">
        <v>439</v>
      </c>
      <c r="R121" s="1" t="s">
        <v>35</v>
      </c>
      <c r="S121" s="7">
        <v>47.04</v>
      </c>
      <c r="T121" s="1">
        <v>1</v>
      </c>
      <c r="U121" s="9">
        <v>46.83</v>
      </c>
      <c r="V121" s="9">
        <v>47.04</v>
      </c>
      <c r="W121" s="9">
        <v>46.83</v>
      </c>
      <c r="X121" s="12">
        <v>0.21000000000000085</v>
      </c>
      <c r="Y121" s="10">
        <v>2017</v>
      </c>
    </row>
    <row r="122" spans="1:25">
      <c r="A122" s="1" t="s">
        <v>435</v>
      </c>
      <c r="B122" s="8">
        <v>43075</v>
      </c>
      <c r="C122" s="11" t="s">
        <v>3348</v>
      </c>
      <c r="D122" s="11" t="s">
        <v>3349</v>
      </c>
      <c r="E122" s="5" t="s">
        <v>300</v>
      </c>
      <c r="F122" s="1" t="s">
        <v>162</v>
      </c>
      <c r="G122" s="1" t="s">
        <v>436</v>
      </c>
      <c r="H122" s="1" t="s">
        <v>3466</v>
      </c>
      <c r="I122" s="1" t="s">
        <v>3467</v>
      </c>
      <c r="J122" s="1"/>
      <c r="K122" s="1" t="s">
        <v>29</v>
      </c>
      <c r="L122" s="1" t="s">
        <v>30</v>
      </c>
      <c r="M122" s="1" t="s">
        <v>438</v>
      </c>
      <c r="N122" s="1" t="s">
        <v>216</v>
      </c>
      <c r="O122" s="1">
        <v>19805</v>
      </c>
      <c r="P122" s="1" t="s">
        <v>128</v>
      </c>
      <c r="Q122" s="1" t="s">
        <v>65</v>
      </c>
      <c r="R122" s="1" t="s">
        <v>46</v>
      </c>
      <c r="S122" s="7">
        <v>30.84</v>
      </c>
      <c r="T122" s="1">
        <v>1</v>
      </c>
      <c r="U122" s="9">
        <v>30.78</v>
      </c>
      <c r="V122" s="9">
        <v>30.84</v>
      </c>
      <c r="W122" s="9">
        <v>30.78</v>
      </c>
      <c r="X122" s="12">
        <v>5.9999999999998721E-2</v>
      </c>
      <c r="Y122" s="10">
        <v>2017</v>
      </c>
    </row>
    <row r="123" spans="1:25">
      <c r="A123" s="1" t="s">
        <v>435</v>
      </c>
      <c r="B123" s="8">
        <v>43075</v>
      </c>
      <c r="C123" s="11" t="s">
        <v>3348</v>
      </c>
      <c r="D123" s="11" t="s">
        <v>3349</v>
      </c>
      <c r="E123" s="5" t="s">
        <v>300</v>
      </c>
      <c r="F123" s="1" t="s">
        <v>162</v>
      </c>
      <c r="G123" s="1" t="s">
        <v>436</v>
      </c>
      <c r="H123" s="1" t="s">
        <v>3466</v>
      </c>
      <c r="I123" s="1" t="s">
        <v>3467</v>
      </c>
      <c r="J123" s="1"/>
      <c r="K123" s="1" t="s">
        <v>29</v>
      </c>
      <c r="L123" s="1" t="s">
        <v>30</v>
      </c>
      <c r="M123" s="1" t="s">
        <v>438</v>
      </c>
      <c r="N123" s="1" t="s">
        <v>216</v>
      </c>
      <c r="O123" s="1">
        <v>19805</v>
      </c>
      <c r="P123" s="1" t="s">
        <v>128</v>
      </c>
      <c r="Q123" s="1" t="s">
        <v>440</v>
      </c>
      <c r="R123" s="1" t="s">
        <v>46</v>
      </c>
      <c r="S123" s="7">
        <v>226.56</v>
      </c>
      <c r="T123" s="1">
        <v>1</v>
      </c>
      <c r="U123" s="9">
        <v>225.99</v>
      </c>
      <c r="V123" s="9">
        <v>226.56</v>
      </c>
      <c r="W123" s="9">
        <v>225.99</v>
      </c>
      <c r="X123" s="12">
        <v>0.56999999999999318</v>
      </c>
      <c r="Y123" s="10">
        <v>2017</v>
      </c>
    </row>
    <row r="124" spans="1:25">
      <c r="A124" s="1" t="s">
        <v>435</v>
      </c>
      <c r="B124" s="8">
        <v>43075</v>
      </c>
      <c r="C124" s="11" t="s">
        <v>3348</v>
      </c>
      <c r="D124" s="11" t="s">
        <v>3349</v>
      </c>
      <c r="E124" s="5" t="s">
        <v>300</v>
      </c>
      <c r="F124" s="1" t="s">
        <v>162</v>
      </c>
      <c r="G124" s="1" t="s">
        <v>436</v>
      </c>
      <c r="H124" s="1" t="s">
        <v>3466</v>
      </c>
      <c r="I124" s="1" t="s">
        <v>3467</v>
      </c>
      <c r="J124" s="1"/>
      <c r="K124" s="1" t="s">
        <v>29</v>
      </c>
      <c r="L124" s="1" t="s">
        <v>30</v>
      </c>
      <c r="M124" s="1" t="s">
        <v>438</v>
      </c>
      <c r="N124" s="1" t="s">
        <v>216</v>
      </c>
      <c r="O124" s="1">
        <v>19805</v>
      </c>
      <c r="P124" s="1" t="s">
        <v>128</v>
      </c>
      <c r="Q124" s="1" t="s">
        <v>441</v>
      </c>
      <c r="R124" s="1" t="s">
        <v>46</v>
      </c>
      <c r="S124" s="7">
        <v>115.02</v>
      </c>
      <c r="T124" s="1">
        <v>1</v>
      </c>
      <c r="U124" s="9">
        <v>114.44</v>
      </c>
      <c r="V124" s="9">
        <v>115.02</v>
      </c>
      <c r="W124" s="9">
        <v>114.44</v>
      </c>
      <c r="X124" s="12">
        <v>0.57999999999999829</v>
      </c>
      <c r="Y124" s="10">
        <v>2017</v>
      </c>
    </row>
    <row r="125" spans="1:25">
      <c r="A125" s="1" t="s">
        <v>435</v>
      </c>
      <c r="B125" s="8">
        <v>43075</v>
      </c>
      <c r="C125" s="11" t="s">
        <v>3348</v>
      </c>
      <c r="D125" s="11" t="s">
        <v>3349</v>
      </c>
      <c r="E125" s="5" t="s">
        <v>300</v>
      </c>
      <c r="F125" s="1" t="s">
        <v>162</v>
      </c>
      <c r="G125" s="1" t="s">
        <v>436</v>
      </c>
      <c r="H125" s="1" t="s">
        <v>3466</v>
      </c>
      <c r="I125" s="1" t="s">
        <v>3467</v>
      </c>
      <c r="J125" s="1"/>
      <c r="K125" s="1" t="s">
        <v>29</v>
      </c>
      <c r="L125" s="1" t="s">
        <v>30</v>
      </c>
      <c r="M125" s="1" t="s">
        <v>438</v>
      </c>
      <c r="N125" s="1" t="s">
        <v>216</v>
      </c>
      <c r="O125" s="1">
        <v>19805</v>
      </c>
      <c r="P125" s="1" t="s">
        <v>128</v>
      </c>
      <c r="Q125" s="1" t="s">
        <v>442</v>
      </c>
      <c r="R125" s="1" t="s">
        <v>64</v>
      </c>
      <c r="S125" s="7">
        <v>68.040000000000006</v>
      </c>
      <c r="T125" s="1">
        <v>1</v>
      </c>
      <c r="U125" s="9">
        <v>67.05</v>
      </c>
      <c r="V125" s="9">
        <v>68.040000000000006</v>
      </c>
      <c r="W125" s="9">
        <v>67.05</v>
      </c>
      <c r="X125" s="12">
        <v>0.99000000000000909</v>
      </c>
      <c r="Y125" s="10">
        <v>2017</v>
      </c>
    </row>
    <row r="126" spans="1:25">
      <c r="A126" s="1" t="s">
        <v>443</v>
      </c>
      <c r="B126" s="8">
        <v>42364</v>
      </c>
      <c r="C126" s="11" t="s">
        <v>3348</v>
      </c>
      <c r="D126" s="11" t="s">
        <v>3349</v>
      </c>
      <c r="E126" s="5" t="s">
        <v>444</v>
      </c>
      <c r="F126" s="1" t="s">
        <v>26</v>
      </c>
      <c r="G126" s="1" t="s">
        <v>445</v>
      </c>
      <c r="H126" s="1" t="s">
        <v>3468</v>
      </c>
      <c r="I126" s="1" t="s">
        <v>3469</v>
      </c>
      <c r="J126" s="1"/>
      <c r="K126" s="1" t="s">
        <v>87</v>
      </c>
      <c r="L126" s="1" t="s">
        <v>30</v>
      </c>
      <c r="M126" s="1" t="s">
        <v>172</v>
      </c>
      <c r="N126" s="1" t="s">
        <v>89</v>
      </c>
      <c r="O126" s="1">
        <v>77041</v>
      </c>
      <c r="P126" s="1" t="s">
        <v>90</v>
      </c>
      <c r="Q126" s="1" t="s">
        <v>447</v>
      </c>
      <c r="R126" s="1" t="s">
        <v>35</v>
      </c>
      <c r="S126" s="7">
        <v>600.55799999999999</v>
      </c>
      <c r="T126" s="1">
        <v>7</v>
      </c>
      <c r="U126" s="9">
        <v>600.44000000000005</v>
      </c>
      <c r="V126" s="9">
        <v>4203.9059999999999</v>
      </c>
      <c r="W126" s="9">
        <v>4203.08</v>
      </c>
      <c r="X126" s="12">
        <v>0.82600000000002183</v>
      </c>
      <c r="Y126" s="10">
        <v>2015</v>
      </c>
    </row>
    <row r="127" spans="1:25">
      <c r="A127" s="1" t="s">
        <v>448</v>
      </c>
      <c r="B127" s="8">
        <v>42267</v>
      </c>
      <c r="C127" s="11" t="s">
        <v>3356</v>
      </c>
      <c r="D127" s="11" t="s">
        <v>3345</v>
      </c>
      <c r="E127" s="5" t="s">
        <v>449</v>
      </c>
      <c r="F127" s="1" t="s">
        <v>49</v>
      </c>
      <c r="G127" s="1" t="s">
        <v>450</v>
      </c>
      <c r="H127" s="1" t="s">
        <v>3470</v>
      </c>
      <c r="I127" s="1" t="s">
        <v>3471</v>
      </c>
      <c r="J127" s="1"/>
      <c r="K127" s="1" t="s">
        <v>29</v>
      </c>
      <c r="L127" s="1" t="s">
        <v>30</v>
      </c>
      <c r="M127" s="1" t="s">
        <v>452</v>
      </c>
      <c r="N127" s="1" t="s">
        <v>182</v>
      </c>
      <c r="O127" s="1">
        <v>61701</v>
      </c>
      <c r="P127" s="1" t="s">
        <v>90</v>
      </c>
      <c r="Q127" s="1" t="s">
        <v>453</v>
      </c>
      <c r="R127" s="1" t="s">
        <v>35</v>
      </c>
      <c r="S127" s="7">
        <v>617.70000000000005</v>
      </c>
      <c r="T127" s="1">
        <v>6</v>
      </c>
      <c r="U127" s="9">
        <v>616.9</v>
      </c>
      <c r="V127" s="9">
        <v>3706.2000000000003</v>
      </c>
      <c r="W127" s="9">
        <v>3701.3999999999996</v>
      </c>
      <c r="X127" s="12">
        <v>4.8000000000006366</v>
      </c>
      <c r="Y127" s="10">
        <v>2015</v>
      </c>
    </row>
    <row r="128" spans="1:25">
      <c r="A128" s="1" t="s">
        <v>454</v>
      </c>
      <c r="B128" s="8">
        <v>43231</v>
      </c>
      <c r="C128" s="11" t="s">
        <v>3363</v>
      </c>
      <c r="D128" s="11" t="s">
        <v>3360</v>
      </c>
      <c r="E128" s="5">
        <v>43445</v>
      </c>
      <c r="F128" s="1" t="s">
        <v>49</v>
      </c>
      <c r="G128" s="1" t="s">
        <v>455</v>
      </c>
      <c r="H128" s="1" t="s">
        <v>241</v>
      </c>
      <c r="I128" s="1" t="s">
        <v>3472</v>
      </c>
      <c r="J128" s="1"/>
      <c r="K128" s="1" t="s">
        <v>29</v>
      </c>
      <c r="L128" s="1" t="s">
        <v>30</v>
      </c>
      <c r="M128" s="1" t="s">
        <v>457</v>
      </c>
      <c r="N128" s="1" t="s">
        <v>265</v>
      </c>
      <c r="O128" s="1">
        <v>85023</v>
      </c>
      <c r="P128" s="1" t="s">
        <v>44</v>
      </c>
      <c r="Q128" s="1" t="s">
        <v>458</v>
      </c>
      <c r="R128" s="1" t="s">
        <v>46</v>
      </c>
      <c r="S128" s="7">
        <v>2.3879999999999999</v>
      </c>
      <c r="T128" s="1">
        <v>8</v>
      </c>
      <c r="U128" s="9">
        <v>2.19</v>
      </c>
      <c r="V128" s="9">
        <v>19.103999999999999</v>
      </c>
      <c r="W128" s="9">
        <v>17.52</v>
      </c>
      <c r="X128" s="12">
        <v>1.5839999999999996</v>
      </c>
      <c r="Y128" s="10">
        <v>2018</v>
      </c>
    </row>
    <row r="129" spans="1:25">
      <c r="A129" s="1" t="s">
        <v>454</v>
      </c>
      <c r="B129" s="8">
        <v>43231</v>
      </c>
      <c r="C129" s="11" t="s">
        <v>3363</v>
      </c>
      <c r="D129" s="11" t="s">
        <v>3360</v>
      </c>
      <c r="E129" s="5">
        <v>43445</v>
      </c>
      <c r="F129" s="1" t="s">
        <v>49</v>
      </c>
      <c r="G129" s="1" t="s">
        <v>455</v>
      </c>
      <c r="H129" s="1" t="s">
        <v>241</v>
      </c>
      <c r="I129" s="1" t="s">
        <v>3472</v>
      </c>
      <c r="J129" s="1"/>
      <c r="K129" s="1" t="s">
        <v>29</v>
      </c>
      <c r="L129" s="1" t="s">
        <v>30</v>
      </c>
      <c r="M129" s="1" t="s">
        <v>457</v>
      </c>
      <c r="N129" s="1" t="s">
        <v>265</v>
      </c>
      <c r="O129" s="1">
        <v>85023</v>
      </c>
      <c r="P129" s="1" t="s">
        <v>44</v>
      </c>
      <c r="Q129" s="1" t="s">
        <v>459</v>
      </c>
      <c r="R129" s="1" t="s">
        <v>46</v>
      </c>
      <c r="S129" s="7">
        <v>243.99199999999999</v>
      </c>
      <c r="T129" s="1">
        <v>8</v>
      </c>
      <c r="U129" s="9">
        <v>243.79</v>
      </c>
      <c r="V129" s="9">
        <v>1951.9359999999999</v>
      </c>
      <c r="W129" s="9">
        <v>1950.32</v>
      </c>
      <c r="X129" s="12">
        <v>1.6159999999999854</v>
      </c>
      <c r="Y129" s="10">
        <v>2018</v>
      </c>
    </row>
    <row r="130" spans="1:25">
      <c r="A130" s="1" t="s">
        <v>460</v>
      </c>
      <c r="B130" s="8">
        <v>42897</v>
      </c>
      <c r="C130" s="11" t="s">
        <v>3403</v>
      </c>
      <c r="D130" s="11" t="s">
        <v>3360</v>
      </c>
      <c r="E130" s="5">
        <v>43019</v>
      </c>
      <c r="F130" s="1" t="s">
        <v>26</v>
      </c>
      <c r="G130" s="1" t="s">
        <v>461</v>
      </c>
      <c r="H130" s="1" t="s">
        <v>3473</v>
      </c>
      <c r="I130" s="1" t="s">
        <v>3474</v>
      </c>
      <c r="J130" s="1"/>
      <c r="K130" s="1" t="s">
        <v>87</v>
      </c>
      <c r="L130" s="1" t="s">
        <v>30</v>
      </c>
      <c r="M130" s="1" t="s">
        <v>42</v>
      </c>
      <c r="N130" s="1" t="s">
        <v>68</v>
      </c>
      <c r="O130" s="1">
        <v>90004</v>
      </c>
      <c r="P130" s="1" t="s">
        <v>44</v>
      </c>
      <c r="Q130" s="1" t="s">
        <v>260</v>
      </c>
      <c r="R130" s="1" t="s">
        <v>35</v>
      </c>
      <c r="S130" s="7">
        <v>81.424000000000007</v>
      </c>
      <c r="T130" s="1">
        <v>9</v>
      </c>
      <c r="U130" s="9">
        <v>80.61</v>
      </c>
      <c r="V130" s="9">
        <v>732.81600000000003</v>
      </c>
      <c r="W130" s="9">
        <v>725.49</v>
      </c>
      <c r="X130" s="12">
        <v>7.3260000000000218</v>
      </c>
      <c r="Y130" s="10">
        <v>2017</v>
      </c>
    </row>
    <row r="131" spans="1:25">
      <c r="A131" s="1" t="s">
        <v>460</v>
      </c>
      <c r="B131" s="8">
        <v>42897</v>
      </c>
      <c r="C131" s="11" t="s">
        <v>3403</v>
      </c>
      <c r="D131" s="11" t="s">
        <v>3360</v>
      </c>
      <c r="E131" s="5">
        <v>43019</v>
      </c>
      <c r="F131" s="1" t="s">
        <v>26</v>
      </c>
      <c r="G131" s="1" t="s">
        <v>461</v>
      </c>
      <c r="H131" s="1" t="s">
        <v>3473</v>
      </c>
      <c r="I131" s="1" t="s">
        <v>3474</v>
      </c>
      <c r="J131" s="1"/>
      <c r="K131" s="1" t="s">
        <v>87</v>
      </c>
      <c r="L131" s="1" t="s">
        <v>30</v>
      </c>
      <c r="M131" s="1" t="s">
        <v>42</v>
      </c>
      <c r="N131" s="1" t="s">
        <v>68</v>
      </c>
      <c r="O131" s="1">
        <v>90004</v>
      </c>
      <c r="P131" s="1" t="s">
        <v>44</v>
      </c>
      <c r="Q131" s="1" t="s">
        <v>463</v>
      </c>
      <c r="R131" s="1" t="s">
        <v>35</v>
      </c>
      <c r="S131" s="7">
        <v>238.56</v>
      </c>
      <c r="T131" s="1">
        <v>9</v>
      </c>
      <c r="U131" s="9">
        <v>238.11</v>
      </c>
      <c r="V131" s="9">
        <v>2147.04</v>
      </c>
      <c r="W131" s="9">
        <v>2142.9900000000002</v>
      </c>
      <c r="X131" s="12">
        <v>4.0499999999997272</v>
      </c>
      <c r="Y131" s="10">
        <v>2017</v>
      </c>
    </row>
    <row r="132" spans="1:25">
      <c r="A132" s="1" t="s">
        <v>464</v>
      </c>
      <c r="B132" s="8">
        <v>43133</v>
      </c>
      <c r="C132" s="11" t="s">
        <v>3461</v>
      </c>
      <c r="D132" s="11" t="s">
        <v>3382</v>
      </c>
      <c r="E132" s="5">
        <v>43222</v>
      </c>
      <c r="F132" s="1" t="s">
        <v>162</v>
      </c>
      <c r="G132" s="1" t="s">
        <v>465</v>
      </c>
      <c r="H132" s="1" t="s">
        <v>3475</v>
      </c>
      <c r="I132" s="1" t="s">
        <v>3476</v>
      </c>
      <c r="J132" s="1"/>
      <c r="K132" s="1" t="s">
        <v>41</v>
      </c>
      <c r="L132" s="1" t="s">
        <v>30</v>
      </c>
      <c r="M132" s="1" t="s">
        <v>420</v>
      </c>
      <c r="N132" s="1" t="s">
        <v>421</v>
      </c>
      <c r="O132" s="1">
        <v>43229</v>
      </c>
      <c r="P132" s="1" t="s">
        <v>128</v>
      </c>
      <c r="Q132" s="1" t="s">
        <v>467</v>
      </c>
      <c r="R132" s="1" t="s">
        <v>64</v>
      </c>
      <c r="S132" s="7">
        <v>59.97</v>
      </c>
      <c r="T132" s="1">
        <v>4</v>
      </c>
      <c r="U132" s="9">
        <v>59.36</v>
      </c>
      <c r="V132" s="9">
        <v>239.88</v>
      </c>
      <c r="W132" s="9">
        <v>237.44</v>
      </c>
      <c r="X132" s="12">
        <v>2.4399999999999977</v>
      </c>
      <c r="Y132" s="10">
        <v>2018</v>
      </c>
    </row>
    <row r="133" spans="1:25">
      <c r="A133" s="1" t="s">
        <v>464</v>
      </c>
      <c r="B133" s="8">
        <v>43133</v>
      </c>
      <c r="C133" s="11" t="s">
        <v>3461</v>
      </c>
      <c r="D133" s="11" t="s">
        <v>3382</v>
      </c>
      <c r="E133" s="5">
        <v>43222</v>
      </c>
      <c r="F133" s="1" t="s">
        <v>162</v>
      </c>
      <c r="G133" s="1" t="s">
        <v>465</v>
      </c>
      <c r="H133" s="1" t="s">
        <v>3475</v>
      </c>
      <c r="I133" s="1" t="s">
        <v>3476</v>
      </c>
      <c r="J133" s="1"/>
      <c r="K133" s="1" t="s">
        <v>41</v>
      </c>
      <c r="L133" s="1" t="s">
        <v>30</v>
      </c>
      <c r="M133" s="1" t="s">
        <v>420</v>
      </c>
      <c r="N133" s="1" t="s">
        <v>421</v>
      </c>
      <c r="O133" s="1">
        <v>43229</v>
      </c>
      <c r="P133" s="1" t="s">
        <v>128</v>
      </c>
      <c r="Q133" s="1" t="s">
        <v>468</v>
      </c>
      <c r="R133" s="1" t="s">
        <v>46</v>
      </c>
      <c r="S133" s="7">
        <v>78.304000000000002</v>
      </c>
      <c r="T133" s="1">
        <v>4</v>
      </c>
      <c r="U133" s="9">
        <v>78.239999999999995</v>
      </c>
      <c r="V133" s="9">
        <v>313.21600000000001</v>
      </c>
      <c r="W133" s="9">
        <v>312.95999999999998</v>
      </c>
      <c r="X133" s="12">
        <v>0.25600000000002865</v>
      </c>
      <c r="Y133" s="10">
        <v>2018</v>
      </c>
    </row>
    <row r="134" spans="1:25">
      <c r="A134" s="1" t="s">
        <v>464</v>
      </c>
      <c r="B134" s="8">
        <v>43133</v>
      </c>
      <c r="C134" s="11" t="s">
        <v>3461</v>
      </c>
      <c r="D134" s="11" t="s">
        <v>3382</v>
      </c>
      <c r="E134" s="5">
        <v>43222</v>
      </c>
      <c r="F134" s="1" t="s">
        <v>162</v>
      </c>
      <c r="G134" s="1" t="s">
        <v>465</v>
      </c>
      <c r="H134" s="1" t="s">
        <v>3475</v>
      </c>
      <c r="I134" s="1" t="s">
        <v>3476</v>
      </c>
      <c r="J134" s="1"/>
      <c r="K134" s="1" t="s">
        <v>41</v>
      </c>
      <c r="L134" s="1" t="s">
        <v>30</v>
      </c>
      <c r="M134" s="1" t="s">
        <v>420</v>
      </c>
      <c r="N134" s="1" t="s">
        <v>421</v>
      </c>
      <c r="O134" s="1">
        <v>43229</v>
      </c>
      <c r="P134" s="1" t="s">
        <v>128</v>
      </c>
      <c r="Q134" s="1" t="s">
        <v>469</v>
      </c>
      <c r="R134" s="1" t="s">
        <v>46</v>
      </c>
      <c r="S134" s="7">
        <v>21.456</v>
      </c>
      <c r="T134" s="1">
        <v>4</v>
      </c>
      <c r="U134" s="9">
        <v>20.85</v>
      </c>
      <c r="V134" s="9">
        <v>85.823999999999998</v>
      </c>
      <c r="W134" s="9">
        <v>83.4</v>
      </c>
      <c r="X134" s="12">
        <v>2.4239999999999924</v>
      </c>
      <c r="Y134" s="10">
        <v>2018</v>
      </c>
    </row>
    <row r="135" spans="1:25">
      <c r="A135" s="1" t="s">
        <v>470</v>
      </c>
      <c r="B135" s="8">
        <v>43021</v>
      </c>
      <c r="C135" s="11" t="s">
        <v>3387</v>
      </c>
      <c r="D135" s="11" t="s">
        <v>3349</v>
      </c>
      <c r="E135" s="5" t="s">
        <v>471</v>
      </c>
      <c r="F135" s="1" t="s">
        <v>49</v>
      </c>
      <c r="G135" s="1" t="s">
        <v>472</v>
      </c>
      <c r="H135" s="1" t="s">
        <v>3404</v>
      </c>
      <c r="I135" s="1" t="s">
        <v>3431</v>
      </c>
      <c r="J135" s="1"/>
      <c r="K135" s="1" t="s">
        <v>29</v>
      </c>
      <c r="L135" s="1" t="s">
        <v>30</v>
      </c>
      <c r="M135" s="1" t="s">
        <v>474</v>
      </c>
      <c r="N135" s="1" t="s">
        <v>68</v>
      </c>
      <c r="O135" s="1">
        <v>95661</v>
      </c>
      <c r="P135" s="1" t="s">
        <v>44</v>
      </c>
      <c r="Q135" s="1" t="s">
        <v>475</v>
      </c>
      <c r="R135" s="1" t="s">
        <v>46</v>
      </c>
      <c r="S135" s="7">
        <v>20.04</v>
      </c>
      <c r="T135" s="1">
        <v>9</v>
      </c>
      <c r="U135" s="9">
        <v>20</v>
      </c>
      <c r="V135" s="9">
        <v>180.35999999999999</v>
      </c>
      <c r="W135" s="9">
        <v>180</v>
      </c>
      <c r="X135" s="12">
        <v>0.35999999999998522</v>
      </c>
      <c r="Y135" s="10">
        <v>2017</v>
      </c>
    </row>
    <row r="136" spans="1:25">
      <c r="A136" s="1" t="s">
        <v>470</v>
      </c>
      <c r="B136" s="8">
        <v>43021</v>
      </c>
      <c r="C136" s="11" t="s">
        <v>3387</v>
      </c>
      <c r="D136" s="11" t="s">
        <v>3349</v>
      </c>
      <c r="E136" s="5" t="s">
        <v>471</v>
      </c>
      <c r="F136" s="1" t="s">
        <v>49</v>
      </c>
      <c r="G136" s="1" t="s">
        <v>472</v>
      </c>
      <c r="H136" s="1" t="s">
        <v>3404</v>
      </c>
      <c r="I136" s="1" t="s">
        <v>3431</v>
      </c>
      <c r="J136" s="1"/>
      <c r="K136" s="1" t="s">
        <v>29</v>
      </c>
      <c r="L136" s="1" t="s">
        <v>30</v>
      </c>
      <c r="M136" s="1" t="s">
        <v>474</v>
      </c>
      <c r="N136" s="1" t="s">
        <v>68</v>
      </c>
      <c r="O136" s="1">
        <v>95661</v>
      </c>
      <c r="P136" s="1" t="s">
        <v>44</v>
      </c>
      <c r="Q136" s="1" t="s">
        <v>476</v>
      </c>
      <c r="R136" s="1" t="s">
        <v>46</v>
      </c>
      <c r="S136" s="7">
        <v>35.44</v>
      </c>
      <c r="T136" s="1">
        <v>9</v>
      </c>
      <c r="U136" s="9">
        <v>35.26</v>
      </c>
      <c r="V136" s="9">
        <v>318.95999999999998</v>
      </c>
      <c r="W136" s="9">
        <v>317.33999999999997</v>
      </c>
      <c r="X136" s="12">
        <v>1.6200000000000045</v>
      </c>
      <c r="Y136" s="10">
        <v>2017</v>
      </c>
    </row>
    <row r="137" spans="1:25">
      <c r="A137" s="1" t="s">
        <v>470</v>
      </c>
      <c r="B137" s="8">
        <v>43021</v>
      </c>
      <c r="C137" s="11" t="s">
        <v>3387</v>
      </c>
      <c r="D137" s="11" t="s">
        <v>3349</v>
      </c>
      <c r="E137" s="5" t="s">
        <v>471</v>
      </c>
      <c r="F137" s="1" t="s">
        <v>49</v>
      </c>
      <c r="G137" s="1" t="s">
        <v>472</v>
      </c>
      <c r="H137" s="1" t="s">
        <v>3404</v>
      </c>
      <c r="I137" s="1" t="s">
        <v>3431</v>
      </c>
      <c r="J137" s="1"/>
      <c r="K137" s="1" t="s">
        <v>29</v>
      </c>
      <c r="L137" s="1" t="s">
        <v>30</v>
      </c>
      <c r="M137" s="1" t="s">
        <v>474</v>
      </c>
      <c r="N137" s="1" t="s">
        <v>68</v>
      </c>
      <c r="O137" s="1">
        <v>95661</v>
      </c>
      <c r="P137" s="1" t="s">
        <v>44</v>
      </c>
      <c r="Q137" s="1" t="s">
        <v>477</v>
      </c>
      <c r="R137" s="1" t="s">
        <v>46</v>
      </c>
      <c r="S137" s="7">
        <v>11.52</v>
      </c>
      <c r="T137" s="1">
        <v>9</v>
      </c>
      <c r="U137" s="9">
        <v>10.88</v>
      </c>
      <c r="V137" s="9">
        <v>103.67999999999999</v>
      </c>
      <c r="W137" s="9">
        <v>97.92</v>
      </c>
      <c r="X137" s="12">
        <v>5.7599999999999909</v>
      </c>
      <c r="Y137" s="10">
        <v>2017</v>
      </c>
    </row>
    <row r="138" spans="1:25">
      <c r="A138" s="1" t="s">
        <v>470</v>
      </c>
      <c r="B138" s="8">
        <v>43021</v>
      </c>
      <c r="C138" s="11" t="s">
        <v>3387</v>
      </c>
      <c r="D138" s="11" t="s">
        <v>3349</v>
      </c>
      <c r="E138" s="5" t="s">
        <v>471</v>
      </c>
      <c r="F138" s="1" t="s">
        <v>49</v>
      </c>
      <c r="G138" s="1" t="s">
        <v>472</v>
      </c>
      <c r="H138" s="1" t="s">
        <v>3404</v>
      </c>
      <c r="I138" s="1" t="s">
        <v>3431</v>
      </c>
      <c r="J138" s="1"/>
      <c r="K138" s="1" t="s">
        <v>29</v>
      </c>
      <c r="L138" s="1" t="s">
        <v>30</v>
      </c>
      <c r="M138" s="1" t="s">
        <v>474</v>
      </c>
      <c r="N138" s="1" t="s">
        <v>68</v>
      </c>
      <c r="O138" s="1">
        <v>95661</v>
      </c>
      <c r="P138" s="1" t="s">
        <v>44</v>
      </c>
      <c r="Q138" s="1" t="s">
        <v>478</v>
      </c>
      <c r="R138" s="1" t="s">
        <v>46</v>
      </c>
      <c r="S138" s="7">
        <v>4.0199999999999996</v>
      </c>
      <c r="T138" s="1">
        <v>9</v>
      </c>
      <c r="U138" s="9">
        <v>3.77</v>
      </c>
      <c r="V138" s="9">
        <v>36.179999999999993</v>
      </c>
      <c r="W138" s="9">
        <v>33.93</v>
      </c>
      <c r="X138" s="12">
        <v>2.2499999999999929</v>
      </c>
      <c r="Y138" s="10">
        <v>2017</v>
      </c>
    </row>
    <row r="139" spans="1:25">
      <c r="A139" s="1" t="s">
        <v>470</v>
      </c>
      <c r="B139" s="8">
        <v>43021</v>
      </c>
      <c r="C139" s="11" t="s">
        <v>3387</v>
      </c>
      <c r="D139" s="11" t="s">
        <v>3349</v>
      </c>
      <c r="E139" s="5" t="s">
        <v>471</v>
      </c>
      <c r="F139" s="1" t="s">
        <v>49</v>
      </c>
      <c r="G139" s="1" t="s">
        <v>472</v>
      </c>
      <c r="H139" s="1" t="s">
        <v>3404</v>
      </c>
      <c r="I139" s="1" t="s">
        <v>3431</v>
      </c>
      <c r="J139" s="1"/>
      <c r="K139" s="1" t="s">
        <v>29</v>
      </c>
      <c r="L139" s="1" t="s">
        <v>30</v>
      </c>
      <c r="M139" s="1" t="s">
        <v>474</v>
      </c>
      <c r="N139" s="1" t="s">
        <v>68</v>
      </c>
      <c r="O139" s="1">
        <v>95661</v>
      </c>
      <c r="P139" s="1" t="s">
        <v>44</v>
      </c>
      <c r="Q139" s="1" t="s">
        <v>479</v>
      </c>
      <c r="R139" s="1" t="s">
        <v>46</v>
      </c>
      <c r="S139" s="7">
        <v>76.176000000000002</v>
      </c>
      <c r="T139" s="1">
        <v>9</v>
      </c>
      <c r="U139" s="9">
        <v>76.02</v>
      </c>
      <c r="V139" s="9">
        <v>685.58400000000006</v>
      </c>
      <c r="W139" s="9">
        <v>684.18</v>
      </c>
      <c r="X139" s="12">
        <v>1.40400000000011</v>
      </c>
      <c r="Y139" s="10">
        <v>2017</v>
      </c>
    </row>
    <row r="140" spans="1:25">
      <c r="A140" s="1" t="s">
        <v>470</v>
      </c>
      <c r="B140" s="8">
        <v>43021</v>
      </c>
      <c r="C140" s="11" t="s">
        <v>3387</v>
      </c>
      <c r="D140" s="11" t="s">
        <v>3349</v>
      </c>
      <c r="E140" s="5" t="s">
        <v>471</v>
      </c>
      <c r="F140" s="1" t="s">
        <v>49</v>
      </c>
      <c r="G140" s="1" t="s">
        <v>472</v>
      </c>
      <c r="H140" s="1" t="s">
        <v>3404</v>
      </c>
      <c r="I140" s="1" t="s">
        <v>3431</v>
      </c>
      <c r="J140" s="1"/>
      <c r="K140" s="1" t="s">
        <v>29</v>
      </c>
      <c r="L140" s="1" t="s">
        <v>30</v>
      </c>
      <c r="M140" s="1" t="s">
        <v>474</v>
      </c>
      <c r="N140" s="1" t="s">
        <v>68</v>
      </c>
      <c r="O140" s="1">
        <v>95661</v>
      </c>
      <c r="P140" s="1" t="s">
        <v>44</v>
      </c>
      <c r="Q140" s="1" t="s">
        <v>480</v>
      </c>
      <c r="R140" s="1" t="s">
        <v>46</v>
      </c>
      <c r="S140" s="7">
        <v>65.88</v>
      </c>
      <c r="T140" s="1">
        <v>9</v>
      </c>
      <c r="U140" s="9">
        <v>65.27</v>
      </c>
      <c r="V140" s="9">
        <v>592.91999999999996</v>
      </c>
      <c r="W140" s="9">
        <v>587.42999999999995</v>
      </c>
      <c r="X140" s="12">
        <v>5.4900000000000091</v>
      </c>
      <c r="Y140" s="10">
        <v>2017</v>
      </c>
    </row>
    <row r="141" spans="1:25">
      <c r="A141" s="1" t="s">
        <v>470</v>
      </c>
      <c r="B141" s="8">
        <v>43021</v>
      </c>
      <c r="C141" s="11" t="s">
        <v>3387</v>
      </c>
      <c r="D141" s="11" t="s">
        <v>3349</v>
      </c>
      <c r="E141" s="5" t="s">
        <v>471</v>
      </c>
      <c r="F141" s="1" t="s">
        <v>49</v>
      </c>
      <c r="G141" s="1" t="s">
        <v>472</v>
      </c>
      <c r="H141" s="1" t="s">
        <v>3404</v>
      </c>
      <c r="I141" s="1" t="s">
        <v>3431</v>
      </c>
      <c r="J141" s="1"/>
      <c r="K141" s="1" t="s">
        <v>29</v>
      </c>
      <c r="L141" s="1" t="s">
        <v>30</v>
      </c>
      <c r="M141" s="1" t="s">
        <v>474</v>
      </c>
      <c r="N141" s="1" t="s">
        <v>68</v>
      </c>
      <c r="O141" s="1">
        <v>95661</v>
      </c>
      <c r="P141" s="1" t="s">
        <v>44</v>
      </c>
      <c r="Q141" s="1" t="s">
        <v>227</v>
      </c>
      <c r="R141" s="1" t="s">
        <v>35</v>
      </c>
      <c r="S141" s="7">
        <v>43.12</v>
      </c>
      <c r="T141" s="1">
        <v>9</v>
      </c>
      <c r="U141" s="9">
        <v>42.27</v>
      </c>
      <c r="V141" s="9">
        <v>388.08</v>
      </c>
      <c r="W141" s="9">
        <v>380.43</v>
      </c>
      <c r="X141" s="12">
        <v>7.6499999999999773</v>
      </c>
      <c r="Y141" s="10">
        <v>2017</v>
      </c>
    </row>
    <row r="142" spans="1:25">
      <c r="A142" s="1" t="s">
        <v>481</v>
      </c>
      <c r="B142" s="8">
        <v>42864</v>
      </c>
      <c r="C142" s="11" t="s">
        <v>3363</v>
      </c>
      <c r="D142" s="11" t="s">
        <v>3360</v>
      </c>
      <c r="E142" s="5">
        <v>42925</v>
      </c>
      <c r="F142" s="1" t="s">
        <v>26</v>
      </c>
      <c r="G142" s="1" t="s">
        <v>482</v>
      </c>
      <c r="H142" s="1" t="s">
        <v>3477</v>
      </c>
      <c r="I142" s="1" t="s">
        <v>3478</v>
      </c>
      <c r="J142" s="1"/>
      <c r="K142" s="1" t="s">
        <v>41</v>
      </c>
      <c r="L142" s="1" t="s">
        <v>30</v>
      </c>
      <c r="M142" s="1" t="s">
        <v>126</v>
      </c>
      <c r="N142" s="1" t="s">
        <v>127</v>
      </c>
      <c r="O142" s="1">
        <v>19140</v>
      </c>
      <c r="P142" s="1" t="s">
        <v>128</v>
      </c>
      <c r="Q142" s="1" t="s">
        <v>150</v>
      </c>
      <c r="R142" s="1" t="s">
        <v>35</v>
      </c>
      <c r="S142" s="7">
        <v>82.8</v>
      </c>
      <c r="T142" s="1">
        <v>1</v>
      </c>
      <c r="U142" s="9">
        <v>82.56</v>
      </c>
      <c r="V142" s="9">
        <v>82.8</v>
      </c>
      <c r="W142" s="9">
        <v>82.56</v>
      </c>
      <c r="X142" s="12">
        <v>0.23999999999999488</v>
      </c>
      <c r="Y142" s="10">
        <v>2017</v>
      </c>
    </row>
    <row r="143" spans="1:25">
      <c r="A143" s="1" t="s">
        <v>484</v>
      </c>
      <c r="B143" s="8">
        <v>43361</v>
      </c>
      <c r="C143" s="11" t="s">
        <v>3356</v>
      </c>
      <c r="D143" s="11" t="s">
        <v>3345</v>
      </c>
      <c r="E143" s="5" t="s">
        <v>190</v>
      </c>
      <c r="F143" s="1" t="s">
        <v>49</v>
      </c>
      <c r="G143" s="1" t="s">
        <v>485</v>
      </c>
      <c r="H143" s="1" t="s">
        <v>3479</v>
      </c>
      <c r="I143" s="1" t="s">
        <v>3480</v>
      </c>
      <c r="J143" s="1"/>
      <c r="K143" s="1" t="s">
        <v>41</v>
      </c>
      <c r="L143" s="1" t="s">
        <v>30</v>
      </c>
      <c r="M143" s="1" t="s">
        <v>110</v>
      </c>
      <c r="N143" s="1" t="s">
        <v>68</v>
      </c>
      <c r="O143" s="1">
        <v>94122</v>
      </c>
      <c r="P143" s="1" t="s">
        <v>44</v>
      </c>
      <c r="Q143" s="1" t="s">
        <v>487</v>
      </c>
      <c r="R143" s="1" t="s">
        <v>46</v>
      </c>
      <c r="S143" s="7">
        <v>8.82</v>
      </c>
      <c r="T143" s="1">
        <v>9</v>
      </c>
      <c r="U143" s="9">
        <v>8.76</v>
      </c>
      <c r="V143" s="9">
        <v>79.38</v>
      </c>
      <c r="W143" s="9">
        <v>78.84</v>
      </c>
      <c r="X143" s="12">
        <v>0.53999999999999204</v>
      </c>
      <c r="Y143" s="10">
        <v>2018</v>
      </c>
    </row>
    <row r="144" spans="1:25">
      <c r="A144" s="1" t="s">
        <v>484</v>
      </c>
      <c r="B144" s="8">
        <v>43361</v>
      </c>
      <c r="C144" s="11" t="s">
        <v>3356</v>
      </c>
      <c r="D144" s="11" t="s">
        <v>3345</v>
      </c>
      <c r="E144" s="5" t="s">
        <v>190</v>
      </c>
      <c r="F144" s="1" t="s">
        <v>49</v>
      </c>
      <c r="G144" s="1" t="s">
        <v>485</v>
      </c>
      <c r="H144" s="1" t="s">
        <v>3479</v>
      </c>
      <c r="I144" s="1" t="s">
        <v>3480</v>
      </c>
      <c r="J144" s="1"/>
      <c r="K144" s="1" t="s">
        <v>41</v>
      </c>
      <c r="L144" s="1" t="s">
        <v>30</v>
      </c>
      <c r="M144" s="1" t="s">
        <v>110</v>
      </c>
      <c r="N144" s="1" t="s">
        <v>68</v>
      </c>
      <c r="O144" s="1">
        <v>94122</v>
      </c>
      <c r="P144" s="1" t="s">
        <v>44</v>
      </c>
      <c r="Q144" s="1" t="s">
        <v>488</v>
      </c>
      <c r="R144" s="1" t="s">
        <v>46</v>
      </c>
      <c r="S144" s="7">
        <v>10.86</v>
      </c>
      <c r="T144" s="1">
        <v>9</v>
      </c>
      <c r="U144" s="9">
        <v>10.56</v>
      </c>
      <c r="V144" s="9">
        <v>97.74</v>
      </c>
      <c r="W144" s="9">
        <v>95.04</v>
      </c>
      <c r="X144" s="12">
        <v>2.6999999999999886</v>
      </c>
      <c r="Y144" s="10">
        <v>2018</v>
      </c>
    </row>
    <row r="145" spans="1:25">
      <c r="A145" s="1" t="s">
        <v>484</v>
      </c>
      <c r="B145" s="8">
        <v>43361</v>
      </c>
      <c r="C145" s="11" t="s">
        <v>3356</v>
      </c>
      <c r="D145" s="11" t="s">
        <v>3345</v>
      </c>
      <c r="E145" s="5" t="s">
        <v>190</v>
      </c>
      <c r="F145" s="1" t="s">
        <v>49</v>
      </c>
      <c r="G145" s="1" t="s">
        <v>485</v>
      </c>
      <c r="H145" s="1" t="s">
        <v>3479</v>
      </c>
      <c r="I145" s="1" t="s">
        <v>3480</v>
      </c>
      <c r="J145" s="1"/>
      <c r="K145" s="1" t="s">
        <v>41</v>
      </c>
      <c r="L145" s="1" t="s">
        <v>30</v>
      </c>
      <c r="M145" s="1" t="s">
        <v>110</v>
      </c>
      <c r="N145" s="1" t="s">
        <v>68</v>
      </c>
      <c r="O145" s="1">
        <v>94122</v>
      </c>
      <c r="P145" s="1" t="s">
        <v>44</v>
      </c>
      <c r="Q145" s="1" t="s">
        <v>489</v>
      </c>
      <c r="R145" s="1" t="s">
        <v>46</v>
      </c>
      <c r="S145" s="7">
        <v>143.69999999999999</v>
      </c>
      <c r="T145" s="1">
        <v>9</v>
      </c>
      <c r="U145" s="9">
        <v>143.52000000000001</v>
      </c>
      <c r="V145" s="9">
        <v>1293.3</v>
      </c>
      <c r="W145" s="9">
        <v>1291.68</v>
      </c>
      <c r="X145" s="12">
        <v>1.6199999999998909</v>
      </c>
      <c r="Y145" s="10">
        <v>2018</v>
      </c>
    </row>
    <row r="146" spans="1:25">
      <c r="A146" s="1" t="s">
        <v>490</v>
      </c>
      <c r="B146" s="8">
        <v>43456</v>
      </c>
      <c r="C146" s="11" t="s">
        <v>3348</v>
      </c>
      <c r="D146" s="11" t="s">
        <v>3349</v>
      </c>
      <c r="E146" s="5" t="s">
        <v>491</v>
      </c>
      <c r="F146" s="1" t="s">
        <v>49</v>
      </c>
      <c r="G146" s="1" t="s">
        <v>492</v>
      </c>
      <c r="H146" s="1" t="s">
        <v>3377</v>
      </c>
      <c r="I146" s="1" t="s">
        <v>3481</v>
      </c>
      <c r="J146" s="1"/>
      <c r="K146" s="1" t="s">
        <v>29</v>
      </c>
      <c r="L146" s="1" t="s">
        <v>30</v>
      </c>
      <c r="M146" s="1" t="s">
        <v>494</v>
      </c>
      <c r="N146" s="1" t="s">
        <v>495</v>
      </c>
      <c r="O146" s="1">
        <v>64055</v>
      </c>
      <c r="P146" s="1" t="s">
        <v>90</v>
      </c>
      <c r="Q146" s="1" t="s">
        <v>496</v>
      </c>
      <c r="R146" s="1" t="s">
        <v>46</v>
      </c>
      <c r="S146" s="7">
        <v>839.43</v>
      </c>
      <c r="T146" s="1">
        <v>6</v>
      </c>
      <c r="U146" s="9">
        <v>838.57</v>
      </c>
      <c r="V146" s="9">
        <v>5036.58</v>
      </c>
      <c r="W146" s="9">
        <v>5031.42</v>
      </c>
      <c r="X146" s="12">
        <v>5.1599999999998545</v>
      </c>
      <c r="Y146" s="10">
        <v>2018</v>
      </c>
    </row>
    <row r="147" spans="1:25">
      <c r="A147" s="1" t="s">
        <v>497</v>
      </c>
      <c r="B147" s="8">
        <v>42560</v>
      </c>
      <c r="C147" s="11" t="s">
        <v>3376</v>
      </c>
      <c r="D147" s="11" t="s">
        <v>3345</v>
      </c>
      <c r="E147" s="5">
        <v>42713</v>
      </c>
      <c r="F147" s="1" t="s">
        <v>49</v>
      </c>
      <c r="G147" s="1" t="s">
        <v>498</v>
      </c>
      <c r="H147" s="1" t="s">
        <v>3482</v>
      </c>
      <c r="I147" s="1" t="s">
        <v>3483</v>
      </c>
      <c r="J147" s="1"/>
      <c r="K147" s="1" t="s">
        <v>29</v>
      </c>
      <c r="L147" s="1" t="s">
        <v>30</v>
      </c>
      <c r="M147" s="1" t="s">
        <v>500</v>
      </c>
      <c r="N147" s="1" t="s">
        <v>68</v>
      </c>
      <c r="O147" s="1">
        <v>91104</v>
      </c>
      <c r="P147" s="1" t="s">
        <v>44</v>
      </c>
      <c r="Q147" s="1" t="s">
        <v>322</v>
      </c>
      <c r="R147" s="1" t="s">
        <v>46</v>
      </c>
      <c r="S147" s="7">
        <v>671.93</v>
      </c>
      <c r="T147" s="1">
        <v>9</v>
      </c>
      <c r="U147" s="9">
        <v>671.11</v>
      </c>
      <c r="V147" s="9">
        <v>6047.37</v>
      </c>
      <c r="W147" s="9">
        <v>6039.99</v>
      </c>
      <c r="X147" s="12">
        <v>7.3800000000001091</v>
      </c>
      <c r="Y147" s="10">
        <v>2016</v>
      </c>
    </row>
    <row r="148" spans="1:25">
      <c r="A148" s="1" t="s">
        <v>501</v>
      </c>
      <c r="B148" s="8">
        <v>42299</v>
      </c>
      <c r="C148" s="11" t="s">
        <v>3387</v>
      </c>
      <c r="D148" s="11" t="s">
        <v>3349</v>
      </c>
      <c r="E148" s="5" t="s">
        <v>502</v>
      </c>
      <c r="F148" s="1" t="s">
        <v>49</v>
      </c>
      <c r="G148" s="1" t="s">
        <v>503</v>
      </c>
      <c r="H148" s="1" t="s">
        <v>3484</v>
      </c>
      <c r="I148" s="1" t="s">
        <v>3485</v>
      </c>
      <c r="J148" s="1"/>
      <c r="K148" s="1" t="s">
        <v>87</v>
      </c>
      <c r="L148" s="1" t="s">
        <v>30</v>
      </c>
      <c r="M148" s="1" t="s">
        <v>505</v>
      </c>
      <c r="N148" s="1" t="s">
        <v>421</v>
      </c>
      <c r="O148" s="1">
        <v>43055</v>
      </c>
      <c r="P148" s="1" t="s">
        <v>128</v>
      </c>
      <c r="Q148" s="1" t="s">
        <v>506</v>
      </c>
      <c r="R148" s="1" t="s">
        <v>35</v>
      </c>
      <c r="S148" s="7">
        <v>93.888000000000005</v>
      </c>
      <c r="T148" s="1">
        <v>4</v>
      </c>
      <c r="U148" s="9">
        <v>93.42</v>
      </c>
      <c r="V148" s="9">
        <v>375.55200000000002</v>
      </c>
      <c r="W148" s="9">
        <v>373.68</v>
      </c>
      <c r="X148" s="12">
        <v>1.8720000000000141</v>
      </c>
      <c r="Y148" s="10">
        <v>2015</v>
      </c>
    </row>
    <row r="149" spans="1:25">
      <c r="A149" s="1" t="s">
        <v>507</v>
      </c>
      <c r="B149" s="8">
        <v>42867</v>
      </c>
      <c r="C149" s="11" t="s">
        <v>3363</v>
      </c>
      <c r="D149" s="11" t="s">
        <v>3360</v>
      </c>
      <c r="E149" s="5">
        <v>42990</v>
      </c>
      <c r="F149" s="1" t="s">
        <v>49</v>
      </c>
      <c r="G149" s="1" t="s">
        <v>508</v>
      </c>
      <c r="H149" s="1" t="s">
        <v>3486</v>
      </c>
      <c r="I149" s="1" t="s">
        <v>3487</v>
      </c>
      <c r="J149" s="1"/>
      <c r="K149" s="1" t="s">
        <v>41</v>
      </c>
      <c r="L149" s="1" t="s">
        <v>30</v>
      </c>
      <c r="M149" s="1" t="s">
        <v>510</v>
      </c>
      <c r="N149" s="1" t="s">
        <v>98</v>
      </c>
      <c r="O149" s="1">
        <v>53132</v>
      </c>
      <c r="P149" s="1" t="s">
        <v>90</v>
      </c>
      <c r="Q149" s="1" t="s">
        <v>511</v>
      </c>
      <c r="R149" s="1" t="s">
        <v>64</v>
      </c>
      <c r="S149" s="7">
        <v>384.45</v>
      </c>
      <c r="T149" s="1">
        <v>5</v>
      </c>
      <c r="U149" s="9">
        <v>383.76</v>
      </c>
      <c r="V149" s="9">
        <v>1922.25</v>
      </c>
      <c r="W149" s="9">
        <v>1918.8</v>
      </c>
      <c r="X149" s="12">
        <v>3.4500000000000455</v>
      </c>
      <c r="Y149" s="10">
        <v>2017</v>
      </c>
    </row>
    <row r="150" spans="1:25">
      <c r="A150" s="1" t="s">
        <v>507</v>
      </c>
      <c r="B150" s="8">
        <v>42867</v>
      </c>
      <c r="C150" s="11" t="s">
        <v>3363</v>
      </c>
      <c r="D150" s="11" t="s">
        <v>3360</v>
      </c>
      <c r="E150" s="5">
        <v>42990</v>
      </c>
      <c r="F150" s="1" t="s">
        <v>49</v>
      </c>
      <c r="G150" s="1" t="s">
        <v>508</v>
      </c>
      <c r="H150" s="1" t="s">
        <v>3486</v>
      </c>
      <c r="I150" s="1" t="s">
        <v>3487</v>
      </c>
      <c r="J150" s="1"/>
      <c r="K150" s="1" t="s">
        <v>41</v>
      </c>
      <c r="L150" s="1" t="s">
        <v>30</v>
      </c>
      <c r="M150" s="1" t="s">
        <v>510</v>
      </c>
      <c r="N150" s="1" t="s">
        <v>98</v>
      </c>
      <c r="O150" s="1">
        <v>53132</v>
      </c>
      <c r="P150" s="1" t="s">
        <v>90</v>
      </c>
      <c r="Q150" s="1" t="s">
        <v>512</v>
      </c>
      <c r="R150" s="1" t="s">
        <v>64</v>
      </c>
      <c r="S150" s="7">
        <v>149.97</v>
      </c>
      <c r="T150" s="1">
        <v>5</v>
      </c>
      <c r="U150" s="9">
        <v>149.91999999999999</v>
      </c>
      <c r="V150" s="9">
        <v>749.85</v>
      </c>
      <c r="W150" s="9">
        <v>749.59999999999991</v>
      </c>
      <c r="X150" s="12">
        <v>0.25000000000011369</v>
      </c>
      <c r="Y150" s="10">
        <v>2017</v>
      </c>
    </row>
    <row r="151" spans="1:25">
      <c r="A151" s="1" t="s">
        <v>507</v>
      </c>
      <c r="B151" s="8">
        <v>42867</v>
      </c>
      <c r="C151" s="11" t="s">
        <v>3363</v>
      </c>
      <c r="D151" s="11" t="s">
        <v>3360</v>
      </c>
      <c r="E151" s="5">
        <v>42990</v>
      </c>
      <c r="F151" s="1" t="s">
        <v>49</v>
      </c>
      <c r="G151" s="1" t="s">
        <v>508</v>
      </c>
      <c r="H151" s="1" t="s">
        <v>3486</v>
      </c>
      <c r="I151" s="1" t="s">
        <v>3487</v>
      </c>
      <c r="J151" s="1"/>
      <c r="K151" s="1" t="s">
        <v>41</v>
      </c>
      <c r="L151" s="1" t="s">
        <v>30</v>
      </c>
      <c r="M151" s="1" t="s">
        <v>510</v>
      </c>
      <c r="N151" s="1" t="s">
        <v>98</v>
      </c>
      <c r="O151" s="1">
        <v>53132</v>
      </c>
      <c r="P151" s="1" t="s">
        <v>90</v>
      </c>
      <c r="Q151" s="1" t="s">
        <v>36</v>
      </c>
      <c r="R151" s="1" t="s">
        <v>35</v>
      </c>
      <c r="S151" s="7">
        <v>1951.84</v>
      </c>
      <c r="T151" s="1">
        <v>5</v>
      </c>
      <c r="U151" s="9">
        <v>1950.87</v>
      </c>
      <c r="V151" s="9">
        <v>9759.1999999999989</v>
      </c>
      <c r="W151" s="9">
        <v>9754.3499999999985</v>
      </c>
      <c r="X151" s="12">
        <v>4.8500000000003638</v>
      </c>
      <c r="Y151" s="10">
        <v>2017</v>
      </c>
    </row>
    <row r="152" spans="1:25">
      <c r="A152" s="1" t="s">
        <v>507</v>
      </c>
      <c r="B152" s="8">
        <v>42867</v>
      </c>
      <c r="C152" s="11" t="s">
        <v>3363</v>
      </c>
      <c r="D152" s="11" t="s">
        <v>3360</v>
      </c>
      <c r="E152" s="5">
        <v>42990</v>
      </c>
      <c r="F152" s="1" t="s">
        <v>49</v>
      </c>
      <c r="G152" s="1" t="s">
        <v>508</v>
      </c>
      <c r="H152" s="1" t="s">
        <v>3486</v>
      </c>
      <c r="I152" s="1" t="s">
        <v>3487</v>
      </c>
      <c r="J152" s="1"/>
      <c r="K152" s="1" t="s">
        <v>41</v>
      </c>
      <c r="L152" s="1" t="s">
        <v>30</v>
      </c>
      <c r="M152" s="1" t="s">
        <v>510</v>
      </c>
      <c r="N152" s="1" t="s">
        <v>98</v>
      </c>
      <c r="O152" s="1">
        <v>53132</v>
      </c>
      <c r="P152" s="1" t="s">
        <v>90</v>
      </c>
      <c r="Q152" s="1" t="s">
        <v>513</v>
      </c>
      <c r="R152" s="1" t="s">
        <v>46</v>
      </c>
      <c r="S152" s="7">
        <v>171.55</v>
      </c>
      <c r="T152" s="1">
        <v>5</v>
      </c>
      <c r="U152" s="9">
        <v>170.65</v>
      </c>
      <c r="V152" s="9">
        <v>857.75</v>
      </c>
      <c r="W152" s="9">
        <v>853.25</v>
      </c>
      <c r="X152" s="12">
        <v>4.5</v>
      </c>
      <c r="Y152" s="10">
        <v>2017</v>
      </c>
    </row>
    <row r="153" spans="1:25">
      <c r="A153" s="1" t="s">
        <v>514</v>
      </c>
      <c r="B153" s="8">
        <v>42807</v>
      </c>
      <c r="C153" s="11" t="s">
        <v>3429</v>
      </c>
      <c r="D153" s="11" t="s">
        <v>3382</v>
      </c>
      <c r="E153" s="5" t="s">
        <v>515</v>
      </c>
      <c r="F153" s="1" t="s">
        <v>162</v>
      </c>
      <c r="G153" s="1" t="s">
        <v>516</v>
      </c>
      <c r="H153" s="1" t="s">
        <v>3488</v>
      </c>
      <c r="I153" s="1" t="s">
        <v>3489</v>
      </c>
      <c r="J153" s="1"/>
      <c r="K153" s="1" t="s">
        <v>87</v>
      </c>
      <c r="L153" s="1" t="s">
        <v>30</v>
      </c>
      <c r="M153" s="1" t="s">
        <v>518</v>
      </c>
      <c r="N153" s="1" t="s">
        <v>265</v>
      </c>
      <c r="O153" s="1">
        <v>85254</v>
      </c>
      <c r="P153" s="1" t="s">
        <v>44</v>
      </c>
      <c r="Q153" s="1" t="s">
        <v>519</v>
      </c>
      <c r="R153" s="1" t="s">
        <v>46</v>
      </c>
      <c r="S153" s="7">
        <v>157.91999999999999</v>
      </c>
      <c r="T153" s="1">
        <v>8</v>
      </c>
      <c r="U153" s="9">
        <v>157.4</v>
      </c>
      <c r="V153" s="9">
        <v>1263.3599999999999</v>
      </c>
      <c r="W153" s="9">
        <v>1259.2</v>
      </c>
      <c r="X153" s="12">
        <v>4.1599999999998545</v>
      </c>
      <c r="Y153" s="10">
        <v>2017</v>
      </c>
    </row>
    <row r="154" spans="1:25">
      <c r="A154" s="1" t="s">
        <v>514</v>
      </c>
      <c r="B154" s="8">
        <v>42807</v>
      </c>
      <c r="C154" s="11" t="s">
        <v>3429</v>
      </c>
      <c r="D154" s="11" t="s">
        <v>3382</v>
      </c>
      <c r="E154" s="5" t="s">
        <v>515</v>
      </c>
      <c r="F154" s="1" t="s">
        <v>162</v>
      </c>
      <c r="G154" s="1" t="s">
        <v>516</v>
      </c>
      <c r="H154" s="1" t="s">
        <v>3488</v>
      </c>
      <c r="I154" s="1" t="s">
        <v>3489</v>
      </c>
      <c r="J154" s="1"/>
      <c r="K154" s="1" t="s">
        <v>87</v>
      </c>
      <c r="L154" s="1" t="s">
        <v>30</v>
      </c>
      <c r="M154" s="1" t="s">
        <v>518</v>
      </c>
      <c r="N154" s="1" t="s">
        <v>265</v>
      </c>
      <c r="O154" s="1">
        <v>85254</v>
      </c>
      <c r="P154" s="1" t="s">
        <v>44</v>
      </c>
      <c r="Q154" s="1" t="s">
        <v>520</v>
      </c>
      <c r="R154" s="1" t="s">
        <v>64</v>
      </c>
      <c r="S154" s="7">
        <v>203.184</v>
      </c>
      <c r="T154" s="1">
        <v>8</v>
      </c>
      <c r="U154" s="9">
        <v>202.89</v>
      </c>
      <c r="V154" s="9">
        <v>1625.472</v>
      </c>
      <c r="W154" s="9">
        <v>1623.12</v>
      </c>
      <c r="X154" s="12">
        <v>2.3520000000000891</v>
      </c>
      <c r="Y154" s="10">
        <v>2017</v>
      </c>
    </row>
    <row r="155" spans="1:25">
      <c r="A155" s="1" t="s">
        <v>521</v>
      </c>
      <c r="B155" s="8">
        <v>42521</v>
      </c>
      <c r="C155" s="11" t="s">
        <v>3363</v>
      </c>
      <c r="D155" s="11" t="s">
        <v>3360</v>
      </c>
      <c r="E155" s="5">
        <v>42406</v>
      </c>
      <c r="F155" s="1" t="s">
        <v>162</v>
      </c>
      <c r="G155" s="1" t="s">
        <v>522</v>
      </c>
      <c r="H155" s="1" t="s">
        <v>3490</v>
      </c>
      <c r="I155" s="1" t="s">
        <v>3491</v>
      </c>
      <c r="J155" s="1"/>
      <c r="K155" s="1" t="s">
        <v>41</v>
      </c>
      <c r="L155" s="1" t="s">
        <v>30</v>
      </c>
      <c r="M155" s="1" t="s">
        <v>524</v>
      </c>
      <c r="N155" s="1" t="s">
        <v>68</v>
      </c>
      <c r="O155" s="1">
        <v>95123</v>
      </c>
      <c r="P155" s="1" t="s">
        <v>44</v>
      </c>
      <c r="Q155" s="1" t="s">
        <v>525</v>
      </c>
      <c r="R155" s="1" t="s">
        <v>46</v>
      </c>
      <c r="S155" s="7">
        <v>58.38</v>
      </c>
      <c r="T155" s="1">
        <v>9</v>
      </c>
      <c r="U155" s="9">
        <v>57.9</v>
      </c>
      <c r="V155" s="9">
        <v>525.42000000000007</v>
      </c>
      <c r="W155" s="9">
        <v>521.1</v>
      </c>
      <c r="X155" s="12">
        <v>4.32000000000005</v>
      </c>
      <c r="Y155" s="10">
        <v>2016</v>
      </c>
    </row>
    <row r="156" spans="1:25">
      <c r="A156" s="1" t="s">
        <v>521</v>
      </c>
      <c r="B156" s="8">
        <v>42521</v>
      </c>
      <c r="C156" s="11" t="s">
        <v>3363</v>
      </c>
      <c r="D156" s="11" t="s">
        <v>3360</v>
      </c>
      <c r="E156" s="5">
        <v>42406</v>
      </c>
      <c r="F156" s="1" t="s">
        <v>162</v>
      </c>
      <c r="G156" s="1" t="s">
        <v>522</v>
      </c>
      <c r="H156" s="1" t="s">
        <v>3490</v>
      </c>
      <c r="I156" s="1" t="s">
        <v>3491</v>
      </c>
      <c r="J156" s="1"/>
      <c r="K156" s="1" t="s">
        <v>41</v>
      </c>
      <c r="L156" s="1" t="s">
        <v>30</v>
      </c>
      <c r="M156" s="1" t="s">
        <v>524</v>
      </c>
      <c r="N156" s="1" t="s">
        <v>68</v>
      </c>
      <c r="O156" s="1">
        <v>95123</v>
      </c>
      <c r="P156" s="1" t="s">
        <v>44</v>
      </c>
      <c r="Q156" s="1" t="s">
        <v>526</v>
      </c>
      <c r="R156" s="1" t="s">
        <v>46</v>
      </c>
      <c r="S156" s="7">
        <v>105.52</v>
      </c>
      <c r="T156" s="1">
        <v>9</v>
      </c>
      <c r="U156" s="9">
        <v>104.63</v>
      </c>
      <c r="V156" s="9">
        <v>949.68</v>
      </c>
      <c r="W156" s="9">
        <v>941.67</v>
      </c>
      <c r="X156" s="12">
        <v>8.0099999999999909</v>
      </c>
      <c r="Y156" s="10">
        <v>2016</v>
      </c>
    </row>
    <row r="157" spans="1:25">
      <c r="A157" s="1" t="s">
        <v>521</v>
      </c>
      <c r="B157" s="8">
        <v>42521</v>
      </c>
      <c r="C157" s="11" t="s">
        <v>3363</v>
      </c>
      <c r="D157" s="11" t="s">
        <v>3360</v>
      </c>
      <c r="E157" s="5">
        <v>42406</v>
      </c>
      <c r="F157" s="1" t="s">
        <v>162</v>
      </c>
      <c r="G157" s="1" t="s">
        <v>522</v>
      </c>
      <c r="H157" s="1" t="s">
        <v>3490</v>
      </c>
      <c r="I157" s="1" t="s">
        <v>3491</v>
      </c>
      <c r="J157" s="1"/>
      <c r="K157" s="1" t="s">
        <v>41</v>
      </c>
      <c r="L157" s="1" t="s">
        <v>30</v>
      </c>
      <c r="M157" s="1" t="s">
        <v>524</v>
      </c>
      <c r="N157" s="1" t="s">
        <v>68</v>
      </c>
      <c r="O157" s="1">
        <v>95123</v>
      </c>
      <c r="P157" s="1" t="s">
        <v>44</v>
      </c>
      <c r="Q157" s="1" t="s">
        <v>527</v>
      </c>
      <c r="R157" s="1" t="s">
        <v>46</v>
      </c>
      <c r="S157" s="7">
        <v>80.88</v>
      </c>
      <c r="T157" s="1">
        <v>9</v>
      </c>
      <c r="U157" s="9">
        <v>80.53</v>
      </c>
      <c r="V157" s="9">
        <v>727.92</v>
      </c>
      <c r="W157" s="9">
        <v>724.77</v>
      </c>
      <c r="X157" s="12">
        <v>3.1499999999999773</v>
      </c>
      <c r="Y157" s="10">
        <v>2016</v>
      </c>
    </row>
    <row r="158" spans="1:25">
      <c r="A158" s="1" t="s">
        <v>528</v>
      </c>
      <c r="B158" s="8">
        <v>42518</v>
      </c>
      <c r="C158" s="11" t="s">
        <v>3363</v>
      </c>
      <c r="D158" s="11" t="s">
        <v>3360</v>
      </c>
      <c r="E158" s="5">
        <v>42435</v>
      </c>
      <c r="F158" s="1" t="s">
        <v>49</v>
      </c>
      <c r="G158" s="1" t="s">
        <v>529</v>
      </c>
      <c r="H158" s="1" t="s">
        <v>3492</v>
      </c>
      <c r="I158" s="1" t="s">
        <v>3493</v>
      </c>
      <c r="J158" s="1"/>
      <c r="K158" s="1" t="s">
        <v>87</v>
      </c>
      <c r="L158" s="1" t="s">
        <v>30</v>
      </c>
      <c r="M158" s="1" t="s">
        <v>80</v>
      </c>
      <c r="N158" s="1" t="s">
        <v>81</v>
      </c>
      <c r="O158" s="1">
        <v>98105</v>
      </c>
      <c r="P158" s="1" t="s">
        <v>44</v>
      </c>
      <c r="Q158" s="1" t="s">
        <v>531</v>
      </c>
      <c r="R158" s="1" t="s">
        <v>46</v>
      </c>
      <c r="S158" s="7">
        <v>6.63</v>
      </c>
      <c r="T158" s="1">
        <v>9</v>
      </c>
      <c r="U158" s="9">
        <v>6.47</v>
      </c>
      <c r="V158" s="9">
        <v>59.67</v>
      </c>
      <c r="W158" s="9">
        <v>58.23</v>
      </c>
      <c r="X158" s="12">
        <v>1.4400000000000048</v>
      </c>
      <c r="Y158" s="10">
        <v>2016</v>
      </c>
    </row>
    <row r="159" spans="1:25">
      <c r="A159" s="1" t="s">
        <v>532</v>
      </c>
      <c r="B159" s="8">
        <v>42007</v>
      </c>
      <c r="C159" s="11" t="s">
        <v>3381</v>
      </c>
      <c r="D159" s="11" t="s">
        <v>3382</v>
      </c>
      <c r="E159" s="5">
        <v>42158</v>
      </c>
      <c r="F159" s="1" t="s">
        <v>26</v>
      </c>
      <c r="G159" s="1" t="s">
        <v>533</v>
      </c>
      <c r="H159" s="1" t="s">
        <v>3462</v>
      </c>
      <c r="I159" s="1" t="s">
        <v>3494</v>
      </c>
      <c r="J159" s="1"/>
      <c r="K159" s="1" t="s">
        <v>29</v>
      </c>
      <c r="L159" s="1" t="s">
        <v>30</v>
      </c>
      <c r="M159" s="1" t="s">
        <v>80</v>
      </c>
      <c r="N159" s="1" t="s">
        <v>81</v>
      </c>
      <c r="O159" s="1">
        <v>98115</v>
      </c>
      <c r="P159" s="1" t="s">
        <v>44</v>
      </c>
      <c r="Q159" s="1" t="s">
        <v>447</v>
      </c>
      <c r="R159" s="1" t="s">
        <v>35</v>
      </c>
      <c r="S159" s="7">
        <v>457.56799999999998</v>
      </c>
      <c r="T159" s="1">
        <v>9</v>
      </c>
      <c r="U159" s="9">
        <v>457.38</v>
      </c>
      <c r="V159" s="9">
        <v>4118.1120000000001</v>
      </c>
      <c r="W159" s="9">
        <v>4116.42</v>
      </c>
      <c r="X159" s="12">
        <v>1.6920000000000073</v>
      </c>
      <c r="Y159" s="10">
        <v>2015</v>
      </c>
    </row>
    <row r="160" spans="1:25">
      <c r="A160" s="1" t="s">
        <v>535</v>
      </c>
      <c r="B160" s="8">
        <v>43059</v>
      </c>
      <c r="C160" s="11" t="s">
        <v>3353</v>
      </c>
      <c r="D160" s="11" t="s">
        <v>3349</v>
      </c>
      <c r="E160" s="5" t="s">
        <v>536</v>
      </c>
      <c r="F160" s="1" t="s">
        <v>49</v>
      </c>
      <c r="G160" s="1" t="s">
        <v>537</v>
      </c>
      <c r="H160" s="1" t="s">
        <v>3495</v>
      </c>
      <c r="I160" s="1" t="s">
        <v>3496</v>
      </c>
      <c r="J160" s="1"/>
      <c r="K160" s="1" t="s">
        <v>29</v>
      </c>
      <c r="L160" s="1" t="s">
        <v>30</v>
      </c>
      <c r="M160" s="1" t="s">
        <v>539</v>
      </c>
      <c r="N160" s="1" t="s">
        <v>540</v>
      </c>
      <c r="O160" s="1">
        <v>73034</v>
      </c>
      <c r="P160" s="1" t="s">
        <v>90</v>
      </c>
      <c r="Q160" s="1" t="s">
        <v>541</v>
      </c>
      <c r="R160" s="1" t="s">
        <v>46</v>
      </c>
      <c r="S160" s="7">
        <v>14.62</v>
      </c>
      <c r="T160" s="1">
        <v>7</v>
      </c>
      <c r="U160" s="9">
        <v>14.22</v>
      </c>
      <c r="V160" s="9">
        <v>102.33999999999999</v>
      </c>
      <c r="W160" s="9">
        <v>99.54</v>
      </c>
      <c r="X160" s="12">
        <v>2.7999999999999829</v>
      </c>
      <c r="Y160" s="10">
        <v>2017</v>
      </c>
    </row>
    <row r="161" spans="1:25">
      <c r="A161" s="1" t="s">
        <v>535</v>
      </c>
      <c r="B161" s="8">
        <v>43059</v>
      </c>
      <c r="C161" s="11" t="s">
        <v>3353</v>
      </c>
      <c r="D161" s="11" t="s">
        <v>3349</v>
      </c>
      <c r="E161" s="5" t="s">
        <v>536</v>
      </c>
      <c r="F161" s="1" t="s">
        <v>49</v>
      </c>
      <c r="G161" s="1" t="s">
        <v>537</v>
      </c>
      <c r="H161" s="1" t="s">
        <v>3495</v>
      </c>
      <c r="I161" s="1" t="s">
        <v>3496</v>
      </c>
      <c r="J161" s="1"/>
      <c r="K161" s="1" t="s">
        <v>29</v>
      </c>
      <c r="L161" s="1" t="s">
        <v>30</v>
      </c>
      <c r="M161" s="1" t="s">
        <v>539</v>
      </c>
      <c r="N161" s="1" t="s">
        <v>540</v>
      </c>
      <c r="O161" s="1">
        <v>73034</v>
      </c>
      <c r="P161" s="1" t="s">
        <v>90</v>
      </c>
      <c r="Q161" s="1" t="s">
        <v>542</v>
      </c>
      <c r="R161" s="1" t="s">
        <v>64</v>
      </c>
      <c r="S161" s="7">
        <v>944.93</v>
      </c>
      <c r="T161" s="1">
        <v>7</v>
      </c>
      <c r="U161" s="9">
        <v>944.09</v>
      </c>
      <c r="V161" s="9">
        <v>6614.5099999999993</v>
      </c>
      <c r="W161" s="9">
        <v>6608.63</v>
      </c>
      <c r="X161" s="12">
        <v>5.8799999999991996</v>
      </c>
      <c r="Y161" s="10">
        <v>2017</v>
      </c>
    </row>
    <row r="162" spans="1:25">
      <c r="A162" s="1" t="s">
        <v>543</v>
      </c>
      <c r="B162" s="8">
        <v>43044</v>
      </c>
      <c r="C162" s="11" t="s">
        <v>3353</v>
      </c>
      <c r="D162" s="11" t="s">
        <v>3349</v>
      </c>
      <c r="E162" s="5">
        <v>43074</v>
      </c>
      <c r="F162" s="1" t="s">
        <v>162</v>
      </c>
      <c r="G162" s="1" t="s">
        <v>544</v>
      </c>
      <c r="H162" s="1" t="s">
        <v>3410</v>
      </c>
      <c r="I162" s="1" t="s">
        <v>3497</v>
      </c>
      <c r="J162" s="1"/>
      <c r="K162" s="1" t="s">
        <v>29</v>
      </c>
      <c r="L162" s="1" t="s">
        <v>30</v>
      </c>
      <c r="M162" s="1" t="s">
        <v>42</v>
      </c>
      <c r="N162" s="1" t="s">
        <v>68</v>
      </c>
      <c r="O162" s="1">
        <v>90045</v>
      </c>
      <c r="P162" s="1" t="s">
        <v>44</v>
      </c>
      <c r="Q162" s="1" t="s">
        <v>546</v>
      </c>
      <c r="R162" s="1" t="s">
        <v>46</v>
      </c>
      <c r="S162" s="7">
        <v>5.98</v>
      </c>
      <c r="T162" s="1">
        <v>9</v>
      </c>
      <c r="U162" s="9">
        <v>5.79</v>
      </c>
      <c r="V162" s="9">
        <v>53.820000000000007</v>
      </c>
      <c r="W162" s="9">
        <v>52.11</v>
      </c>
      <c r="X162" s="12">
        <v>1.710000000000008</v>
      </c>
      <c r="Y162" s="10">
        <v>2017</v>
      </c>
    </row>
    <row r="163" spans="1:25">
      <c r="A163" s="1" t="s">
        <v>547</v>
      </c>
      <c r="B163" s="8">
        <v>42732</v>
      </c>
      <c r="C163" s="11" t="s">
        <v>3348</v>
      </c>
      <c r="D163" s="11" t="s">
        <v>3349</v>
      </c>
      <c r="E163" s="5" t="s">
        <v>169</v>
      </c>
      <c r="F163" s="1" t="s">
        <v>26</v>
      </c>
      <c r="G163" s="1" t="s">
        <v>548</v>
      </c>
      <c r="H163" s="1" t="s">
        <v>3383</v>
      </c>
      <c r="I163" s="1" t="s">
        <v>3498</v>
      </c>
      <c r="J163" s="1"/>
      <c r="K163" s="1" t="s">
        <v>29</v>
      </c>
      <c r="L163" s="1" t="s">
        <v>30</v>
      </c>
      <c r="M163" s="1" t="s">
        <v>126</v>
      </c>
      <c r="N163" s="1" t="s">
        <v>127</v>
      </c>
      <c r="O163" s="1">
        <v>19134</v>
      </c>
      <c r="P163" s="1" t="s">
        <v>128</v>
      </c>
      <c r="Q163" s="1" t="s">
        <v>550</v>
      </c>
      <c r="R163" s="1" t="s">
        <v>64</v>
      </c>
      <c r="S163" s="7">
        <v>54.384</v>
      </c>
      <c r="T163" s="1">
        <v>1</v>
      </c>
      <c r="U163" s="9">
        <v>54.3</v>
      </c>
      <c r="V163" s="9">
        <v>54.384</v>
      </c>
      <c r="W163" s="9">
        <v>54.3</v>
      </c>
      <c r="X163" s="12">
        <v>8.4000000000003183E-2</v>
      </c>
      <c r="Y163" s="10">
        <v>2016</v>
      </c>
    </row>
    <row r="164" spans="1:25">
      <c r="A164" s="1" t="s">
        <v>551</v>
      </c>
      <c r="B164" s="8">
        <v>43055</v>
      </c>
      <c r="C164" s="11" t="s">
        <v>3353</v>
      </c>
      <c r="D164" s="11" t="s">
        <v>3349</v>
      </c>
      <c r="E164" s="5" t="s">
        <v>552</v>
      </c>
      <c r="F164" s="1" t="s">
        <v>49</v>
      </c>
      <c r="G164" s="1" t="s">
        <v>553</v>
      </c>
      <c r="H164" s="1" t="s">
        <v>3396</v>
      </c>
      <c r="I164" s="1" t="s">
        <v>3499</v>
      </c>
      <c r="J164" s="1"/>
      <c r="K164" s="1" t="s">
        <v>29</v>
      </c>
      <c r="L164" s="1" t="s">
        <v>30</v>
      </c>
      <c r="M164" s="1" t="s">
        <v>555</v>
      </c>
      <c r="N164" s="1" t="s">
        <v>556</v>
      </c>
      <c r="O164" s="1">
        <v>88220</v>
      </c>
      <c r="P164" s="1" t="s">
        <v>44</v>
      </c>
      <c r="Q164" s="1" t="s">
        <v>557</v>
      </c>
      <c r="R164" s="1" t="s">
        <v>46</v>
      </c>
      <c r="S164" s="7">
        <v>28.4</v>
      </c>
      <c r="T164" s="1">
        <v>8</v>
      </c>
      <c r="U164" s="9">
        <v>28.11</v>
      </c>
      <c r="V164" s="9">
        <v>227.2</v>
      </c>
      <c r="W164" s="9">
        <v>224.88</v>
      </c>
      <c r="X164" s="12">
        <v>2.3199999999999932</v>
      </c>
      <c r="Y164" s="10">
        <v>2017</v>
      </c>
    </row>
    <row r="165" spans="1:25">
      <c r="A165" s="1" t="s">
        <v>558</v>
      </c>
      <c r="B165" s="8">
        <v>42927</v>
      </c>
      <c r="C165" s="11" t="s">
        <v>3376</v>
      </c>
      <c r="D165" s="11" t="s">
        <v>3345</v>
      </c>
      <c r="E165" s="5">
        <v>43050</v>
      </c>
      <c r="F165" s="1" t="s">
        <v>49</v>
      </c>
      <c r="G165" s="1" t="s">
        <v>559</v>
      </c>
      <c r="H165" s="1" t="s">
        <v>3500</v>
      </c>
      <c r="I165" s="1" t="s">
        <v>3501</v>
      </c>
      <c r="J165" s="1"/>
      <c r="K165" s="1" t="s">
        <v>29</v>
      </c>
      <c r="L165" s="1" t="s">
        <v>30</v>
      </c>
      <c r="M165" s="1" t="s">
        <v>80</v>
      </c>
      <c r="N165" s="1" t="s">
        <v>81</v>
      </c>
      <c r="O165" s="1">
        <v>98115</v>
      </c>
      <c r="P165" s="1" t="s">
        <v>44</v>
      </c>
      <c r="Q165" s="1" t="s">
        <v>561</v>
      </c>
      <c r="R165" s="1" t="s">
        <v>46</v>
      </c>
      <c r="S165" s="7">
        <v>27.68</v>
      </c>
      <c r="T165" s="1">
        <v>9</v>
      </c>
      <c r="U165" s="9">
        <v>27.09</v>
      </c>
      <c r="V165" s="9">
        <v>249.12</v>
      </c>
      <c r="W165" s="9">
        <v>243.81</v>
      </c>
      <c r="X165" s="12">
        <v>5.3100000000000023</v>
      </c>
      <c r="Y165" s="10">
        <v>2017</v>
      </c>
    </row>
    <row r="166" spans="1:25">
      <c r="A166" s="1" t="s">
        <v>562</v>
      </c>
      <c r="B166" s="8">
        <v>42225</v>
      </c>
      <c r="C166" s="11" t="s">
        <v>3344</v>
      </c>
      <c r="D166" s="11" t="s">
        <v>3345</v>
      </c>
      <c r="E166" s="5">
        <v>42347</v>
      </c>
      <c r="F166" s="1" t="s">
        <v>49</v>
      </c>
      <c r="G166" s="1" t="s">
        <v>563</v>
      </c>
      <c r="H166" s="1" t="s">
        <v>3502</v>
      </c>
      <c r="I166" s="1" t="s">
        <v>3453</v>
      </c>
      <c r="J166" s="1"/>
      <c r="K166" s="1" t="s">
        <v>29</v>
      </c>
      <c r="L166" s="1" t="s">
        <v>30</v>
      </c>
      <c r="M166" s="1" t="s">
        <v>565</v>
      </c>
      <c r="N166" s="1" t="s">
        <v>89</v>
      </c>
      <c r="O166" s="1">
        <v>78207</v>
      </c>
      <c r="P166" s="1" t="s">
        <v>90</v>
      </c>
      <c r="Q166" s="1" t="s">
        <v>566</v>
      </c>
      <c r="R166" s="1" t="s">
        <v>46</v>
      </c>
      <c r="S166" s="7">
        <v>9.9359999999999999</v>
      </c>
      <c r="T166" s="1">
        <v>7</v>
      </c>
      <c r="U166" s="9">
        <v>8.9600000000000009</v>
      </c>
      <c r="V166" s="9">
        <v>69.551999999999992</v>
      </c>
      <c r="W166" s="9">
        <v>62.720000000000006</v>
      </c>
      <c r="X166" s="12">
        <v>6.8319999999999865</v>
      </c>
      <c r="Y166" s="10">
        <v>2015</v>
      </c>
    </row>
    <row r="167" spans="1:25">
      <c r="A167" s="1" t="s">
        <v>562</v>
      </c>
      <c r="B167" s="8">
        <v>42225</v>
      </c>
      <c r="C167" s="11" t="s">
        <v>3344</v>
      </c>
      <c r="D167" s="11" t="s">
        <v>3345</v>
      </c>
      <c r="E167" s="5">
        <v>42347</v>
      </c>
      <c r="F167" s="1" t="s">
        <v>49</v>
      </c>
      <c r="G167" s="1" t="s">
        <v>563</v>
      </c>
      <c r="H167" s="1" t="s">
        <v>3502</v>
      </c>
      <c r="I167" s="1" t="s">
        <v>3453</v>
      </c>
      <c r="J167" s="1"/>
      <c r="K167" s="1" t="s">
        <v>29</v>
      </c>
      <c r="L167" s="1" t="s">
        <v>30</v>
      </c>
      <c r="M167" s="1" t="s">
        <v>565</v>
      </c>
      <c r="N167" s="1" t="s">
        <v>89</v>
      </c>
      <c r="O167" s="1">
        <v>78207</v>
      </c>
      <c r="P167" s="1" t="s">
        <v>90</v>
      </c>
      <c r="Q167" s="1" t="s">
        <v>567</v>
      </c>
      <c r="R167" s="1" t="s">
        <v>64</v>
      </c>
      <c r="S167" s="7">
        <v>8159.9520000000002</v>
      </c>
      <c r="T167" s="1">
        <v>7</v>
      </c>
      <c r="U167" s="9">
        <v>8159.36</v>
      </c>
      <c r="V167" s="9">
        <v>57119.664000000004</v>
      </c>
      <c r="W167" s="9">
        <v>57115.519999999997</v>
      </c>
      <c r="X167" s="12">
        <v>4.1440000000075088</v>
      </c>
      <c r="Y167" s="10">
        <v>2015</v>
      </c>
    </row>
    <row r="168" spans="1:25">
      <c r="A168" s="1" t="s">
        <v>562</v>
      </c>
      <c r="B168" s="8">
        <v>42225</v>
      </c>
      <c r="C168" s="11" t="s">
        <v>3344</v>
      </c>
      <c r="D168" s="11" t="s">
        <v>3345</v>
      </c>
      <c r="E168" s="5">
        <v>42347</v>
      </c>
      <c r="F168" s="1" t="s">
        <v>49</v>
      </c>
      <c r="G168" s="1" t="s">
        <v>563</v>
      </c>
      <c r="H168" s="1" t="s">
        <v>3502</v>
      </c>
      <c r="I168" s="1" t="s">
        <v>3453</v>
      </c>
      <c r="J168" s="1"/>
      <c r="K168" s="1" t="s">
        <v>29</v>
      </c>
      <c r="L168" s="1" t="s">
        <v>30</v>
      </c>
      <c r="M168" s="1" t="s">
        <v>565</v>
      </c>
      <c r="N168" s="1" t="s">
        <v>89</v>
      </c>
      <c r="O168" s="1">
        <v>78207</v>
      </c>
      <c r="P168" s="1" t="s">
        <v>90</v>
      </c>
      <c r="Q168" s="1" t="s">
        <v>568</v>
      </c>
      <c r="R168" s="1" t="s">
        <v>46</v>
      </c>
      <c r="S168" s="7">
        <v>275.928</v>
      </c>
      <c r="T168" s="1">
        <v>7</v>
      </c>
      <c r="U168" s="9">
        <v>275.48</v>
      </c>
      <c r="V168" s="9">
        <v>1931.4960000000001</v>
      </c>
      <c r="W168" s="9">
        <v>1928.3600000000001</v>
      </c>
      <c r="X168" s="12">
        <v>3.1359999999999673</v>
      </c>
      <c r="Y168" s="10">
        <v>2015</v>
      </c>
    </row>
    <row r="169" spans="1:25">
      <c r="A169" s="1" t="s">
        <v>562</v>
      </c>
      <c r="B169" s="8">
        <v>42225</v>
      </c>
      <c r="C169" s="11" t="s">
        <v>3344</v>
      </c>
      <c r="D169" s="11" t="s">
        <v>3345</v>
      </c>
      <c r="E169" s="5">
        <v>42347</v>
      </c>
      <c r="F169" s="1" t="s">
        <v>49</v>
      </c>
      <c r="G169" s="1" t="s">
        <v>563</v>
      </c>
      <c r="H169" s="1" t="s">
        <v>3502</v>
      </c>
      <c r="I169" s="1" t="s">
        <v>3453</v>
      </c>
      <c r="J169" s="1"/>
      <c r="K169" s="1" t="s">
        <v>29</v>
      </c>
      <c r="L169" s="1" t="s">
        <v>30</v>
      </c>
      <c r="M169" s="1" t="s">
        <v>565</v>
      </c>
      <c r="N169" s="1" t="s">
        <v>89</v>
      </c>
      <c r="O169" s="1">
        <v>78207</v>
      </c>
      <c r="P169" s="1" t="s">
        <v>90</v>
      </c>
      <c r="Q169" s="1" t="s">
        <v>569</v>
      </c>
      <c r="R169" s="1" t="s">
        <v>35</v>
      </c>
      <c r="S169" s="7">
        <v>1740.06</v>
      </c>
      <c r="T169" s="1">
        <v>7</v>
      </c>
      <c r="U169" s="9">
        <v>1739.72</v>
      </c>
      <c r="V169" s="9">
        <v>12180.42</v>
      </c>
      <c r="W169" s="9">
        <v>12178.04</v>
      </c>
      <c r="X169" s="12">
        <v>2.3799999999991996</v>
      </c>
      <c r="Y169" s="10">
        <v>2015</v>
      </c>
    </row>
    <row r="170" spans="1:25">
      <c r="A170" s="1" t="s">
        <v>562</v>
      </c>
      <c r="B170" s="8">
        <v>42225</v>
      </c>
      <c r="C170" s="11" t="s">
        <v>3344</v>
      </c>
      <c r="D170" s="11" t="s">
        <v>3345</v>
      </c>
      <c r="E170" s="5">
        <v>42347</v>
      </c>
      <c r="F170" s="1" t="s">
        <v>49</v>
      </c>
      <c r="G170" s="1" t="s">
        <v>563</v>
      </c>
      <c r="H170" s="1" t="s">
        <v>3502</v>
      </c>
      <c r="I170" s="1" t="s">
        <v>3453</v>
      </c>
      <c r="J170" s="1"/>
      <c r="K170" s="1" t="s">
        <v>29</v>
      </c>
      <c r="L170" s="1" t="s">
        <v>30</v>
      </c>
      <c r="M170" s="1" t="s">
        <v>565</v>
      </c>
      <c r="N170" s="1" t="s">
        <v>89</v>
      </c>
      <c r="O170" s="1">
        <v>78207</v>
      </c>
      <c r="P170" s="1" t="s">
        <v>90</v>
      </c>
      <c r="Q170" s="1" t="s">
        <v>570</v>
      </c>
      <c r="R170" s="1" t="s">
        <v>46</v>
      </c>
      <c r="S170" s="7">
        <v>32.064</v>
      </c>
      <c r="T170" s="1">
        <v>7</v>
      </c>
      <c r="U170" s="9">
        <v>31.9</v>
      </c>
      <c r="V170" s="9">
        <v>224.44800000000001</v>
      </c>
      <c r="W170" s="9">
        <v>223.29999999999998</v>
      </c>
      <c r="X170" s="12">
        <v>1.1480000000000246</v>
      </c>
      <c r="Y170" s="10">
        <v>2015</v>
      </c>
    </row>
    <row r="171" spans="1:25">
      <c r="A171" s="1" t="s">
        <v>562</v>
      </c>
      <c r="B171" s="8">
        <v>42225</v>
      </c>
      <c r="C171" s="11" t="s">
        <v>3344</v>
      </c>
      <c r="D171" s="11" t="s">
        <v>3345</v>
      </c>
      <c r="E171" s="5">
        <v>42347</v>
      </c>
      <c r="F171" s="1" t="s">
        <v>49</v>
      </c>
      <c r="G171" s="1" t="s">
        <v>563</v>
      </c>
      <c r="H171" s="1" t="s">
        <v>3502</v>
      </c>
      <c r="I171" s="1" t="s">
        <v>3453</v>
      </c>
      <c r="J171" s="1"/>
      <c r="K171" s="1" t="s">
        <v>29</v>
      </c>
      <c r="L171" s="1" t="s">
        <v>30</v>
      </c>
      <c r="M171" s="1" t="s">
        <v>565</v>
      </c>
      <c r="N171" s="1" t="s">
        <v>89</v>
      </c>
      <c r="O171" s="1">
        <v>78207</v>
      </c>
      <c r="P171" s="1" t="s">
        <v>90</v>
      </c>
      <c r="Q171" s="1" t="s">
        <v>571</v>
      </c>
      <c r="R171" s="1" t="s">
        <v>46</v>
      </c>
      <c r="S171" s="7">
        <v>177.98</v>
      </c>
      <c r="T171" s="1">
        <v>7</v>
      </c>
      <c r="U171" s="9">
        <v>177.53</v>
      </c>
      <c r="V171" s="9">
        <v>1245.8599999999999</v>
      </c>
      <c r="W171" s="9">
        <v>1242.71</v>
      </c>
      <c r="X171" s="12">
        <v>3.1499999999998636</v>
      </c>
      <c r="Y171" s="10">
        <v>2015</v>
      </c>
    </row>
    <row r="172" spans="1:25">
      <c r="A172" s="1" t="s">
        <v>562</v>
      </c>
      <c r="B172" s="8">
        <v>42225</v>
      </c>
      <c r="C172" s="11" t="s">
        <v>3344</v>
      </c>
      <c r="D172" s="11" t="s">
        <v>3345</v>
      </c>
      <c r="E172" s="5">
        <v>42347</v>
      </c>
      <c r="F172" s="1" t="s">
        <v>49</v>
      </c>
      <c r="G172" s="1" t="s">
        <v>563</v>
      </c>
      <c r="H172" s="1" t="s">
        <v>3502</v>
      </c>
      <c r="I172" s="1" t="s">
        <v>3453</v>
      </c>
      <c r="J172" s="1"/>
      <c r="K172" s="1" t="s">
        <v>29</v>
      </c>
      <c r="L172" s="1" t="s">
        <v>30</v>
      </c>
      <c r="M172" s="1" t="s">
        <v>565</v>
      </c>
      <c r="N172" s="1" t="s">
        <v>89</v>
      </c>
      <c r="O172" s="1">
        <v>78207</v>
      </c>
      <c r="P172" s="1" t="s">
        <v>90</v>
      </c>
      <c r="Q172" s="1" t="s">
        <v>572</v>
      </c>
      <c r="R172" s="1" t="s">
        <v>64</v>
      </c>
      <c r="S172" s="7">
        <v>143.976</v>
      </c>
      <c r="T172" s="1">
        <v>7</v>
      </c>
      <c r="U172" s="9">
        <v>143.22999999999999</v>
      </c>
      <c r="V172" s="9">
        <v>1007.832</v>
      </c>
      <c r="W172" s="9">
        <v>1002.6099999999999</v>
      </c>
      <c r="X172" s="12">
        <v>5.2220000000000937</v>
      </c>
      <c r="Y172" s="10">
        <v>2015</v>
      </c>
    </row>
    <row r="173" spans="1:25">
      <c r="A173" s="1" t="s">
        <v>573</v>
      </c>
      <c r="B173" s="8">
        <v>42132</v>
      </c>
      <c r="C173" s="11" t="s">
        <v>3363</v>
      </c>
      <c r="D173" s="11" t="s">
        <v>3360</v>
      </c>
      <c r="E173" s="5">
        <v>42255</v>
      </c>
      <c r="F173" s="1" t="s">
        <v>49</v>
      </c>
      <c r="G173" s="1" t="s">
        <v>574</v>
      </c>
      <c r="H173" s="1" t="s">
        <v>3503</v>
      </c>
      <c r="I173" s="1" t="s">
        <v>3504</v>
      </c>
      <c r="J173" s="1"/>
      <c r="K173" s="1" t="s">
        <v>29</v>
      </c>
      <c r="L173" s="1" t="s">
        <v>30</v>
      </c>
      <c r="M173" s="1" t="s">
        <v>42</v>
      </c>
      <c r="N173" s="1" t="s">
        <v>68</v>
      </c>
      <c r="O173" s="1">
        <v>90004</v>
      </c>
      <c r="P173" s="1" t="s">
        <v>44</v>
      </c>
      <c r="Q173" s="1" t="s">
        <v>576</v>
      </c>
      <c r="R173" s="1" t="s">
        <v>46</v>
      </c>
      <c r="S173" s="7">
        <v>20.94</v>
      </c>
      <c r="T173" s="1">
        <v>9</v>
      </c>
      <c r="U173" s="9">
        <v>20.32</v>
      </c>
      <c r="V173" s="9">
        <v>188.46</v>
      </c>
      <c r="W173" s="9">
        <v>182.88</v>
      </c>
      <c r="X173" s="12">
        <v>5.5800000000000125</v>
      </c>
      <c r="Y173" s="10">
        <v>2015</v>
      </c>
    </row>
    <row r="174" spans="1:25">
      <c r="A174" s="1" t="s">
        <v>573</v>
      </c>
      <c r="B174" s="8">
        <v>42132</v>
      </c>
      <c r="C174" s="11" t="s">
        <v>3363</v>
      </c>
      <c r="D174" s="11" t="s">
        <v>3360</v>
      </c>
      <c r="E174" s="5">
        <v>42255</v>
      </c>
      <c r="F174" s="1" t="s">
        <v>49</v>
      </c>
      <c r="G174" s="1" t="s">
        <v>574</v>
      </c>
      <c r="H174" s="1" t="s">
        <v>3503</v>
      </c>
      <c r="I174" s="1" t="s">
        <v>3504</v>
      </c>
      <c r="J174" s="1"/>
      <c r="K174" s="1" t="s">
        <v>29</v>
      </c>
      <c r="L174" s="1" t="s">
        <v>30</v>
      </c>
      <c r="M174" s="1" t="s">
        <v>42</v>
      </c>
      <c r="N174" s="1" t="s">
        <v>68</v>
      </c>
      <c r="O174" s="1">
        <v>90004</v>
      </c>
      <c r="P174" s="1" t="s">
        <v>44</v>
      </c>
      <c r="Q174" s="1" t="s">
        <v>577</v>
      </c>
      <c r="R174" s="1" t="s">
        <v>46</v>
      </c>
      <c r="S174" s="7">
        <v>110.96</v>
      </c>
      <c r="T174" s="1">
        <v>9</v>
      </c>
      <c r="U174" s="9">
        <v>110.3</v>
      </c>
      <c r="V174" s="9">
        <v>998.64</v>
      </c>
      <c r="W174" s="9">
        <v>992.69999999999993</v>
      </c>
      <c r="X174" s="12">
        <v>5.9400000000000546</v>
      </c>
      <c r="Y174" s="10">
        <v>2015</v>
      </c>
    </row>
    <row r="175" spans="1:25">
      <c r="A175" s="1" t="s">
        <v>573</v>
      </c>
      <c r="B175" s="8">
        <v>42132</v>
      </c>
      <c r="C175" s="11" t="s">
        <v>3363</v>
      </c>
      <c r="D175" s="11" t="s">
        <v>3360</v>
      </c>
      <c r="E175" s="5">
        <v>42255</v>
      </c>
      <c r="F175" s="1" t="s">
        <v>49</v>
      </c>
      <c r="G175" s="1" t="s">
        <v>574</v>
      </c>
      <c r="H175" s="1" t="s">
        <v>3503</v>
      </c>
      <c r="I175" s="1" t="s">
        <v>3504</v>
      </c>
      <c r="J175" s="1"/>
      <c r="K175" s="1" t="s">
        <v>29</v>
      </c>
      <c r="L175" s="1" t="s">
        <v>30</v>
      </c>
      <c r="M175" s="1" t="s">
        <v>42</v>
      </c>
      <c r="N175" s="1" t="s">
        <v>68</v>
      </c>
      <c r="O175" s="1">
        <v>90004</v>
      </c>
      <c r="P175" s="1" t="s">
        <v>44</v>
      </c>
      <c r="Q175" s="1" t="s">
        <v>578</v>
      </c>
      <c r="R175" s="1" t="s">
        <v>35</v>
      </c>
      <c r="S175" s="7">
        <v>340.14400000000001</v>
      </c>
      <c r="T175" s="1">
        <v>9</v>
      </c>
      <c r="U175" s="9">
        <v>339.46</v>
      </c>
      <c r="V175" s="9">
        <v>3061.2960000000003</v>
      </c>
      <c r="W175" s="9">
        <v>3055.14</v>
      </c>
      <c r="X175" s="12">
        <v>6.1560000000004038</v>
      </c>
      <c r="Y175" s="10">
        <v>2015</v>
      </c>
    </row>
    <row r="176" spans="1:25">
      <c r="A176" s="1" t="s">
        <v>579</v>
      </c>
      <c r="B176" s="8">
        <v>42261</v>
      </c>
      <c r="C176" s="11" t="s">
        <v>3356</v>
      </c>
      <c r="D176" s="11" t="s">
        <v>3345</v>
      </c>
      <c r="E176" s="5" t="s">
        <v>580</v>
      </c>
      <c r="F176" s="1" t="s">
        <v>49</v>
      </c>
      <c r="G176" s="1" t="s">
        <v>581</v>
      </c>
      <c r="H176" s="1" t="s">
        <v>3505</v>
      </c>
      <c r="I176" s="1" t="s">
        <v>3506</v>
      </c>
      <c r="J176" s="1"/>
      <c r="K176" s="1" t="s">
        <v>41</v>
      </c>
      <c r="L176" s="1" t="s">
        <v>30</v>
      </c>
      <c r="M176" s="1" t="s">
        <v>259</v>
      </c>
      <c r="N176" s="1" t="s">
        <v>182</v>
      </c>
      <c r="O176" s="1">
        <v>60623</v>
      </c>
      <c r="P176" s="1" t="s">
        <v>90</v>
      </c>
      <c r="Q176" s="1" t="s">
        <v>583</v>
      </c>
      <c r="R176" s="1" t="s">
        <v>46</v>
      </c>
      <c r="S176" s="7">
        <v>52.448</v>
      </c>
      <c r="T176" s="1">
        <v>6</v>
      </c>
      <c r="U176" s="9">
        <v>51.78</v>
      </c>
      <c r="V176" s="9">
        <v>314.68799999999999</v>
      </c>
      <c r="W176" s="9">
        <v>310.68</v>
      </c>
      <c r="X176" s="12">
        <v>4.0079999999999814</v>
      </c>
      <c r="Y176" s="10">
        <v>2015</v>
      </c>
    </row>
    <row r="177" spans="1:25">
      <c r="A177" s="1" t="s">
        <v>579</v>
      </c>
      <c r="B177" s="8">
        <v>42261</v>
      </c>
      <c r="C177" s="11" t="s">
        <v>3356</v>
      </c>
      <c r="D177" s="11" t="s">
        <v>3345</v>
      </c>
      <c r="E177" s="5" t="s">
        <v>580</v>
      </c>
      <c r="F177" s="1" t="s">
        <v>49</v>
      </c>
      <c r="G177" s="1" t="s">
        <v>581</v>
      </c>
      <c r="H177" s="1" t="s">
        <v>3505</v>
      </c>
      <c r="I177" s="1" t="s">
        <v>3506</v>
      </c>
      <c r="J177" s="1"/>
      <c r="K177" s="1" t="s">
        <v>41</v>
      </c>
      <c r="L177" s="1" t="s">
        <v>30</v>
      </c>
      <c r="M177" s="1" t="s">
        <v>259</v>
      </c>
      <c r="N177" s="1" t="s">
        <v>182</v>
      </c>
      <c r="O177" s="1">
        <v>60623</v>
      </c>
      <c r="P177" s="1" t="s">
        <v>90</v>
      </c>
      <c r="Q177" s="1" t="s">
        <v>584</v>
      </c>
      <c r="R177" s="1" t="s">
        <v>46</v>
      </c>
      <c r="S177" s="7">
        <v>20.16</v>
      </c>
      <c r="T177" s="1">
        <v>6</v>
      </c>
      <c r="U177" s="9">
        <v>19.399999999999999</v>
      </c>
      <c r="V177" s="9">
        <v>120.96000000000001</v>
      </c>
      <c r="W177" s="9">
        <v>116.39999999999999</v>
      </c>
      <c r="X177" s="12">
        <v>4.5600000000000165</v>
      </c>
      <c r="Y177" s="10">
        <v>2015</v>
      </c>
    </row>
    <row r="178" spans="1:25">
      <c r="A178" s="1" t="s">
        <v>585</v>
      </c>
      <c r="B178" s="8">
        <v>43211</v>
      </c>
      <c r="C178" s="11" t="s">
        <v>3359</v>
      </c>
      <c r="D178" s="11" t="s">
        <v>3360</v>
      </c>
      <c r="E178" s="5" t="s">
        <v>586</v>
      </c>
      <c r="F178" s="1" t="s">
        <v>26</v>
      </c>
      <c r="G178" s="1" t="s">
        <v>587</v>
      </c>
      <c r="H178" s="1" t="s">
        <v>3507</v>
      </c>
      <c r="I178" s="1" t="s">
        <v>281</v>
      </c>
      <c r="J178" s="1"/>
      <c r="K178" s="1" t="s">
        <v>29</v>
      </c>
      <c r="L178" s="1" t="s">
        <v>30</v>
      </c>
      <c r="M178" s="1" t="s">
        <v>172</v>
      </c>
      <c r="N178" s="1" t="s">
        <v>89</v>
      </c>
      <c r="O178" s="1">
        <v>77036</v>
      </c>
      <c r="P178" s="1" t="s">
        <v>90</v>
      </c>
      <c r="Q178" s="1" t="s">
        <v>589</v>
      </c>
      <c r="R178" s="1" t="s">
        <v>46</v>
      </c>
      <c r="S178" s="7">
        <v>97.263999999999996</v>
      </c>
      <c r="T178" s="1">
        <v>7</v>
      </c>
      <c r="U178" s="9">
        <v>96.62</v>
      </c>
      <c r="V178" s="9">
        <v>680.84799999999996</v>
      </c>
      <c r="W178" s="9">
        <v>676.34</v>
      </c>
      <c r="X178" s="12">
        <v>4.5079999999999245</v>
      </c>
      <c r="Y178" s="10">
        <v>2018</v>
      </c>
    </row>
    <row r="179" spans="1:25">
      <c r="A179" s="1" t="s">
        <v>590</v>
      </c>
      <c r="B179" s="8">
        <v>42695</v>
      </c>
      <c r="C179" s="11" t="s">
        <v>3353</v>
      </c>
      <c r="D179" s="11" t="s">
        <v>3349</v>
      </c>
      <c r="E179" s="5" t="s">
        <v>591</v>
      </c>
      <c r="F179" s="1" t="s">
        <v>26</v>
      </c>
      <c r="G179" s="1" t="s">
        <v>284</v>
      </c>
      <c r="H179" s="1" t="s">
        <v>3422</v>
      </c>
      <c r="I179" s="1" t="s">
        <v>3423</v>
      </c>
      <c r="J179" s="1"/>
      <c r="K179" s="1" t="s">
        <v>29</v>
      </c>
      <c r="L179" s="1" t="s">
        <v>30</v>
      </c>
      <c r="M179" s="1" t="s">
        <v>505</v>
      </c>
      <c r="N179" s="1" t="s">
        <v>421</v>
      </c>
      <c r="O179" s="1">
        <v>43055</v>
      </c>
      <c r="P179" s="1" t="s">
        <v>128</v>
      </c>
      <c r="Q179" s="1" t="s">
        <v>592</v>
      </c>
      <c r="R179" s="1" t="s">
        <v>35</v>
      </c>
      <c r="S179" s="7">
        <v>396.80200000000002</v>
      </c>
      <c r="T179" s="1">
        <v>4</v>
      </c>
      <c r="U179" s="9">
        <v>396.53</v>
      </c>
      <c r="V179" s="9">
        <v>1587.2080000000001</v>
      </c>
      <c r="W179" s="9">
        <v>1586.12</v>
      </c>
      <c r="X179" s="12">
        <v>1.0880000000001928</v>
      </c>
      <c r="Y179" s="10">
        <v>2016</v>
      </c>
    </row>
    <row r="180" spans="1:25">
      <c r="A180" s="1" t="s">
        <v>590</v>
      </c>
      <c r="B180" s="8">
        <v>42695</v>
      </c>
      <c r="C180" s="11" t="s">
        <v>3353</v>
      </c>
      <c r="D180" s="11" t="s">
        <v>3349</v>
      </c>
      <c r="E180" s="5" t="s">
        <v>591</v>
      </c>
      <c r="F180" s="1" t="s">
        <v>26</v>
      </c>
      <c r="G180" s="1" t="s">
        <v>284</v>
      </c>
      <c r="H180" s="1" t="s">
        <v>3422</v>
      </c>
      <c r="I180" s="1" t="s">
        <v>3423</v>
      </c>
      <c r="J180" s="1"/>
      <c r="K180" s="1" t="s">
        <v>29</v>
      </c>
      <c r="L180" s="1" t="s">
        <v>30</v>
      </c>
      <c r="M180" s="1" t="s">
        <v>505</v>
      </c>
      <c r="N180" s="1" t="s">
        <v>421</v>
      </c>
      <c r="O180" s="1">
        <v>43055</v>
      </c>
      <c r="P180" s="1" t="s">
        <v>128</v>
      </c>
      <c r="Q180" s="1" t="s">
        <v>593</v>
      </c>
      <c r="R180" s="1" t="s">
        <v>46</v>
      </c>
      <c r="S180" s="7">
        <v>15.88</v>
      </c>
      <c r="T180" s="1">
        <v>4</v>
      </c>
      <c r="U180" s="9">
        <v>15.7</v>
      </c>
      <c r="V180" s="9">
        <v>63.52</v>
      </c>
      <c r="W180" s="9">
        <v>62.8</v>
      </c>
      <c r="X180" s="12">
        <v>0.72000000000000597</v>
      </c>
      <c r="Y180" s="10">
        <v>2016</v>
      </c>
    </row>
    <row r="181" spans="1:25">
      <c r="A181" s="1" t="s">
        <v>594</v>
      </c>
      <c r="B181" s="8">
        <v>42719</v>
      </c>
      <c r="C181" s="11" t="s">
        <v>3348</v>
      </c>
      <c r="D181" s="11" t="s">
        <v>3349</v>
      </c>
      <c r="E181" s="5" t="s">
        <v>595</v>
      </c>
      <c r="F181" s="1" t="s">
        <v>49</v>
      </c>
      <c r="G181" s="1" t="s">
        <v>596</v>
      </c>
      <c r="H181" s="1" t="s">
        <v>3437</v>
      </c>
      <c r="I181" s="1" t="s">
        <v>3369</v>
      </c>
      <c r="J181" s="1"/>
      <c r="K181" s="1" t="s">
        <v>87</v>
      </c>
      <c r="L181" s="1" t="s">
        <v>30</v>
      </c>
      <c r="M181" s="1" t="s">
        <v>233</v>
      </c>
      <c r="N181" s="1" t="s">
        <v>234</v>
      </c>
      <c r="O181" s="1">
        <v>10009</v>
      </c>
      <c r="P181" s="1" t="s">
        <v>128</v>
      </c>
      <c r="Q181" s="1" t="s">
        <v>598</v>
      </c>
      <c r="R181" s="1" t="s">
        <v>46</v>
      </c>
      <c r="S181" s="7">
        <v>3.28</v>
      </c>
      <c r="T181" s="1">
        <v>1</v>
      </c>
      <c r="U181" s="9">
        <v>2.3199999999999998</v>
      </c>
      <c r="V181" s="9">
        <v>3.28</v>
      </c>
      <c r="W181" s="9">
        <v>2.3199999999999998</v>
      </c>
      <c r="X181" s="12">
        <v>0.96</v>
      </c>
      <c r="Y181" s="10">
        <v>2016</v>
      </c>
    </row>
    <row r="182" spans="1:25">
      <c r="A182" s="1" t="s">
        <v>599</v>
      </c>
      <c r="B182" s="8">
        <v>42136</v>
      </c>
      <c r="C182" s="11" t="s">
        <v>3363</v>
      </c>
      <c r="D182" s="11" t="s">
        <v>3360</v>
      </c>
      <c r="E182" s="5">
        <v>42259</v>
      </c>
      <c r="F182" s="1" t="s">
        <v>26</v>
      </c>
      <c r="G182" s="1" t="s">
        <v>600</v>
      </c>
      <c r="H182" s="1" t="s">
        <v>3508</v>
      </c>
      <c r="I182" s="1" t="s">
        <v>3509</v>
      </c>
      <c r="J182" s="1"/>
      <c r="K182" s="1" t="s">
        <v>41</v>
      </c>
      <c r="L182" s="1" t="s">
        <v>30</v>
      </c>
      <c r="M182" s="1" t="s">
        <v>303</v>
      </c>
      <c r="N182" s="1" t="s">
        <v>182</v>
      </c>
      <c r="O182" s="1">
        <v>62521</v>
      </c>
      <c r="P182" s="1" t="s">
        <v>90</v>
      </c>
      <c r="Q182" s="1" t="s">
        <v>602</v>
      </c>
      <c r="R182" s="1" t="s">
        <v>46</v>
      </c>
      <c r="S182" s="7">
        <v>24.815999999999999</v>
      </c>
      <c r="T182" s="1">
        <v>6</v>
      </c>
      <c r="U182" s="9">
        <v>24.64</v>
      </c>
      <c r="V182" s="9">
        <v>148.89599999999999</v>
      </c>
      <c r="W182" s="9">
        <v>147.84</v>
      </c>
      <c r="X182" s="12">
        <v>1.0559999999999832</v>
      </c>
      <c r="Y182" s="10">
        <v>2015</v>
      </c>
    </row>
    <row r="183" spans="1:25">
      <c r="A183" s="1" t="s">
        <v>599</v>
      </c>
      <c r="B183" s="8">
        <v>42136</v>
      </c>
      <c r="C183" s="11" t="s">
        <v>3363</v>
      </c>
      <c r="D183" s="11" t="s">
        <v>3360</v>
      </c>
      <c r="E183" s="5">
        <v>42259</v>
      </c>
      <c r="F183" s="1" t="s">
        <v>26</v>
      </c>
      <c r="G183" s="1" t="s">
        <v>600</v>
      </c>
      <c r="H183" s="1" t="s">
        <v>3508</v>
      </c>
      <c r="I183" s="1" t="s">
        <v>3509</v>
      </c>
      <c r="J183" s="1"/>
      <c r="K183" s="1" t="s">
        <v>41</v>
      </c>
      <c r="L183" s="1" t="s">
        <v>30</v>
      </c>
      <c r="M183" s="1" t="s">
        <v>303</v>
      </c>
      <c r="N183" s="1" t="s">
        <v>182</v>
      </c>
      <c r="O183" s="1">
        <v>62521</v>
      </c>
      <c r="P183" s="1" t="s">
        <v>90</v>
      </c>
      <c r="Q183" s="1" t="s">
        <v>603</v>
      </c>
      <c r="R183" s="1" t="s">
        <v>64</v>
      </c>
      <c r="S183" s="7">
        <v>408.74400000000003</v>
      </c>
      <c r="T183" s="1">
        <v>6</v>
      </c>
      <c r="U183" s="9">
        <v>408.52</v>
      </c>
      <c r="V183" s="9">
        <v>2452.4639999999999</v>
      </c>
      <c r="W183" s="9">
        <v>2451.12</v>
      </c>
      <c r="X183" s="12">
        <v>1.3440000000000509</v>
      </c>
      <c r="Y183" s="10">
        <v>2015</v>
      </c>
    </row>
    <row r="184" spans="1:25">
      <c r="A184" s="1" t="s">
        <v>604</v>
      </c>
      <c r="B184" s="8">
        <v>42327</v>
      </c>
      <c r="C184" s="11" t="s">
        <v>3353</v>
      </c>
      <c r="D184" s="11" t="s">
        <v>3349</v>
      </c>
      <c r="E184" s="5" t="s">
        <v>605</v>
      </c>
      <c r="F184" s="1" t="s">
        <v>26</v>
      </c>
      <c r="G184" s="1" t="s">
        <v>606</v>
      </c>
      <c r="H184" s="1" t="s">
        <v>3510</v>
      </c>
      <c r="I184" s="1" t="s">
        <v>3511</v>
      </c>
      <c r="J184" s="1"/>
      <c r="K184" s="1" t="s">
        <v>87</v>
      </c>
      <c r="L184" s="1" t="s">
        <v>30</v>
      </c>
      <c r="M184" s="1" t="s">
        <v>608</v>
      </c>
      <c r="N184" s="1" t="s">
        <v>609</v>
      </c>
      <c r="O184" s="1">
        <v>71203</v>
      </c>
      <c r="P184" s="1" t="s">
        <v>33</v>
      </c>
      <c r="Q184" s="1" t="s">
        <v>610</v>
      </c>
      <c r="R184" s="1" t="s">
        <v>64</v>
      </c>
      <c r="S184" s="7">
        <v>503.96</v>
      </c>
      <c r="T184" s="1">
        <v>7</v>
      </c>
      <c r="U184" s="9">
        <v>503.87</v>
      </c>
      <c r="V184" s="9">
        <v>3527.72</v>
      </c>
      <c r="W184" s="9">
        <v>3527.09</v>
      </c>
      <c r="X184" s="12">
        <v>0.62999999999965439</v>
      </c>
      <c r="Y184" s="10">
        <v>2015</v>
      </c>
    </row>
    <row r="185" spans="1:25">
      <c r="A185" s="1" t="s">
        <v>604</v>
      </c>
      <c r="B185" s="8">
        <v>42327</v>
      </c>
      <c r="C185" s="11" t="s">
        <v>3353</v>
      </c>
      <c r="D185" s="11" t="s">
        <v>3349</v>
      </c>
      <c r="E185" s="5" t="s">
        <v>605</v>
      </c>
      <c r="F185" s="1" t="s">
        <v>26</v>
      </c>
      <c r="G185" s="1" t="s">
        <v>606</v>
      </c>
      <c r="H185" s="1" t="s">
        <v>3510</v>
      </c>
      <c r="I185" s="1" t="s">
        <v>3511</v>
      </c>
      <c r="J185" s="1"/>
      <c r="K185" s="1" t="s">
        <v>87</v>
      </c>
      <c r="L185" s="1" t="s">
        <v>30</v>
      </c>
      <c r="M185" s="1" t="s">
        <v>608</v>
      </c>
      <c r="N185" s="1" t="s">
        <v>609</v>
      </c>
      <c r="O185" s="1">
        <v>71203</v>
      </c>
      <c r="P185" s="1" t="s">
        <v>33</v>
      </c>
      <c r="Q185" s="1" t="s">
        <v>611</v>
      </c>
      <c r="R185" s="1" t="s">
        <v>64</v>
      </c>
      <c r="S185" s="7">
        <v>149.94999999999999</v>
      </c>
      <c r="T185" s="1">
        <v>7</v>
      </c>
      <c r="U185" s="9">
        <v>149.34</v>
      </c>
      <c r="V185" s="9">
        <v>1049.6499999999999</v>
      </c>
      <c r="W185" s="9">
        <v>1045.3800000000001</v>
      </c>
      <c r="X185" s="12">
        <v>4.2699999999997544</v>
      </c>
      <c r="Y185" s="10">
        <v>2015</v>
      </c>
    </row>
    <row r="186" spans="1:25">
      <c r="A186" s="1" t="s">
        <v>604</v>
      </c>
      <c r="B186" s="8">
        <v>42327</v>
      </c>
      <c r="C186" s="11" t="s">
        <v>3353</v>
      </c>
      <c r="D186" s="11" t="s">
        <v>3349</v>
      </c>
      <c r="E186" s="5" t="s">
        <v>605</v>
      </c>
      <c r="F186" s="1" t="s">
        <v>26</v>
      </c>
      <c r="G186" s="1" t="s">
        <v>606</v>
      </c>
      <c r="H186" s="1" t="s">
        <v>3510</v>
      </c>
      <c r="I186" s="1" t="s">
        <v>3511</v>
      </c>
      <c r="J186" s="1"/>
      <c r="K186" s="1" t="s">
        <v>87</v>
      </c>
      <c r="L186" s="1" t="s">
        <v>30</v>
      </c>
      <c r="M186" s="1" t="s">
        <v>608</v>
      </c>
      <c r="N186" s="1" t="s">
        <v>609</v>
      </c>
      <c r="O186" s="1">
        <v>71203</v>
      </c>
      <c r="P186" s="1" t="s">
        <v>33</v>
      </c>
      <c r="Q186" s="1" t="s">
        <v>612</v>
      </c>
      <c r="R186" s="1" t="s">
        <v>64</v>
      </c>
      <c r="S186" s="7">
        <v>29</v>
      </c>
      <c r="T186" s="1">
        <v>7</v>
      </c>
      <c r="U186" s="9">
        <v>28.46</v>
      </c>
      <c r="V186" s="9">
        <v>203</v>
      </c>
      <c r="W186" s="9">
        <v>199.22</v>
      </c>
      <c r="X186" s="12">
        <v>3.7800000000000011</v>
      </c>
      <c r="Y186" s="10">
        <v>2015</v>
      </c>
    </row>
    <row r="187" spans="1:25">
      <c r="A187" s="1" t="s">
        <v>613</v>
      </c>
      <c r="B187" s="8">
        <v>43067</v>
      </c>
      <c r="C187" s="11" t="s">
        <v>3353</v>
      </c>
      <c r="D187" s="11" t="s">
        <v>3349</v>
      </c>
      <c r="E187" s="5">
        <v>42778</v>
      </c>
      <c r="F187" s="1" t="s">
        <v>49</v>
      </c>
      <c r="G187" s="1" t="s">
        <v>614</v>
      </c>
      <c r="H187" s="1" t="s">
        <v>3479</v>
      </c>
      <c r="I187" s="1" t="s">
        <v>3512</v>
      </c>
      <c r="J187" s="1"/>
      <c r="K187" s="1" t="s">
        <v>29</v>
      </c>
      <c r="L187" s="1" t="s">
        <v>30</v>
      </c>
      <c r="M187" s="1" t="s">
        <v>616</v>
      </c>
      <c r="N187" s="1" t="s">
        <v>617</v>
      </c>
      <c r="O187" s="1">
        <v>6824</v>
      </c>
      <c r="P187" s="1" t="s">
        <v>128</v>
      </c>
      <c r="Q187" s="1" t="s">
        <v>618</v>
      </c>
      <c r="R187" s="1" t="s">
        <v>46</v>
      </c>
      <c r="S187" s="7">
        <v>7.16</v>
      </c>
      <c r="T187" s="1">
        <v>6</v>
      </c>
      <c r="U187" s="9">
        <v>6.85</v>
      </c>
      <c r="V187" s="9">
        <v>42.96</v>
      </c>
      <c r="W187" s="9">
        <v>41.099999999999994</v>
      </c>
      <c r="X187" s="12">
        <v>1.8600000000000065</v>
      </c>
      <c r="Y187" s="10">
        <v>2017</v>
      </c>
    </row>
    <row r="188" spans="1:25">
      <c r="A188" s="1" t="s">
        <v>619</v>
      </c>
      <c r="B188" s="8">
        <v>42242</v>
      </c>
      <c r="C188" s="11" t="s">
        <v>3344</v>
      </c>
      <c r="D188" s="11" t="s">
        <v>3345</v>
      </c>
      <c r="E188" s="5" t="s">
        <v>620</v>
      </c>
      <c r="F188" s="1" t="s">
        <v>49</v>
      </c>
      <c r="G188" s="1" t="s">
        <v>621</v>
      </c>
      <c r="H188" s="1" t="s">
        <v>3513</v>
      </c>
      <c r="I188" s="1" t="s">
        <v>3514</v>
      </c>
      <c r="J188" s="1"/>
      <c r="K188" s="1" t="s">
        <v>87</v>
      </c>
      <c r="L188" s="1" t="s">
        <v>30</v>
      </c>
      <c r="M188" s="1" t="s">
        <v>42</v>
      </c>
      <c r="N188" s="1" t="s">
        <v>68</v>
      </c>
      <c r="O188" s="1">
        <v>90032</v>
      </c>
      <c r="P188" s="1" t="s">
        <v>44</v>
      </c>
      <c r="Q188" s="1" t="s">
        <v>623</v>
      </c>
      <c r="R188" s="1" t="s">
        <v>64</v>
      </c>
      <c r="S188" s="7">
        <v>176.8</v>
      </c>
      <c r="T188" s="1">
        <v>9</v>
      </c>
      <c r="U188" s="9">
        <v>176.49</v>
      </c>
      <c r="V188" s="9">
        <v>1591.2</v>
      </c>
      <c r="W188" s="9">
        <v>1588.41</v>
      </c>
      <c r="X188" s="12">
        <v>2.7899999999999636</v>
      </c>
      <c r="Y188" s="10">
        <v>2015</v>
      </c>
    </row>
    <row r="189" spans="1:25">
      <c r="A189" s="1" t="s">
        <v>624</v>
      </c>
      <c r="B189" s="8">
        <v>42932</v>
      </c>
      <c r="C189" s="11" t="s">
        <v>3376</v>
      </c>
      <c r="D189" s="11" t="s">
        <v>3345</v>
      </c>
      <c r="E189" s="5" t="s">
        <v>185</v>
      </c>
      <c r="F189" s="1" t="s">
        <v>49</v>
      </c>
      <c r="G189" s="1" t="s">
        <v>625</v>
      </c>
      <c r="H189" s="1" t="s">
        <v>3515</v>
      </c>
      <c r="I189" s="1" t="s">
        <v>3516</v>
      </c>
      <c r="J189" s="1"/>
      <c r="K189" s="1" t="s">
        <v>41</v>
      </c>
      <c r="L189" s="1" t="s">
        <v>30</v>
      </c>
      <c r="M189" s="1" t="s">
        <v>627</v>
      </c>
      <c r="N189" s="1" t="s">
        <v>89</v>
      </c>
      <c r="O189" s="1">
        <v>75051</v>
      </c>
      <c r="P189" s="1" t="s">
        <v>90</v>
      </c>
      <c r="Q189" s="1" t="s">
        <v>628</v>
      </c>
      <c r="R189" s="1" t="s">
        <v>46</v>
      </c>
      <c r="S189" s="7">
        <v>37.223999999999997</v>
      </c>
      <c r="T189" s="1">
        <v>7</v>
      </c>
      <c r="U189" s="9">
        <v>37.03</v>
      </c>
      <c r="V189" s="9">
        <v>260.56799999999998</v>
      </c>
      <c r="W189" s="9">
        <v>259.21000000000004</v>
      </c>
      <c r="X189" s="12">
        <v>1.3579999999999472</v>
      </c>
      <c r="Y189" s="10">
        <v>2017</v>
      </c>
    </row>
    <row r="190" spans="1:25">
      <c r="A190" s="1" t="s">
        <v>624</v>
      </c>
      <c r="B190" s="8">
        <v>42932</v>
      </c>
      <c r="C190" s="11" t="s">
        <v>3376</v>
      </c>
      <c r="D190" s="11" t="s">
        <v>3345</v>
      </c>
      <c r="E190" s="5" t="s">
        <v>185</v>
      </c>
      <c r="F190" s="1" t="s">
        <v>49</v>
      </c>
      <c r="G190" s="1" t="s">
        <v>625</v>
      </c>
      <c r="H190" s="1" t="s">
        <v>3515</v>
      </c>
      <c r="I190" s="1" t="s">
        <v>3516</v>
      </c>
      <c r="J190" s="1"/>
      <c r="K190" s="1" t="s">
        <v>41</v>
      </c>
      <c r="L190" s="1" t="s">
        <v>30</v>
      </c>
      <c r="M190" s="1" t="s">
        <v>627</v>
      </c>
      <c r="N190" s="1" t="s">
        <v>89</v>
      </c>
      <c r="O190" s="1">
        <v>75051</v>
      </c>
      <c r="P190" s="1" t="s">
        <v>90</v>
      </c>
      <c r="Q190" s="1" t="s">
        <v>525</v>
      </c>
      <c r="R190" s="1" t="s">
        <v>46</v>
      </c>
      <c r="S190" s="7">
        <v>20.015999999999998</v>
      </c>
      <c r="T190" s="1">
        <v>7</v>
      </c>
      <c r="U190" s="9">
        <v>19.38</v>
      </c>
      <c r="V190" s="9">
        <v>140.11199999999999</v>
      </c>
      <c r="W190" s="9">
        <v>135.66</v>
      </c>
      <c r="X190" s="12">
        <v>4.4519999999999982</v>
      </c>
      <c r="Y190" s="10">
        <v>2017</v>
      </c>
    </row>
    <row r="191" spans="1:25">
      <c r="A191" s="1" t="s">
        <v>629</v>
      </c>
      <c r="B191" s="8">
        <v>42714</v>
      </c>
      <c r="C191" s="11" t="s">
        <v>3348</v>
      </c>
      <c r="D191" s="11" t="s">
        <v>3349</v>
      </c>
      <c r="E191" s="5" t="s">
        <v>630</v>
      </c>
      <c r="F191" s="1" t="s">
        <v>162</v>
      </c>
      <c r="G191" s="1" t="s">
        <v>631</v>
      </c>
      <c r="H191" s="1" t="s">
        <v>3517</v>
      </c>
      <c r="I191" s="1" t="s">
        <v>3518</v>
      </c>
      <c r="J191" s="1"/>
      <c r="K191" s="1" t="s">
        <v>87</v>
      </c>
      <c r="L191" s="1" t="s">
        <v>30</v>
      </c>
      <c r="M191" s="1" t="s">
        <v>233</v>
      </c>
      <c r="N191" s="1" t="s">
        <v>234</v>
      </c>
      <c r="O191" s="1">
        <v>10035</v>
      </c>
      <c r="P191" s="1" t="s">
        <v>128</v>
      </c>
      <c r="Q191" s="1" t="s">
        <v>633</v>
      </c>
      <c r="R191" s="1" t="s">
        <v>35</v>
      </c>
      <c r="S191" s="7">
        <v>899.13599999999997</v>
      </c>
      <c r="T191" s="1">
        <v>1</v>
      </c>
      <c r="U191" s="9">
        <v>898.53</v>
      </c>
      <c r="V191" s="9">
        <v>899.13599999999997</v>
      </c>
      <c r="W191" s="9">
        <v>898.53</v>
      </c>
      <c r="X191" s="12">
        <v>0.60599999999999454</v>
      </c>
      <c r="Y191" s="10">
        <v>2016</v>
      </c>
    </row>
    <row r="192" spans="1:25">
      <c r="A192" s="1" t="s">
        <v>629</v>
      </c>
      <c r="B192" s="8">
        <v>42714</v>
      </c>
      <c r="C192" s="11" t="s">
        <v>3348</v>
      </c>
      <c r="D192" s="11" t="s">
        <v>3349</v>
      </c>
      <c r="E192" s="5" t="s">
        <v>630</v>
      </c>
      <c r="F192" s="1" t="s">
        <v>162</v>
      </c>
      <c r="G192" s="1" t="s">
        <v>631</v>
      </c>
      <c r="H192" s="1" t="s">
        <v>3517</v>
      </c>
      <c r="I192" s="1" t="s">
        <v>3518</v>
      </c>
      <c r="J192" s="1"/>
      <c r="K192" s="1" t="s">
        <v>87</v>
      </c>
      <c r="L192" s="1" t="s">
        <v>30</v>
      </c>
      <c r="M192" s="1" t="s">
        <v>233</v>
      </c>
      <c r="N192" s="1" t="s">
        <v>234</v>
      </c>
      <c r="O192" s="1">
        <v>10035</v>
      </c>
      <c r="P192" s="1" t="s">
        <v>128</v>
      </c>
      <c r="Q192" s="1" t="s">
        <v>634</v>
      </c>
      <c r="R192" s="1" t="s">
        <v>64</v>
      </c>
      <c r="S192" s="7">
        <v>71.760000000000005</v>
      </c>
      <c r="T192" s="1">
        <v>1</v>
      </c>
      <c r="U192" s="9">
        <v>71.44</v>
      </c>
      <c r="V192" s="9">
        <v>71.760000000000005</v>
      </c>
      <c r="W192" s="9">
        <v>71.44</v>
      </c>
      <c r="X192" s="12">
        <v>0.32000000000000739</v>
      </c>
      <c r="Y192" s="10">
        <v>2016</v>
      </c>
    </row>
    <row r="193" spans="1:25">
      <c r="A193" s="1" t="s">
        <v>629</v>
      </c>
      <c r="B193" s="8">
        <v>42714</v>
      </c>
      <c r="C193" s="11" t="s">
        <v>3348</v>
      </c>
      <c r="D193" s="11" t="s">
        <v>3349</v>
      </c>
      <c r="E193" s="5" t="s">
        <v>630</v>
      </c>
      <c r="F193" s="1" t="s">
        <v>162</v>
      </c>
      <c r="G193" s="1" t="s">
        <v>631</v>
      </c>
      <c r="H193" s="1" t="s">
        <v>3517</v>
      </c>
      <c r="I193" s="1" t="s">
        <v>3518</v>
      </c>
      <c r="J193" s="1"/>
      <c r="K193" s="1" t="s">
        <v>87</v>
      </c>
      <c r="L193" s="1" t="s">
        <v>30</v>
      </c>
      <c r="M193" s="1" t="s">
        <v>233</v>
      </c>
      <c r="N193" s="1" t="s">
        <v>234</v>
      </c>
      <c r="O193" s="1">
        <v>10035</v>
      </c>
      <c r="P193" s="1" t="s">
        <v>128</v>
      </c>
      <c r="Q193" s="1" t="s">
        <v>635</v>
      </c>
      <c r="R193" s="1" t="s">
        <v>46</v>
      </c>
      <c r="S193" s="7">
        <v>51.84</v>
      </c>
      <c r="T193" s="1">
        <v>1</v>
      </c>
      <c r="U193" s="9">
        <v>51.52</v>
      </c>
      <c r="V193" s="9">
        <v>51.84</v>
      </c>
      <c r="W193" s="9">
        <v>51.52</v>
      </c>
      <c r="X193" s="12">
        <v>0.32000000000000028</v>
      </c>
      <c r="Y193" s="10">
        <v>2016</v>
      </c>
    </row>
    <row r="194" spans="1:25">
      <c r="A194" s="1" t="s">
        <v>629</v>
      </c>
      <c r="B194" s="8">
        <v>42714</v>
      </c>
      <c r="C194" s="11" t="s">
        <v>3348</v>
      </c>
      <c r="D194" s="11" t="s">
        <v>3349</v>
      </c>
      <c r="E194" s="5" t="s">
        <v>630</v>
      </c>
      <c r="F194" s="1" t="s">
        <v>162</v>
      </c>
      <c r="G194" s="1" t="s">
        <v>631</v>
      </c>
      <c r="H194" s="1" t="s">
        <v>3517</v>
      </c>
      <c r="I194" s="1" t="s">
        <v>3518</v>
      </c>
      <c r="J194" s="1"/>
      <c r="K194" s="1" t="s">
        <v>87</v>
      </c>
      <c r="L194" s="1" t="s">
        <v>30</v>
      </c>
      <c r="M194" s="1" t="s">
        <v>233</v>
      </c>
      <c r="N194" s="1" t="s">
        <v>234</v>
      </c>
      <c r="O194" s="1">
        <v>10035</v>
      </c>
      <c r="P194" s="1" t="s">
        <v>128</v>
      </c>
      <c r="Q194" s="1" t="s">
        <v>174</v>
      </c>
      <c r="R194" s="1" t="s">
        <v>35</v>
      </c>
      <c r="S194" s="7">
        <v>626.35199999999998</v>
      </c>
      <c r="T194" s="1">
        <v>1</v>
      </c>
      <c r="U194" s="9">
        <v>625.59</v>
      </c>
      <c r="V194" s="9">
        <v>626.35199999999998</v>
      </c>
      <c r="W194" s="9">
        <v>625.59</v>
      </c>
      <c r="X194" s="12">
        <v>0.76199999999994361</v>
      </c>
      <c r="Y194" s="10">
        <v>2016</v>
      </c>
    </row>
    <row r="195" spans="1:25">
      <c r="A195" s="1" t="s">
        <v>629</v>
      </c>
      <c r="B195" s="8">
        <v>42714</v>
      </c>
      <c r="C195" s="11" t="s">
        <v>3348</v>
      </c>
      <c r="D195" s="11" t="s">
        <v>3349</v>
      </c>
      <c r="E195" s="5" t="s">
        <v>630</v>
      </c>
      <c r="F195" s="1" t="s">
        <v>162</v>
      </c>
      <c r="G195" s="1" t="s">
        <v>631</v>
      </c>
      <c r="H195" s="1" t="s">
        <v>3517</v>
      </c>
      <c r="I195" s="1" t="s">
        <v>3518</v>
      </c>
      <c r="J195" s="1"/>
      <c r="K195" s="1" t="s">
        <v>87</v>
      </c>
      <c r="L195" s="1" t="s">
        <v>30</v>
      </c>
      <c r="M195" s="1" t="s">
        <v>233</v>
      </c>
      <c r="N195" s="1" t="s">
        <v>234</v>
      </c>
      <c r="O195" s="1">
        <v>10035</v>
      </c>
      <c r="P195" s="1" t="s">
        <v>128</v>
      </c>
      <c r="Q195" s="1" t="s">
        <v>636</v>
      </c>
      <c r="R195" s="1" t="s">
        <v>46</v>
      </c>
      <c r="S195" s="7">
        <v>19.899999999999999</v>
      </c>
      <c r="T195" s="1">
        <v>1</v>
      </c>
      <c r="U195" s="9">
        <v>19.54</v>
      </c>
      <c r="V195" s="9">
        <v>19.899999999999999</v>
      </c>
      <c r="W195" s="9">
        <v>19.54</v>
      </c>
      <c r="X195" s="12">
        <v>0.35999999999999943</v>
      </c>
      <c r="Y195" s="10">
        <v>2016</v>
      </c>
    </row>
    <row r="196" spans="1:25">
      <c r="A196" s="1" t="s">
        <v>637</v>
      </c>
      <c r="B196" s="8">
        <v>42674</v>
      </c>
      <c r="C196" s="11" t="s">
        <v>3387</v>
      </c>
      <c r="D196" s="11" t="s">
        <v>3349</v>
      </c>
      <c r="E196" s="5">
        <v>42532</v>
      </c>
      <c r="F196" s="1" t="s">
        <v>49</v>
      </c>
      <c r="G196" s="1" t="s">
        <v>638</v>
      </c>
      <c r="H196" s="1" t="s">
        <v>3519</v>
      </c>
      <c r="I196" s="1" t="s">
        <v>3520</v>
      </c>
      <c r="J196" s="1"/>
      <c r="K196" s="1" t="s">
        <v>41</v>
      </c>
      <c r="L196" s="1" t="s">
        <v>30</v>
      </c>
      <c r="M196" s="1" t="s">
        <v>640</v>
      </c>
      <c r="N196" s="1" t="s">
        <v>68</v>
      </c>
      <c r="O196" s="1">
        <v>92374</v>
      </c>
      <c r="P196" s="1" t="s">
        <v>44</v>
      </c>
      <c r="Q196" s="1" t="s">
        <v>151</v>
      </c>
      <c r="R196" s="1" t="s">
        <v>46</v>
      </c>
      <c r="S196" s="7">
        <v>14.28</v>
      </c>
      <c r="T196" s="1">
        <v>9</v>
      </c>
      <c r="U196" s="9">
        <v>14.19</v>
      </c>
      <c r="V196" s="9">
        <v>128.51999999999998</v>
      </c>
      <c r="W196" s="9">
        <v>127.71</v>
      </c>
      <c r="X196" s="12">
        <v>0.80999999999998806</v>
      </c>
      <c r="Y196" s="10">
        <v>2016</v>
      </c>
    </row>
    <row r="197" spans="1:25">
      <c r="A197" s="1" t="s">
        <v>641</v>
      </c>
      <c r="B197" s="8">
        <v>42084</v>
      </c>
      <c r="C197" s="11" t="s">
        <v>3429</v>
      </c>
      <c r="D197" s="11" t="s">
        <v>3382</v>
      </c>
      <c r="E197" s="5" t="s">
        <v>642</v>
      </c>
      <c r="F197" s="1" t="s">
        <v>49</v>
      </c>
      <c r="G197" s="1" t="s">
        <v>643</v>
      </c>
      <c r="H197" s="1" t="s">
        <v>3521</v>
      </c>
      <c r="I197" s="1" t="s">
        <v>3522</v>
      </c>
      <c r="J197" s="1"/>
      <c r="K197" s="1" t="s">
        <v>29</v>
      </c>
      <c r="L197" s="1" t="s">
        <v>30</v>
      </c>
      <c r="M197" s="1" t="s">
        <v>645</v>
      </c>
      <c r="N197" s="1" t="s">
        <v>421</v>
      </c>
      <c r="O197" s="1">
        <v>45011</v>
      </c>
      <c r="P197" s="1" t="s">
        <v>128</v>
      </c>
      <c r="Q197" s="1" t="s">
        <v>646</v>
      </c>
      <c r="R197" s="1" t="s">
        <v>46</v>
      </c>
      <c r="S197" s="7">
        <v>7.4080000000000004</v>
      </c>
      <c r="T197" s="1">
        <v>4</v>
      </c>
      <c r="U197" s="9">
        <v>6.46</v>
      </c>
      <c r="V197" s="9">
        <v>29.632000000000001</v>
      </c>
      <c r="W197" s="9">
        <v>25.84</v>
      </c>
      <c r="X197" s="12">
        <v>3.7920000000000016</v>
      </c>
      <c r="Y197" s="10">
        <v>2015</v>
      </c>
    </row>
    <row r="198" spans="1:25">
      <c r="A198" s="1" t="s">
        <v>641</v>
      </c>
      <c r="B198" s="8">
        <v>42084</v>
      </c>
      <c r="C198" s="11" t="s">
        <v>3429</v>
      </c>
      <c r="D198" s="11" t="s">
        <v>3382</v>
      </c>
      <c r="E198" s="5" t="s">
        <v>642</v>
      </c>
      <c r="F198" s="1" t="s">
        <v>49</v>
      </c>
      <c r="G198" s="1" t="s">
        <v>643</v>
      </c>
      <c r="H198" s="1" t="s">
        <v>3521</v>
      </c>
      <c r="I198" s="1" t="s">
        <v>3522</v>
      </c>
      <c r="J198" s="1"/>
      <c r="K198" s="1" t="s">
        <v>29</v>
      </c>
      <c r="L198" s="1" t="s">
        <v>30</v>
      </c>
      <c r="M198" s="1" t="s">
        <v>645</v>
      </c>
      <c r="N198" s="1" t="s">
        <v>421</v>
      </c>
      <c r="O198" s="1">
        <v>45011</v>
      </c>
      <c r="P198" s="1" t="s">
        <v>128</v>
      </c>
      <c r="Q198" s="1" t="s">
        <v>647</v>
      </c>
      <c r="R198" s="1" t="s">
        <v>46</v>
      </c>
      <c r="S198" s="7">
        <v>6.048</v>
      </c>
      <c r="T198" s="1">
        <v>4</v>
      </c>
      <c r="U198" s="9">
        <v>5.82</v>
      </c>
      <c r="V198" s="9">
        <v>24.192</v>
      </c>
      <c r="W198" s="9">
        <v>23.28</v>
      </c>
      <c r="X198" s="12">
        <v>0.91199999999999903</v>
      </c>
      <c r="Y198" s="10">
        <v>2015</v>
      </c>
    </row>
    <row r="199" spans="1:25">
      <c r="A199" s="1" t="s">
        <v>648</v>
      </c>
      <c r="B199" s="8">
        <v>43262</v>
      </c>
      <c r="C199" s="11" t="s">
        <v>3403</v>
      </c>
      <c r="D199" s="11" t="s">
        <v>3360</v>
      </c>
      <c r="E199" s="5" t="s">
        <v>649</v>
      </c>
      <c r="F199" s="1" t="s">
        <v>49</v>
      </c>
      <c r="G199" s="1" t="s">
        <v>650</v>
      </c>
      <c r="H199" s="1" t="s">
        <v>3523</v>
      </c>
      <c r="I199" s="1" t="s">
        <v>3436</v>
      </c>
      <c r="J199" s="1"/>
      <c r="K199" s="1" t="s">
        <v>87</v>
      </c>
      <c r="L199" s="1" t="s">
        <v>30</v>
      </c>
      <c r="M199" s="1" t="s">
        <v>652</v>
      </c>
      <c r="N199" s="1" t="s">
        <v>653</v>
      </c>
      <c r="O199" s="1">
        <v>7090</v>
      </c>
      <c r="P199" s="1" t="s">
        <v>128</v>
      </c>
      <c r="Q199" s="1" t="s">
        <v>654</v>
      </c>
      <c r="R199" s="1" t="s">
        <v>46</v>
      </c>
      <c r="S199" s="7">
        <v>46.26</v>
      </c>
      <c r="T199" s="1">
        <v>7</v>
      </c>
      <c r="U199" s="9">
        <v>45.71</v>
      </c>
      <c r="V199" s="9">
        <v>323.82</v>
      </c>
      <c r="W199" s="9">
        <v>319.97000000000003</v>
      </c>
      <c r="X199" s="12">
        <v>3.8499999999999659</v>
      </c>
      <c r="Y199" s="10">
        <v>2018</v>
      </c>
    </row>
    <row r="200" spans="1:25">
      <c r="A200" s="1" t="s">
        <v>655</v>
      </c>
      <c r="B200" s="8">
        <v>43258</v>
      </c>
      <c r="C200" s="11" t="s">
        <v>3403</v>
      </c>
      <c r="D200" s="11" t="s">
        <v>3360</v>
      </c>
      <c r="E200" s="5" t="s">
        <v>656</v>
      </c>
      <c r="F200" s="1" t="s">
        <v>49</v>
      </c>
      <c r="G200" s="1" t="s">
        <v>657</v>
      </c>
      <c r="H200" s="1" t="s">
        <v>3524</v>
      </c>
      <c r="I200" s="1" t="s">
        <v>3525</v>
      </c>
      <c r="J200" s="1"/>
      <c r="K200" s="1" t="s">
        <v>41</v>
      </c>
      <c r="L200" s="1" t="s">
        <v>30</v>
      </c>
      <c r="M200" s="1" t="s">
        <v>126</v>
      </c>
      <c r="N200" s="1" t="s">
        <v>127</v>
      </c>
      <c r="O200" s="1">
        <v>19120</v>
      </c>
      <c r="P200" s="1" t="s">
        <v>128</v>
      </c>
      <c r="Q200" s="1" t="s">
        <v>659</v>
      </c>
      <c r="R200" s="1" t="s">
        <v>46</v>
      </c>
      <c r="S200" s="7">
        <v>2.9460000000000002</v>
      </c>
      <c r="T200" s="1">
        <v>1</v>
      </c>
      <c r="U200" s="9">
        <v>2.85</v>
      </c>
      <c r="V200" s="9">
        <v>2.9460000000000002</v>
      </c>
      <c r="W200" s="9">
        <v>2.85</v>
      </c>
      <c r="X200" s="12">
        <v>9.6000000000000085E-2</v>
      </c>
      <c r="Y200" s="10">
        <v>2018</v>
      </c>
    </row>
    <row r="201" spans="1:25">
      <c r="A201" s="1" t="s">
        <v>655</v>
      </c>
      <c r="B201" s="8">
        <v>43258</v>
      </c>
      <c r="C201" s="11" t="s">
        <v>3403</v>
      </c>
      <c r="D201" s="11" t="s">
        <v>3360</v>
      </c>
      <c r="E201" s="5" t="s">
        <v>656</v>
      </c>
      <c r="F201" s="1" t="s">
        <v>49</v>
      </c>
      <c r="G201" s="1" t="s">
        <v>657</v>
      </c>
      <c r="H201" s="1" t="s">
        <v>3524</v>
      </c>
      <c r="I201" s="1" t="s">
        <v>3525</v>
      </c>
      <c r="J201" s="1"/>
      <c r="K201" s="1" t="s">
        <v>41</v>
      </c>
      <c r="L201" s="1" t="s">
        <v>30</v>
      </c>
      <c r="M201" s="1" t="s">
        <v>126</v>
      </c>
      <c r="N201" s="1" t="s">
        <v>127</v>
      </c>
      <c r="O201" s="1">
        <v>19120</v>
      </c>
      <c r="P201" s="1" t="s">
        <v>128</v>
      </c>
      <c r="Q201" s="1" t="s">
        <v>660</v>
      </c>
      <c r="R201" s="1" t="s">
        <v>46</v>
      </c>
      <c r="S201" s="7">
        <v>16.056000000000001</v>
      </c>
      <c r="T201" s="1">
        <v>1</v>
      </c>
      <c r="U201" s="9">
        <v>15.84</v>
      </c>
      <c r="V201" s="9">
        <v>16.056000000000001</v>
      </c>
      <c r="W201" s="9">
        <v>15.84</v>
      </c>
      <c r="X201" s="12">
        <v>0.21600000000000108</v>
      </c>
      <c r="Y201" s="10">
        <v>2018</v>
      </c>
    </row>
    <row r="202" spans="1:25">
      <c r="A202" s="1" t="s">
        <v>661</v>
      </c>
      <c r="B202" s="8">
        <v>43275</v>
      </c>
      <c r="C202" s="11" t="s">
        <v>3403</v>
      </c>
      <c r="D202" s="11" t="s">
        <v>3360</v>
      </c>
      <c r="E202" s="5" t="s">
        <v>662</v>
      </c>
      <c r="F202" s="1" t="s">
        <v>49</v>
      </c>
      <c r="G202" s="1" t="s">
        <v>663</v>
      </c>
      <c r="H202" s="1" t="s">
        <v>3526</v>
      </c>
      <c r="I202" s="1" t="s">
        <v>3527</v>
      </c>
      <c r="J202" s="1"/>
      <c r="K202" s="1" t="s">
        <v>29</v>
      </c>
      <c r="L202" s="1" t="s">
        <v>30</v>
      </c>
      <c r="M202" s="1" t="s">
        <v>665</v>
      </c>
      <c r="N202" s="1" t="s">
        <v>421</v>
      </c>
      <c r="O202" s="1">
        <v>44312</v>
      </c>
      <c r="P202" s="1" t="s">
        <v>128</v>
      </c>
      <c r="Q202" s="1" t="s">
        <v>666</v>
      </c>
      <c r="R202" s="1" t="s">
        <v>46</v>
      </c>
      <c r="S202" s="7">
        <v>21.744</v>
      </c>
      <c r="T202" s="1">
        <v>4</v>
      </c>
      <c r="U202" s="9">
        <v>21.73</v>
      </c>
      <c r="V202" s="9">
        <v>86.975999999999999</v>
      </c>
      <c r="W202" s="9">
        <v>86.92</v>
      </c>
      <c r="X202" s="12">
        <v>5.5999999999997385E-2</v>
      </c>
      <c r="Y202" s="10">
        <v>2018</v>
      </c>
    </row>
    <row r="203" spans="1:25">
      <c r="A203" s="1" t="s">
        <v>667</v>
      </c>
      <c r="B203" s="8">
        <v>42071</v>
      </c>
      <c r="C203" s="11" t="s">
        <v>3429</v>
      </c>
      <c r="D203" s="11" t="s">
        <v>3382</v>
      </c>
      <c r="E203" s="5">
        <v>42132</v>
      </c>
      <c r="F203" s="1" t="s">
        <v>162</v>
      </c>
      <c r="G203" s="1" t="s">
        <v>668</v>
      </c>
      <c r="H203" s="1" t="s">
        <v>3528</v>
      </c>
      <c r="I203" s="1" t="s">
        <v>3425</v>
      </c>
      <c r="J203" s="1"/>
      <c r="K203" s="1" t="s">
        <v>29</v>
      </c>
      <c r="L203" s="1" t="s">
        <v>30</v>
      </c>
      <c r="M203" s="1" t="s">
        <v>670</v>
      </c>
      <c r="N203" s="1" t="s">
        <v>386</v>
      </c>
      <c r="O203" s="1">
        <v>80219</v>
      </c>
      <c r="P203" s="1" t="s">
        <v>44</v>
      </c>
      <c r="Q203" s="1" t="s">
        <v>671</v>
      </c>
      <c r="R203" s="1" t="s">
        <v>35</v>
      </c>
      <c r="S203" s="7">
        <v>218.75</v>
      </c>
      <c r="T203" s="1">
        <v>8</v>
      </c>
      <c r="U203" s="9">
        <v>218.11</v>
      </c>
      <c r="V203" s="9">
        <v>1750</v>
      </c>
      <c r="W203" s="9">
        <v>1744.88</v>
      </c>
      <c r="X203" s="12">
        <v>5.1199999999998909</v>
      </c>
      <c r="Y203" s="10">
        <v>2015</v>
      </c>
    </row>
    <row r="204" spans="1:25">
      <c r="A204" s="1" t="s">
        <v>667</v>
      </c>
      <c r="B204" s="8">
        <v>42071</v>
      </c>
      <c r="C204" s="11" t="s">
        <v>3429</v>
      </c>
      <c r="D204" s="11" t="s">
        <v>3382</v>
      </c>
      <c r="E204" s="5">
        <v>42132</v>
      </c>
      <c r="F204" s="1" t="s">
        <v>162</v>
      </c>
      <c r="G204" s="1" t="s">
        <v>668</v>
      </c>
      <c r="H204" s="1" t="s">
        <v>3528</v>
      </c>
      <c r="I204" s="1" t="s">
        <v>3425</v>
      </c>
      <c r="J204" s="1"/>
      <c r="K204" s="1" t="s">
        <v>29</v>
      </c>
      <c r="L204" s="1" t="s">
        <v>30</v>
      </c>
      <c r="M204" s="1" t="s">
        <v>670</v>
      </c>
      <c r="N204" s="1" t="s">
        <v>386</v>
      </c>
      <c r="O204" s="1">
        <v>80219</v>
      </c>
      <c r="P204" s="1" t="s">
        <v>44</v>
      </c>
      <c r="Q204" s="1" t="s">
        <v>672</v>
      </c>
      <c r="R204" s="1" t="s">
        <v>46</v>
      </c>
      <c r="S204" s="7">
        <v>2.6</v>
      </c>
      <c r="T204" s="1">
        <v>8</v>
      </c>
      <c r="U204" s="9">
        <v>2.52</v>
      </c>
      <c r="V204" s="9">
        <v>20.8</v>
      </c>
      <c r="W204" s="9">
        <v>20.16</v>
      </c>
      <c r="X204" s="12">
        <v>0.64000000000000057</v>
      </c>
      <c r="Y204" s="10">
        <v>2015</v>
      </c>
    </row>
    <row r="205" spans="1:25">
      <c r="A205" s="1" t="s">
        <v>673</v>
      </c>
      <c r="B205" s="8">
        <v>43451</v>
      </c>
      <c r="C205" s="11" t="s">
        <v>3348</v>
      </c>
      <c r="D205" s="11" t="s">
        <v>3349</v>
      </c>
      <c r="E205" s="5" t="s">
        <v>674</v>
      </c>
      <c r="F205" s="1" t="s">
        <v>26</v>
      </c>
      <c r="G205" s="1" t="s">
        <v>675</v>
      </c>
      <c r="H205" s="1" t="s">
        <v>3529</v>
      </c>
      <c r="I205" s="1" t="s">
        <v>3530</v>
      </c>
      <c r="J205" s="1"/>
      <c r="K205" s="1" t="s">
        <v>29</v>
      </c>
      <c r="L205" s="1" t="s">
        <v>30</v>
      </c>
      <c r="M205" s="1" t="s">
        <v>677</v>
      </c>
      <c r="N205" s="1" t="s">
        <v>89</v>
      </c>
      <c r="O205" s="1">
        <v>75220</v>
      </c>
      <c r="P205" s="1" t="s">
        <v>90</v>
      </c>
      <c r="Q205" s="1" t="s">
        <v>678</v>
      </c>
      <c r="R205" s="1" t="s">
        <v>46</v>
      </c>
      <c r="S205" s="7">
        <v>66.284000000000006</v>
      </c>
      <c r="T205" s="1">
        <v>7</v>
      </c>
      <c r="U205" s="9">
        <v>65.819999999999993</v>
      </c>
      <c r="V205" s="9">
        <v>463.98800000000006</v>
      </c>
      <c r="W205" s="9">
        <v>460.73999999999995</v>
      </c>
      <c r="X205" s="12">
        <v>3.2480000000001041</v>
      </c>
      <c r="Y205" s="10">
        <v>2018</v>
      </c>
    </row>
    <row r="206" spans="1:25">
      <c r="A206" s="1" t="s">
        <v>679</v>
      </c>
      <c r="B206" s="8">
        <v>43165</v>
      </c>
      <c r="C206" s="11" t="s">
        <v>3429</v>
      </c>
      <c r="D206" s="11" t="s">
        <v>3382</v>
      </c>
      <c r="E206" s="5">
        <v>43287</v>
      </c>
      <c r="F206" s="1" t="s">
        <v>49</v>
      </c>
      <c r="G206" s="1" t="s">
        <v>680</v>
      </c>
      <c r="H206" s="1" t="s">
        <v>3531</v>
      </c>
      <c r="I206" s="1" t="s">
        <v>3532</v>
      </c>
      <c r="J206" s="1"/>
      <c r="K206" s="1" t="s">
        <v>41</v>
      </c>
      <c r="L206" s="1" t="s">
        <v>30</v>
      </c>
      <c r="M206" s="1" t="s">
        <v>510</v>
      </c>
      <c r="N206" s="1" t="s">
        <v>287</v>
      </c>
      <c r="O206" s="1">
        <v>37064</v>
      </c>
      <c r="P206" s="1" t="s">
        <v>33</v>
      </c>
      <c r="Q206" s="1" t="s">
        <v>682</v>
      </c>
      <c r="R206" s="1" t="s">
        <v>35</v>
      </c>
      <c r="S206" s="7">
        <v>35.167999999999999</v>
      </c>
      <c r="T206" s="1">
        <v>3</v>
      </c>
      <c r="U206" s="9">
        <v>34.200000000000003</v>
      </c>
      <c r="V206" s="9">
        <v>105.50399999999999</v>
      </c>
      <c r="W206" s="9">
        <v>102.60000000000001</v>
      </c>
      <c r="X206" s="12">
        <v>2.9039999999999822</v>
      </c>
      <c r="Y206" s="10">
        <v>2018</v>
      </c>
    </row>
    <row r="207" spans="1:25">
      <c r="A207" s="1" t="s">
        <v>683</v>
      </c>
      <c r="B207" s="8">
        <v>43355</v>
      </c>
      <c r="C207" s="11" t="s">
        <v>3356</v>
      </c>
      <c r="D207" s="11" t="s">
        <v>3345</v>
      </c>
      <c r="E207" s="5" t="s">
        <v>684</v>
      </c>
      <c r="F207" s="1" t="s">
        <v>49</v>
      </c>
      <c r="G207" s="1" t="s">
        <v>685</v>
      </c>
      <c r="H207" s="1" t="s">
        <v>3533</v>
      </c>
      <c r="I207" s="1" t="s">
        <v>3534</v>
      </c>
      <c r="J207" s="1"/>
      <c r="K207" s="1" t="s">
        <v>29</v>
      </c>
      <c r="L207" s="1" t="s">
        <v>30</v>
      </c>
      <c r="M207" s="1" t="s">
        <v>687</v>
      </c>
      <c r="N207" s="1" t="s">
        <v>68</v>
      </c>
      <c r="O207" s="1">
        <v>90604</v>
      </c>
      <c r="P207" s="1" t="s">
        <v>44</v>
      </c>
      <c r="Q207" s="1" t="s">
        <v>688</v>
      </c>
      <c r="R207" s="1" t="s">
        <v>64</v>
      </c>
      <c r="S207" s="7">
        <v>444.76799999999997</v>
      </c>
      <c r="T207" s="1">
        <v>9</v>
      </c>
      <c r="U207" s="9">
        <v>444.02</v>
      </c>
      <c r="V207" s="9">
        <v>4002.9119999999998</v>
      </c>
      <c r="W207" s="9">
        <v>3996.18</v>
      </c>
      <c r="X207" s="12">
        <v>6.7319999999999709</v>
      </c>
      <c r="Y207" s="10">
        <v>2018</v>
      </c>
    </row>
    <row r="208" spans="1:25">
      <c r="A208" s="1" t="s">
        <v>689</v>
      </c>
      <c r="B208" s="8">
        <v>43112</v>
      </c>
      <c r="C208" s="11" t="s">
        <v>3381</v>
      </c>
      <c r="D208" s="11" t="s">
        <v>3382</v>
      </c>
      <c r="E208" s="5">
        <v>43293</v>
      </c>
      <c r="F208" s="1" t="s">
        <v>49</v>
      </c>
      <c r="G208" s="1" t="s">
        <v>690</v>
      </c>
      <c r="H208" s="1" t="s">
        <v>3535</v>
      </c>
      <c r="I208" s="1" t="s">
        <v>3536</v>
      </c>
      <c r="J208" s="1"/>
      <c r="K208" s="1" t="s">
        <v>29</v>
      </c>
      <c r="L208" s="1" t="s">
        <v>30</v>
      </c>
      <c r="M208" s="1" t="s">
        <v>692</v>
      </c>
      <c r="N208" s="1" t="s">
        <v>209</v>
      </c>
      <c r="O208" s="1">
        <v>48601</v>
      </c>
      <c r="P208" s="1" t="s">
        <v>90</v>
      </c>
      <c r="Q208" s="1" t="s">
        <v>693</v>
      </c>
      <c r="R208" s="1" t="s">
        <v>46</v>
      </c>
      <c r="S208" s="7">
        <v>83.92</v>
      </c>
      <c r="T208" s="1">
        <v>4</v>
      </c>
      <c r="U208" s="9">
        <v>83.79</v>
      </c>
      <c r="V208" s="9">
        <v>335.68</v>
      </c>
      <c r="W208" s="9">
        <v>335.16</v>
      </c>
      <c r="X208" s="12">
        <v>0.51999999999998181</v>
      </c>
      <c r="Y208" s="10">
        <v>2018</v>
      </c>
    </row>
    <row r="209" spans="1:25">
      <c r="A209" s="1" t="s">
        <v>689</v>
      </c>
      <c r="B209" s="8">
        <v>43112</v>
      </c>
      <c r="C209" s="11" t="s">
        <v>3381</v>
      </c>
      <c r="D209" s="11" t="s">
        <v>3382</v>
      </c>
      <c r="E209" s="5">
        <v>43293</v>
      </c>
      <c r="F209" s="1" t="s">
        <v>49</v>
      </c>
      <c r="G209" s="1" t="s">
        <v>690</v>
      </c>
      <c r="H209" s="1" t="s">
        <v>3535</v>
      </c>
      <c r="I209" s="1" t="s">
        <v>3536</v>
      </c>
      <c r="J209" s="1"/>
      <c r="K209" s="1" t="s">
        <v>29</v>
      </c>
      <c r="L209" s="1" t="s">
        <v>30</v>
      </c>
      <c r="M209" s="1" t="s">
        <v>692</v>
      </c>
      <c r="N209" s="1" t="s">
        <v>209</v>
      </c>
      <c r="O209" s="1">
        <v>48601</v>
      </c>
      <c r="P209" s="1" t="s">
        <v>90</v>
      </c>
      <c r="Q209" s="1" t="s">
        <v>694</v>
      </c>
      <c r="R209" s="1" t="s">
        <v>64</v>
      </c>
      <c r="S209" s="7">
        <v>131.97999999999999</v>
      </c>
      <c r="T209" s="1">
        <v>4</v>
      </c>
      <c r="U209" s="9">
        <v>131.38</v>
      </c>
      <c r="V209" s="9">
        <v>527.91999999999996</v>
      </c>
      <c r="W209" s="9">
        <v>525.52</v>
      </c>
      <c r="X209" s="12">
        <v>2.3999999999999773</v>
      </c>
      <c r="Y209" s="10">
        <v>2018</v>
      </c>
    </row>
    <row r="210" spans="1:25">
      <c r="A210" s="1" t="s">
        <v>689</v>
      </c>
      <c r="B210" s="8">
        <v>43112</v>
      </c>
      <c r="C210" s="11" t="s">
        <v>3381</v>
      </c>
      <c r="D210" s="11" t="s">
        <v>3382</v>
      </c>
      <c r="E210" s="5">
        <v>43293</v>
      </c>
      <c r="F210" s="1" t="s">
        <v>49</v>
      </c>
      <c r="G210" s="1" t="s">
        <v>690</v>
      </c>
      <c r="H210" s="1" t="s">
        <v>3535</v>
      </c>
      <c r="I210" s="1" t="s">
        <v>3536</v>
      </c>
      <c r="J210" s="1"/>
      <c r="K210" s="1" t="s">
        <v>29</v>
      </c>
      <c r="L210" s="1" t="s">
        <v>30</v>
      </c>
      <c r="M210" s="1" t="s">
        <v>692</v>
      </c>
      <c r="N210" s="1" t="s">
        <v>209</v>
      </c>
      <c r="O210" s="1">
        <v>48601</v>
      </c>
      <c r="P210" s="1" t="s">
        <v>90</v>
      </c>
      <c r="Q210" s="1" t="s">
        <v>458</v>
      </c>
      <c r="R210" s="1" t="s">
        <v>46</v>
      </c>
      <c r="S210" s="7">
        <v>15.92</v>
      </c>
      <c r="T210" s="1">
        <v>4</v>
      </c>
      <c r="U210" s="9">
        <v>15.35</v>
      </c>
      <c r="V210" s="9">
        <v>63.68</v>
      </c>
      <c r="W210" s="9">
        <v>61.4</v>
      </c>
      <c r="X210" s="12">
        <v>2.2800000000000011</v>
      </c>
      <c r="Y210" s="10">
        <v>2018</v>
      </c>
    </row>
    <row r="211" spans="1:25">
      <c r="A211" s="1" t="s">
        <v>689</v>
      </c>
      <c r="B211" s="8">
        <v>43112</v>
      </c>
      <c r="C211" s="11" t="s">
        <v>3381</v>
      </c>
      <c r="D211" s="11" t="s">
        <v>3382</v>
      </c>
      <c r="E211" s="5">
        <v>43293</v>
      </c>
      <c r="F211" s="1" t="s">
        <v>49</v>
      </c>
      <c r="G211" s="1" t="s">
        <v>690</v>
      </c>
      <c r="H211" s="1" t="s">
        <v>3535</v>
      </c>
      <c r="I211" s="1" t="s">
        <v>3536</v>
      </c>
      <c r="J211" s="1"/>
      <c r="K211" s="1" t="s">
        <v>29</v>
      </c>
      <c r="L211" s="1" t="s">
        <v>30</v>
      </c>
      <c r="M211" s="1" t="s">
        <v>692</v>
      </c>
      <c r="N211" s="1" t="s">
        <v>209</v>
      </c>
      <c r="O211" s="1">
        <v>48601</v>
      </c>
      <c r="P211" s="1" t="s">
        <v>90</v>
      </c>
      <c r="Q211" s="1" t="s">
        <v>695</v>
      </c>
      <c r="R211" s="1" t="s">
        <v>46</v>
      </c>
      <c r="S211" s="7">
        <v>52.29</v>
      </c>
      <c r="T211" s="1">
        <v>4</v>
      </c>
      <c r="U211" s="9">
        <v>51.64</v>
      </c>
      <c r="V211" s="9">
        <v>209.16</v>
      </c>
      <c r="W211" s="9">
        <v>206.56</v>
      </c>
      <c r="X211" s="12">
        <v>2.5999999999999943</v>
      </c>
      <c r="Y211" s="10">
        <v>2018</v>
      </c>
    </row>
    <row r="212" spans="1:25">
      <c r="A212" s="1" t="s">
        <v>689</v>
      </c>
      <c r="B212" s="8">
        <v>43112</v>
      </c>
      <c r="C212" s="11" t="s">
        <v>3381</v>
      </c>
      <c r="D212" s="11" t="s">
        <v>3382</v>
      </c>
      <c r="E212" s="5">
        <v>43293</v>
      </c>
      <c r="F212" s="1" t="s">
        <v>49</v>
      </c>
      <c r="G212" s="1" t="s">
        <v>690</v>
      </c>
      <c r="H212" s="1" t="s">
        <v>3535</v>
      </c>
      <c r="I212" s="1" t="s">
        <v>3536</v>
      </c>
      <c r="J212" s="1"/>
      <c r="K212" s="1" t="s">
        <v>29</v>
      </c>
      <c r="L212" s="1" t="s">
        <v>30</v>
      </c>
      <c r="M212" s="1" t="s">
        <v>692</v>
      </c>
      <c r="N212" s="1" t="s">
        <v>209</v>
      </c>
      <c r="O212" s="1">
        <v>48601</v>
      </c>
      <c r="P212" s="1" t="s">
        <v>90</v>
      </c>
      <c r="Q212" s="1" t="s">
        <v>696</v>
      </c>
      <c r="R212" s="1" t="s">
        <v>46</v>
      </c>
      <c r="S212" s="7">
        <v>91.99</v>
      </c>
      <c r="T212" s="1">
        <v>4</v>
      </c>
      <c r="U212" s="9">
        <v>91.9</v>
      </c>
      <c r="V212" s="9">
        <v>367.96</v>
      </c>
      <c r="W212" s="9">
        <v>367.6</v>
      </c>
      <c r="X212" s="12">
        <v>0.3599999999999568</v>
      </c>
      <c r="Y212" s="10">
        <v>2018</v>
      </c>
    </row>
    <row r="213" spans="1:25">
      <c r="A213" s="1" t="s">
        <v>697</v>
      </c>
      <c r="B213" s="8">
        <v>42615</v>
      </c>
      <c r="C213" s="11" t="s">
        <v>3356</v>
      </c>
      <c r="D213" s="11" t="s">
        <v>3345</v>
      </c>
      <c r="E213" s="5" t="s">
        <v>698</v>
      </c>
      <c r="F213" s="1" t="s">
        <v>26</v>
      </c>
      <c r="G213" s="1" t="s">
        <v>699</v>
      </c>
      <c r="H213" s="1" t="s">
        <v>3537</v>
      </c>
      <c r="I213" s="1" t="s">
        <v>3425</v>
      </c>
      <c r="J213" s="1"/>
      <c r="K213" s="1" t="s">
        <v>41</v>
      </c>
      <c r="L213" s="1" t="s">
        <v>30</v>
      </c>
      <c r="M213" s="1" t="s">
        <v>677</v>
      </c>
      <c r="N213" s="1" t="s">
        <v>89</v>
      </c>
      <c r="O213" s="1">
        <v>75220</v>
      </c>
      <c r="P213" s="1" t="s">
        <v>90</v>
      </c>
      <c r="Q213" s="1" t="s">
        <v>701</v>
      </c>
      <c r="R213" s="1" t="s">
        <v>64</v>
      </c>
      <c r="S213" s="7">
        <v>20.8</v>
      </c>
      <c r="T213" s="1">
        <v>7</v>
      </c>
      <c r="U213" s="9">
        <v>20.41</v>
      </c>
      <c r="V213" s="9">
        <v>145.6</v>
      </c>
      <c r="W213" s="9">
        <v>142.87</v>
      </c>
      <c r="X213" s="12">
        <v>2.7299999999999898</v>
      </c>
      <c r="Y213" s="10">
        <v>2016</v>
      </c>
    </row>
    <row r="214" spans="1:25">
      <c r="A214" s="1" t="s">
        <v>702</v>
      </c>
      <c r="B214" s="8">
        <v>42401</v>
      </c>
      <c r="C214" s="11" t="s">
        <v>3461</v>
      </c>
      <c r="D214" s="11" t="s">
        <v>3382</v>
      </c>
      <c r="E214" s="5">
        <v>42614</v>
      </c>
      <c r="F214" s="1" t="s">
        <v>49</v>
      </c>
      <c r="G214" s="1" t="s">
        <v>703</v>
      </c>
      <c r="H214" s="1" t="s">
        <v>3538</v>
      </c>
      <c r="I214" s="1" t="s">
        <v>3539</v>
      </c>
      <c r="J214" s="1"/>
      <c r="K214" s="1" t="s">
        <v>41</v>
      </c>
      <c r="L214" s="1" t="s">
        <v>30</v>
      </c>
      <c r="M214" s="1" t="s">
        <v>705</v>
      </c>
      <c r="N214" s="1" t="s">
        <v>421</v>
      </c>
      <c r="O214" s="1">
        <v>44256</v>
      </c>
      <c r="P214" s="1" t="s">
        <v>128</v>
      </c>
      <c r="Q214" s="1" t="s">
        <v>706</v>
      </c>
      <c r="R214" s="1" t="s">
        <v>46</v>
      </c>
      <c r="S214" s="7">
        <v>23.68</v>
      </c>
      <c r="T214" s="1">
        <v>4</v>
      </c>
      <c r="U214" s="9">
        <v>22.79</v>
      </c>
      <c r="V214" s="9">
        <v>94.72</v>
      </c>
      <c r="W214" s="9">
        <v>91.16</v>
      </c>
      <c r="X214" s="12">
        <v>3.5600000000000023</v>
      </c>
      <c r="Y214" s="10">
        <v>2016</v>
      </c>
    </row>
    <row r="215" spans="1:25">
      <c r="A215" s="1" t="s">
        <v>702</v>
      </c>
      <c r="B215" s="8">
        <v>42401</v>
      </c>
      <c r="C215" s="11" t="s">
        <v>3461</v>
      </c>
      <c r="D215" s="11" t="s">
        <v>3382</v>
      </c>
      <c r="E215" s="5">
        <v>42614</v>
      </c>
      <c r="F215" s="1" t="s">
        <v>49</v>
      </c>
      <c r="G215" s="1" t="s">
        <v>703</v>
      </c>
      <c r="H215" s="1" t="s">
        <v>3538</v>
      </c>
      <c r="I215" s="1" t="s">
        <v>3539</v>
      </c>
      <c r="J215" s="1"/>
      <c r="K215" s="1" t="s">
        <v>41</v>
      </c>
      <c r="L215" s="1" t="s">
        <v>30</v>
      </c>
      <c r="M215" s="1" t="s">
        <v>705</v>
      </c>
      <c r="N215" s="1" t="s">
        <v>421</v>
      </c>
      <c r="O215" s="1">
        <v>44256</v>
      </c>
      <c r="P215" s="1" t="s">
        <v>128</v>
      </c>
      <c r="Q215" s="1" t="s">
        <v>707</v>
      </c>
      <c r="R215" s="1" t="s">
        <v>35</v>
      </c>
      <c r="S215" s="7">
        <v>452.45</v>
      </c>
      <c r="T215" s="1">
        <v>4</v>
      </c>
      <c r="U215" s="9">
        <v>451.96</v>
      </c>
      <c r="V215" s="9">
        <v>1809.8</v>
      </c>
      <c r="W215" s="9">
        <v>1807.84</v>
      </c>
      <c r="X215" s="12">
        <v>1.9600000000000364</v>
      </c>
      <c r="Y215" s="10">
        <v>2016</v>
      </c>
    </row>
    <row r="216" spans="1:25">
      <c r="A216" s="1" t="s">
        <v>702</v>
      </c>
      <c r="B216" s="8">
        <v>42401</v>
      </c>
      <c r="C216" s="11" t="s">
        <v>3461</v>
      </c>
      <c r="D216" s="11" t="s">
        <v>3382</v>
      </c>
      <c r="E216" s="5">
        <v>42614</v>
      </c>
      <c r="F216" s="1" t="s">
        <v>49</v>
      </c>
      <c r="G216" s="1" t="s">
        <v>703</v>
      </c>
      <c r="H216" s="1" t="s">
        <v>3538</v>
      </c>
      <c r="I216" s="1" t="s">
        <v>3539</v>
      </c>
      <c r="J216" s="1"/>
      <c r="K216" s="1" t="s">
        <v>41</v>
      </c>
      <c r="L216" s="1" t="s">
        <v>30</v>
      </c>
      <c r="M216" s="1" t="s">
        <v>705</v>
      </c>
      <c r="N216" s="1" t="s">
        <v>421</v>
      </c>
      <c r="O216" s="1">
        <v>44256</v>
      </c>
      <c r="P216" s="1" t="s">
        <v>128</v>
      </c>
      <c r="Q216" s="1" t="s">
        <v>396</v>
      </c>
      <c r="R216" s="1" t="s">
        <v>64</v>
      </c>
      <c r="S216" s="7">
        <v>62.981999999999999</v>
      </c>
      <c r="T216" s="1">
        <v>4</v>
      </c>
      <c r="U216" s="9">
        <v>62.62</v>
      </c>
      <c r="V216" s="9">
        <v>251.928</v>
      </c>
      <c r="W216" s="9">
        <v>250.48</v>
      </c>
      <c r="X216" s="12">
        <v>1.4480000000000075</v>
      </c>
      <c r="Y216" s="10">
        <v>2016</v>
      </c>
    </row>
    <row r="217" spans="1:25">
      <c r="A217" s="1" t="s">
        <v>702</v>
      </c>
      <c r="B217" s="8">
        <v>42401</v>
      </c>
      <c r="C217" s="11" t="s">
        <v>3461</v>
      </c>
      <c r="D217" s="11" t="s">
        <v>3382</v>
      </c>
      <c r="E217" s="5">
        <v>42614</v>
      </c>
      <c r="F217" s="1" t="s">
        <v>49</v>
      </c>
      <c r="G217" s="1" t="s">
        <v>703</v>
      </c>
      <c r="H217" s="1" t="s">
        <v>3538</v>
      </c>
      <c r="I217" s="1" t="s">
        <v>3539</v>
      </c>
      <c r="J217" s="1"/>
      <c r="K217" s="1" t="s">
        <v>41</v>
      </c>
      <c r="L217" s="1" t="s">
        <v>30</v>
      </c>
      <c r="M217" s="1" t="s">
        <v>705</v>
      </c>
      <c r="N217" s="1" t="s">
        <v>421</v>
      </c>
      <c r="O217" s="1">
        <v>44256</v>
      </c>
      <c r="P217" s="1" t="s">
        <v>128</v>
      </c>
      <c r="Q217" s="1" t="s">
        <v>708</v>
      </c>
      <c r="R217" s="1" t="s">
        <v>64</v>
      </c>
      <c r="S217" s="7">
        <v>1188</v>
      </c>
      <c r="T217" s="1">
        <v>4</v>
      </c>
      <c r="U217" s="9">
        <v>1187.52</v>
      </c>
      <c r="V217" s="9">
        <v>4752</v>
      </c>
      <c r="W217" s="9">
        <v>4750.08</v>
      </c>
      <c r="X217" s="12">
        <v>1.9200000000000728</v>
      </c>
      <c r="Y217" s="10">
        <v>2016</v>
      </c>
    </row>
    <row r="218" spans="1:25">
      <c r="A218" s="1" t="s">
        <v>702</v>
      </c>
      <c r="B218" s="8">
        <v>42401</v>
      </c>
      <c r="C218" s="11" t="s">
        <v>3461</v>
      </c>
      <c r="D218" s="11" t="s">
        <v>3382</v>
      </c>
      <c r="E218" s="5">
        <v>42614</v>
      </c>
      <c r="F218" s="1" t="s">
        <v>49</v>
      </c>
      <c r="G218" s="1" t="s">
        <v>703</v>
      </c>
      <c r="H218" s="1" t="s">
        <v>3538</v>
      </c>
      <c r="I218" s="1" t="s">
        <v>3539</v>
      </c>
      <c r="J218" s="1"/>
      <c r="K218" s="1" t="s">
        <v>41</v>
      </c>
      <c r="L218" s="1" t="s">
        <v>30</v>
      </c>
      <c r="M218" s="1" t="s">
        <v>705</v>
      </c>
      <c r="N218" s="1" t="s">
        <v>421</v>
      </c>
      <c r="O218" s="1">
        <v>44256</v>
      </c>
      <c r="P218" s="1" t="s">
        <v>128</v>
      </c>
      <c r="Q218" s="1" t="s">
        <v>709</v>
      </c>
      <c r="R218" s="1" t="s">
        <v>64</v>
      </c>
      <c r="S218" s="7">
        <v>89.584000000000003</v>
      </c>
      <c r="T218" s="1">
        <v>4</v>
      </c>
      <c r="U218" s="9">
        <v>88.71</v>
      </c>
      <c r="V218" s="9">
        <v>358.33600000000001</v>
      </c>
      <c r="W218" s="9">
        <v>354.84</v>
      </c>
      <c r="X218" s="12">
        <v>3.4960000000000377</v>
      </c>
      <c r="Y218" s="10">
        <v>2016</v>
      </c>
    </row>
    <row r="219" spans="1:25">
      <c r="A219" s="1" t="s">
        <v>710</v>
      </c>
      <c r="B219" s="8">
        <v>43036</v>
      </c>
      <c r="C219" s="11" t="s">
        <v>3387</v>
      </c>
      <c r="D219" s="11" t="s">
        <v>3349</v>
      </c>
      <c r="E219" s="5">
        <v>42746</v>
      </c>
      <c r="F219" s="1" t="s">
        <v>49</v>
      </c>
      <c r="G219" s="1" t="s">
        <v>711</v>
      </c>
      <c r="H219" s="1" t="s">
        <v>3477</v>
      </c>
      <c r="I219" s="1" t="s">
        <v>3540</v>
      </c>
      <c r="J219" s="1"/>
      <c r="K219" s="1" t="s">
        <v>29</v>
      </c>
      <c r="L219" s="1" t="s">
        <v>30</v>
      </c>
      <c r="M219" s="1" t="s">
        <v>42</v>
      </c>
      <c r="N219" s="1" t="s">
        <v>68</v>
      </c>
      <c r="O219" s="1">
        <v>90032</v>
      </c>
      <c r="P219" s="1" t="s">
        <v>44</v>
      </c>
      <c r="Q219" s="1" t="s">
        <v>628</v>
      </c>
      <c r="R219" s="1" t="s">
        <v>46</v>
      </c>
      <c r="S219" s="7">
        <v>93.06</v>
      </c>
      <c r="T219" s="1">
        <v>9</v>
      </c>
      <c r="U219" s="9">
        <v>92.37</v>
      </c>
      <c r="V219" s="9">
        <v>837.54</v>
      </c>
      <c r="W219" s="9">
        <v>831.33</v>
      </c>
      <c r="X219" s="12">
        <v>6.2099999999999227</v>
      </c>
      <c r="Y219" s="10">
        <v>2017</v>
      </c>
    </row>
    <row r="220" spans="1:25">
      <c r="A220" s="1" t="s">
        <v>710</v>
      </c>
      <c r="B220" s="8">
        <v>43036</v>
      </c>
      <c r="C220" s="11" t="s">
        <v>3387</v>
      </c>
      <c r="D220" s="11" t="s">
        <v>3349</v>
      </c>
      <c r="E220" s="5">
        <v>42746</v>
      </c>
      <c r="F220" s="1" t="s">
        <v>49</v>
      </c>
      <c r="G220" s="1" t="s">
        <v>711</v>
      </c>
      <c r="H220" s="1" t="s">
        <v>3477</v>
      </c>
      <c r="I220" s="1" t="s">
        <v>3540</v>
      </c>
      <c r="J220" s="1"/>
      <c r="K220" s="1" t="s">
        <v>29</v>
      </c>
      <c r="L220" s="1" t="s">
        <v>30</v>
      </c>
      <c r="M220" s="1" t="s">
        <v>42</v>
      </c>
      <c r="N220" s="1" t="s">
        <v>68</v>
      </c>
      <c r="O220" s="1">
        <v>90032</v>
      </c>
      <c r="P220" s="1" t="s">
        <v>44</v>
      </c>
      <c r="Q220" s="1" t="s">
        <v>713</v>
      </c>
      <c r="R220" s="1" t="s">
        <v>64</v>
      </c>
      <c r="S220" s="7">
        <v>302.37599999999998</v>
      </c>
      <c r="T220" s="1">
        <v>9</v>
      </c>
      <c r="U220" s="9">
        <v>301.89</v>
      </c>
      <c r="V220" s="9">
        <v>2721.384</v>
      </c>
      <c r="W220" s="9">
        <v>2717.0099999999998</v>
      </c>
      <c r="X220" s="12">
        <v>4.374000000000251</v>
      </c>
      <c r="Y220" s="10">
        <v>2017</v>
      </c>
    </row>
    <row r="221" spans="1:25">
      <c r="A221" s="1" t="s">
        <v>714</v>
      </c>
      <c r="B221" s="8">
        <v>42728</v>
      </c>
      <c r="C221" s="11" t="s">
        <v>3348</v>
      </c>
      <c r="D221" s="11" t="s">
        <v>3349</v>
      </c>
      <c r="E221" s="5" t="s">
        <v>715</v>
      </c>
      <c r="F221" s="1" t="s">
        <v>162</v>
      </c>
      <c r="G221" s="1" t="s">
        <v>716</v>
      </c>
      <c r="H221" s="1" t="s">
        <v>3541</v>
      </c>
      <c r="I221" s="1" t="s">
        <v>3386</v>
      </c>
      <c r="J221" s="1"/>
      <c r="K221" s="1" t="s">
        <v>29</v>
      </c>
      <c r="L221" s="1" t="s">
        <v>30</v>
      </c>
      <c r="M221" s="1" t="s">
        <v>718</v>
      </c>
      <c r="N221" s="1" t="s">
        <v>421</v>
      </c>
      <c r="O221" s="1">
        <v>43017</v>
      </c>
      <c r="P221" s="1" t="s">
        <v>128</v>
      </c>
      <c r="Q221" s="1" t="s">
        <v>719</v>
      </c>
      <c r="R221" s="1" t="s">
        <v>46</v>
      </c>
      <c r="S221" s="7">
        <v>5.5839999999999996</v>
      </c>
      <c r="T221" s="1">
        <v>4</v>
      </c>
      <c r="U221" s="9">
        <v>5.29</v>
      </c>
      <c r="V221" s="9">
        <v>22.335999999999999</v>
      </c>
      <c r="W221" s="9">
        <v>21.16</v>
      </c>
      <c r="X221" s="12">
        <v>1.1759999999999984</v>
      </c>
      <c r="Y221" s="10">
        <v>2016</v>
      </c>
    </row>
    <row r="222" spans="1:25">
      <c r="A222" s="1" t="s">
        <v>714</v>
      </c>
      <c r="B222" s="8">
        <v>42728</v>
      </c>
      <c r="C222" s="11" t="s">
        <v>3348</v>
      </c>
      <c r="D222" s="11" t="s">
        <v>3349</v>
      </c>
      <c r="E222" s="5" t="s">
        <v>715</v>
      </c>
      <c r="F222" s="1" t="s">
        <v>162</v>
      </c>
      <c r="G222" s="1" t="s">
        <v>716</v>
      </c>
      <c r="H222" s="1" t="s">
        <v>3541</v>
      </c>
      <c r="I222" s="1" t="s">
        <v>3386</v>
      </c>
      <c r="J222" s="1"/>
      <c r="K222" s="1" t="s">
        <v>29</v>
      </c>
      <c r="L222" s="1" t="s">
        <v>30</v>
      </c>
      <c r="M222" s="1" t="s">
        <v>718</v>
      </c>
      <c r="N222" s="1" t="s">
        <v>421</v>
      </c>
      <c r="O222" s="1">
        <v>43017</v>
      </c>
      <c r="P222" s="1" t="s">
        <v>128</v>
      </c>
      <c r="Q222" s="1" t="s">
        <v>720</v>
      </c>
      <c r="R222" s="1" t="s">
        <v>46</v>
      </c>
      <c r="S222" s="7">
        <v>22.704000000000001</v>
      </c>
      <c r="T222" s="1">
        <v>4</v>
      </c>
      <c r="U222" s="9">
        <v>22.21</v>
      </c>
      <c r="V222" s="9">
        <v>90.816000000000003</v>
      </c>
      <c r="W222" s="9">
        <v>88.84</v>
      </c>
      <c r="X222" s="12">
        <v>1.9759999999999991</v>
      </c>
      <c r="Y222" s="10">
        <v>2016</v>
      </c>
    </row>
    <row r="223" spans="1:25">
      <c r="A223" s="1" t="s">
        <v>714</v>
      </c>
      <c r="B223" s="8">
        <v>42728</v>
      </c>
      <c r="C223" s="11" t="s">
        <v>3348</v>
      </c>
      <c r="D223" s="11" t="s">
        <v>3349</v>
      </c>
      <c r="E223" s="5" t="s">
        <v>715</v>
      </c>
      <c r="F223" s="1" t="s">
        <v>162</v>
      </c>
      <c r="G223" s="1" t="s">
        <v>716</v>
      </c>
      <c r="H223" s="1" t="s">
        <v>3541</v>
      </c>
      <c r="I223" s="1" t="s">
        <v>3386</v>
      </c>
      <c r="J223" s="1"/>
      <c r="K223" s="1" t="s">
        <v>29</v>
      </c>
      <c r="L223" s="1" t="s">
        <v>30</v>
      </c>
      <c r="M223" s="1" t="s">
        <v>718</v>
      </c>
      <c r="N223" s="1" t="s">
        <v>421</v>
      </c>
      <c r="O223" s="1">
        <v>43017</v>
      </c>
      <c r="P223" s="1" t="s">
        <v>128</v>
      </c>
      <c r="Q223" s="1" t="s">
        <v>350</v>
      </c>
      <c r="R223" s="1" t="s">
        <v>46</v>
      </c>
      <c r="S223" s="7">
        <v>19.776</v>
      </c>
      <c r="T223" s="1">
        <v>4</v>
      </c>
      <c r="U223" s="9">
        <v>18.84</v>
      </c>
      <c r="V223" s="9">
        <v>79.103999999999999</v>
      </c>
      <c r="W223" s="9">
        <v>75.36</v>
      </c>
      <c r="X223" s="12">
        <v>3.7439999999999998</v>
      </c>
      <c r="Y223" s="10">
        <v>2016</v>
      </c>
    </row>
    <row r="224" spans="1:25">
      <c r="A224" s="1" t="s">
        <v>714</v>
      </c>
      <c r="B224" s="8">
        <v>42728</v>
      </c>
      <c r="C224" s="11" t="s">
        <v>3348</v>
      </c>
      <c r="D224" s="11" t="s">
        <v>3349</v>
      </c>
      <c r="E224" s="5" t="s">
        <v>715</v>
      </c>
      <c r="F224" s="1" t="s">
        <v>162</v>
      </c>
      <c r="G224" s="1" t="s">
        <v>716</v>
      </c>
      <c r="H224" s="1" t="s">
        <v>3541</v>
      </c>
      <c r="I224" s="1" t="s">
        <v>3386</v>
      </c>
      <c r="J224" s="1"/>
      <c r="K224" s="1" t="s">
        <v>29</v>
      </c>
      <c r="L224" s="1" t="s">
        <v>30</v>
      </c>
      <c r="M224" s="1" t="s">
        <v>718</v>
      </c>
      <c r="N224" s="1" t="s">
        <v>421</v>
      </c>
      <c r="O224" s="1">
        <v>43017</v>
      </c>
      <c r="P224" s="1" t="s">
        <v>128</v>
      </c>
      <c r="Q224" s="1" t="s">
        <v>721</v>
      </c>
      <c r="R224" s="1" t="s">
        <v>35</v>
      </c>
      <c r="S224" s="7">
        <v>72.703999999999994</v>
      </c>
      <c r="T224" s="1">
        <v>4</v>
      </c>
      <c r="U224" s="9">
        <v>72.19</v>
      </c>
      <c r="V224" s="9">
        <v>290.81599999999997</v>
      </c>
      <c r="W224" s="9">
        <v>288.76</v>
      </c>
      <c r="X224" s="12">
        <v>2.0559999999999832</v>
      </c>
      <c r="Y224" s="10">
        <v>2016</v>
      </c>
    </row>
    <row r="225" spans="1:25">
      <c r="A225" s="1" t="s">
        <v>714</v>
      </c>
      <c r="B225" s="8">
        <v>42728</v>
      </c>
      <c r="C225" s="11" t="s">
        <v>3348</v>
      </c>
      <c r="D225" s="11" t="s">
        <v>3349</v>
      </c>
      <c r="E225" s="5" t="s">
        <v>715</v>
      </c>
      <c r="F225" s="1" t="s">
        <v>162</v>
      </c>
      <c r="G225" s="1" t="s">
        <v>716</v>
      </c>
      <c r="H225" s="1" t="s">
        <v>3541</v>
      </c>
      <c r="I225" s="1" t="s">
        <v>3386</v>
      </c>
      <c r="J225" s="1"/>
      <c r="K225" s="1" t="s">
        <v>29</v>
      </c>
      <c r="L225" s="1" t="s">
        <v>30</v>
      </c>
      <c r="M225" s="1" t="s">
        <v>718</v>
      </c>
      <c r="N225" s="1" t="s">
        <v>421</v>
      </c>
      <c r="O225" s="1">
        <v>43017</v>
      </c>
      <c r="P225" s="1" t="s">
        <v>128</v>
      </c>
      <c r="Q225" s="1" t="s">
        <v>722</v>
      </c>
      <c r="R225" s="1" t="s">
        <v>64</v>
      </c>
      <c r="S225" s="7">
        <v>479.988</v>
      </c>
      <c r="T225" s="1">
        <v>4</v>
      </c>
      <c r="U225" s="9">
        <v>479.35</v>
      </c>
      <c r="V225" s="9">
        <v>1919.952</v>
      </c>
      <c r="W225" s="9">
        <v>1917.4</v>
      </c>
      <c r="X225" s="12">
        <v>2.5519999999999072</v>
      </c>
      <c r="Y225" s="10">
        <v>2016</v>
      </c>
    </row>
    <row r="226" spans="1:25">
      <c r="A226" s="1" t="s">
        <v>714</v>
      </c>
      <c r="B226" s="8">
        <v>42728</v>
      </c>
      <c r="C226" s="11" t="s">
        <v>3348</v>
      </c>
      <c r="D226" s="11" t="s">
        <v>3349</v>
      </c>
      <c r="E226" s="5" t="s">
        <v>715</v>
      </c>
      <c r="F226" s="1" t="s">
        <v>162</v>
      </c>
      <c r="G226" s="1" t="s">
        <v>716</v>
      </c>
      <c r="H226" s="1" t="s">
        <v>3541</v>
      </c>
      <c r="I226" s="1" t="s">
        <v>3386</v>
      </c>
      <c r="J226" s="1"/>
      <c r="K226" s="1" t="s">
        <v>29</v>
      </c>
      <c r="L226" s="1" t="s">
        <v>30</v>
      </c>
      <c r="M226" s="1" t="s">
        <v>718</v>
      </c>
      <c r="N226" s="1" t="s">
        <v>421</v>
      </c>
      <c r="O226" s="1">
        <v>43017</v>
      </c>
      <c r="P226" s="1" t="s">
        <v>128</v>
      </c>
      <c r="Q226" s="1" t="s">
        <v>723</v>
      </c>
      <c r="R226" s="1" t="s">
        <v>46</v>
      </c>
      <c r="S226" s="7">
        <v>27.167999999999999</v>
      </c>
      <c r="T226" s="1">
        <v>4</v>
      </c>
      <c r="U226" s="9">
        <v>26.83</v>
      </c>
      <c r="V226" s="9">
        <v>108.672</v>
      </c>
      <c r="W226" s="9">
        <v>107.32</v>
      </c>
      <c r="X226" s="12">
        <v>1.3520000000000039</v>
      </c>
      <c r="Y226" s="10">
        <v>2016</v>
      </c>
    </row>
    <row r="227" spans="1:25">
      <c r="A227" s="1" t="s">
        <v>724</v>
      </c>
      <c r="B227" s="8">
        <v>42621</v>
      </c>
      <c r="C227" s="11" t="s">
        <v>3356</v>
      </c>
      <c r="D227" s="11" t="s">
        <v>3345</v>
      </c>
      <c r="E227" s="5" t="s">
        <v>725</v>
      </c>
      <c r="F227" s="1" t="s">
        <v>49</v>
      </c>
      <c r="G227" s="1" t="s">
        <v>726</v>
      </c>
      <c r="H227" s="1" t="s">
        <v>3508</v>
      </c>
      <c r="I227" s="1" t="s">
        <v>3399</v>
      </c>
      <c r="J227" s="1"/>
      <c r="K227" s="1" t="s">
        <v>41</v>
      </c>
      <c r="L227" s="1" t="s">
        <v>30</v>
      </c>
      <c r="M227" s="1" t="s">
        <v>728</v>
      </c>
      <c r="N227" s="1" t="s">
        <v>209</v>
      </c>
      <c r="O227" s="1">
        <v>48227</v>
      </c>
      <c r="P227" s="1" t="s">
        <v>90</v>
      </c>
      <c r="Q227" s="1" t="s">
        <v>729</v>
      </c>
      <c r="R227" s="1" t="s">
        <v>46</v>
      </c>
      <c r="S227" s="7">
        <v>2.2000000000000002</v>
      </c>
      <c r="T227" s="1">
        <v>4</v>
      </c>
      <c r="U227" s="9">
        <v>2.12</v>
      </c>
      <c r="V227" s="9">
        <v>8.8000000000000007</v>
      </c>
      <c r="W227" s="9">
        <v>8.48</v>
      </c>
      <c r="X227" s="12">
        <v>0.32000000000000028</v>
      </c>
      <c r="Y227" s="10">
        <v>2016</v>
      </c>
    </row>
    <row r="228" spans="1:25">
      <c r="A228" s="1" t="s">
        <v>724</v>
      </c>
      <c r="B228" s="8">
        <v>42621</v>
      </c>
      <c r="C228" s="11" t="s">
        <v>3356</v>
      </c>
      <c r="D228" s="11" t="s">
        <v>3345</v>
      </c>
      <c r="E228" s="5" t="s">
        <v>725</v>
      </c>
      <c r="F228" s="1" t="s">
        <v>49</v>
      </c>
      <c r="G228" s="1" t="s">
        <v>726</v>
      </c>
      <c r="H228" s="1" t="s">
        <v>3508</v>
      </c>
      <c r="I228" s="1" t="s">
        <v>3399</v>
      </c>
      <c r="J228" s="1"/>
      <c r="K228" s="1" t="s">
        <v>41</v>
      </c>
      <c r="L228" s="1" t="s">
        <v>30</v>
      </c>
      <c r="M228" s="1" t="s">
        <v>728</v>
      </c>
      <c r="N228" s="1" t="s">
        <v>209</v>
      </c>
      <c r="O228" s="1">
        <v>48227</v>
      </c>
      <c r="P228" s="1" t="s">
        <v>90</v>
      </c>
      <c r="Q228" s="1" t="s">
        <v>730</v>
      </c>
      <c r="R228" s="1" t="s">
        <v>35</v>
      </c>
      <c r="S228" s="7">
        <v>622.45000000000005</v>
      </c>
      <c r="T228" s="1">
        <v>4</v>
      </c>
      <c r="U228" s="9">
        <v>622.09</v>
      </c>
      <c r="V228" s="9">
        <v>2489.8000000000002</v>
      </c>
      <c r="W228" s="9">
        <v>2488.36</v>
      </c>
      <c r="X228" s="12">
        <v>1.4400000000000546</v>
      </c>
      <c r="Y228" s="10">
        <v>2016</v>
      </c>
    </row>
    <row r="229" spans="1:25">
      <c r="A229" s="1" t="s">
        <v>724</v>
      </c>
      <c r="B229" s="8">
        <v>42621</v>
      </c>
      <c r="C229" s="11" t="s">
        <v>3356</v>
      </c>
      <c r="D229" s="11" t="s">
        <v>3345</v>
      </c>
      <c r="E229" s="5" t="s">
        <v>725</v>
      </c>
      <c r="F229" s="1" t="s">
        <v>49</v>
      </c>
      <c r="G229" s="1" t="s">
        <v>726</v>
      </c>
      <c r="H229" s="1" t="s">
        <v>3508</v>
      </c>
      <c r="I229" s="1" t="s">
        <v>3399</v>
      </c>
      <c r="J229" s="1"/>
      <c r="K229" s="1" t="s">
        <v>41</v>
      </c>
      <c r="L229" s="1" t="s">
        <v>30</v>
      </c>
      <c r="M229" s="1" t="s">
        <v>728</v>
      </c>
      <c r="N229" s="1" t="s">
        <v>209</v>
      </c>
      <c r="O229" s="1">
        <v>48227</v>
      </c>
      <c r="P229" s="1" t="s">
        <v>90</v>
      </c>
      <c r="Q229" s="1" t="s">
        <v>731</v>
      </c>
      <c r="R229" s="1" t="s">
        <v>46</v>
      </c>
      <c r="S229" s="7">
        <v>21.98</v>
      </c>
      <c r="T229" s="1">
        <v>4</v>
      </c>
      <c r="U229" s="9">
        <v>21.78</v>
      </c>
      <c r="V229" s="9">
        <v>87.92</v>
      </c>
      <c r="W229" s="9">
        <v>87.12</v>
      </c>
      <c r="X229" s="12">
        <v>0.79999999999999716</v>
      </c>
      <c r="Y229" s="10">
        <v>2016</v>
      </c>
    </row>
    <row r="230" spans="1:25">
      <c r="A230" s="1" t="s">
        <v>732</v>
      </c>
      <c r="B230" s="8">
        <v>42428</v>
      </c>
      <c r="C230" s="11" t="s">
        <v>3461</v>
      </c>
      <c r="D230" s="11" t="s">
        <v>3382</v>
      </c>
      <c r="E230" s="5">
        <v>42463</v>
      </c>
      <c r="F230" s="1" t="s">
        <v>49</v>
      </c>
      <c r="G230" s="1" t="s">
        <v>733</v>
      </c>
      <c r="H230" s="1" t="s">
        <v>3523</v>
      </c>
      <c r="I230" s="1" t="s">
        <v>3469</v>
      </c>
      <c r="J230" s="1"/>
      <c r="K230" s="1" t="s">
        <v>29</v>
      </c>
      <c r="L230" s="1" t="s">
        <v>30</v>
      </c>
      <c r="M230" s="1" t="s">
        <v>325</v>
      </c>
      <c r="N230" s="1" t="s">
        <v>287</v>
      </c>
      <c r="O230" s="1">
        <v>38401</v>
      </c>
      <c r="P230" s="1" t="s">
        <v>33</v>
      </c>
      <c r="Q230" s="1" t="s">
        <v>735</v>
      </c>
      <c r="R230" s="1" t="s">
        <v>35</v>
      </c>
      <c r="S230" s="7">
        <v>161.56800000000001</v>
      </c>
      <c r="T230" s="1">
        <v>3</v>
      </c>
      <c r="U230" s="9">
        <v>161.03</v>
      </c>
      <c r="V230" s="9">
        <v>484.70400000000006</v>
      </c>
      <c r="W230" s="9">
        <v>483.09000000000003</v>
      </c>
      <c r="X230" s="12">
        <v>1.6140000000000327</v>
      </c>
      <c r="Y230" s="10">
        <v>2016</v>
      </c>
    </row>
    <row r="231" spans="1:25">
      <c r="A231" s="1" t="s">
        <v>732</v>
      </c>
      <c r="B231" s="8">
        <v>42428</v>
      </c>
      <c r="C231" s="11" t="s">
        <v>3461</v>
      </c>
      <c r="D231" s="11" t="s">
        <v>3382</v>
      </c>
      <c r="E231" s="5">
        <v>42463</v>
      </c>
      <c r="F231" s="1" t="s">
        <v>49</v>
      </c>
      <c r="G231" s="1" t="s">
        <v>733</v>
      </c>
      <c r="H231" s="1" t="s">
        <v>3523</v>
      </c>
      <c r="I231" s="1" t="s">
        <v>3469</v>
      </c>
      <c r="J231" s="1"/>
      <c r="K231" s="1" t="s">
        <v>29</v>
      </c>
      <c r="L231" s="1" t="s">
        <v>30</v>
      </c>
      <c r="M231" s="1" t="s">
        <v>325</v>
      </c>
      <c r="N231" s="1" t="s">
        <v>287</v>
      </c>
      <c r="O231" s="1">
        <v>38401</v>
      </c>
      <c r="P231" s="1" t="s">
        <v>33</v>
      </c>
      <c r="Q231" s="1" t="s">
        <v>736</v>
      </c>
      <c r="R231" s="1" t="s">
        <v>35</v>
      </c>
      <c r="S231" s="7">
        <v>389.69600000000003</v>
      </c>
      <c r="T231" s="1">
        <v>3</v>
      </c>
      <c r="U231" s="9">
        <v>389.21</v>
      </c>
      <c r="V231" s="9">
        <v>1169.0880000000002</v>
      </c>
      <c r="W231" s="9">
        <v>1167.6299999999999</v>
      </c>
      <c r="X231" s="12">
        <v>1.458000000000311</v>
      </c>
      <c r="Y231" s="10">
        <v>2016</v>
      </c>
    </row>
    <row r="232" spans="1:25">
      <c r="A232" s="1" t="s">
        <v>737</v>
      </c>
      <c r="B232" s="8">
        <v>42260</v>
      </c>
      <c r="C232" s="11" t="s">
        <v>3356</v>
      </c>
      <c r="D232" s="11" t="s">
        <v>3345</v>
      </c>
      <c r="E232" s="5" t="s">
        <v>738</v>
      </c>
      <c r="F232" s="1" t="s">
        <v>49</v>
      </c>
      <c r="G232" s="1" t="s">
        <v>739</v>
      </c>
      <c r="H232" s="1" t="s">
        <v>3398</v>
      </c>
      <c r="I232" s="1" t="s">
        <v>3542</v>
      </c>
      <c r="J232" s="1"/>
      <c r="K232" s="1" t="s">
        <v>41</v>
      </c>
      <c r="L232" s="1" t="s">
        <v>30</v>
      </c>
      <c r="M232" s="1" t="s">
        <v>394</v>
      </c>
      <c r="N232" s="1" t="s">
        <v>75</v>
      </c>
      <c r="O232" s="1">
        <v>28205</v>
      </c>
      <c r="P232" s="1" t="s">
        <v>33</v>
      </c>
      <c r="Q232" s="1" t="s">
        <v>741</v>
      </c>
      <c r="R232" s="1" t="s">
        <v>46</v>
      </c>
      <c r="S232" s="7">
        <v>18.648</v>
      </c>
      <c r="T232" s="1">
        <v>2</v>
      </c>
      <c r="U232" s="9">
        <v>18.45</v>
      </c>
      <c r="V232" s="9">
        <v>37.295999999999999</v>
      </c>
      <c r="W232" s="9">
        <v>36.9</v>
      </c>
      <c r="X232" s="12">
        <v>0.3960000000000008</v>
      </c>
      <c r="Y232" s="10">
        <v>2015</v>
      </c>
    </row>
    <row r="233" spans="1:25">
      <c r="A233" s="1" t="s">
        <v>742</v>
      </c>
      <c r="B233" s="8">
        <v>43285</v>
      </c>
      <c r="C233" s="11" t="s">
        <v>3376</v>
      </c>
      <c r="D233" s="11" t="s">
        <v>3345</v>
      </c>
      <c r="E233" s="5">
        <v>43438</v>
      </c>
      <c r="F233" s="1" t="s">
        <v>49</v>
      </c>
      <c r="G233" s="1" t="s">
        <v>320</v>
      </c>
      <c r="H233" s="1" t="s">
        <v>3432</v>
      </c>
      <c r="I233" s="1" t="s">
        <v>3433</v>
      </c>
      <c r="J233" s="1"/>
      <c r="K233" s="1" t="s">
        <v>87</v>
      </c>
      <c r="L233" s="1" t="s">
        <v>30</v>
      </c>
      <c r="M233" s="1" t="s">
        <v>743</v>
      </c>
      <c r="N233" s="1" t="s">
        <v>194</v>
      </c>
      <c r="O233" s="1">
        <v>33614</v>
      </c>
      <c r="P233" s="1" t="s">
        <v>33</v>
      </c>
      <c r="Q233" s="1" t="s">
        <v>744</v>
      </c>
      <c r="R233" s="1" t="s">
        <v>35</v>
      </c>
      <c r="S233" s="7">
        <v>233.86</v>
      </c>
      <c r="T233" s="1">
        <v>3</v>
      </c>
      <c r="U233" s="9">
        <v>233.41</v>
      </c>
      <c r="V233" s="9">
        <v>701.58</v>
      </c>
      <c r="W233" s="9">
        <v>700.23</v>
      </c>
      <c r="X233" s="12">
        <v>1.3500000000000227</v>
      </c>
      <c r="Y233" s="10">
        <v>2018</v>
      </c>
    </row>
    <row r="234" spans="1:25">
      <c r="A234" s="1" t="s">
        <v>742</v>
      </c>
      <c r="B234" s="8">
        <v>43285</v>
      </c>
      <c r="C234" s="11" t="s">
        <v>3376</v>
      </c>
      <c r="D234" s="11" t="s">
        <v>3345</v>
      </c>
      <c r="E234" s="5">
        <v>43438</v>
      </c>
      <c r="F234" s="1" t="s">
        <v>49</v>
      </c>
      <c r="G234" s="1" t="s">
        <v>320</v>
      </c>
      <c r="H234" s="1" t="s">
        <v>3432</v>
      </c>
      <c r="I234" s="1" t="s">
        <v>3433</v>
      </c>
      <c r="J234" s="1"/>
      <c r="K234" s="1" t="s">
        <v>87</v>
      </c>
      <c r="L234" s="1" t="s">
        <v>30</v>
      </c>
      <c r="M234" s="1" t="s">
        <v>743</v>
      </c>
      <c r="N234" s="1" t="s">
        <v>194</v>
      </c>
      <c r="O234" s="1">
        <v>33614</v>
      </c>
      <c r="P234" s="1" t="s">
        <v>33</v>
      </c>
      <c r="Q234" s="1" t="s">
        <v>745</v>
      </c>
      <c r="R234" s="1" t="s">
        <v>35</v>
      </c>
      <c r="S234" s="7">
        <v>620.61450000000002</v>
      </c>
      <c r="T234" s="1">
        <v>3</v>
      </c>
      <c r="U234" s="9">
        <v>620.39</v>
      </c>
      <c r="V234" s="9">
        <v>1861.8434999999999</v>
      </c>
      <c r="W234" s="9">
        <v>1861.17</v>
      </c>
      <c r="X234" s="12">
        <v>0.67349999999987631</v>
      </c>
      <c r="Y234" s="10">
        <v>2018</v>
      </c>
    </row>
    <row r="235" spans="1:25">
      <c r="A235" s="1" t="s">
        <v>742</v>
      </c>
      <c r="B235" s="8">
        <v>43285</v>
      </c>
      <c r="C235" s="11" t="s">
        <v>3376</v>
      </c>
      <c r="D235" s="11" t="s">
        <v>3345</v>
      </c>
      <c r="E235" s="5">
        <v>43438</v>
      </c>
      <c r="F235" s="1" t="s">
        <v>49</v>
      </c>
      <c r="G235" s="1" t="s">
        <v>320</v>
      </c>
      <c r="H235" s="1" t="s">
        <v>3432</v>
      </c>
      <c r="I235" s="1" t="s">
        <v>3433</v>
      </c>
      <c r="J235" s="1"/>
      <c r="K235" s="1" t="s">
        <v>87</v>
      </c>
      <c r="L235" s="1" t="s">
        <v>30</v>
      </c>
      <c r="M235" s="1" t="s">
        <v>743</v>
      </c>
      <c r="N235" s="1" t="s">
        <v>194</v>
      </c>
      <c r="O235" s="1">
        <v>33614</v>
      </c>
      <c r="P235" s="1" t="s">
        <v>33</v>
      </c>
      <c r="Q235" s="1" t="s">
        <v>741</v>
      </c>
      <c r="R235" s="1" t="s">
        <v>46</v>
      </c>
      <c r="S235" s="7">
        <v>5.3280000000000003</v>
      </c>
      <c r="T235" s="1">
        <v>3</v>
      </c>
      <c r="U235" s="9">
        <v>4.57</v>
      </c>
      <c r="V235" s="9">
        <v>15.984000000000002</v>
      </c>
      <c r="W235" s="9">
        <v>13.71</v>
      </c>
      <c r="X235" s="12">
        <v>2.2740000000000009</v>
      </c>
      <c r="Y235" s="10">
        <v>2018</v>
      </c>
    </row>
    <row r="236" spans="1:25">
      <c r="A236" s="1" t="s">
        <v>742</v>
      </c>
      <c r="B236" s="8">
        <v>43285</v>
      </c>
      <c r="C236" s="11" t="s">
        <v>3376</v>
      </c>
      <c r="D236" s="11" t="s">
        <v>3345</v>
      </c>
      <c r="E236" s="5">
        <v>43438</v>
      </c>
      <c r="F236" s="1" t="s">
        <v>49</v>
      </c>
      <c r="G236" s="1" t="s">
        <v>320</v>
      </c>
      <c r="H236" s="1" t="s">
        <v>3432</v>
      </c>
      <c r="I236" s="1" t="s">
        <v>3433</v>
      </c>
      <c r="J236" s="1"/>
      <c r="K236" s="1" t="s">
        <v>87</v>
      </c>
      <c r="L236" s="1" t="s">
        <v>30</v>
      </c>
      <c r="M236" s="1" t="s">
        <v>743</v>
      </c>
      <c r="N236" s="1" t="s">
        <v>194</v>
      </c>
      <c r="O236" s="1">
        <v>33614</v>
      </c>
      <c r="P236" s="1" t="s">
        <v>33</v>
      </c>
      <c r="Q236" s="1" t="s">
        <v>746</v>
      </c>
      <c r="R236" s="1" t="s">
        <v>35</v>
      </c>
      <c r="S236" s="7">
        <v>258.072</v>
      </c>
      <c r="T236" s="1">
        <v>3</v>
      </c>
      <c r="U236" s="9">
        <v>258.02999999999997</v>
      </c>
      <c r="V236" s="9">
        <v>774.21600000000001</v>
      </c>
      <c r="W236" s="9">
        <v>774.08999999999992</v>
      </c>
      <c r="X236" s="12">
        <v>0.12600000000009004</v>
      </c>
      <c r="Y236" s="10">
        <v>2018</v>
      </c>
    </row>
    <row r="237" spans="1:25">
      <c r="A237" s="1" t="s">
        <v>742</v>
      </c>
      <c r="B237" s="8">
        <v>43285</v>
      </c>
      <c r="C237" s="11" t="s">
        <v>3376</v>
      </c>
      <c r="D237" s="11" t="s">
        <v>3345</v>
      </c>
      <c r="E237" s="5">
        <v>43438</v>
      </c>
      <c r="F237" s="1" t="s">
        <v>49</v>
      </c>
      <c r="G237" s="1" t="s">
        <v>320</v>
      </c>
      <c r="H237" s="1" t="s">
        <v>3432</v>
      </c>
      <c r="I237" s="1" t="s">
        <v>3433</v>
      </c>
      <c r="J237" s="1"/>
      <c r="K237" s="1" t="s">
        <v>87</v>
      </c>
      <c r="L237" s="1" t="s">
        <v>30</v>
      </c>
      <c r="M237" s="1" t="s">
        <v>743</v>
      </c>
      <c r="N237" s="1" t="s">
        <v>194</v>
      </c>
      <c r="O237" s="1">
        <v>33614</v>
      </c>
      <c r="P237" s="1" t="s">
        <v>33</v>
      </c>
      <c r="Q237" s="1" t="s">
        <v>747</v>
      </c>
      <c r="R237" s="1" t="s">
        <v>64</v>
      </c>
      <c r="S237" s="7">
        <v>617.976</v>
      </c>
      <c r="T237" s="1">
        <v>3</v>
      </c>
      <c r="U237" s="9">
        <v>617</v>
      </c>
      <c r="V237" s="9">
        <v>1853.9279999999999</v>
      </c>
      <c r="W237" s="9">
        <v>1851</v>
      </c>
      <c r="X237" s="12">
        <v>2.9279999999998836</v>
      </c>
      <c r="Y237" s="10">
        <v>2018</v>
      </c>
    </row>
    <row r="238" spans="1:25">
      <c r="A238" s="1" t="s">
        <v>748</v>
      </c>
      <c r="B238" s="8">
        <v>43445</v>
      </c>
      <c r="C238" s="11" t="s">
        <v>3348</v>
      </c>
      <c r="D238" s="11" t="s">
        <v>3349</v>
      </c>
      <c r="E238" s="5" t="s">
        <v>319</v>
      </c>
      <c r="F238" s="1" t="s">
        <v>49</v>
      </c>
      <c r="G238" s="1" t="s">
        <v>749</v>
      </c>
      <c r="H238" s="1" t="s">
        <v>3508</v>
      </c>
      <c r="I238" s="1" t="s">
        <v>3543</v>
      </c>
      <c r="J238" s="1"/>
      <c r="K238" s="1" t="s">
        <v>41</v>
      </c>
      <c r="L238" s="1" t="s">
        <v>30</v>
      </c>
      <c r="M238" s="1" t="s">
        <v>751</v>
      </c>
      <c r="N238" s="1" t="s">
        <v>68</v>
      </c>
      <c r="O238" s="1">
        <v>95051</v>
      </c>
      <c r="P238" s="1" t="s">
        <v>44</v>
      </c>
      <c r="Q238" s="1" t="s">
        <v>752</v>
      </c>
      <c r="R238" s="1" t="s">
        <v>46</v>
      </c>
      <c r="S238" s="7">
        <v>10.56</v>
      </c>
      <c r="T238" s="1">
        <v>9</v>
      </c>
      <c r="U238" s="9">
        <v>9.7100000000000009</v>
      </c>
      <c r="V238" s="9">
        <v>95.04</v>
      </c>
      <c r="W238" s="9">
        <v>87.390000000000015</v>
      </c>
      <c r="X238" s="12">
        <v>7.6499999999999915</v>
      </c>
      <c r="Y238" s="10">
        <v>2018</v>
      </c>
    </row>
    <row r="239" spans="1:25">
      <c r="A239" s="1" t="s">
        <v>753</v>
      </c>
      <c r="B239" s="8">
        <v>42831</v>
      </c>
      <c r="C239" s="11" t="s">
        <v>3359</v>
      </c>
      <c r="D239" s="11" t="s">
        <v>3360</v>
      </c>
      <c r="E239" s="5">
        <v>42984</v>
      </c>
      <c r="F239" s="1" t="s">
        <v>26</v>
      </c>
      <c r="G239" s="1" t="s">
        <v>754</v>
      </c>
      <c r="H239" s="1" t="s">
        <v>3374</v>
      </c>
      <c r="I239" s="1" t="s">
        <v>3544</v>
      </c>
      <c r="J239" s="1"/>
      <c r="K239" s="1" t="s">
        <v>29</v>
      </c>
      <c r="L239" s="1" t="s">
        <v>30</v>
      </c>
      <c r="M239" s="1" t="s">
        <v>259</v>
      </c>
      <c r="N239" s="1" t="s">
        <v>182</v>
      </c>
      <c r="O239" s="1">
        <v>60610</v>
      </c>
      <c r="P239" s="1" t="s">
        <v>90</v>
      </c>
      <c r="Q239" s="1" t="s">
        <v>756</v>
      </c>
      <c r="R239" s="1" t="s">
        <v>46</v>
      </c>
      <c r="S239" s="7">
        <v>25.92</v>
      </c>
      <c r="T239" s="1">
        <v>6</v>
      </c>
      <c r="U239" s="9">
        <v>25.59</v>
      </c>
      <c r="V239" s="9">
        <v>155.52000000000001</v>
      </c>
      <c r="W239" s="9">
        <v>153.54</v>
      </c>
      <c r="X239" s="12">
        <v>1.9800000000000182</v>
      </c>
      <c r="Y239" s="10">
        <v>2017</v>
      </c>
    </row>
    <row r="240" spans="1:25">
      <c r="A240" s="1" t="s">
        <v>753</v>
      </c>
      <c r="B240" s="8">
        <v>42831</v>
      </c>
      <c r="C240" s="11" t="s">
        <v>3359</v>
      </c>
      <c r="D240" s="11" t="s">
        <v>3360</v>
      </c>
      <c r="E240" s="5">
        <v>42984</v>
      </c>
      <c r="F240" s="1" t="s">
        <v>26</v>
      </c>
      <c r="G240" s="1" t="s">
        <v>754</v>
      </c>
      <c r="H240" s="1" t="s">
        <v>3374</v>
      </c>
      <c r="I240" s="1" t="s">
        <v>3544</v>
      </c>
      <c r="J240" s="1"/>
      <c r="K240" s="1" t="s">
        <v>29</v>
      </c>
      <c r="L240" s="1" t="s">
        <v>30</v>
      </c>
      <c r="M240" s="1" t="s">
        <v>259</v>
      </c>
      <c r="N240" s="1" t="s">
        <v>182</v>
      </c>
      <c r="O240" s="1">
        <v>60610</v>
      </c>
      <c r="P240" s="1" t="s">
        <v>90</v>
      </c>
      <c r="Q240" s="1" t="s">
        <v>757</v>
      </c>
      <c r="R240" s="1" t="s">
        <v>35</v>
      </c>
      <c r="S240" s="7">
        <v>419.68</v>
      </c>
      <c r="T240" s="1">
        <v>6</v>
      </c>
      <c r="U240" s="9">
        <v>418.98</v>
      </c>
      <c r="V240" s="9">
        <v>2518.08</v>
      </c>
      <c r="W240" s="9">
        <v>2513.88</v>
      </c>
      <c r="X240" s="12">
        <v>4.1999999999998181</v>
      </c>
      <c r="Y240" s="10">
        <v>2017</v>
      </c>
    </row>
    <row r="241" spans="1:25">
      <c r="A241" s="1" t="s">
        <v>753</v>
      </c>
      <c r="B241" s="8">
        <v>42831</v>
      </c>
      <c r="C241" s="11" t="s">
        <v>3359</v>
      </c>
      <c r="D241" s="11" t="s">
        <v>3360</v>
      </c>
      <c r="E241" s="5">
        <v>42984</v>
      </c>
      <c r="F241" s="1" t="s">
        <v>26</v>
      </c>
      <c r="G241" s="1" t="s">
        <v>754</v>
      </c>
      <c r="H241" s="1" t="s">
        <v>3374</v>
      </c>
      <c r="I241" s="1" t="s">
        <v>3544</v>
      </c>
      <c r="J241" s="1"/>
      <c r="K241" s="1" t="s">
        <v>29</v>
      </c>
      <c r="L241" s="1" t="s">
        <v>30</v>
      </c>
      <c r="M241" s="1" t="s">
        <v>259</v>
      </c>
      <c r="N241" s="1" t="s">
        <v>182</v>
      </c>
      <c r="O241" s="1">
        <v>60610</v>
      </c>
      <c r="P241" s="1" t="s">
        <v>90</v>
      </c>
      <c r="Q241" s="1" t="s">
        <v>758</v>
      </c>
      <c r="R241" s="1" t="s">
        <v>35</v>
      </c>
      <c r="S241" s="7">
        <v>11.688000000000001</v>
      </c>
      <c r="T241" s="1">
        <v>6</v>
      </c>
      <c r="U241" s="9">
        <v>10.99</v>
      </c>
      <c r="V241" s="9">
        <v>70.128</v>
      </c>
      <c r="W241" s="9">
        <v>65.94</v>
      </c>
      <c r="X241" s="12">
        <v>4.1880000000000024</v>
      </c>
      <c r="Y241" s="10">
        <v>2017</v>
      </c>
    </row>
    <row r="242" spans="1:25">
      <c r="A242" s="1" t="s">
        <v>753</v>
      </c>
      <c r="B242" s="8">
        <v>42831</v>
      </c>
      <c r="C242" s="11" t="s">
        <v>3359</v>
      </c>
      <c r="D242" s="11" t="s">
        <v>3360</v>
      </c>
      <c r="E242" s="5">
        <v>42984</v>
      </c>
      <c r="F242" s="1" t="s">
        <v>26</v>
      </c>
      <c r="G242" s="1" t="s">
        <v>754</v>
      </c>
      <c r="H242" s="1" t="s">
        <v>3374</v>
      </c>
      <c r="I242" s="1" t="s">
        <v>3544</v>
      </c>
      <c r="J242" s="1"/>
      <c r="K242" s="1" t="s">
        <v>29</v>
      </c>
      <c r="L242" s="1" t="s">
        <v>30</v>
      </c>
      <c r="M242" s="1" t="s">
        <v>259</v>
      </c>
      <c r="N242" s="1" t="s">
        <v>182</v>
      </c>
      <c r="O242" s="1">
        <v>60610</v>
      </c>
      <c r="P242" s="1" t="s">
        <v>90</v>
      </c>
      <c r="Q242" s="1" t="s">
        <v>759</v>
      </c>
      <c r="R242" s="1" t="s">
        <v>64</v>
      </c>
      <c r="S242" s="7">
        <v>31.984000000000002</v>
      </c>
      <c r="T242" s="1">
        <v>6</v>
      </c>
      <c r="U242" s="9">
        <v>31.54</v>
      </c>
      <c r="V242" s="9">
        <v>191.904</v>
      </c>
      <c r="W242" s="9">
        <v>189.24</v>
      </c>
      <c r="X242" s="12">
        <v>2.6639999999999873</v>
      </c>
      <c r="Y242" s="10">
        <v>2017</v>
      </c>
    </row>
    <row r="243" spans="1:25">
      <c r="A243" s="1" t="s">
        <v>753</v>
      </c>
      <c r="B243" s="8">
        <v>42831</v>
      </c>
      <c r="C243" s="11" t="s">
        <v>3359</v>
      </c>
      <c r="D243" s="11" t="s">
        <v>3360</v>
      </c>
      <c r="E243" s="5">
        <v>42984</v>
      </c>
      <c r="F243" s="1" t="s">
        <v>26</v>
      </c>
      <c r="G243" s="1" t="s">
        <v>754</v>
      </c>
      <c r="H243" s="1" t="s">
        <v>3374</v>
      </c>
      <c r="I243" s="1" t="s">
        <v>3544</v>
      </c>
      <c r="J243" s="1"/>
      <c r="K243" s="1" t="s">
        <v>29</v>
      </c>
      <c r="L243" s="1" t="s">
        <v>30</v>
      </c>
      <c r="M243" s="1" t="s">
        <v>259</v>
      </c>
      <c r="N243" s="1" t="s">
        <v>182</v>
      </c>
      <c r="O243" s="1">
        <v>60610</v>
      </c>
      <c r="P243" s="1" t="s">
        <v>90</v>
      </c>
      <c r="Q243" s="1" t="s">
        <v>760</v>
      </c>
      <c r="R243" s="1" t="s">
        <v>35</v>
      </c>
      <c r="S243" s="7">
        <v>177.22499999999999</v>
      </c>
      <c r="T243" s="1">
        <v>6</v>
      </c>
      <c r="U243" s="9">
        <v>177.17</v>
      </c>
      <c r="V243" s="9">
        <v>1063.3499999999999</v>
      </c>
      <c r="W243" s="9">
        <v>1063.02</v>
      </c>
      <c r="X243" s="12">
        <v>0.32999999999992724</v>
      </c>
      <c r="Y243" s="10">
        <v>2017</v>
      </c>
    </row>
    <row r="244" spans="1:25">
      <c r="A244" s="1" t="s">
        <v>753</v>
      </c>
      <c r="B244" s="8">
        <v>42831</v>
      </c>
      <c r="C244" s="11" t="s">
        <v>3359</v>
      </c>
      <c r="D244" s="11" t="s">
        <v>3360</v>
      </c>
      <c r="E244" s="5">
        <v>42984</v>
      </c>
      <c r="F244" s="1" t="s">
        <v>26</v>
      </c>
      <c r="G244" s="1" t="s">
        <v>754</v>
      </c>
      <c r="H244" s="1" t="s">
        <v>3374</v>
      </c>
      <c r="I244" s="1" t="s">
        <v>3544</v>
      </c>
      <c r="J244" s="1"/>
      <c r="K244" s="1" t="s">
        <v>29</v>
      </c>
      <c r="L244" s="1" t="s">
        <v>30</v>
      </c>
      <c r="M244" s="1" t="s">
        <v>259</v>
      </c>
      <c r="N244" s="1" t="s">
        <v>182</v>
      </c>
      <c r="O244" s="1">
        <v>60610</v>
      </c>
      <c r="P244" s="1" t="s">
        <v>90</v>
      </c>
      <c r="Q244" s="1" t="s">
        <v>761</v>
      </c>
      <c r="R244" s="1" t="s">
        <v>35</v>
      </c>
      <c r="S244" s="7">
        <v>4.0439999999999996</v>
      </c>
      <c r="T244" s="1">
        <v>6</v>
      </c>
      <c r="U244" s="9">
        <v>3.17</v>
      </c>
      <c r="V244" s="9">
        <v>24.263999999999996</v>
      </c>
      <c r="W244" s="9">
        <v>19.02</v>
      </c>
      <c r="X244" s="12">
        <v>5.2439999999999962</v>
      </c>
      <c r="Y244" s="10">
        <v>2017</v>
      </c>
    </row>
    <row r="245" spans="1:25">
      <c r="A245" s="1" t="s">
        <v>753</v>
      </c>
      <c r="B245" s="8">
        <v>42831</v>
      </c>
      <c r="C245" s="11" t="s">
        <v>3359</v>
      </c>
      <c r="D245" s="11" t="s">
        <v>3360</v>
      </c>
      <c r="E245" s="5">
        <v>42984</v>
      </c>
      <c r="F245" s="1" t="s">
        <v>26</v>
      </c>
      <c r="G245" s="1" t="s">
        <v>754</v>
      </c>
      <c r="H245" s="1" t="s">
        <v>3374</v>
      </c>
      <c r="I245" s="1" t="s">
        <v>3544</v>
      </c>
      <c r="J245" s="1"/>
      <c r="K245" s="1" t="s">
        <v>29</v>
      </c>
      <c r="L245" s="1" t="s">
        <v>30</v>
      </c>
      <c r="M245" s="1" t="s">
        <v>259</v>
      </c>
      <c r="N245" s="1" t="s">
        <v>182</v>
      </c>
      <c r="O245" s="1">
        <v>60610</v>
      </c>
      <c r="P245" s="1" t="s">
        <v>90</v>
      </c>
      <c r="Q245" s="1" t="s">
        <v>646</v>
      </c>
      <c r="R245" s="1" t="s">
        <v>46</v>
      </c>
      <c r="S245" s="7">
        <v>7.4080000000000004</v>
      </c>
      <c r="T245" s="1">
        <v>6</v>
      </c>
      <c r="U245" s="9">
        <v>6.77</v>
      </c>
      <c r="V245" s="9">
        <v>44.448</v>
      </c>
      <c r="W245" s="9">
        <v>40.619999999999997</v>
      </c>
      <c r="X245" s="12">
        <v>3.828000000000003</v>
      </c>
      <c r="Y245" s="10">
        <v>2017</v>
      </c>
    </row>
    <row r="246" spans="1:25">
      <c r="A246" s="1" t="s">
        <v>762</v>
      </c>
      <c r="B246" s="8">
        <v>42010</v>
      </c>
      <c r="C246" s="11" t="s">
        <v>3381</v>
      </c>
      <c r="D246" s="11" t="s">
        <v>3382</v>
      </c>
      <c r="E246" s="5">
        <v>42161</v>
      </c>
      <c r="F246" s="1" t="s">
        <v>26</v>
      </c>
      <c r="G246" s="1" t="s">
        <v>763</v>
      </c>
      <c r="H246" s="1" t="s">
        <v>3545</v>
      </c>
      <c r="I246" s="1" t="s">
        <v>3539</v>
      </c>
      <c r="J246" s="1"/>
      <c r="K246" s="1" t="s">
        <v>87</v>
      </c>
      <c r="L246" s="1" t="s">
        <v>30</v>
      </c>
      <c r="M246" s="1" t="s">
        <v>765</v>
      </c>
      <c r="N246" s="1" t="s">
        <v>201</v>
      </c>
      <c r="O246" s="1">
        <v>55044</v>
      </c>
      <c r="P246" s="1" t="s">
        <v>90</v>
      </c>
      <c r="Q246" s="1" t="s">
        <v>447</v>
      </c>
      <c r="R246" s="1" t="s">
        <v>35</v>
      </c>
      <c r="S246" s="7">
        <v>2001.86</v>
      </c>
      <c r="T246" s="1">
        <v>5</v>
      </c>
      <c r="U246" s="9">
        <v>2001.35</v>
      </c>
      <c r="V246" s="9">
        <v>10009.299999999999</v>
      </c>
      <c r="W246" s="9">
        <v>10006.75</v>
      </c>
      <c r="X246" s="12">
        <v>2.5499999999992724</v>
      </c>
      <c r="Y246" s="10">
        <v>2015</v>
      </c>
    </row>
    <row r="247" spans="1:25">
      <c r="A247" s="1" t="s">
        <v>762</v>
      </c>
      <c r="B247" s="8">
        <v>42010</v>
      </c>
      <c r="C247" s="11" t="s">
        <v>3381</v>
      </c>
      <c r="D247" s="11" t="s">
        <v>3382</v>
      </c>
      <c r="E247" s="5">
        <v>42161</v>
      </c>
      <c r="F247" s="1" t="s">
        <v>26</v>
      </c>
      <c r="G247" s="1" t="s">
        <v>763</v>
      </c>
      <c r="H247" s="1" t="s">
        <v>3545</v>
      </c>
      <c r="I247" s="1" t="s">
        <v>3539</v>
      </c>
      <c r="J247" s="1"/>
      <c r="K247" s="1" t="s">
        <v>87</v>
      </c>
      <c r="L247" s="1" t="s">
        <v>30</v>
      </c>
      <c r="M247" s="1" t="s">
        <v>765</v>
      </c>
      <c r="N247" s="1" t="s">
        <v>201</v>
      </c>
      <c r="O247" s="1">
        <v>55044</v>
      </c>
      <c r="P247" s="1" t="s">
        <v>90</v>
      </c>
      <c r="Q247" s="1" t="s">
        <v>766</v>
      </c>
      <c r="R247" s="1" t="s">
        <v>46</v>
      </c>
      <c r="S247" s="7">
        <v>166.72</v>
      </c>
      <c r="T247" s="1">
        <v>5</v>
      </c>
      <c r="U247" s="9">
        <v>166.12</v>
      </c>
      <c r="V247" s="9">
        <v>833.6</v>
      </c>
      <c r="W247" s="9">
        <v>830.6</v>
      </c>
      <c r="X247" s="12">
        <v>3</v>
      </c>
      <c r="Y247" s="10">
        <v>2015</v>
      </c>
    </row>
    <row r="248" spans="1:25">
      <c r="A248" s="1" t="s">
        <v>762</v>
      </c>
      <c r="B248" s="8">
        <v>42010</v>
      </c>
      <c r="C248" s="11" t="s">
        <v>3381</v>
      </c>
      <c r="D248" s="11" t="s">
        <v>3382</v>
      </c>
      <c r="E248" s="5">
        <v>42161</v>
      </c>
      <c r="F248" s="1" t="s">
        <v>26</v>
      </c>
      <c r="G248" s="1" t="s">
        <v>763</v>
      </c>
      <c r="H248" s="1" t="s">
        <v>3545</v>
      </c>
      <c r="I248" s="1" t="s">
        <v>3539</v>
      </c>
      <c r="J248" s="1"/>
      <c r="K248" s="1" t="s">
        <v>87</v>
      </c>
      <c r="L248" s="1" t="s">
        <v>30</v>
      </c>
      <c r="M248" s="1" t="s">
        <v>765</v>
      </c>
      <c r="N248" s="1" t="s">
        <v>201</v>
      </c>
      <c r="O248" s="1">
        <v>55044</v>
      </c>
      <c r="P248" s="1" t="s">
        <v>90</v>
      </c>
      <c r="Q248" s="1" t="s">
        <v>767</v>
      </c>
      <c r="R248" s="1" t="s">
        <v>46</v>
      </c>
      <c r="S248" s="7">
        <v>47.88</v>
      </c>
      <c r="T248" s="1">
        <v>5</v>
      </c>
      <c r="U248" s="9">
        <v>47.37</v>
      </c>
      <c r="V248" s="9">
        <v>239.4</v>
      </c>
      <c r="W248" s="9">
        <v>236.85</v>
      </c>
      <c r="X248" s="12">
        <v>2.5500000000000114</v>
      </c>
      <c r="Y248" s="10">
        <v>2015</v>
      </c>
    </row>
    <row r="249" spans="1:25">
      <c r="A249" s="1" t="s">
        <v>762</v>
      </c>
      <c r="B249" s="8">
        <v>42010</v>
      </c>
      <c r="C249" s="11" t="s">
        <v>3381</v>
      </c>
      <c r="D249" s="11" t="s">
        <v>3382</v>
      </c>
      <c r="E249" s="5">
        <v>42161</v>
      </c>
      <c r="F249" s="1" t="s">
        <v>26</v>
      </c>
      <c r="G249" s="1" t="s">
        <v>763</v>
      </c>
      <c r="H249" s="1" t="s">
        <v>3545</v>
      </c>
      <c r="I249" s="1" t="s">
        <v>3539</v>
      </c>
      <c r="J249" s="1"/>
      <c r="K249" s="1" t="s">
        <v>87</v>
      </c>
      <c r="L249" s="1" t="s">
        <v>30</v>
      </c>
      <c r="M249" s="1" t="s">
        <v>765</v>
      </c>
      <c r="N249" s="1" t="s">
        <v>201</v>
      </c>
      <c r="O249" s="1">
        <v>55044</v>
      </c>
      <c r="P249" s="1" t="s">
        <v>90</v>
      </c>
      <c r="Q249" s="1" t="s">
        <v>768</v>
      </c>
      <c r="R249" s="1" t="s">
        <v>46</v>
      </c>
      <c r="S249" s="7">
        <v>1503.25</v>
      </c>
      <c r="T249" s="1">
        <v>5</v>
      </c>
      <c r="U249" s="9">
        <v>1502.81</v>
      </c>
      <c r="V249" s="9">
        <v>7516.25</v>
      </c>
      <c r="W249" s="9">
        <v>7514.0499999999993</v>
      </c>
      <c r="X249" s="12">
        <v>2.2000000000007276</v>
      </c>
      <c r="Y249" s="10">
        <v>2015</v>
      </c>
    </row>
    <row r="250" spans="1:25">
      <c r="A250" s="1" t="s">
        <v>762</v>
      </c>
      <c r="B250" s="8">
        <v>42010</v>
      </c>
      <c r="C250" s="11" t="s">
        <v>3381</v>
      </c>
      <c r="D250" s="11" t="s">
        <v>3382</v>
      </c>
      <c r="E250" s="5">
        <v>42161</v>
      </c>
      <c r="F250" s="1" t="s">
        <v>26</v>
      </c>
      <c r="G250" s="1" t="s">
        <v>763</v>
      </c>
      <c r="H250" s="1" t="s">
        <v>3545</v>
      </c>
      <c r="I250" s="1" t="s">
        <v>3539</v>
      </c>
      <c r="J250" s="1"/>
      <c r="K250" s="1" t="s">
        <v>87</v>
      </c>
      <c r="L250" s="1" t="s">
        <v>30</v>
      </c>
      <c r="M250" s="1" t="s">
        <v>765</v>
      </c>
      <c r="N250" s="1" t="s">
        <v>201</v>
      </c>
      <c r="O250" s="1">
        <v>55044</v>
      </c>
      <c r="P250" s="1" t="s">
        <v>90</v>
      </c>
      <c r="Q250" s="1" t="s">
        <v>635</v>
      </c>
      <c r="R250" s="1" t="s">
        <v>46</v>
      </c>
      <c r="S250" s="7">
        <v>25.92</v>
      </c>
      <c r="T250" s="1">
        <v>5</v>
      </c>
      <c r="U250" s="9">
        <v>25.76</v>
      </c>
      <c r="V250" s="9">
        <v>129.60000000000002</v>
      </c>
      <c r="W250" s="9">
        <v>128.80000000000001</v>
      </c>
      <c r="X250" s="12">
        <v>0.80000000000001137</v>
      </c>
      <c r="Y250" s="10">
        <v>2015</v>
      </c>
    </row>
    <row r="251" spans="1:25">
      <c r="A251" s="1" t="s">
        <v>769</v>
      </c>
      <c r="B251" s="8">
        <v>43020</v>
      </c>
      <c r="C251" s="11" t="s">
        <v>3387</v>
      </c>
      <c r="D251" s="11" t="s">
        <v>3349</v>
      </c>
      <c r="E251" s="5" t="s">
        <v>770</v>
      </c>
      <c r="F251" s="1" t="s">
        <v>26</v>
      </c>
      <c r="G251" s="1" t="s">
        <v>771</v>
      </c>
      <c r="H251" s="1" t="s">
        <v>3529</v>
      </c>
      <c r="I251" s="1" t="s">
        <v>3546</v>
      </c>
      <c r="J251" s="1"/>
      <c r="K251" s="1" t="s">
        <v>29</v>
      </c>
      <c r="L251" s="1" t="s">
        <v>30</v>
      </c>
      <c r="M251" s="1" t="s">
        <v>110</v>
      </c>
      <c r="N251" s="1" t="s">
        <v>68</v>
      </c>
      <c r="O251" s="1">
        <v>94109</v>
      </c>
      <c r="P251" s="1" t="s">
        <v>44</v>
      </c>
      <c r="Q251" s="1" t="s">
        <v>773</v>
      </c>
      <c r="R251" s="1" t="s">
        <v>35</v>
      </c>
      <c r="S251" s="7">
        <v>321.56799999999998</v>
      </c>
      <c r="T251" s="1">
        <v>9</v>
      </c>
      <c r="U251" s="9">
        <v>320.85000000000002</v>
      </c>
      <c r="V251" s="9">
        <v>2894.1120000000001</v>
      </c>
      <c r="W251" s="9">
        <v>2887.65</v>
      </c>
      <c r="X251" s="12">
        <v>6.4619999999999891</v>
      </c>
      <c r="Y251" s="10">
        <v>2017</v>
      </c>
    </row>
    <row r="252" spans="1:25">
      <c r="A252" s="1" t="s">
        <v>774</v>
      </c>
      <c r="B252" s="8">
        <v>43048</v>
      </c>
      <c r="C252" s="11" t="s">
        <v>3353</v>
      </c>
      <c r="D252" s="11" t="s">
        <v>3349</v>
      </c>
      <c r="E252" s="5" t="s">
        <v>775</v>
      </c>
      <c r="F252" s="1" t="s">
        <v>49</v>
      </c>
      <c r="G252" s="1" t="s">
        <v>776</v>
      </c>
      <c r="H252" s="1" t="s">
        <v>3547</v>
      </c>
      <c r="I252" s="1" t="s">
        <v>3548</v>
      </c>
      <c r="J252" s="1"/>
      <c r="K252" s="1" t="s">
        <v>29</v>
      </c>
      <c r="L252" s="1" t="s">
        <v>30</v>
      </c>
      <c r="M252" s="1" t="s">
        <v>778</v>
      </c>
      <c r="N252" s="1" t="s">
        <v>68</v>
      </c>
      <c r="O252" s="1">
        <v>92037</v>
      </c>
      <c r="P252" s="1" t="s">
        <v>44</v>
      </c>
      <c r="Q252" s="1" t="s">
        <v>779</v>
      </c>
      <c r="R252" s="1" t="s">
        <v>46</v>
      </c>
      <c r="S252" s="7">
        <v>7.61</v>
      </c>
      <c r="T252" s="1">
        <v>9</v>
      </c>
      <c r="U252" s="9">
        <v>7.3</v>
      </c>
      <c r="V252" s="9">
        <v>68.490000000000009</v>
      </c>
      <c r="W252" s="9">
        <v>65.7</v>
      </c>
      <c r="X252" s="12">
        <v>2.7900000000000063</v>
      </c>
      <c r="Y252" s="10">
        <v>2017</v>
      </c>
    </row>
    <row r="253" spans="1:25">
      <c r="A253" s="1" t="s">
        <v>774</v>
      </c>
      <c r="B253" s="8">
        <v>43048</v>
      </c>
      <c r="C253" s="11" t="s">
        <v>3353</v>
      </c>
      <c r="D253" s="11" t="s">
        <v>3349</v>
      </c>
      <c r="E253" s="5" t="s">
        <v>775</v>
      </c>
      <c r="F253" s="1" t="s">
        <v>49</v>
      </c>
      <c r="G253" s="1" t="s">
        <v>776</v>
      </c>
      <c r="H253" s="1" t="s">
        <v>3547</v>
      </c>
      <c r="I253" s="1" t="s">
        <v>3548</v>
      </c>
      <c r="J253" s="1"/>
      <c r="K253" s="1" t="s">
        <v>29</v>
      </c>
      <c r="L253" s="1" t="s">
        <v>30</v>
      </c>
      <c r="M253" s="1" t="s">
        <v>778</v>
      </c>
      <c r="N253" s="1" t="s">
        <v>68</v>
      </c>
      <c r="O253" s="1">
        <v>92037</v>
      </c>
      <c r="P253" s="1" t="s">
        <v>44</v>
      </c>
      <c r="Q253" s="1" t="s">
        <v>747</v>
      </c>
      <c r="R253" s="1" t="s">
        <v>64</v>
      </c>
      <c r="S253" s="7">
        <v>3347.37</v>
      </c>
      <c r="T253" s="1">
        <v>9</v>
      </c>
      <c r="U253" s="9">
        <v>3347.33</v>
      </c>
      <c r="V253" s="9">
        <v>30126.329999999998</v>
      </c>
      <c r="W253" s="9">
        <v>30125.97</v>
      </c>
      <c r="X253" s="12">
        <v>0.3599999999969441</v>
      </c>
      <c r="Y253" s="10">
        <v>2017</v>
      </c>
    </row>
    <row r="254" spans="1:25">
      <c r="A254" s="1" t="s">
        <v>780</v>
      </c>
      <c r="B254" s="8">
        <v>43020</v>
      </c>
      <c r="C254" s="11" t="s">
        <v>3387</v>
      </c>
      <c r="D254" s="11" t="s">
        <v>3349</v>
      </c>
      <c r="E254" s="5" t="s">
        <v>115</v>
      </c>
      <c r="F254" s="1" t="s">
        <v>162</v>
      </c>
      <c r="G254" s="1" t="s">
        <v>781</v>
      </c>
      <c r="H254" s="1" t="s">
        <v>3549</v>
      </c>
      <c r="I254" s="1" t="s">
        <v>3550</v>
      </c>
      <c r="J254" s="1"/>
      <c r="K254" s="1" t="s">
        <v>29</v>
      </c>
      <c r="L254" s="1" t="s">
        <v>30</v>
      </c>
      <c r="M254" s="1" t="s">
        <v>233</v>
      </c>
      <c r="N254" s="1" t="s">
        <v>234</v>
      </c>
      <c r="O254" s="1">
        <v>10024</v>
      </c>
      <c r="P254" s="1" t="s">
        <v>128</v>
      </c>
      <c r="Q254" s="1" t="s">
        <v>783</v>
      </c>
      <c r="R254" s="1" t="s">
        <v>46</v>
      </c>
      <c r="S254" s="7">
        <v>80.58</v>
      </c>
      <c r="T254" s="1">
        <v>1</v>
      </c>
      <c r="U254" s="9">
        <v>79.760000000000005</v>
      </c>
      <c r="V254" s="9">
        <v>80.58</v>
      </c>
      <c r="W254" s="9">
        <v>79.760000000000005</v>
      </c>
      <c r="X254" s="12">
        <v>0.81999999999999318</v>
      </c>
      <c r="Y254" s="10">
        <v>2017</v>
      </c>
    </row>
    <row r="255" spans="1:25">
      <c r="A255" s="1" t="s">
        <v>780</v>
      </c>
      <c r="B255" s="8">
        <v>43020</v>
      </c>
      <c r="C255" s="11" t="s">
        <v>3387</v>
      </c>
      <c r="D255" s="11" t="s">
        <v>3349</v>
      </c>
      <c r="E255" s="5" t="s">
        <v>115</v>
      </c>
      <c r="F255" s="1" t="s">
        <v>162</v>
      </c>
      <c r="G255" s="1" t="s">
        <v>781</v>
      </c>
      <c r="H255" s="1" t="s">
        <v>3549</v>
      </c>
      <c r="I255" s="1" t="s">
        <v>3550</v>
      </c>
      <c r="J255" s="1"/>
      <c r="K255" s="1" t="s">
        <v>29</v>
      </c>
      <c r="L255" s="1" t="s">
        <v>30</v>
      </c>
      <c r="M255" s="1" t="s">
        <v>233</v>
      </c>
      <c r="N255" s="1" t="s">
        <v>234</v>
      </c>
      <c r="O255" s="1">
        <v>10024</v>
      </c>
      <c r="P255" s="1" t="s">
        <v>128</v>
      </c>
      <c r="Q255" s="1" t="s">
        <v>784</v>
      </c>
      <c r="R255" s="1" t="s">
        <v>46</v>
      </c>
      <c r="S255" s="7">
        <v>361.92</v>
      </c>
      <c r="T255" s="1">
        <v>1</v>
      </c>
      <c r="U255" s="9">
        <v>361.13</v>
      </c>
      <c r="V255" s="9">
        <v>361.92</v>
      </c>
      <c r="W255" s="9">
        <v>361.13</v>
      </c>
      <c r="X255" s="12">
        <v>0.79000000000002046</v>
      </c>
      <c r="Y255" s="10">
        <v>2017</v>
      </c>
    </row>
    <row r="256" spans="1:25">
      <c r="A256" s="1" t="s">
        <v>785</v>
      </c>
      <c r="B256" s="8">
        <v>42702</v>
      </c>
      <c r="C256" s="11" t="s">
        <v>3353</v>
      </c>
      <c r="D256" s="11" t="s">
        <v>3349</v>
      </c>
      <c r="E256" s="5">
        <v>42472</v>
      </c>
      <c r="F256" s="1" t="s">
        <v>49</v>
      </c>
      <c r="G256" s="1" t="s">
        <v>786</v>
      </c>
      <c r="H256" s="1" t="s">
        <v>3551</v>
      </c>
      <c r="I256" s="1" t="s">
        <v>3552</v>
      </c>
      <c r="J256" s="1"/>
      <c r="K256" s="1" t="s">
        <v>41</v>
      </c>
      <c r="L256" s="1" t="s">
        <v>30</v>
      </c>
      <c r="M256" s="1" t="s">
        <v>259</v>
      </c>
      <c r="N256" s="1" t="s">
        <v>182</v>
      </c>
      <c r="O256" s="1">
        <v>60623</v>
      </c>
      <c r="P256" s="1" t="s">
        <v>90</v>
      </c>
      <c r="Q256" s="1" t="s">
        <v>761</v>
      </c>
      <c r="R256" s="1" t="s">
        <v>35</v>
      </c>
      <c r="S256" s="7">
        <v>12.132</v>
      </c>
      <c r="T256" s="1">
        <v>6</v>
      </c>
      <c r="U256" s="9">
        <v>11.56</v>
      </c>
      <c r="V256" s="9">
        <v>72.792000000000002</v>
      </c>
      <c r="W256" s="9">
        <v>69.36</v>
      </c>
      <c r="X256" s="12">
        <v>3.4320000000000022</v>
      </c>
      <c r="Y256" s="10">
        <v>2016</v>
      </c>
    </row>
    <row r="257" spans="1:25">
      <c r="A257" s="1" t="s">
        <v>785</v>
      </c>
      <c r="B257" s="8">
        <v>42702</v>
      </c>
      <c r="C257" s="11" t="s">
        <v>3353</v>
      </c>
      <c r="D257" s="11" t="s">
        <v>3349</v>
      </c>
      <c r="E257" s="5">
        <v>42472</v>
      </c>
      <c r="F257" s="1" t="s">
        <v>49</v>
      </c>
      <c r="G257" s="1" t="s">
        <v>786</v>
      </c>
      <c r="H257" s="1" t="s">
        <v>3551</v>
      </c>
      <c r="I257" s="1" t="s">
        <v>3552</v>
      </c>
      <c r="J257" s="1"/>
      <c r="K257" s="1" t="s">
        <v>41</v>
      </c>
      <c r="L257" s="1" t="s">
        <v>30</v>
      </c>
      <c r="M257" s="1" t="s">
        <v>259</v>
      </c>
      <c r="N257" s="1" t="s">
        <v>182</v>
      </c>
      <c r="O257" s="1">
        <v>60623</v>
      </c>
      <c r="P257" s="1" t="s">
        <v>90</v>
      </c>
      <c r="Q257" s="1" t="s">
        <v>788</v>
      </c>
      <c r="R257" s="1" t="s">
        <v>46</v>
      </c>
      <c r="S257" s="7">
        <v>82.367999999999995</v>
      </c>
      <c r="T257" s="1">
        <v>6</v>
      </c>
      <c r="U257" s="9">
        <v>81.400000000000006</v>
      </c>
      <c r="V257" s="9">
        <v>494.20799999999997</v>
      </c>
      <c r="W257" s="9">
        <v>488.40000000000003</v>
      </c>
      <c r="X257" s="12">
        <v>5.8079999999999359</v>
      </c>
      <c r="Y257" s="10">
        <v>2016</v>
      </c>
    </row>
    <row r="258" spans="1:25">
      <c r="A258" s="1" t="s">
        <v>785</v>
      </c>
      <c r="B258" s="8">
        <v>42702</v>
      </c>
      <c r="C258" s="11" t="s">
        <v>3353</v>
      </c>
      <c r="D258" s="11" t="s">
        <v>3349</v>
      </c>
      <c r="E258" s="5">
        <v>42472</v>
      </c>
      <c r="F258" s="1" t="s">
        <v>49</v>
      </c>
      <c r="G258" s="1" t="s">
        <v>786</v>
      </c>
      <c r="H258" s="1" t="s">
        <v>3551</v>
      </c>
      <c r="I258" s="1" t="s">
        <v>3552</v>
      </c>
      <c r="J258" s="1"/>
      <c r="K258" s="1" t="s">
        <v>41</v>
      </c>
      <c r="L258" s="1" t="s">
        <v>30</v>
      </c>
      <c r="M258" s="1" t="s">
        <v>259</v>
      </c>
      <c r="N258" s="1" t="s">
        <v>182</v>
      </c>
      <c r="O258" s="1">
        <v>60623</v>
      </c>
      <c r="P258" s="1" t="s">
        <v>90</v>
      </c>
      <c r="Q258" s="1" t="s">
        <v>527</v>
      </c>
      <c r="R258" s="1" t="s">
        <v>46</v>
      </c>
      <c r="S258" s="7">
        <v>53.92</v>
      </c>
      <c r="T258" s="1">
        <v>6</v>
      </c>
      <c r="U258" s="9">
        <v>53.56</v>
      </c>
      <c r="V258" s="9">
        <v>323.52</v>
      </c>
      <c r="W258" s="9">
        <v>321.36</v>
      </c>
      <c r="X258" s="12">
        <v>2.1599999999999682</v>
      </c>
      <c r="Y258" s="10">
        <v>2016</v>
      </c>
    </row>
    <row r="259" spans="1:25">
      <c r="A259" s="1" t="s">
        <v>785</v>
      </c>
      <c r="B259" s="8">
        <v>42702</v>
      </c>
      <c r="C259" s="11" t="s">
        <v>3353</v>
      </c>
      <c r="D259" s="11" t="s">
        <v>3349</v>
      </c>
      <c r="E259" s="5">
        <v>42472</v>
      </c>
      <c r="F259" s="1" t="s">
        <v>49</v>
      </c>
      <c r="G259" s="1" t="s">
        <v>786</v>
      </c>
      <c r="H259" s="1" t="s">
        <v>3551</v>
      </c>
      <c r="I259" s="1" t="s">
        <v>3552</v>
      </c>
      <c r="J259" s="1"/>
      <c r="K259" s="1" t="s">
        <v>41</v>
      </c>
      <c r="L259" s="1" t="s">
        <v>30</v>
      </c>
      <c r="M259" s="1" t="s">
        <v>259</v>
      </c>
      <c r="N259" s="1" t="s">
        <v>182</v>
      </c>
      <c r="O259" s="1">
        <v>60623</v>
      </c>
      <c r="P259" s="1" t="s">
        <v>90</v>
      </c>
      <c r="Q259" s="1" t="s">
        <v>789</v>
      </c>
      <c r="R259" s="1" t="s">
        <v>64</v>
      </c>
      <c r="S259" s="7">
        <v>647.904</v>
      </c>
      <c r="T259" s="1">
        <v>6</v>
      </c>
      <c r="U259" s="9">
        <v>647.48</v>
      </c>
      <c r="V259" s="9">
        <v>3887.424</v>
      </c>
      <c r="W259" s="9">
        <v>3884.88</v>
      </c>
      <c r="X259" s="12">
        <v>2.543999999999869</v>
      </c>
      <c r="Y259" s="10">
        <v>2016</v>
      </c>
    </row>
    <row r="260" spans="1:25">
      <c r="A260" s="1" t="s">
        <v>790</v>
      </c>
      <c r="B260" s="8">
        <v>43112</v>
      </c>
      <c r="C260" s="11" t="s">
        <v>3381</v>
      </c>
      <c r="D260" s="11" t="s">
        <v>3382</v>
      </c>
      <c r="E260" s="5">
        <v>43171</v>
      </c>
      <c r="F260" s="1" t="s">
        <v>26</v>
      </c>
      <c r="G260" s="1" t="s">
        <v>791</v>
      </c>
      <c r="H260" s="1" t="s">
        <v>3553</v>
      </c>
      <c r="I260" s="1" t="s">
        <v>3554</v>
      </c>
      <c r="J260" s="1"/>
      <c r="K260" s="1" t="s">
        <v>29</v>
      </c>
      <c r="L260" s="1" t="s">
        <v>30</v>
      </c>
      <c r="M260" s="1" t="s">
        <v>233</v>
      </c>
      <c r="N260" s="1" t="s">
        <v>234</v>
      </c>
      <c r="O260" s="1">
        <v>10009</v>
      </c>
      <c r="P260" s="1" t="s">
        <v>128</v>
      </c>
      <c r="Q260" s="1" t="s">
        <v>793</v>
      </c>
      <c r="R260" s="1" t="s">
        <v>64</v>
      </c>
      <c r="S260" s="7">
        <v>20.37</v>
      </c>
      <c r="T260" s="1">
        <v>1</v>
      </c>
      <c r="U260" s="9">
        <v>20.03</v>
      </c>
      <c r="V260" s="9">
        <v>20.37</v>
      </c>
      <c r="W260" s="9">
        <v>20.03</v>
      </c>
      <c r="X260" s="12">
        <v>0.33999999999999986</v>
      </c>
      <c r="Y260" s="10">
        <v>2018</v>
      </c>
    </row>
    <row r="261" spans="1:25">
      <c r="A261" s="1" t="s">
        <v>790</v>
      </c>
      <c r="B261" s="8">
        <v>43112</v>
      </c>
      <c r="C261" s="11" t="s">
        <v>3381</v>
      </c>
      <c r="D261" s="11" t="s">
        <v>3382</v>
      </c>
      <c r="E261" s="5">
        <v>43171</v>
      </c>
      <c r="F261" s="1" t="s">
        <v>26</v>
      </c>
      <c r="G261" s="1" t="s">
        <v>791</v>
      </c>
      <c r="H261" s="1" t="s">
        <v>3553</v>
      </c>
      <c r="I261" s="1" t="s">
        <v>3554</v>
      </c>
      <c r="J261" s="1"/>
      <c r="K261" s="1" t="s">
        <v>29</v>
      </c>
      <c r="L261" s="1" t="s">
        <v>30</v>
      </c>
      <c r="M261" s="1" t="s">
        <v>233</v>
      </c>
      <c r="N261" s="1" t="s">
        <v>234</v>
      </c>
      <c r="O261" s="1">
        <v>10009</v>
      </c>
      <c r="P261" s="1" t="s">
        <v>128</v>
      </c>
      <c r="Q261" s="1" t="s">
        <v>794</v>
      </c>
      <c r="R261" s="1" t="s">
        <v>46</v>
      </c>
      <c r="S261" s="7">
        <v>221.55</v>
      </c>
      <c r="T261" s="1">
        <v>1</v>
      </c>
      <c r="U261" s="9">
        <v>220.87</v>
      </c>
      <c r="V261" s="9">
        <v>221.55</v>
      </c>
      <c r="W261" s="9">
        <v>220.87</v>
      </c>
      <c r="X261" s="12">
        <v>0.68000000000000682</v>
      </c>
      <c r="Y261" s="10">
        <v>2018</v>
      </c>
    </row>
    <row r="262" spans="1:25">
      <c r="A262" s="1" t="s">
        <v>790</v>
      </c>
      <c r="B262" s="8">
        <v>43112</v>
      </c>
      <c r="C262" s="11" t="s">
        <v>3381</v>
      </c>
      <c r="D262" s="11" t="s">
        <v>3382</v>
      </c>
      <c r="E262" s="5">
        <v>43171</v>
      </c>
      <c r="F262" s="1" t="s">
        <v>26</v>
      </c>
      <c r="G262" s="1" t="s">
        <v>791</v>
      </c>
      <c r="H262" s="1" t="s">
        <v>3553</v>
      </c>
      <c r="I262" s="1" t="s">
        <v>3554</v>
      </c>
      <c r="J262" s="1"/>
      <c r="K262" s="1" t="s">
        <v>29</v>
      </c>
      <c r="L262" s="1" t="s">
        <v>30</v>
      </c>
      <c r="M262" s="1" t="s">
        <v>233</v>
      </c>
      <c r="N262" s="1" t="s">
        <v>234</v>
      </c>
      <c r="O262" s="1">
        <v>10009</v>
      </c>
      <c r="P262" s="1" t="s">
        <v>128</v>
      </c>
      <c r="Q262" s="1" t="s">
        <v>795</v>
      </c>
      <c r="R262" s="1" t="s">
        <v>46</v>
      </c>
      <c r="S262" s="7">
        <v>17.52</v>
      </c>
      <c r="T262" s="1">
        <v>1</v>
      </c>
      <c r="U262" s="9">
        <v>16.7</v>
      </c>
      <c r="V262" s="9">
        <v>17.52</v>
      </c>
      <c r="W262" s="9">
        <v>16.7</v>
      </c>
      <c r="X262" s="12">
        <v>0.82000000000000028</v>
      </c>
      <c r="Y262" s="10">
        <v>2018</v>
      </c>
    </row>
    <row r="263" spans="1:25">
      <c r="A263" s="1" t="s">
        <v>796</v>
      </c>
      <c r="B263" s="8">
        <v>43318</v>
      </c>
      <c r="C263" s="11" t="s">
        <v>3344</v>
      </c>
      <c r="D263" s="11" t="s">
        <v>3345</v>
      </c>
      <c r="E263" s="5">
        <v>43440</v>
      </c>
      <c r="F263" s="1" t="s">
        <v>49</v>
      </c>
      <c r="G263" s="1" t="s">
        <v>797</v>
      </c>
      <c r="H263" s="1" t="s">
        <v>3555</v>
      </c>
      <c r="I263" s="1" t="s">
        <v>3556</v>
      </c>
      <c r="J263" s="1"/>
      <c r="K263" s="1" t="s">
        <v>41</v>
      </c>
      <c r="L263" s="1" t="s">
        <v>30</v>
      </c>
      <c r="M263" s="1" t="s">
        <v>500</v>
      </c>
      <c r="N263" s="1" t="s">
        <v>89</v>
      </c>
      <c r="O263" s="1">
        <v>77506</v>
      </c>
      <c r="P263" s="1" t="s">
        <v>90</v>
      </c>
      <c r="Q263" s="1" t="s">
        <v>799</v>
      </c>
      <c r="R263" s="1" t="s">
        <v>46</v>
      </c>
      <c r="S263" s="7">
        <v>1.6240000000000001</v>
      </c>
      <c r="T263" s="1">
        <v>7</v>
      </c>
      <c r="U263" s="9">
        <v>0.85</v>
      </c>
      <c r="V263" s="9">
        <v>11.368</v>
      </c>
      <c r="W263" s="9">
        <v>5.95</v>
      </c>
      <c r="X263" s="12">
        <v>5.4180000000000001</v>
      </c>
      <c r="Y263" s="10">
        <v>2018</v>
      </c>
    </row>
    <row r="264" spans="1:25">
      <c r="A264" s="1" t="s">
        <v>800</v>
      </c>
      <c r="B264" s="8">
        <v>42266</v>
      </c>
      <c r="C264" s="11" t="s">
        <v>3356</v>
      </c>
      <c r="D264" s="11" t="s">
        <v>3345</v>
      </c>
      <c r="E264" s="5" t="s">
        <v>801</v>
      </c>
      <c r="F264" s="1" t="s">
        <v>26</v>
      </c>
      <c r="G264" s="1" t="s">
        <v>802</v>
      </c>
      <c r="H264" s="1" t="s">
        <v>3354</v>
      </c>
      <c r="I264" s="1" t="s">
        <v>3506</v>
      </c>
      <c r="J264" s="1"/>
      <c r="K264" s="1" t="s">
        <v>41</v>
      </c>
      <c r="L264" s="1" t="s">
        <v>30</v>
      </c>
      <c r="M264" s="1" t="s">
        <v>172</v>
      </c>
      <c r="N264" s="1" t="s">
        <v>89</v>
      </c>
      <c r="O264" s="1">
        <v>77036</v>
      </c>
      <c r="P264" s="1" t="s">
        <v>90</v>
      </c>
      <c r="Q264" s="1" t="s">
        <v>567</v>
      </c>
      <c r="R264" s="1" t="s">
        <v>64</v>
      </c>
      <c r="S264" s="7">
        <v>3059.982</v>
      </c>
      <c r="T264" s="1">
        <v>7</v>
      </c>
      <c r="U264" s="9">
        <v>3059.67</v>
      </c>
      <c r="V264" s="9">
        <v>21419.874</v>
      </c>
      <c r="W264" s="9">
        <v>21417.690000000002</v>
      </c>
      <c r="X264" s="12">
        <v>2.183999999997468</v>
      </c>
      <c r="Y264" s="10">
        <v>2015</v>
      </c>
    </row>
    <row r="265" spans="1:25">
      <c r="A265" s="1" t="s">
        <v>800</v>
      </c>
      <c r="B265" s="8">
        <v>42266</v>
      </c>
      <c r="C265" s="11" t="s">
        <v>3356</v>
      </c>
      <c r="D265" s="11" t="s">
        <v>3345</v>
      </c>
      <c r="E265" s="5" t="s">
        <v>801</v>
      </c>
      <c r="F265" s="1" t="s">
        <v>26</v>
      </c>
      <c r="G265" s="1" t="s">
        <v>802</v>
      </c>
      <c r="H265" s="1" t="s">
        <v>3354</v>
      </c>
      <c r="I265" s="1" t="s">
        <v>3506</v>
      </c>
      <c r="J265" s="1"/>
      <c r="K265" s="1" t="s">
        <v>41</v>
      </c>
      <c r="L265" s="1" t="s">
        <v>30</v>
      </c>
      <c r="M265" s="1" t="s">
        <v>172</v>
      </c>
      <c r="N265" s="1" t="s">
        <v>89</v>
      </c>
      <c r="O265" s="1">
        <v>77036</v>
      </c>
      <c r="P265" s="1" t="s">
        <v>90</v>
      </c>
      <c r="Q265" s="1" t="s">
        <v>804</v>
      </c>
      <c r="R265" s="1" t="s">
        <v>64</v>
      </c>
      <c r="S265" s="7">
        <v>2519.9580000000001</v>
      </c>
      <c r="T265" s="1">
        <v>7</v>
      </c>
      <c r="U265" s="9">
        <v>2519.7800000000002</v>
      </c>
      <c r="V265" s="9">
        <v>17639.706000000002</v>
      </c>
      <c r="W265" s="9">
        <v>17638.460000000003</v>
      </c>
      <c r="X265" s="12">
        <v>1.2459999999991851</v>
      </c>
      <c r="Y265" s="10">
        <v>2015</v>
      </c>
    </row>
    <row r="266" spans="1:25">
      <c r="A266" s="1" t="s">
        <v>805</v>
      </c>
      <c r="B266" s="8">
        <v>42892</v>
      </c>
      <c r="C266" s="11" t="s">
        <v>3403</v>
      </c>
      <c r="D266" s="11" t="s">
        <v>3360</v>
      </c>
      <c r="E266" s="5" t="s">
        <v>806</v>
      </c>
      <c r="F266" s="1" t="s">
        <v>49</v>
      </c>
      <c r="G266" s="1" t="s">
        <v>807</v>
      </c>
      <c r="H266" s="1" t="s">
        <v>3557</v>
      </c>
      <c r="I266" s="1" t="s">
        <v>3558</v>
      </c>
      <c r="J266" s="1"/>
      <c r="K266" s="1" t="s">
        <v>29</v>
      </c>
      <c r="L266" s="1" t="s">
        <v>30</v>
      </c>
      <c r="M266" s="1" t="s">
        <v>259</v>
      </c>
      <c r="N266" s="1" t="s">
        <v>182</v>
      </c>
      <c r="O266" s="1">
        <v>60610</v>
      </c>
      <c r="P266" s="1" t="s">
        <v>90</v>
      </c>
      <c r="Q266" s="1" t="s">
        <v>809</v>
      </c>
      <c r="R266" s="1" t="s">
        <v>64</v>
      </c>
      <c r="S266" s="7">
        <v>328.22399999999999</v>
      </c>
      <c r="T266" s="1">
        <v>6</v>
      </c>
      <c r="U266" s="9">
        <v>328.16</v>
      </c>
      <c r="V266" s="9">
        <v>1969.3440000000001</v>
      </c>
      <c r="W266" s="9">
        <v>1968.96</v>
      </c>
      <c r="X266" s="12">
        <v>0.38400000000001455</v>
      </c>
      <c r="Y266" s="10">
        <v>2017</v>
      </c>
    </row>
    <row r="267" spans="1:25">
      <c r="A267" s="1" t="s">
        <v>810</v>
      </c>
      <c r="B267" s="8">
        <v>42654</v>
      </c>
      <c r="C267" s="11" t="s">
        <v>3387</v>
      </c>
      <c r="D267" s="11" t="s">
        <v>3349</v>
      </c>
      <c r="E267" s="5" t="s">
        <v>811</v>
      </c>
      <c r="F267" s="1" t="s">
        <v>49</v>
      </c>
      <c r="G267" s="1" t="s">
        <v>812</v>
      </c>
      <c r="H267" s="1" t="s">
        <v>3468</v>
      </c>
      <c r="I267" s="1" t="s">
        <v>3559</v>
      </c>
      <c r="J267" s="1"/>
      <c r="K267" s="1" t="s">
        <v>29</v>
      </c>
      <c r="L267" s="1" t="s">
        <v>30</v>
      </c>
      <c r="M267" s="1" t="s">
        <v>814</v>
      </c>
      <c r="N267" s="1" t="s">
        <v>68</v>
      </c>
      <c r="O267" s="1">
        <v>94513</v>
      </c>
      <c r="P267" s="1" t="s">
        <v>44</v>
      </c>
      <c r="Q267" s="1" t="s">
        <v>815</v>
      </c>
      <c r="R267" s="1" t="s">
        <v>64</v>
      </c>
      <c r="S267" s="7">
        <v>79.900000000000006</v>
      </c>
      <c r="T267" s="1">
        <v>9</v>
      </c>
      <c r="U267" s="9">
        <v>79.2</v>
      </c>
      <c r="V267" s="9">
        <v>719.1</v>
      </c>
      <c r="W267" s="9">
        <v>712.80000000000007</v>
      </c>
      <c r="X267" s="12">
        <v>6.2999999999999545</v>
      </c>
      <c r="Y267" s="10">
        <v>2016</v>
      </c>
    </row>
    <row r="268" spans="1:25">
      <c r="A268" s="1" t="s">
        <v>816</v>
      </c>
      <c r="B268" s="8">
        <v>43267</v>
      </c>
      <c r="C268" s="11" t="s">
        <v>3403</v>
      </c>
      <c r="D268" s="11" t="s">
        <v>3360</v>
      </c>
      <c r="E268" s="5" t="s">
        <v>362</v>
      </c>
      <c r="F268" s="1" t="s">
        <v>49</v>
      </c>
      <c r="G268" s="1" t="s">
        <v>817</v>
      </c>
      <c r="H268" s="1" t="s">
        <v>3560</v>
      </c>
      <c r="I268" s="1" t="s">
        <v>3561</v>
      </c>
      <c r="J268" s="1"/>
      <c r="K268" s="1" t="s">
        <v>41</v>
      </c>
      <c r="L268" s="1" t="s">
        <v>30</v>
      </c>
      <c r="M268" s="1" t="s">
        <v>819</v>
      </c>
      <c r="N268" s="1" t="s">
        <v>75</v>
      </c>
      <c r="O268" s="1">
        <v>27514</v>
      </c>
      <c r="P268" s="1" t="s">
        <v>33</v>
      </c>
      <c r="Q268" s="1" t="s">
        <v>820</v>
      </c>
      <c r="R268" s="1" t="s">
        <v>46</v>
      </c>
      <c r="S268" s="7">
        <v>14.016</v>
      </c>
      <c r="T268" s="1">
        <v>2</v>
      </c>
      <c r="U268" s="9">
        <v>13.92</v>
      </c>
      <c r="V268" s="9">
        <v>28.032</v>
      </c>
      <c r="W268" s="9">
        <v>27.84</v>
      </c>
      <c r="X268" s="12">
        <v>0.19200000000000017</v>
      </c>
      <c r="Y268" s="10">
        <v>2018</v>
      </c>
    </row>
    <row r="269" spans="1:25">
      <c r="A269" s="1" t="s">
        <v>821</v>
      </c>
      <c r="B269" s="8">
        <v>42757</v>
      </c>
      <c r="C269" s="11" t="s">
        <v>3381</v>
      </c>
      <c r="D269" s="11" t="s">
        <v>3382</v>
      </c>
      <c r="E269" s="5" t="s">
        <v>822</v>
      </c>
      <c r="F269" s="1" t="s">
        <v>49</v>
      </c>
      <c r="G269" s="1" t="s">
        <v>329</v>
      </c>
      <c r="H269" s="1" t="s">
        <v>3414</v>
      </c>
      <c r="I269" s="1" t="s">
        <v>3434</v>
      </c>
      <c r="J269" s="1"/>
      <c r="K269" s="1" t="s">
        <v>29</v>
      </c>
      <c r="L269" s="1" t="s">
        <v>30</v>
      </c>
      <c r="M269" s="1" t="s">
        <v>823</v>
      </c>
      <c r="N269" s="1" t="s">
        <v>653</v>
      </c>
      <c r="O269" s="1">
        <v>7960</v>
      </c>
      <c r="P269" s="1" t="s">
        <v>128</v>
      </c>
      <c r="Q269" s="1" t="s">
        <v>824</v>
      </c>
      <c r="R269" s="1" t="s">
        <v>46</v>
      </c>
      <c r="S269" s="7">
        <v>7.56</v>
      </c>
      <c r="T269" s="1">
        <v>7</v>
      </c>
      <c r="U269" s="9">
        <v>6.82</v>
      </c>
      <c r="V269" s="9">
        <v>52.919999999999995</v>
      </c>
      <c r="W269" s="9">
        <v>47.74</v>
      </c>
      <c r="X269" s="12">
        <v>5.1799999999999926</v>
      </c>
      <c r="Y269" s="10">
        <v>2017</v>
      </c>
    </row>
    <row r="270" spans="1:25">
      <c r="A270" s="1" t="s">
        <v>825</v>
      </c>
      <c r="B270" s="8">
        <v>43355</v>
      </c>
      <c r="C270" s="11" t="s">
        <v>3356</v>
      </c>
      <c r="D270" s="11" t="s">
        <v>3345</v>
      </c>
      <c r="E270" s="5" t="s">
        <v>826</v>
      </c>
      <c r="F270" s="1" t="s">
        <v>49</v>
      </c>
      <c r="G270" s="1" t="s">
        <v>827</v>
      </c>
      <c r="H270" s="1" t="s">
        <v>3562</v>
      </c>
      <c r="I270" s="1" t="s">
        <v>3389</v>
      </c>
      <c r="J270" s="1"/>
      <c r="K270" s="1" t="s">
        <v>41</v>
      </c>
      <c r="L270" s="1" t="s">
        <v>30</v>
      </c>
      <c r="M270" s="1" t="s">
        <v>829</v>
      </c>
      <c r="N270" s="1" t="s">
        <v>421</v>
      </c>
      <c r="O270" s="1">
        <v>45231</v>
      </c>
      <c r="P270" s="1" t="s">
        <v>128</v>
      </c>
      <c r="Q270" s="1" t="s">
        <v>830</v>
      </c>
      <c r="R270" s="1" t="s">
        <v>46</v>
      </c>
      <c r="S270" s="7">
        <v>37.207999999999998</v>
      </c>
      <c r="T270" s="1">
        <v>4</v>
      </c>
      <c r="U270" s="9">
        <v>36.950000000000003</v>
      </c>
      <c r="V270" s="9">
        <v>148.83199999999999</v>
      </c>
      <c r="W270" s="9">
        <v>147.80000000000001</v>
      </c>
      <c r="X270" s="12">
        <v>1.0319999999999823</v>
      </c>
      <c r="Y270" s="10">
        <v>2018</v>
      </c>
    </row>
    <row r="271" spans="1:25">
      <c r="A271" s="1" t="s">
        <v>825</v>
      </c>
      <c r="B271" s="8">
        <v>43355</v>
      </c>
      <c r="C271" s="11" t="s">
        <v>3356</v>
      </c>
      <c r="D271" s="11" t="s">
        <v>3345</v>
      </c>
      <c r="E271" s="5" t="s">
        <v>826</v>
      </c>
      <c r="F271" s="1" t="s">
        <v>49</v>
      </c>
      <c r="G271" s="1" t="s">
        <v>827</v>
      </c>
      <c r="H271" s="1" t="s">
        <v>3562</v>
      </c>
      <c r="I271" s="1" t="s">
        <v>3389</v>
      </c>
      <c r="J271" s="1"/>
      <c r="K271" s="1" t="s">
        <v>41</v>
      </c>
      <c r="L271" s="1" t="s">
        <v>30</v>
      </c>
      <c r="M271" s="1" t="s">
        <v>829</v>
      </c>
      <c r="N271" s="1" t="s">
        <v>421</v>
      </c>
      <c r="O271" s="1">
        <v>45231</v>
      </c>
      <c r="P271" s="1" t="s">
        <v>128</v>
      </c>
      <c r="Q271" s="1" t="s">
        <v>831</v>
      </c>
      <c r="R271" s="1" t="s">
        <v>46</v>
      </c>
      <c r="S271" s="7">
        <v>57.576000000000001</v>
      </c>
      <c r="T271" s="1">
        <v>4</v>
      </c>
      <c r="U271" s="9">
        <v>56.83</v>
      </c>
      <c r="V271" s="9">
        <v>230.304</v>
      </c>
      <c r="W271" s="9">
        <v>227.32</v>
      </c>
      <c r="X271" s="12">
        <v>2.9840000000000089</v>
      </c>
      <c r="Y271" s="10">
        <v>2018</v>
      </c>
    </row>
    <row r="272" spans="1:25">
      <c r="A272" s="1" t="s">
        <v>832</v>
      </c>
      <c r="B272" s="8">
        <v>43462</v>
      </c>
      <c r="C272" s="11" t="s">
        <v>3348</v>
      </c>
      <c r="D272" s="11" t="s">
        <v>3349</v>
      </c>
      <c r="E272" s="5">
        <v>43497</v>
      </c>
      <c r="F272" s="1" t="s">
        <v>26</v>
      </c>
      <c r="G272" s="1" t="s">
        <v>833</v>
      </c>
      <c r="H272" s="1" t="s">
        <v>3563</v>
      </c>
      <c r="I272" s="1" t="s">
        <v>3564</v>
      </c>
      <c r="J272" s="1"/>
      <c r="K272" s="1" t="s">
        <v>41</v>
      </c>
      <c r="L272" s="1" t="s">
        <v>30</v>
      </c>
      <c r="M272" s="1" t="s">
        <v>110</v>
      </c>
      <c r="N272" s="1" t="s">
        <v>68</v>
      </c>
      <c r="O272" s="1">
        <v>94110</v>
      </c>
      <c r="P272" s="1" t="s">
        <v>44</v>
      </c>
      <c r="Q272" s="1" t="s">
        <v>835</v>
      </c>
      <c r="R272" s="1" t="s">
        <v>46</v>
      </c>
      <c r="S272" s="7">
        <v>725.84</v>
      </c>
      <c r="T272" s="1">
        <v>9</v>
      </c>
      <c r="U272" s="9">
        <v>725.11</v>
      </c>
      <c r="V272" s="9">
        <v>6532.56</v>
      </c>
      <c r="W272" s="9">
        <v>6525.99</v>
      </c>
      <c r="X272" s="12">
        <v>6.5700000000006185</v>
      </c>
      <c r="Y272" s="10">
        <v>2018</v>
      </c>
    </row>
    <row r="273" spans="1:25">
      <c r="A273" s="1" t="s">
        <v>836</v>
      </c>
      <c r="B273" s="8">
        <v>42581</v>
      </c>
      <c r="C273" s="11" t="s">
        <v>3376</v>
      </c>
      <c r="D273" s="11" t="s">
        <v>3345</v>
      </c>
      <c r="E273" s="5" t="s">
        <v>837</v>
      </c>
      <c r="F273" s="1" t="s">
        <v>162</v>
      </c>
      <c r="G273" s="1" t="s">
        <v>498</v>
      </c>
      <c r="H273" s="1" t="s">
        <v>3482</v>
      </c>
      <c r="I273" s="1" t="s">
        <v>3483</v>
      </c>
      <c r="J273" s="1"/>
      <c r="K273" s="1" t="s">
        <v>29</v>
      </c>
      <c r="L273" s="1" t="s">
        <v>30</v>
      </c>
      <c r="M273" s="1" t="s">
        <v>110</v>
      </c>
      <c r="N273" s="1" t="s">
        <v>68</v>
      </c>
      <c r="O273" s="1">
        <v>94109</v>
      </c>
      <c r="P273" s="1" t="s">
        <v>44</v>
      </c>
      <c r="Q273" s="1" t="s">
        <v>838</v>
      </c>
      <c r="R273" s="1" t="s">
        <v>64</v>
      </c>
      <c r="S273" s="7">
        <v>209.93</v>
      </c>
      <c r="T273" s="1">
        <v>9</v>
      </c>
      <c r="U273" s="9">
        <v>209.15</v>
      </c>
      <c r="V273" s="9">
        <v>1889.3700000000001</v>
      </c>
      <c r="W273" s="9">
        <v>1882.3500000000001</v>
      </c>
      <c r="X273" s="12">
        <v>7.0199999999999818</v>
      </c>
      <c r="Y273" s="10">
        <v>2016</v>
      </c>
    </row>
    <row r="274" spans="1:25">
      <c r="A274" s="1" t="s">
        <v>836</v>
      </c>
      <c r="B274" s="8">
        <v>42581</v>
      </c>
      <c r="C274" s="11" t="s">
        <v>3376</v>
      </c>
      <c r="D274" s="11" t="s">
        <v>3345</v>
      </c>
      <c r="E274" s="5" t="s">
        <v>837</v>
      </c>
      <c r="F274" s="1" t="s">
        <v>162</v>
      </c>
      <c r="G274" s="1" t="s">
        <v>498</v>
      </c>
      <c r="H274" s="1" t="s">
        <v>3482</v>
      </c>
      <c r="I274" s="1" t="s">
        <v>3483</v>
      </c>
      <c r="J274" s="1"/>
      <c r="K274" s="1" t="s">
        <v>29</v>
      </c>
      <c r="L274" s="1" t="s">
        <v>30</v>
      </c>
      <c r="M274" s="1" t="s">
        <v>110</v>
      </c>
      <c r="N274" s="1" t="s">
        <v>68</v>
      </c>
      <c r="O274" s="1">
        <v>94109</v>
      </c>
      <c r="P274" s="1" t="s">
        <v>44</v>
      </c>
      <c r="Q274" s="1" t="s">
        <v>839</v>
      </c>
      <c r="R274" s="1" t="s">
        <v>35</v>
      </c>
      <c r="S274" s="7">
        <v>5.28</v>
      </c>
      <c r="T274" s="1">
        <v>9</v>
      </c>
      <c r="U274" s="9">
        <v>4.8600000000000003</v>
      </c>
      <c r="V274" s="9">
        <v>47.52</v>
      </c>
      <c r="W274" s="9">
        <v>43.74</v>
      </c>
      <c r="X274" s="12">
        <v>3.7800000000000011</v>
      </c>
      <c r="Y274" s="10">
        <v>2016</v>
      </c>
    </row>
    <row r="275" spans="1:25">
      <c r="A275" s="1" t="s">
        <v>836</v>
      </c>
      <c r="B275" s="8">
        <v>42581</v>
      </c>
      <c r="C275" s="11" t="s">
        <v>3376</v>
      </c>
      <c r="D275" s="11" t="s">
        <v>3345</v>
      </c>
      <c r="E275" s="5" t="s">
        <v>837</v>
      </c>
      <c r="F275" s="1" t="s">
        <v>162</v>
      </c>
      <c r="G275" s="1" t="s">
        <v>498</v>
      </c>
      <c r="H275" s="1" t="s">
        <v>3482</v>
      </c>
      <c r="I275" s="1" t="s">
        <v>3483</v>
      </c>
      <c r="J275" s="1"/>
      <c r="K275" s="1" t="s">
        <v>29</v>
      </c>
      <c r="L275" s="1" t="s">
        <v>30</v>
      </c>
      <c r="M275" s="1" t="s">
        <v>110</v>
      </c>
      <c r="N275" s="1" t="s">
        <v>68</v>
      </c>
      <c r="O275" s="1">
        <v>94109</v>
      </c>
      <c r="P275" s="1" t="s">
        <v>44</v>
      </c>
      <c r="Q275" s="1" t="s">
        <v>840</v>
      </c>
      <c r="R275" s="1" t="s">
        <v>46</v>
      </c>
      <c r="S275" s="7">
        <v>10.92</v>
      </c>
      <c r="T275" s="1">
        <v>9</v>
      </c>
      <c r="U275" s="9">
        <v>10.3</v>
      </c>
      <c r="V275" s="9">
        <v>98.28</v>
      </c>
      <c r="W275" s="9">
        <v>92.7</v>
      </c>
      <c r="X275" s="12">
        <v>5.5799999999999983</v>
      </c>
      <c r="Y275" s="10">
        <v>2016</v>
      </c>
    </row>
    <row r="276" spans="1:25">
      <c r="A276" s="1" t="s">
        <v>841</v>
      </c>
      <c r="B276" s="8">
        <v>43359</v>
      </c>
      <c r="C276" s="11" t="s">
        <v>3356</v>
      </c>
      <c r="D276" s="11" t="s">
        <v>3345</v>
      </c>
      <c r="E276" s="5" t="s">
        <v>280</v>
      </c>
      <c r="F276" s="1" t="s">
        <v>162</v>
      </c>
      <c r="G276" s="1" t="s">
        <v>842</v>
      </c>
      <c r="H276" s="1" t="s">
        <v>3565</v>
      </c>
      <c r="I276" s="1" t="s">
        <v>3386</v>
      </c>
      <c r="J276" s="1"/>
      <c r="K276" s="1" t="s">
        <v>41</v>
      </c>
      <c r="L276" s="1" t="s">
        <v>30</v>
      </c>
      <c r="M276" s="1" t="s">
        <v>844</v>
      </c>
      <c r="N276" s="1" t="s">
        <v>68</v>
      </c>
      <c r="O276" s="1">
        <v>90301</v>
      </c>
      <c r="P276" s="1" t="s">
        <v>44</v>
      </c>
      <c r="Q276" s="1" t="s">
        <v>845</v>
      </c>
      <c r="R276" s="1" t="s">
        <v>46</v>
      </c>
      <c r="S276" s="7">
        <v>8.82</v>
      </c>
      <c r="T276" s="1">
        <v>9</v>
      </c>
      <c r="U276" s="9">
        <v>8.48</v>
      </c>
      <c r="V276" s="9">
        <v>79.38</v>
      </c>
      <c r="W276" s="9">
        <v>76.320000000000007</v>
      </c>
      <c r="X276" s="12">
        <v>3.0599999999999881</v>
      </c>
      <c r="Y276" s="10">
        <v>2018</v>
      </c>
    </row>
    <row r="277" spans="1:25">
      <c r="A277" s="1" t="s">
        <v>841</v>
      </c>
      <c r="B277" s="8">
        <v>43359</v>
      </c>
      <c r="C277" s="11" t="s">
        <v>3356</v>
      </c>
      <c r="D277" s="11" t="s">
        <v>3345</v>
      </c>
      <c r="E277" s="5" t="s">
        <v>280</v>
      </c>
      <c r="F277" s="1" t="s">
        <v>162</v>
      </c>
      <c r="G277" s="1" t="s">
        <v>842</v>
      </c>
      <c r="H277" s="1" t="s">
        <v>3565</v>
      </c>
      <c r="I277" s="1" t="s">
        <v>3386</v>
      </c>
      <c r="J277" s="1"/>
      <c r="K277" s="1" t="s">
        <v>41</v>
      </c>
      <c r="L277" s="1" t="s">
        <v>30</v>
      </c>
      <c r="M277" s="1" t="s">
        <v>844</v>
      </c>
      <c r="N277" s="1" t="s">
        <v>68</v>
      </c>
      <c r="O277" s="1">
        <v>90301</v>
      </c>
      <c r="P277" s="1" t="s">
        <v>44</v>
      </c>
      <c r="Q277" s="1" t="s">
        <v>846</v>
      </c>
      <c r="R277" s="1" t="s">
        <v>46</v>
      </c>
      <c r="S277" s="7">
        <v>5.98</v>
      </c>
      <c r="T277" s="1">
        <v>9</v>
      </c>
      <c r="U277" s="9">
        <v>5.94</v>
      </c>
      <c r="V277" s="9">
        <v>53.820000000000007</v>
      </c>
      <c r="W277" s="9">
        <v>53.46</v>
      </c>
      <c r="X277" s="12">
        <v>0.36000000000000654</v>
      </c>
      <c r="Y277" s="10">
        <v>2018</v>
      </c>
    </row>
    <row r="278" spans="1:25">
      <c r="A278" s="1" t="s">
        <v>847</v>
      </c>
      <c r="B278" s="8">
        <v>43386</v>
      </c>
      <c r="C278" s="11" t="s">
        <v>3387</v>
      </c>
      <c r="D278" s="11" t="s">
        <v>3349</v>
      </c>
      <c r="E278" s="5" t="s">
        <v>848</v>
      </c>
      <c r="F278" s="1" t="s">
        <v>49</v>
      </c>
      <c r="G278" s="1" t="s">
        <v>849</v>
      </c>
      <c r="H278" s="1" t="s">
        <v>3361</v>
      </c>
      <c r="I278" s="1" t="s">
        <v>3566</v>
      </c>
      <c r="J278" s="1"/>
      <c r="K278" s="1" t="s">
        <v>41</v>
      </c>
      <c r="L278" s="1" t="s">
        <v>30</v>
      </c>
      <c r="M278" s="1" t="s">
        <v>126</v>
      </c>
      <c r="N278" s="1" t="s">
        <v>127</v>
      </c>
      <c r="O278" s="1">
        <v>19140</v>
      </c>
      <c r="P278" s="1" t="s">
        <v>128</v>
      </c>
      <c r="Q278" s="1" t="s">
        <v>851</v>
      </c>
      <c r="R278" s="1" t="s">
        <v>46</v>
      </c>
      <c r="S278" s="7">
        <v>11.648</v>
      </c>
      <c r="T278" s="1">
        <v>1</v>
      </c>
      <c r="U278" s="9">
        <v>11.42</v>
      </c>
      <c r="V278" s="9">
        <v>11.648</v>
      </c>
      <c r="W278" s="9">
        <v>11.42</v>
      </c>
      <c r="X278" s="12">
        <v>0.22799999999999976</v>
      </c>
      <c r="Y278" s="10">
        <v>2018</v>
      </c>
    </row>
    <row r="279" spans="1:25">
      <c r="A279" s="1" t="s">
        <v>847</v>
      </c>
      <c r="B279" s="8">
        <v>43386</v>
      </c>
      <c r="C279" s="11" t="s">
        <v>3387</v>
      </c>
      <c r="D279" s="11" t="s">
        <v>3349</v>
      </c>
      <c r="E279" s="5" t="s">
        <v>848</v>
      </c>
      <c r="F279" s="1" t="s">
        <v>49</v>
      </c>
      <c r="G279" s="1" t="s">
        <v>849</v>
      </c>
      <c r="H279" s="1" t="s">
        <v>3361</v>
      </c>
      <c r="I279" s="1" t="s">
        <v>3566</v>
      </c>
      <c r="J279" s="1"/>
      <c r="K279" s="1" t="s">
        <v>41</v>
      </c>
      <c r="L279" s="1" t="s">
        <v>30</v>
      </c>
      <c r="M279" s="1" t="s">
        <v>126</v>
      </c>
      <c r="N279" s="1" t="s">
        <v>127</v>
      </c>
      <c r="O279" s="1">
        <v>19140</v>
      </c>
      <c r="P279" s="1" t="s">
        <v>128</v>
      </c>
      <c r="Q279" s="1" t="s">
        <v>852</v>
      </c>
      <c r="R279" s="1" t="s">
        <v>46</v>
      </c>
      <c r="S279" s="7">
        <v>18.175999999999998</v>
      </c>
      <c r="T279" s="1">
        <v>1</v>
      </c>
      <c r="U279" s="9">
        <v>18.170000000000002</v>
      </c>
      <c r="V279" s="9">
        <v>18.175999999999998</v>
      </c>
      <c r="W279" s="9">
        <v>18.170000000000002</v>
      </c>
      <c r="X279" s="12">
        <v>5.9999999999966747E-3</v>
      </c>
      <c r="Y279" s="10">
        <v>2018</v>
      </c>
    </row>
    <row r="280" spans="1:25">
      <c r="A280" s="1" t="s">
        <v>847</v>
      </c>
      <c r="B280" s="8">
        <v>43386</v>
      </c>
      <c r="C280" s="11" t="s">
        <v>3387</v>
      </c>
      <c r="D280" s="11" t="s">
        <v>3349</v>
      </c>
      <c r="E280" s="5" t="s">
        <v>848</v>
      </c>
      <c r="F280" s="1" t="s">
        <v>49</v>
      </c>
      <c r="G280" s="1" t="s">
        <v>849</v>
      </c>
      <c r="H280" s="1" t="s">
        <v>3361</v>
      </c>
      <c r="I280" s="1" t="s">
        <v>3566</v>
      </c>
      <c r="J280" s="1"/>
      <c r="K280" s="1" t="s">
        <v>41</v>
      </c>
      <c r="L280" s="1" t="s">
        <v>30</v>
      </c>
      <c r="M280" s="1" t="s">
        <v>126</v>
      </c>
      <c r="N280" s="1" t="s">
        <v>127</v>
      </c>
      <c r="O280" s="1">
        <v>19140</v>
      </c>
      <c r="P280" s="1" t="s">
        <v>128</v>
      </c>
      <c r="Q280" s="1" t="s">
        <v>853</v>
      </c>
      <c r="R280" s="1" t="s">
        <v>46</v>
      </c>
      <c r="S280" s="7">
        <v>59.712000000000003</v>
      </c>
      <c r="T280" s="1">
        <v>1</v>
      </c>
      <c r="U280" s="9">
        <v>59.13</v>
      </c>
      <c r="V280" s="9">
        <v>59.712000000000003</v>
      </c>
      <c r="W280" s="9">
        <v>59.13</v>
      </c>
      <c r="X280" s="12">
        <v>0.58200000000000074</v>
      </c>
      <c r="Y280" s="10">
        <v>2018</v>
      </c>
    </row>
    <row r="281" spans="1:25">
      <c r="A281" s="1" t="s">
        <v>847</v>
      </c>
      <c r="B281" s="8">
        <v>43386</v>
      </c>
      <c r="C281" s="11" t="s">
        <v>3387</v>
      </c>
      <c r="D281" s="11" t="s">
        <v>3349</v>
      </c>
      <c r="E281" s="5" t="s">
        <v>848</v>
      </c>
      <c r="F281" s="1" t="s">
        <v>49</v>
      </c>
      <c r="G281" s="1" t="s">
        <v>849</v>
      </c>
      <c r="H281" s="1" t="s">
        <v>3361</v>
      </c>
      <c r="I281" s="1" t="s">
        <v>3566</v>
      </c>
      <c r="J281" s="1"/>
      <c r="K281" s="1" t="s">
        <v>41</v>
      </c>
      <c r="L281" s="1" t="s">
        <v>30</v>
      </c>
      <c r="M281" s="1" t="s">
        <v>126</v>
      </c>
      <c r="N281" s="1" t="s">
        <v>127</v>
      </c>
      <c r="O281" s="1">
        <v>19140</v>
      </c>
      <c r="P281" s="1" t="s">
        <v>128</v>
      </c>
      <c r="Q281" s="1" t="s">
        <v>854</v>
      </c>
      <c r="R281" s="1" t="s">
        <v>46</v>
      </c>
      <c r="S281" s="7">
        <v>24.84</v>
      </c>
      <c r="T281" s="1">
        <v>1</v>
      </c>
      <c r="U281" s="9">
        <v>24.29</v>
      </c>
      <c r="V281" s="9">
        <v>24.84</v>
      </c>
      <c r="W281" s="9">
        <v>24.29</v>
      </c>
      <c r="X281" s="12">
        <v>0.55000000000000071</v>
      </c>
      <c r="Y281" s="10">
        <v>2018</v>
      </c>
    </row>
    <row r="282" spans="1:25">
      <c r="A282" s="1" t="s">
        <v>855</v>
      </c>
      <c r="B282" s="8">
        <v>42639</v>
      </c>
      <c r="C282" s="11" t="s">
        <v>3356</v>
      </c>
      <c r="D282" s="11" t="s">
        <v>3345</v>
      </c>
      <c r="E282" s="5" t="s">
        <v>856</v>
      </c>
      <c r="F282" s="1" t="s">
        <v>26</v>
      </c>
      <c r="G282" s="1" t="s">
        <v>436</v>
      </c>
      <c r="H282" s="1" t="s">
        <v>3466</v>
      </c>
      <c r="I282" s="1" t="s">
        <v>3467</v>
      </c>
      <c r="J282" s="1"/>
      <c r="K282" s="1" t="s">
        <v>29</v>
      </c>
      <c r="L282" s="1" t="s">
        <v>30</v>
      </c>
      <c r="M282" s="1" t="s">
        <v>172</v>
      </c>
      <c r="N282" s="1" t="s">
        <v>89</v>
      </c>
      <c r="O282" s="1">
        <v>77070</v>
      </c>
      <c r="P282" s="1" t="s">
        <v>90</v>
      </c>
      <c r="Q282" s="1" t="s">
        <v>857</v>
      </c>
      <c r="R282" s="1" t="s">
        <v>46</v>
      </c>
      <c r="S282" s="7">
        <v>2.08</v>
      </c>
      <c r="T282" s="1">
        <v>7</v>
      </c>
      <c r="U282" s="9">
        <v>1.98</v>
      </c>
      <c r="V282" s="9">
        <v>14.56</v>
      </c>
      <c r="W282" s="9">
        <v>13.86</v>
      </c>
      <c r="X282" s="12">
        <v>0.70000000000000107</v>
      </c>
      <c r="Y282" s="10">
        <v>2016</v>
      </c>
    </row>
    <row r="283" spans="1:25">
      <c r="A283" s="1" t="s">
        <v>855</v>
      </c>
      <c r="B283" s="8">
        <v>42639</v>
      </c>
      <c r="C283" s="11" t="s">
        <v>3356</v>
      </c>
      <c r="D283" s="11" t="s">
        <v>3345</v>
      </c>
      <c r="E283" s="5" t="s">
        <v>856</v>
      </c>
      <c r="F283" s="1" t="s">
        <v>26</v>
      </c>
      <c r="G283" s="1" t="s">
        <v>436</v>
      </c>
      <c r="H283" s="1" t="s">
        <v>3466</v>
      </c>
      <c r="I283" s="1" t="s">
        <v>3467</v>
      </c>
      <c r="J283" s="1"/>
      <c r="K283" s="1" t="s">
        <v>29</v>
      </c>
      <c r="L283" s="1" t="s">
        <v>30</v>
      </c>
      <c r="M283" s="1" t="s">
        <v>172</v>
      </c>
      <c r="N283" s="1" t="s">
        <v>89</v>
      </c>
      <c r="O283" s="1">
        <v>77070</v>
      </c>
      <c r="P283" s="1" t="s">
        <v>90</v>
      </c>
      <c r="Q283" s="1" t="s">
        <v>858</v>
      </c>
      <c r="R283" s="1" t="s">
        <v>64</v>
      </c>
      <c r="S283" s="7">
        <v>1114.4000000000001</v>
      </c>
      <c r="T283" s="1">
        <v>7</v>
      </c>
      <c r="U283" s="9">
        <v>1113.53</v>
      </c>
      <c r="V283" s="9">
        <v>7800.8000000000011</v>
      </c>
      <c r="W283" s="9">
        <v>7794.71</v>
      </c>
      <c r="X283" s="12">
        <v>6.090000000001055</v>
      </c>
      <c r="Y283" s="10">
        <v>2016</v>
      </c>
    </row>
    <row r="284" spans="1:25">
      <c r="A284" s="1" t="s">
        <v>859</v>
      </c>
      <c r="B284" s="8">
        <v>42411</v>
      </c>
      <c r="C284" s="11" t="s">
        <v>3461</v>
      </c>
      <c r="D284" s="11" t="s">
        <v>3382</v>
      </c>
      <c r="E284" s="5">
        <v>42532</v>
      </c>
      <c r="F284" s="1" t="s">
        <v>49</v>
      </c>
      <c r="G284" s="1" t="s">
        <v>860</v>
      </c>
      <c r="H284" s="1" t="s">
        <v>3567</v>
      </c>
      <c r="I284" s="1" t="s">
        <v>3568</v>
      </c>
      <c r="J284" s="1"/>
      <c r="K284" s="1" t="s">
        <v>29</v>
      </c>
      <c r="L284" s="1" t="s">
        <v>30</v>
      </c>
      <c r="M284" s="1" t="s">
        <v>42</v>
      </c>
      <c r="N284" s="1" t="s">
        <v>68</v>
      </c>
      <c r="O284" s="1">
        <v>90004</v>
      </c>
      <c r="P284" s="1" t="s">
        <v>44</v>
      </c>
      <c r="Q284" s="1" t="s">
        <v>862</v>
      </c>
      <c r="R284" s="1" t="s">
        <v>35</v>
      </c>
      <c r="S284" s="7">
        <v>1038.8399999999999</v>
      </c>
      <c r="T284" s="1">
        <v>9</v>
      </c>
      <c r="U284" s="9">
        <v>1038.0999999999999</v>
      </c>
      <c r="V284" s="9">
        <v>9349.56</v>
      </c>
      <c r="W284" s="9">
        <v>9342.9</v>
      </c>
      <c r="X284" s="12">
        <v>6.6599999999998545</v>
      </c>
      <c r="Y284" s="10">
        <v>2016</v>
      </c>
    </row>
    <row r="285" spans="1:25">
      <c r="A285" s="1" t="s">
        <v>863</v>
      </c>
      <c r="B285" s="8">
        <v>42639</v>
      </c>
      <c r="C285" s="11" t="s">
        <v>3356</v>
      </c>
      <c r="D285" s="11" t="s">
        <v>3345</v>
      </c>
      <c r="E285" s="5">
        <v>42410</v>
      </c>
      <c r="F285" s="1" t="s">
        <v>49</v>
      </c>
      <c r="G285" s="1" t="s">
        <v>143</v>
      </c>
      <c r="H285" s="1" t="s">
        <v>3385</v>
      </c>
      <c r="I285" s="1" t="s">
        <v>3386</v>
      </c>
      <c r="J285" s="1"/>
      <c r="K285" s="1" t="s">
        <v>29</v>
      </c>
      <c r="L285" s="1" t="s">
        <v>30</v>
      </c>
      <c r="M285" s="1" t="s">
        <v>354</v>
      </c>
      <c r="N285" s="1" t="s">
        <v>355</v>
      </c>
      <c r="O285" s="1">
        <v>97206</v>
      </c>
      <c r="P285" s="1" t="s">
        <v>44</v>
      </c>
      <c r="Q285" s="1" t="s">
        <v>864</v>
      </c>
      <c r="R285" s="1" t="s">
        <v>46</v>
      </c>
      <c r="S285" s="7">
        <v>141.76</v>
      </c>
      <c r="T285" s="1">
        <v>9</v>
      </c>
      <c r="U285" s="9">
        <v>141.38999999999999</v>
      </c>
      <c r="V285" s="9">
        <v>1275.8399999999999</v>
      </c>
      <c r="W285" s="9">
        <v>1272.5099999999998</v>
      </c>
      <c r="X285" s="12">
        <v>3.3300000000001546</v>
      </c>
      <c r="Y285" s="10">
        <v>2016</v>
      </c>
    </row>
    <row r="286" spans="1:25">
      <c r="A286" s="1" t="s">
        <v>863</v>
      </c>
      <c r="B286" s="8">
        <v>42639</v>
      </c>
      <c r="C286" s="11" t="s">
        <v>3356</v>
      </c>
      <c r="D286" s="11" t="s">
        <v>3345</v>
      </c>
      <c r="E286" s="5">
        <v>42410</v>
      </c>
      <c r="F286" s="1" t="s">
        <v>49</v>
      </c>
      <c r="G286" s="1" t="s">
        <v>143</v>
      </c>
      <c r="H286" s="1" t="s">
        <v>3385</v>
      </c>
      <c r="I286" s="1" t="s">
        <v>3386</v>
      </c>
      <c r="J286" s="1"/>
      <c r="K286" s="1" t="s">
        <v>29</v>
      </c>
      <c r="L286" s="1" t="s">
        <v>30</v>
      </c>
      <c r="M286" s="1" t="s">
        <v>354</v>
      </c>
      <c r="N286" s="1" t="s">
        <v>355</v>
      </c>
      <c r="O286" s="1">
        <v>97206</v>
      </c>
      <c r="P286" s="1" t="s">
        <v>44</v>
      </c>
      <c r="Q286" s="1" t="s">
        <v>865</v>
      </c>
      <c r="R286" s="1" t="s">
        <v>64</v>
      </c>
      <c r="S286" s="7">
        <v>239.8</v>
      </c>
      <c r="T286" s="1">
        <v>9</v>
      </c>
      <c r="U286" s="9">
        <v>239.3</v>
      </c>
      <c r="V286" s="9">
        <v>2158.2000000000003</v>
      </c>
      <c r="W286" s="9">
        <v>2153.7000000000003</v>
      </c>
      <c r="X286" s="12">
        <v>4.5</v>
      </c>
      <c r="Y286" s="10">
        <v>2016</v>
      </c>
    </row>
    <row r="287" spans="1:25">
      <c r="A287" s="1" t="s">
        <v>863</v>
      </c>
      <c r="B287" s="8">
        <v>42639</v>
      </c>
      <c r="C287" s="11" t="s">
        <v>3356</v>
      </c>
      <c r="D287" s="11" t="s">
        <v>3345</v>
      </c>
      <c r="E287" s="5">
        <v>42410</v>
      </c>
      <c r="F287" s="1" t="s">
        <v>49</v>
      </c>
      <c r="G287" s="1" t="s">
        <v>143</v>
      </c>
      <c r="H287" s="1" t="s">
        <v>3385</v>
      </c>
      <c r="I287" s="1" t="s">
        <v>3386</v>
      </c>
      <c r="J287" s="1"/>
      <c r="K287" s="1" t="s">
        <v>29</v>
      </c>
      <c r="L287" s="1" t="s">
        <v>30</v>
      </c>
      <c r="M287" s="1" t="s">
        <v>354</v>
      </c>
      <c r="N287" s="1" t="s">
        <v>355</v>
      </c>
      <c r="O287" s="1">
        <v>97206</v>
      </c>
      <c r="P287" s="1" t="s">
        <v>44</v>
      </c>
      <c r="Q287" s="1" t="s">
        <v>866</v>
      </c>
      <c r="R287" s="1" t="s">
        <v>46</v>
      </c>
      <c r="S287" s="7">
        <v>31.103999999999999</v>
      </c>
      <c r="T287" s="1">
        <v>9</v>
      </c>
      <c r="U287" s="9">
        <v>30.4</v>
      </c>
      <c r="V287" s="9">
        <v>279.93599999999998</v>
      </c>
      <c r="W287" s="9">
        <v>273.59999999999997</v>
      </c>
      <c r="X287" s="12">
        <v>6.3360000000000127</v>
      </c>
      <c r="Y287" s="10">
        <v>2016</v>
      </c>
    </row>
    <row r="288" spans="1:25">
      <c r="A288" s="1" t="s">
        <v>867</v>
      </c>
      <c r="B288" s="8">
        <v>43087</v>
      </c>
      <c r="C288" s="11" t="s">
        <v>3348</v>
      </c>
      <c r="D288" s="11" t="s">
        <v>3349</v>
      </c>
      <c r="E288" s="5" t="s">
        <v>868</v>
      </c>
      <c r="F288" s="1" t="s">
        <v>26</v>
      </c>
      <c r="G288" s="1" t="s">
        <v>869</v>
      </c>
      <c r="H288" s="1" t="s">
        <v>3468</v>
      </c>
      <c r="I288" s="1" t="s">
        <v>3569</v>
      </c>
      <c r="J288" s="1"/>
      <c r="K288" s="1" t="s">
        <v>41</v>
      </c>
      <c r="L288" s="1" t="s">
        <v>30</v>
      </c>
      <c r="M288" s="1" t="s">
        <v>871</v>
      </c>
      <c r="N288" s="1" t="s">
        <v>194</v>
      </c>
      <c r="O288" s="1">
        <v>33319</v>
      </c>
      <c r="P288" s="1" t="s">
        <v>33</v>
      </c>
      <c r="Q288" s="1" t="s">
        <v>872</v>
      </c>
      <c r="R288" s="1" t="s">
        <v>46</v>
      </c>
      <c r="S288" s="7">
        <v>254.05799999999999</v>
      </c>
      <c r="T288" s="1">
        <v>3</v>
      </c>
      <c r="U288" s="9">
        <v>253.74</v>
      </c>
      <c r="V288" s="9">
        <v>762.17399999999998</v>
      </c>
      <c r="W288" s="9">
        <v>761.22</v>
      </c>
      <c r="X288" s="12">
        <v>0.95399999999995089</v>
      </c>
      <c r="Y288" s="10">
        <v>2017</v>
      </c>
    </row>
    <row r="289" spans="1:25">
      <c r="A289" s="1" t="s">
        <v>867</v>
      </c>
      <c r="B289" s="8">
        <v>43087</v>
      </c>
      <c r="C289" s="11" t="s">
        <v>3348</v>
      </c>
      <c r="D289" s="11" t="s">
        <v>3349</v>
      </c>
      <c r="E289" s="5" t="s">
        <v>868</v>
      </c>
      <c r="F289" s="1" t="s">
        <v>26</v>
      </c>
      <c r="G289" s="1" t="s">
        <v>869</v>
      </c>
      <c r="H289" s="1" t="s">
        <v>3468</v>
      </c>
      <c r="I289" s="1" t="s">
        <v>3569</v>
      </c>
      <c r="J289" s="1"/>
      <c r="K289" s="1" t="s">
        <v>41</v>
      </c>
      <c r="L289" s="1" t="s">
        <v>30</v>
      </c>
      <c r="M289" s="1" t="s">
        <v>871</v>
      </c>
      <c r="N289" s="1" t="s">
        <v>194</v>
      </c>
      <c r="O289" s="1">
        <v>33319</v>
      </c>
      <c r="P289" s="1" t="s">
        <v>33</v>
      </c>
      <c r="Q289" s="1" t="s">
        <v>589</v>
      </c>
      <c r="R289" s="1" t="s">
        <v>46</v>
      </c>
      <c r="S289" s="7">
        <v>194.52799999999999</v>
      </c>
      <c r="T289" s="1">
        <v>3</v>
      </c>
      <c r="U289" s="9">
        <v>193.93</v>
      </c>
      <c r="V289" s="9">
        <v>583.58399999999995</v>
      </c>
      <c r="W289" s="9">
        <v>581.79</v>
      </c>
      <c r="X289" s="12">
        <v>1.7939999999999827</v>
      </c>
      <c r="Y289" s="10">
        <v>2017</v>
      </c>
    </row>
    <row r="290" spans="1:25">
      <c r="A290" s="1" t="s">
        <v>867</v>
      </c>
      <c r="B290" s="8">
        <v>43087</v>
      </c>
      <c r="C290" s="11" t="s">
        <v>3348</v>
      </c>
      <c r="D290" s="11" t="s">
        <v>3349</v>
      </c>
      <c r="E290" s="5" t="s">
        <v>868</v>
      </c>
      <c r="F290" s="1" t="s">
        <v>26</v>
      </c>
      <c r="G290" s="1" t="s">
        <v>869</v>
      </c>
      <c r="H290" s="1" t="s">
        <v>3468</v>
      </c>
      <c r="I290" s="1" t="s">
        <v>3569</v>
      </c>
      <c r="J290" s="1"/>
      <c r="K290" s="1" t="s">
        <v>41</v>
      </c>
      <c r="L290" s="1" t="s">
        <v>30</v>
      </c>
      <c r="M290" s="1" t="s">
        <v>871</v>
      </c>
      <c r="N290" s="1" t="s">
        <v>194</v>
      </c>
      <c r="O290" s="1">
        <v>33319</v>
      </c>
      <c r="P290" s="1" t="s">
        <v>33</v>
      </c>
      <c r="Q290" s="1" t="s">
        <v>873</v>
      </c>
      <c r="R290" s="1" t="s">
        <v>46</v>
      </c>
      <c r="S290" s="7">
        <v>961.48</v>
      </c>
      <c r="T290" s="1">
        <v>3</v>
      </c>
      <c r="U290" s="9">
        <v>961.3</v>
      </c>
      <c r="V290" s="9">
        <v>2884.44</v>
      </c>
      <c r="W290" s="9">
        <v>2883.8999999999996</v>
      </c>
      <c r="X290" s="12">
        <v>0.54000000000041837</v>
      </c>
      <c r="Y290" s="10">
        <v>2017</v>
      </c>
    </row>
    <row r="291" spans="1:25">
      <c r="A291" s="1" t="s">
        <v>874</v>
      </c>
      <c r="B291" s="8">
        <v>43059</v>
      </c>
      <c r="C291" s="11" t="s">
        <v>3353</v>
      </c>
      <c r="D291" s="11" t="s">
        <v>3349</v>
      </c>
      <c r="E291" s="5" t="s">
        <v>536</v>
      </c>
      <c r="F291" s="1" t="s">
        <v>26</v>
      </c>
      <c r="G291" s="1" t="s">
        <v>875</v>
      </c>
      <c r="H291" s="1" t="s">
        <v>3570</v>
      </c>
      <c r="I291" s="1" t="s">
        <v>3451</v>
      </c>
      <c r="J291" s="1"/>
      <c r="K291" s="1" t="s">
        <v>87</v>
      </c>
      <c r="L291" s="1" t="s">
        <v>30</v>
      </c>
      <c r="M291" s="1" t="s">
        <v>420</v>
      </c>
      <c r="N291" s="1" t="s">
        <v>421</v>
      </c>
      <c r="O291" s="1">
        <v>43229</v>
      </c>
      <c r="P291" s="1" t="s">
        <v>128</v>
      </c>
      <c r="Q291" s="1" t="s">
        <v>877</v>
      </c>
      <c r="R291" s="1" t="s">
        <v>46</v>
      </c>
      <c r="S291" s="7">
        <v>19.096</v>
      </c>
      <c r="T291" s="1">
        <v>4</v>
      </c>
      <c r="U291" s="9">
        <v>18.34</v>
      </c>
      <c r="V291" s="9">
        <v>76.384</v>
      </c>
      <c r="W291" s="9">
        <v>73.36</v>
      </c>
      <c r="X291" s="12">
        <v>3.0240000000000009</v>
      </c>
      <c r="Y291" s="10">
        <v>2017</v>
      </c>
    </row>
    <row r="292" spans="1:25">
      <c r="A292" s="1" t="s">
        <v>874</v>
      </c>
      <c r="B292" s="8">
        <v>43059</v>
      </c>
      <c r="C292" s="11" t="s">
        <v>3353</v>
      </c>
      <c r="D292" s="11" t="s">
        <v>3349</v>
      </c>
      <c r="E292" s="5" t="s">
        <v>536</v>
      </c>
      <c r="F292" s="1" t="s">
        <v>26</v>
      </c>
      <c r="G292" s="1" t="s">
        <v>875</v>
      </c>
      <c r="H292" s="1" t="s">
        <v>3570</v>
      </c>
      <c r="I292" s="1" t="s">
        <v>3451</v>
      </c>
      <c r="J292" s="1"/>
      <c r="K292" s="1" t="s">
        <v>87</v>
      </c>
      <c r="L292" s="1" t="s">
        <v>30</v>
      </c>
      <c r="M292" s="1" t="s">
        <v>420</v>
      </c>
      <c r="N292" s="1" t="s">
        <v>421</v>
      </c>
      <c r="O292" s="1">
        <v>43229</v>
      </c>
      <c r="P292" s="1" t="s">
        <v>128</v>
      </c>
      <c r="Q292" s="1" t="s">
        <v>878</v>
      </c>
      <c r="R292" s="1" t="s">
        <v>46</v>
      </c>
      <c r="S292" s="7">
        <v>18.495999999999999</v>
      </c>
      <c r="T292" s="1">
        <v>4</v>
      </c>
      <c r="U292" s="9">
        <v>18.02</v>
      </c>
      <c r="V292" s="9">
        <v>73.983999999999995</v>
      </c>
      <c r="W292" s="9">
        <v>72.08</v>
      </c>
      <c r="X292" s="12">
        <v>1.9039999999999964</v>
      </c>
      <c r="Y292" s="10">
        <v>2017</v>
      </c>
    </row>
    <row r="293" spans="1:25">
      <c r="A293" s="1" t="s">
        <v>874</v>
      </c>
      <c r="B293" s="8">
        <v>43059</v>
      </c>
      <c r="C293" s="11" t="s">
        <v>3353</v>
      </c>
      <c r="D293" s="11" t="s">
        <v>3349</v>
      </c>
      <c r="E293" s="5" t="s">
        <v>536</v>
      </c>
      <c r="F293" s="1" t="s">
        <v>26</v>
      </c>
      <c r="G293" s="1" t="s">
        <v>875</v>
      </c>
      <c r="H293" s="1" t="s">
        <v>3570</v>
      </c>
      <c r="I293" s="1" t="s">
        <v>3451</v>
      </c>
      <c r="J293" s="1"/>
      <c r="K293" s="1" t="s">
        <v>87</v>
      </c>
      <c r="L293" s="1" t="s">
        <v>30</v>
      </c>
      <c r="M293" s="1" t="s">
        <v>420</v>
      </c>
      <c r="N293" s="1" t="s">
        <v>421</v>
      </c>
      <c r="O293" s="1">
        <v>43229</v>
      </c>
      <c r="P293" s="1" t="s">
        <v>128</v>
      </c>
      <c r="Q293" s="1" t="s">
        <v>879</v>
      </c>
      <c r="R293" s="1" t="s">
        <v>64</v>
      </c>
      <c r="S293" s="7">
        <v>255.98400000000001</v>
      </c>
      <c r="T293" s="1">
        <v>4</v>
      </c>
      <c r="U293" s="9">
        <v>255.27</v>
      </c>
      <c r="V293" s="9">
        <v>1023.936</v>
      </c>
      <c r="W293" s="9">
        <v>1021.08</v>
      </c>
      <c r="X293" s="12">
        <v>2.8559999999999945</v>
      </c>
      <c r="Y293" s="10">
        <v>2017</v>
      </c>
    </row>
    <row r="294" spans="1:25">
      <c r="A294" s="1" t="s">
        <v>874</v>
      </c>
      <c r="B294" s="8">
        <v>43059</v>
      </c>
      <c r="C294" s="11" t="s">
        <v>3353</v>
      </c>
      <c r="D294" s="11" t="s">
        <v>3349</v>
      </c>
      <c r="E294" s="5" t="s">
        <v>536</v>
      </c>
      <c r="F294" s="1" t="s">
        <v>26</v>
      </c>
      <c r="G294" s="1" t="s">
        <v>875</v>
      </c>
      <c r="H294" s="1" t="s">
        <v>3570</v>
      </c>
      <c r="I294" s="1" t="s">
        <v>3451</v>
      </c>
      <c r="J294" s="1"/>
      <c r="K294" s="1" t="s">
        <v>87</v>
      </c>
      <c r="L294" s="1" t="s">
        <v>30</v>
      </c>
      <c r="M294" s="1" t="s">
        <v>420</v>
      </c>
      <c r="N294" s="1" t="s">
        <v>421</v>
      </c>
      <c r="O294" s="1">
        <v>43229</v>
      </c>
      <c r="P294" s="1" t="s">
        <v>128</v>
      </c>
      <c r="Q294" s="1" t="s">
        <v>880</v>
      </c>
      <c r="R294" s="1" t="s">
        <v>35</v>
      </c>
      <c r="S294" s="7">
        <v>86.97</v>
      </c>
      <c r="T294" s="1">
        <v>4</v>
      </c>
      <c r="U294" s="9">
        <v>86.48</v>
      </c>
      <c r="V294" s="9">
        <v>347.88</v>
      </c>
      <c r="W294" s="9">
        <v>345.92</v>
      </c>
      <c r="X294" s="12">
        <v>1.9599999999999795</v>
      </c>
      <c r="Y294" s="10">
        <v>2017</v>
      </c>
    </row>
    <row r="295" spans="1:25">
      <c r="A295" s="1" t="s">
        <v>881</v>
      </c>
      <c r="B295" s="8">
        <v>42364</v>
      </c>
      <c r="C295" s="11" t="s">
        <v>3348</v>
      </c>
      <c r="D295" s="11" t="s">
        <v>3349</v>
      </c>
      <c r="E295" s="5" t="s">
        <v>444</v>
      </c>
      <c r="F295" s="1" t="s">
        <v>162</v>
      </c>
      <c r="G295" s="1" t="s">
        <v>882</v>
      </c>
      <c r="H295" s="1" t="s">
        <v>3547</v>
      </c>
      <c r="I295" s="1" t="s">
        <v>3571</v>
      </c>
      <c r="J295" s="1"/>
      <c r="K295" s="1" t="s">
        <v>41</v>
      </c>
      <c r="L295" s="1" t="s">
        <v>30</v>
      </c>
      <c r="M295" s="1" t="s">
        <v>884</v>
      </c>
      <c r="N295" s="1" t="s">
        <v>386</v>
      </c>
      <c r="O295" s="1">
        <v>80906</v>
      </c>
      <c r="P295" s="1" t="s">
        <v>44</v>
      </c>
      <c r="Q295" s="1" t="s">
        <v>885</v>
      </c>
      <c r="R295" s="1" t="s">
        <v>35</v>
      </c>
      <c r="S295" s="7">
        <v>300.416</v>
      </c>
      <c r="T295" s="1">
        <v>8</v>
      </c>
      <c r="U295" s="9">
        <v>299.42</v>
      </c>
      <c r="V295" s="9">
        <v>2403.328</v>
      </c>
      <c r="W295" s="9">
        <v>2395.36</v>
      </c>
      <c r="X295" s="12">
        <v>7.9679999999998472</v>
      </c>
      <c r="Y295" s="10">
        <v>2015</v>
      </c>
    </row>
    <row r="296" spans="1:25">
      <c r="A296" s="1" t="s">
        <v>881</v>
      </c>
      <c r="B296" s="8">
        <v>42364</v>
      </c>
      <c r="C296" s="11" t="s">
        <v>3348</v>
      </c>
      <c r="D296" s="11" t="s">
        <v>3349</v>
      </c>
      <c r="E296" s="5" t="s">
        <v>444</v>
      </c>
      <c r="F296" s="1" t="s">
        <v>162</v>
      </c>
      <c r="G296" s="1" t="s">
        <v>882</v>
      </c>
      <c r="H296" s="1" t="s">
        <v>3547</v>
      </c>
      <c r="I296" s="1" t="s">
        <v>3571</v>
      </c>
      <c r="J296" s="1"/>
      <c r="K296" s="1" t="s">
        <v>41</v>
      </c>
      <c r="L296" s="1" t="s">
        <v>30</v>
      </c>
      <c r="M296" s="1" t="s">
        <v>884</v>
      </c>
      <c r="N296" s="1" t="s">
        <v>386</v>
      </c>
      <c r="O296" s="1">
        <v>80906</v>
      </c>
      <c r="P296" s="1" t="s">
        <v>44</v>
      </c>
      <c r="Q296" s="1" t="s">
        <v>886</v>
      </c>
      <c r="R296" s="1" t="s">
        <v>35</v>
      </c>
      <c r="S296" s="7">
        <v>230.352</v>
      </c>
      <c r="T296" s="1">
        <v>8</v>
      </c>
      <c r="U296" s="9">
        <v>229.78</v>
      </c>
      <c r="V296" s="9">
        <v>1842.816</v>
      </c>
      <c r="W296" s="9">
        <v>1838.24</v>
      </c>
      <c r="X296" s="12">
        <v>4.5760000000000218</v>
      </c>
      <c r="Y296" s="10">
        <v>2015</v>
      </c>
    </row>
    <row r="297" spans="1:25">
      <c r="A297" s="1" t="s">
        <v>881</v>
      </c>
      <c r="B297" s="8">
        <v>42364</v>
      </c>
      <c r="C297" s="11" t="s">
        <v>3348</v>
      </c>
      <c r="D297" s="11" t="s">
        <v>3349</v>
      </c>
      <c r="E297" s="5" t="s">
        <v>444</v>
      </c>
      <c r="F297" s="1" t="s">
        <v>162</v>
      </c>
      <c r="G297" s="1" t="s">
        <v>882</v>
      </c>
      <c r="H297" s="1" t="s">
        <v>3547</v>
      </c>
      <c r="I297" s="1" t="s">
        <v>3571</v>
      </c>
      <c r="J297" s="1"/>
      <c r="K297" s="1" t="s">
        <v>41</v>
      </c>
      <c r="L297" s="1" t="s">
        <v>30</v>
      </c>
      <c r="M297" s="1" t="s">
        <v>884</v>
      </c>
      <c r="N297" s="1" t="s">
        <v>386</v>
      </c>
      <c r="O297" s="1">
        <v>80906</v>
      </c>
      <c r="P297" s="1" t="s">
        <v>44</v>
      </c>
      <c r="Q297" s="1" t="s">
        <v>887</v>
      </c>
      <c r="R297" s="1" t="s">
        <v>35</v>
      </c>
      <c r="S297" s="7">
        <v>218.352</v>
      </c>
      <c r="T297" s="1">
        <v>8</v>
      </c>
      <c r="U297" s="9">
        <v>218.02</v>
      </c>
      <c r="V297" s="9">
        <v>1746.816</v>
      </c>
      <c r="W297" s="9">
        <v>1744.16</v>
      </c>
      <c r="X297" s="12">
        <v>2.6559999999999491</v>
      </c>
      <c r="Y297" s="10">
        <v>2015</v>
      </c>
    </row>
    <row r="298" spans="1:25">
      <c r="A298" s="1" t="s">
        <v>881</v>
      </c>
      <c r="B298" s="8">
        <v>42364</v>
      </c>
      <c r="C298" s="11" t="s">
        <v>3348</v>
      </c>
      <c r="D298" s="11" t="s">
        <v>3349</v>
      </c>
      <c r="E298" s="5" t="s">
        <v>444</v>
      </c>
      <c r="F298" s="1" t="s">
        <v>162</v>
      </c>
      <c r="G298" s="1" t="s">
        <v>882</v>
      </c>
      <c r="H298" s="1" t="s">
        <v>3547</v>
      </c>
      <c r="I298" s="1" t="s">
        <v>3571</v>
      </c>
      <c r="J298" s="1"/>
      <c r="K298" s="1" t="s">
        <v>41</v>
      </c>
      <c r="L298" s="1" t="s">
        <v>30</v>
      </c>
      <c r="M298" s="1" t="s">
        <v>884</v>
      </c>
      <c r="N298" s="1" t="s">
        <v>386</v>
      </c>
      <c r="O298" s="1">
        <v>80906</v>
      </c>
      <c r="P298" s="1" t="s">
        <v>44</v>
      </c>
      <c r="Q298" s="1" t="s">
        <v>888</v>
      </c>
      <c r="R298" s="1" t="s">
        <v>46</v>
      </c>
      <c r="S298" s="7">
        <v>78.599999999999994</v>
      </c>
      <c r="T298" s="1">
        <v>8</v>
      </c>
      <c r="U298" s="9">
        <v>78.290000000000006</v>
      </c>
      <c r="V298" s="9">
        <v>628.79999999999995</v>
      </c>
      <c r="W298" s="9">
        <v>626.32000000000005</v>
      </c>
      <c r="X298" s="12">
        <v>2.4799999999999045</v>
      </c>
      <c r="Y298" s="10">
        <v>2015</v>
      </c>
    </row>
    <row r="299" spans="1:25">
      <c r="A299" s="1" t="s">
        <v>881</v>
      </c>
      <c r="B299" s="8">
        <v>42364</v>
      </c>
      <c r="C299" s="11" t="s">
        <v>3348</v>
      </c>
      <c r="D299" s="11" t="s">
        <v>3349</v>
      </c>
      <c r="E299" s="5" t="s">
        <v>444</v>
      </c>
      <c r="F299" s="1" t="s">
        <v>162</v>
      </c>
      <c r="G299" s="1" t="s">
        <v>882</v>
      </c>
      <c r="H299" s="1" t="s">
        <v>3547</v>
      </c>
      <c r="I299" s="1" t="s">
        <v>3571</v>
      </c>
      <c r="J299" s="1"/>
      <c r="K299" s="1" t="s">
        <v>41</v>
      </c>
      <c r="L299" s="1" t="s">
        <v>30</v>
      </c>
      <c r="M299" s="1" t="s">
        <v>884</v>
      </c>
      <c r="N299" s="1" t="s">
        <v>386</v>
      </c>
      <c r="O299" s="1">
        <v>80906</v>
      </c>
      <c r="P299" s="1" t="s">
        <v>44</v>
      </c>
      <c r="Q299" s="1" t="s">
        <v>889</v>
      </c>
      <c r="R299" s="1" t="s">
        <v>46</v>
      </c>
      <c r="S299" s="7">
        <v>27.552</v>
      </c>
      <c r="T299" s="1">
        <v>8</v>
      </c>
      <c r="U299" s="9">
        <v>27.54</v>
      </c>
      <c r="V299" s="9">
        <v>220.416</v>
      </c>
      <c r="W299" s="9">
        <v>220.32</v>
      </c>
      <c r="X299" s="12">
        <v>9.6000000000003638E-2</v>
      </c>
      <c r="Y299" s="10">
        <v>2015</v>
      </c>
    </row>
    <row r="300" spans="1:25">
      <c r="A300" s="1" t="s">
        <v>890</v>
      </c>
      <c r="B300" s="8">
        <v>43036</v>
      </c>
      <c r="C300" s="11" t="s">
        <v>3387</v>
      </c>
      <c r="D300" s="11" t="s">
        <v>3349</v>
      </c>
      <c r="E300" s="5">
        <v>42805</v>
      </c>
      <c r="F300" s="1" t="s">
        <v>49</v>
      </c>
      <c r="G300" s="1" t="s">
        <v>482</v>
      </c>
      <c r="H300" s="1" t="s">
        <v>3477</v>
      </c>
      <c r="I300" s="1" t="s">
        <v>3478</v>
      </c>
      <c r="J300" s="1"/>
      <c r="K300" s="1" t="s">
        <v>41</v>
      </c>
      <c r="L300" s="1" t="s">
        <v>30</v>
      </c>
      <c r="M300" s="1" t="s">
        <v>891</v>
      </c>
      <c r="N300" s="1" t="s">
        <v>653</v>
      </c>
      <c r="O300" s="1">
        <v>7109</v>
      </c>
      <c r="P300" s="1" t="s">
        <v>128</v>
      </c>
      <c r="Q300" s="1" t="s">
        <v>892</v>
      </c>
      <c r="R300" s="1" t="s">
        <v>46</v>
      </c>
      <c r="S300" s="7">
        <v>32.4</v>
      </c>
      <c r="T300" s="1">
        <v>7</v>
      </c>
      <c r="U300" s="9">
        <v>32.06</v>
      </c>
      <c r="V300" s="9">
        <v>226.79999999999998</v>
      </c>
      <c r="W300" s="9">
        <v>224.42000000000002</v>
      </c>
      <c r="X300" s="12">
        <v>2.379999999999967</v>
      </c>
      <c r="Y300" s="10">
        <v>2017</v>
      </c>
    </row>
    <row r="301" spans="1:25">
      <c r="A301" s="1" t="s">
        <v>890</v>
      </c>
      <c r="B301" s="8">
        <v>43036</v>
      </c>
      <c r="C301" s="11" t="s">
        <v>3387</v>
      </c>
      <c r="D301" s="11" t="s">
        <v>3349</v>
      </c>
      <c r="E301" s="5">
        <v>42805</v>
      </c>
      <c r="F301" s="1" t="s">
        <v>49</v>
      </c>
      <c r="G301" s="1" t="s">
        <v>482</v>
      </c>
      <c r="H301" s="1" t="s">
        <v>3477</v>
      </c>
      <c r="I301" s="1" t="s">
        <v>3478</v>
      </c>
      <c r="J301" s="1"/>
      <c r="K301" s="1" t="s">
        <v>41</v>
      </c>
      <c r="L301" s="1" t="s">
        <v>30</v>
      </c>
      <c r="M301" s="1" t="s">
        <v>891</v>
      </c>
      <c r="N301" s="1" t="s">
        <v>653</v>
      </c>
      <c r="O301" s="1">
        <v>7109</v>
      </c>
      <c r="P301" s="1" t="s">
        <v>128</v>
      </c>
      <c r="Q301" s="1" t="s">
        <v>893</v>
      </c>
      <c r="R301" s="1" t="s">
        <v>46</v>
      </c>
      <c r="S301" s="7">
        <v>1082.48</v>
      </c>
      <c r="T301" s="1">
        <v>7</v>
      </c>
      <c r="U301" s="9">
        <v>1081.82</v>
      </c>
      <c r="V301" s="9">
        <v>7577.3600000000006</v>
      </c>
      <c r="W301" s="9">
        <v>7572.74</v>
      </c>
      <c r="X301" s="12">
        <v>4.6200000000008004</v>
      </c>
      <c r="Y301" s="10">
        <v>2017</v>
      </c>
    </row>
    <row r="302" spans="1:25">
      <c r="A302" s="1" t="s">
        <v>890</v>
      </c>
      <c r="B302" s="8">
        <v>43036</v>
      </c>
      <c r="C302" s="11" t="s">
        <v>3387</v>
      </c>
      <c r="D302" s="11" t="s">
        <v>3349</v>
      </c>
      <c r="E302" s="5">
        <v>42805</v>
      </c>
      <c r="F302" s="1" t="s">
        <v>49</v>
      </c>
      <c r="G302" s="1" t="s">
        <v>482</v>
      </c>
      <c r="H302" s="1" t="s">
        <v>3477</v>
      </c>
      <c r="I302" s="1" t="s">
        <v>3478</v>
      </c>
      <c r="J302" s="1"/>
      <c r="K302" s="1" t="s">
        <v>41</v>
      </c>
      <c r="L302" s="1" t="s">
        <v>30</v>
      </c>
      <c r="M302" s="1" t="s">
        <v>891</v>
      </c>
      <c r="N302" s="1" t="s">
        <v>653</v>
      </c>
      <c r="O302" s="1">
        <v>7109</v>
      </c>
      <c r="P302" s="1" t="s">
        <v>128</v>
      </c>
      <c r="Q302" s="1" t="s">
        <v>894</v>
      </c>
      <c r="R302" s="1" t="s">
        <v>46</v>
      </c>
      <c r="S302" s="7">
        <v>56.91</v>
      </c>
      <c r="T302" s="1">
        <v>7</v>
      </c>
      <c r="U302" s="9">
        <v>56.78</v>
      </c>
      <c r="V302" s="9">
        <v>398.37</v>
      </c>
      <c r="W302" s="9">
        <v>397.46000000000004</v>
      </c>
      <c r="X302" s="12">
        <v>0.90999999999996817</v>
      </c>
      <c r="Y302" s="10">
        <v>2017</v>
      </c>
    </row>
    <row r="303" spans="1:25">
      <c r="A303" s="1" t="s">
        <v>890</v>
      </c>
      <c r="B303" s="8">
        <v>43036</v>
      </c>
      <c r="C303" s="11" t="s">
        <v>3387</v>
      </c>
      <c r="D303" s="11" t="s">
        <v>3349</v>
      </c>
      <c r="E303" s="5">
        <v>42805</v>
      </c>
      <c r="F303" s="1" t="s">
        <v>49</v>
      </c>
      <c r="G303" s="1" t="s">
        <v>482</v>
      </c>
      <c r="H303" s="1" t="s">
        <v>3477</v>
      </c>
      <c r="I303" s="1" t="s">
        <v>3478</v>
      </c>
      <c r="J303" s="1"/>
      <c r="K303" s="1" t="s">
        <v>41</v>
      </c>
      <c r="L303" s="1" t="s">
        <v>30</v>
      </c>
      <c r="M303" s="1" t="s">
        <v>891</v>
      </c>
      <c r="N303" s="1" t="s">
        <v>653</v>
      </c>
      <c r="O303" s="1">
        <v>7109</v>
      </c>
      <c r="P303" s="1" t="s">
        <v>128</v>
      </c>
      <c r="Q303" s="1" t="s">
        <v>895</v>
      </c>
      <c r="R303" s="1" t="s">
        <v>35</v>
      </c>
      <c r="S303" s="7">
        <v>77.599999999999994</v>
      </c>
      <c r="T303" s="1">
        <v>7</v>
      </c>
      <c r="U303" s="9">
        <v>76.91</v>
      </c>
      <c r="V303" s="9">
        <v>543.19999999999993</v>
      </c>
      <c r="W303" s="9">
        <v>538.37</v>
      </c>
      <c r="X303" s="12">
        <v>4.8299999999999272</v>
      </c>
      <c r="Y303" s="10">
        <v>2017</v>
      </c>
    </row>
    <row r="304" spans="1:25">
      <c r="A304" s="1" t="s">
        <v>890</v>
      </c>
      <c r="B304" s="8">
        <v>43036</v>
      </c>
      <c r="C304" s="11" t="s">
        <v>3387</v>
      </c>
      <c r="D304" s="11" t="s">
        <v>3349</v>
      </c>
      <c r="E304" s="5">
        <v>42805</v>
      </c>
      <c r="F304" s="1" t="s">
        <v>49</v>
      </c>
      <c r="G304" s="1" t="s">
        <v>482</v>
      </c>
      <c r="H304" s="1" t="s">
        <v>3477</v>
      </c>
      <c r="I304" s="1" t="s">
        <v>3478</v>
      </c>
      <c r="J304" s="1"/>
      <c r="K304" s="1" t="s">
        <v>41</v>
      </c>
      <c r="L304" s="1" t="s">
        <v>30</v>
      </c>
      <c r="M304" s="1" t="s">
        <v>891</v>
      </c>
      <c r="N304" s="1" t="s">
        <v>653</v>
      </c>
      <c r="O304" s="1">
        <v>7109</v>
      </c>
      <c r="P304" s="1" t="s">
        <v>128</v>
      </c>
      <c r="Q304" s="1" t="s">
        <v>896</v>
      </c>
      <c r="R304" s="1" t="s">
        <v>46</v>
      </c>
      <c r="S304" s="7">
        <v>14.28</v>
      </c>
      <c r="T304" s="1">
        <v>7</v>
      </c>
      <c r="U304" s="9">
        <v>14.16</v>
      </c>
      <c r="V304" s="9">
        <v>99.96</v>
      </c>
      <c r="W304" s="9">
        <v>99.12</v>
      </c>
      <c r="X304" s="12">
        <v>0.8399999999999892</v>
      </c>
      <c r="Y304" s="10">
        <v>2017</v>
      </c>
    </row>
    <row r="305" spans="1:25">
      <c r="A305" s="1" t="s">
        <v>897</v>
      </c>
      <c r="B305" s="8">
        <v>43423</v>
      </c>
      <c r="C305" s="11" t="s">
        <v>3353</v>
      </c>
      <c r="D305" s="11" t="s">
        <v>3349</v>
      </c>
      <c r="E305" s="5" t="s">
        <v>898</v>
      </c>
      <c r="F305" s="1" t="s">
        <v>49</v>
      </c>
      <c r="G305" s="1" t="s">
        <v>711</v>
      </c>
      <c r="H305" s="1" t="s">
        <v>3477</v>
      </c>
      <c r="I305" s="1" t="s">
        <v>3540</v>
      </c>
      <c r="J305" s="1"/>
      <c r="K305" s="1" t="s">
        <v>29</v>
      </c>
      <c r="L305" s="1" t="s">
        <v>30</v>
      </c>
      <c r="M305" s="1" t="s">
        <v>259</v>
      </c>
      <c r="N305" s="1" t="s">
        <v>182</v>
      </c>
      <c r="O305" s="1">
        <v>60623</v>
      </c>
      <c r="P305" s="1" t="s">
        <v>90</v>
      </c>
      <c r="Q305" s="1" t="s">
        <v>899</v>
      </c>
      <c r="R305" s="1" t="s">
        <v>35</v>
      </c>
      <c r="S305" s="7">
        <v>219.07499999999999</v>
      </c>
      <c r="T305" s="1">
        <v>6</v>
      </c>
      <c r="U305" s="9">
        <v>218.6</v>
      </c>
      <c r="V305" s="9">
        <v>1314.4499999999998</v>
      </c>
      <c r="W305" s="9">
        <v>1311.6</v>
      </c>
      <c r="X305" s="12">
        <v>2.8499999999999091</v>
      </c>
      <c r="Y305" s="10">
        <v>2018</v>
      </c>
    </row>
    <row r="306" spans="1:25">
      <c r="A306" s="1" t="s">
        <v>900</v>
      </c>
      <c r="B306" s="8">
        <v>42465</v>
      </c>
      <c r="C306" s="11" t="s">
        <v>3359</v>
      </c>
      <c r="D306" s="11" t="s">
        <v>3360</v>
      </c>
      <c r="E306" s="5">
        <v>42618</v>
      </c>
      <c r="F306" s="1" t="s">
        <v>26</v>
      </c>
      <c r="G306" s="1" t="s">
        <v>901</v>
      </c>
      <c r="H306" s="1" t="s">
        <v>3468</v>
      </c>
      <c r="I306" s="1" t="s">
        <v>3572</v>
      </c>
      <c r="J306" s="1"/>
      <c r="K306" s="1" t="s">
        <v>41</v>
      </c>
      <c r="L306" s="1" t="s">
        <v>30</v>
      </c>
      <c r="M306" s="1" t="s">
        <v>233</v>
      </c>
      <c r="N306" s="1" t="s">
        <v>234</v>
      </c>
      <c r="O306" s="1">
        <v>10024</v>
      </c>
      <c r="P306" s="1" t="s">
        <v>128</v>
      </c>
      <c r="Q306" s="1" t="s">
        <v>903</v>
      </c>
      <c r="R306" s="1" t="s">
        <v>35</v>
      </c>
      <c r="S306" s="7">
        <v>26.8</v>
      </c>
      <c r="T306" s="1">
        <v>1</v>
      </c>
      <c r="U306" s="9">
        <v>25.99</v>
      </c>
      <c r="V306" s="9">
        <v>26.8</v>
      </c>
      <c r="W306" s="9">
        <v>25.99</v>
      </c>
      <c r="X306" s="12">
        <v>0.81000000000000227</v>
      </c>
      <c r="Y306" s="10">
        <v>2016</v>
      </c>
    </row>
    <row r="307" spans="1:25">
      <c r="A307" s="1" t="s">
        <v>904</v>
      </c>
      <c r="B307" s="8">
        <v>42368</v>
      </c>
      <c r="C307" s="11" t="s">
        <v>3348</v>
      </c>
      <c r="D307" s="11" t="s">
        <v>3349</v>
      </c>
      <c r="E307" s="5">
        <v>42461</v>
      </c>
      <c r="F307" s="1" t="s">
        <v>49</v>
      </c>
      <c r="G307" s="1" t="s">
        <v>292</v>
      </c>
      <c r="H307" s="1" t="s">
        <v>3374</v>
      </c>
      <c r="I307" s="1" t="s">
        <v>3424</v>
      </c>
      <c r="J307" s="1"/>
      <c r="K307" s="1" t="s">
        <v>41</v>
      </c>
      <c r="L307" s="1" t="s">
        <v>30</v>
      </c>
      <c r="M307" s="1" t="s">
        <v>905</v>
      </c>
      <c r="N307" s="1" t="s">
        <v>209</v>
      </c>
      <c r="O307" s="1">
        <v>48180</v>
      </c>
      <c r="P307" s="1" t="s">
        <v>90</v>
      </c>
      <c r="Q307" s="1" t="s">
        <v>906</v>
      </c>
      <c r="R307" s="1" t="s">
        <v>46</v>
      </c>
      <c r="S307" s="7">
        <v>9.84</v>
      </c>
      <c r="T307" s="1">
        <v>4</v>
      </c>
      <c r="U307" s="9">
        <v>9.41</v>
      </c>
      <c r="V307" s="9">
        <v>39.36</v>
      </c>
      <c r="W307" s="9">
        <v>37.64</v>
      </c>
      <c r="X307" s="12">
        <v>1.7199999999999989</v>
      </c>
      <c r="Y307" s="10">
        <v>2015</v>
      </c>
    </row>
    <row r="308" spans="1:25">
      <c r="A308" s="1" t="s">
        <v>907</v>
      </c>
      <c r="B308" s="8">
        <v>42010</v>
      </c>
      <c r="C308" s="11" t="s">
        <v>3381</v>
      </c>
      <c r="D308" s="11" t="s">
        <v>3382</v>
      </c>
      <c r="E308" s="5">
        <v>42161</v>
      </c>
      <c r="F308" s="1" t="s">
        <v>49</v>
      </c>
      <c r="G308" s="1" t="s">
        <v>908</v>
      </c>
      <c r="H308" s="1" t="s">
        <v>3322</v>
      </c>
      <c r="I308" s="1" t="s">
        <v>3573</v>
      </c>
      <c r="J308" s="1"/>
      <c r="K308" s="1" t="s">
        <v>87</v>
      </c>
      <c r="L308" s="1" t="s">
        <v>30</v>
      </c>
      <c r="M308" s="1" t="s">
        <v>910</v>
      </c>
      <c r="N308" s="1" t="s">
        <v>653</v>
      </c>
      <c r="O308" s="1">
        <v>8701</v>
      </c>
      <c r="P308" s="1" t="s">
        <v>128</v>
      </c>
      <c r="Q308" s="1" t="s">
        <v>911</v>
      </c>
      <c r="R308" s="1" t="s">
        <v>46</v>
      </c>
      <c r="S308" s="7">
        <v>45.48</v>
      </c>
      <c r="T308" s="1">
        <v>8</v>
      </c>
      <c r="U308" s="9">
        <v>45.44</v>
      </c>
      <c r="V308" s="9">
        <v>363.84</v>
      </c>
      <c r="W308" s="9">
        <v>363.52</v>
      </c>
      <c r="X308" s="12">
        <v>0.31999999999999318</v>
      </c>
      <c r="Y308" s="10">
        <v>2015</v>
      </c>
    </row>
    <row r="309" spans="1:25">
      <c r="A309" s="1" t="s">
        <v>907</v>
      </c>
      <c r="B309" s="8">
        <v>42010</v>
      </c>
      <c r="C309" s="11" t="s">
        <v>3381</v>
      </c>
      <c r="D309" s="11" t="s">
        <v>3382</v>
      </c>
      <c r="E309" s="5">
        <v>42161</v>
      </c>
      <c r="F309" s="1" t="s">
        <v>49</v>
      </c>
      <c r="G309" s="1" t="s">
        <v>908</v>
      </c>
      <c r="H309" s="1" t="s">
        <v>3322</v>
      </c>
      <c r="I309" s="1" t="s">
        <v>3573</v>
      </c>
      <c r="J309" s="1"/>
      <c r="K309" s="1" t="s">
        <v>87</v>
      </c>
      <c r="L309" s="1" t="s">
        <v>30</v>
      </c>
      <c r="M309" s="1" t="s">
        <v>910</v>
      </c>
      <c r="N309" s="1" t="s">
        <v>653</v>
      </c>
      <c r="O309" s="1">
        <v>8701</v>
      </c>
      <c r="P309" s="1" t="s">
        <v>128</v>
      </c>
      <c r="Q309" s="1" t="s">
        <v>912</v>
      </c>
      <c r="R309" s="1" t="s">
        <v>46</v>
      </c>
      <c r="S309" s="7">
        <v>289.2</v>
      </c>
      <c r="T309" s="1">
        <v>8</v>
      </c>
      <c r="U309" s="9">
        <v>288.87</v>
      </c>
      <c r="V309" s="9">
        <v>2313.6</v>
      </c>
      <c r="W309" s="9">
        <v>2310.96</v>
      </c>
      <c r="X309" s="12">
        <v>2.6399999999998727</v>
      </c>
      <c r="Y309" s="10">
        <v>2015</v>
      </c>
    </row>
    <row r="310" spans="1:25">
      <c r="A310" s="1" t="s">
        <v>913</v>
      </c>
      <c r="B310" s="8">
        <v>43205</v>
      </c>
      <c r="C310" s="11" t="s">
        <v>3359</v>
      </c>
      <c r="D310" s="11" t="s">
        <v>3360</v>
      </c>
      <c r="E310" s="5" t="s">
        <v>914</v>
      </c>
      <c r="F310" s="1" t="s">
        <v>162</v>
      </c>
      <c r="G310" s="1" t="s">
        <v>915</v>
      </c>
      <c r="H310" s="1" t="s">
        <v>3574</v>
      </c>
      <c r="I310" s="1" t="s">
        <v>3525</v>
      </c>
      <c r="J310" s="1"/>
      <c r="K310" s="1" t="s">
        <v>29</v>
      </c>
      <c r="L310" s="1" t="s">
        <v>30</v>
      </c>
      <c r="M310" s="1" t="s">
        <v>917</v>
      </c>
      <c r="N310" s="1" t="s">
        <v>272</v>
      </c>
      <c r="O310" s="1">
        <v>22204</v>
      </c>
      <c r="P310" s="1" t="s">
        <v>33</v>
      </c>
      <c r="Q310" s="1" t="s">
        <v>918</v>
      </c>
      <c r="R310" s="1" t="s">
        <v>46</v>
      </c>
      <c r="S310" s="7">
        <v>4.8899999999999997</v>
      </c>
      <c r="T310" s="1">
        <v>2</v>
      </c>
      <c r="U310" s="9">
        <v>4.3600000000000003</v>
      </c>
      <c r="V310" s="9">
        <v>9.7799999999999994</v>
      </c>
      <c r="W310" s="9">
        <v>8.7200000000000006</v>
      </c>
      <c r="X310" s="12">
        <v>1.0599999999999987</v>
      </c>
      <c r="Y310" s="10">
        <v>2018</v>
      </c>
    </row>
    <row r="311" spans="1:25">
      <c r="A311" s="1" t="s">
        <v>919</v>
      </c>
      <c r="B311" s="8">
        <v>43078</v>
      </c>
      <c r="C311" s="11" t="s">
        <v>3348</v>
      </c>
      <c r="D311" s="11" t="s">
        <v>3349</v>
      </c>
      <c r="E311" s="5" t="s">
        <v>920</v>
      </c>
      <c r="F311" s="1" t="s">
        <v>26</v>
      </c>
      <c r="G311" s="1" t="s">
        <v>921</v>
      </c>
      <c r="H311" s="1" t="s">
        <v>3575</v>
      </c>
      <c r="I311" s="1" t="s">
        <v>3576</v>
      </c>
      <c r="J311" s="1"/>
      <c r="K311" s="1" t="s">
        <v>41</v>
      </c>
      <c r="L311" s="1" t="s">
        <v>30</v>
      </c>
      <c r="M311" s="1" t="s">
        <v>923</v>
      </c>
      <c r="N311" s="1" t="s">
        <v>386</v>
      </c>
      <c r="O311" s="1">
        <v>80004</v>
      </c>
      <c r="P311" s="1" t="s">
        <v>44</v>
      </c>
      <c r="Q311" s="1" t="s">
        <v>924</v>
      </c>
      <c r="R311" s="1" t="s">
        <v>35</v>
      </c>
      <c r="S311" s="7">
        <v>15.135999999999999</v>
      </c>
      <c r="T311" s="1">
        <v>8</v>
      </c>
      <c r="U311" s="9">
        <v>14.89</v>
      </c>
      <c r="V311" s="9">
        <v>121.08799999999999</v>
      </c>
      <c r="W311" s="9">
        <v>119.12</v>
      </c>
      <c r="X311" s="12">
        <v>1.9679999999999893</v>
      </c>
      <c r="Y311" s="10">
        <v>2017</v>
      </c>
    </row>
    <row r="312" spans="1:25">
      <c r="A312" s="1" t="s">
        <v>919</v>
      </c>
      <c r="B312" s="8">
        <v>43078</v>
      </c>
      <c r="C312" s="11" t="s">
        <v>3348</v>
      </c>
      <c r="D312" s="11" t="s">
        <v>3349</v>
      </c>
      <c r="E312" s="5" t="s">
        <v>920</v>
      </c>
      <c r="F312" s="1" t="s">
        <v>26</v>
      </c>
      <c r="G312" s="1" t="s">
        <v>921</v>
      </c>
      <c r="H312" s="1" t="s">
        <v>3575</v>
      </c>
      <c r="I312" s="1" t="s">
        <v>3576</v>
      </c>
      <c r="J312" s="1"/>
      <c r="K312" s="1" t="s">
        <v>41</v>
      </c>
      <c r="L312" s="1" t="s">
        <v>30</v>
      </c>
      <c r="M312" s="1" t="s">
        <v>923</v>
      </c>
      <c r="N312" s="1" t="s">
        <v>386</v>
      </c>
      <c r="O312" s="1">
        <v>80004</v>
      </c>
      <c r="P312" s="1" t="s">
        <v>44</v>
      </c>
      <c r="Q312" s="1" t="s">
        <v>925</v>
      </c>
      <c r="R312" s="1" t="s">
        <v>35</v>
      </c>
      <c r="S312" s="7">
        <v>466.76799999999997</v>
      </c>
      <c r="T312" s="1">
        <v>8</v>
      </c>
      <c r="U312" s="9">
        <v>465.9</v>
      </c>
      <c r="V312" s="9">
        <v>3734.1439999999998</v>
      </c>
      <c r="W312" s="9">
        <v>3727.2</v>
      </c>
      <c r="X312" s="12">
        <v>6.94399999999996</v>
      </c>
      <c r="Y312" s="10">
        <v>2017</v>
      </c>
    </row>
    <row r="313" spans="1:25">
      <c r="A313" s="1" t="s">
        <v>919</v>
      </c>
      <c r="B313" s="8">
        <v>43078</v>
      </c>
      <c r="C313" s="11" t="s">
        <v>3348</v>
      </c>
      <c r="D313" s="11" t="s">
        <v>3349</v>
      </c>
      <c r="E313" s="5" t="s">
        <v>920</v>
      </c>
      <c r="F313" s="1" t="s">
        <v>26</v>
      </c>
      <c r="G313" s="1" t="s">
        <v>921</v>
      </c>
      <c r="H313" s="1" t="s">
        <v>3575</v>
      </c>
      <c r="I313" s="1" t="s">
        <v>3576</v>
      </c>
      <c r="J313" s="1"/>
      <c r="K313" s="1" t="s">
        <v>41</v>
      </c>
      <c r="L313" s="1" t="s">
        <v>30</v>
      </c>
      <c r="M313" s="1" t="s">
        <v>923</v>
      </c>
      <c r="N313" s="1" t="s">
        <v>386</v>
      </c>
      <c r="O313" s="1">
        <v>80004</v>
      </c>
      <c r="P313" s="1" t="s">
        <v>44</v>
      </c>
      <c r="Q313" s="1" t="s">
        <v>926</v>
      </c>
      <c r="R313" s="1" t="s">
        <v>35</v>
      </c>
      <c r="S313" s="7">
        <v>15.231999999999999</v>
      </c>
      <c r="T313" s="1">
        <v>8</v>
      </c>
      <c r="U313" s="9">
        <v>14.76</v>
      </c>
      <c r="V313" s="9">
        <v>121.85599999999999</v>
      </c>
      <c r="W313" s="9">
        <v>118.08</v>
      </c>
      <c r="X313" s="12">
        <v>3.7759999999999962</v>
      </c>
      <c r="Y313" s="10">
        <v>2017</v>
      </c>
    </row>
    <row r="314" spans="1:25">
      <c r="A314" s="1" t="s">
        <v>919</v>
      </c>
      <c r="B314" s="8">
        <v>43078</v>
      </c>
      <c r="C314" s="11" t="s">
        <v>3348</v>
      </c>
      <c r="D314" s="11" t="s">
        <v>3349</v>
      </c>
      <c r="E314" s="5" t="s">
        <v>920</v>
      </c>
      <c r="F314" s="1" t="s">
        <v>26</v>
      </c>
      <c r="G314" s="1" t="s">
        <v>921</v>
      </c>
      <c r="H314" s="1" t="s">
        <v>3575</v>
      </c>
      <c r="I314" s="1" t="s">
        <v>3576</v>
      </c>
      <c r="J314" s="1"/>
      <c r="K314" s="1" t="s">
        <v>41</v>
      </c>
      <c r="L314" s="1" t="s">
        <v>30</v>
      </c>
      <c r="M314" s="1" t="s">
        <v>923</v>
      </c>
      <c r="N314" s="1" t="s">
        <v>386</v>
      </c>
      <c r="O314" s="1">
        <v>80004</v>
      </c>
      <c r="P314" s="1" t="s">
        <v>44</v>
      </c>
      <c r="Q314" s="1" t="s">
        <v>927</v>
      </c>
      <c r="R314" s="1" t="s">
        <v>46</v>
      </c>
      <c r="S314" s="7">
        <v>6.2640000000000002</v>
      </c>
      <c r="T314" s="1">
        <v>8</v>
      </c>
      <c r="U314" s="9">
        <v>5.52</v>
      </c>
      <c r="V314" s="9">
        <v>50.112000000000002</v>
      </c>
      <c r="W314" s="9">
        <v>44.16</v>
      </c>
      <c r="X314" s="12">
        <v>5.9520000000000053</v>
      </c>
      <c r="Y314" s="10">
        <v>2017</v>
      </c>
    </row>
    <row r="315" spans="1:25">
      <c r="A315" s="1" t="s">
        <v>928</v>
      </c>
      <c r="B315" s="8">
        <v>42274</v>
      </c>
      <c r="C315" s="11" t="s">
        <v>3356</v>
      </c>
      <c r="D315" s="11" t="s">
        <v>3345</v>
      </c>
      <c r="E315" s="5">
        <v>42073</v>
      </c>
      <c r="F315" s="1" t="s">
        <v>49</v>
      </c>
      <c r="G315" s="1" t="s">
        <v>929</v>
      </c>
      <c r="H315" s="1" t="s">
        <v>3577</v>
      </c>
      <c r="I315" s="1" t="s">
        <v>3578</v>
      </c>
      <c r="J315" s="1"/>
      <c r="K315" s="1" t="s">
        <v>41</v>
      </c>
      <c r="L315" s="1" t="s">
        <v>30</v>
      </c>
      <c r="M315" s="1" t="s">
        <v>931</v>
      </c>
      <c r="N315" s="1" t="s">
        <v>653</v>
      </c>
      <c r="O315" s="1">
        <v>7601</v>
      </c>
      <c r="P315" s="1" t="s">
        <v>128</v>
      </c>
      <c r="Q315" s="1" t="s">
        <v>932</v>
      </c>
      <c r="R315" s="1" t="s">
        <v>35</v>
      </c>
      <c r="S315" s="7">
        <v>87.54</v>
      </c>
      <c r="T315" s="1">
        <v>7</v>
      </c>
      <c r="U315" s="9">
        <v>87.11</v>
      </c>
      <c r="V315" s="9">
        <v>612.78000000000009</v>
      </c>
      <c r="W315" s="9">
        <v>609.77</v>
      </c>
      <c r="X315" s="12">
        <v>3.0100000000001046</v>
      </c>
      <c r="Y315" s="10">
        <v>2015</v>
      </c>
    </row>
    <row r="316" spans="1:25">
      <c r="A316" s="1" t="s">
        <v>933</v>
      </c>
      <c r="B316" s="8">
        <v>42255</v>
      </c>
      <c r="C316" s="11" t="s">
        <v>3356</v>
      </c>
      <c r="D316" s="11" t="s">
        <v>3345</v>
      </c>
      <c r="E316" s="5" t="s">
        <v>934</v>
      </c>
      <c r="F316" s="1" t="s">
        <v>49</v>
      </c>
      <c r="G316" s="1" t="s">
        <v>935</v>
      </c>
      <c r="H316" s="1" t="s">
        <v>3579</v>
      </c>
      <c r="I316" s="1" t="s">
        <v>3580</v>
      </c>
      <c r="J316" s="1"/>
      <c r="K316" s="1" t="s">
        <v>41</v>
      </c>
      <c r="L316" s="1" t="s">
        <v>30</v>
      </c>
      <c r="M316" s="1" t="s">
        <v>937</v>
      </c>
      <c r="N316" s="1" t="s">
        <v>194</v>
      </c>
      <c r="O316" s="1">
        <v>33710</v>
      </c>
      <c r="P316" s="1" t="s">
        <v>33</v>
      </c>
      <c r="Q316" s="1" t="s">
        <v>938</v>
      </c>
      <c r="R316" s="1" t="s">
        <v>64</v>
      </c>
      <c r="S316" s="7">
        <v>178.38399999999999</v>
      </c>
      <c r="T316" s="1">
        <v>3</v>
      </c>
      <c r="U316" s="9">
        <v>178.32</v>
      </c>
      <c r="V316" s="9">
        <v>535.15199999999993</v>
      </c>
      <c r="W316" s="9">
        <v>534.96</v>
      </c>
      <c r="X316" s="12">
        <v>0.19199999999989359</v>
      </c>
      <c r="Y316" s="10">
        <v>2015</v>
      </c>
    </row>
    <row r="317" spans="1:25">
      <c r="A317" s="1" t="s">
        <v>933</v>
      </c>
      <c r="B317" s="8">
        <v>42255</v>
      </c>
      <c r="C317" s="11" t="s">
        <v>3356</v>
      </c>
      <c r="D317" s="11" t="s">
        <v>3345</v>
      </c>
      <c r="E317" s="5" t="s">
        <v>934</v>
      </c>
      <c r="F317" s="1" t="s">
        <v>49</v>
      </c>
      <c r="G317" s="1" t="s">
        <v>935</v>
      </c>
      <c r="H317" s="1" t="s">
        <v>3579</v>
      </c>
      <c r="I317" s="1" t="s">
        <v>3580</v>
      </c>
      <c r="J317" s="1"/>
      <c r="K317" s="1" t="s">
        <v>41</v>
      </c>
      <c r="L317" s="1" t="s">
        <v>30</v>
      </c>
      <c r="M317" s="1" t="s">
        <v>937</v>
      </c>
      <c r="N317" s="1" t="s">
        <v>194</v>
      </c>
      <c r="O317" s="1">
        <v>33710</v>
      </c>
      <c r="P317" s="1" t="s">
        <v>33</v>
      </c>
      <c r="Q317" s="1" t="s">
        <v>939</v>
      </c>
      <c r="R317" s="1" t="s">
        <v>46</v>
      </c>
      <c r="S317" s="7">
        <v>15.552</v>
      </c>
      <c r="T317" s="1">
        <v>3</v>
      </c>
      <c r="U317" s="9">
        <v>15.28</v>
      </c>
      <c r="V317" s="9">
        <v>46.655999999999999</v>
      </c>
      <c r="W317" s="9">
        <v>45.839999999999996</v>
      </c>
      <c r="X317" s="12">
        <v>0.8160000000000025</v>
      </c>
      <c r="Y317" s="10">
        <v>2015</v>
      </c>
    </row>
    <row r="318" spans="1:25">
      <c r="A318" s="1" t="s">
        <v>940</v>
      </c>
      <c r="B318" s="8">
        <v>42366</v>
      </c>
      <c r="C318" s="11" t="s">
        <v>3348</v>
      </c>
      <c r="D318" s="11" t="s">
        <v>3349</v>
      </c>
      <c r="E318" s="5" t="s">
        <v>941</v>
      </c>
      <c r="F318" s="1" t="s">
        <v>162</v>
      </c>
      <c r="G318" s="1" t="s">
        <v>942</v>
      </c>
      <c r="H318" s="1" t="s">
        <v>3581</v>
      </c>
      <c r="I318" s="1" t="s">
        <v>3582</v>
      </c>
      <c r="J318" s="1"/>
      <c r="K318" s="1" t="s">
        <v>41</v>
      </c>
      <c r="L318" s="1" t="s">
        <v>30</v>
      </c>
      <c r="M318" s="1" t="s">
        <v>126</v>
      </c>
      <c r="N318" s="1" t="s">
        <v>127</v>
      </c>
      <c r="O318" s="1">
        <v>19143</v>
      </c>
      <c r="P318" s="1" t="s">
        <v>128</v>
      </c>
      <c r="Q318" s="1" t="s">
        <v>944</v>
      </c>
      <c r="R318" s="1" t="s">
        <v>46</v>
      </c>
      <c r="S318" s="7">
        <v>99.135999999999996</v>
      </c>
      <c r="T318" s="1">
        <v>1</v>
      </c>
      <c r="U318" s="9">
        <v>99.02</v>
      </c>
      <c r="V318" s="9">
        <v>99.135999999999996</v>
      </c>
      <c r="W318" s="9">
        <v>99.02</v>
      </c>
      <c r="X318" s="12">
        <v>0.11599999999999966</v>
      </c>
      <c r="Y318" s="10">
        <v>2015</v>
      </c>
    </row>
    <row r="319" spans="1:25">
      <c r="A319" s="1" t="s">
        <v>945</v>
      </c>
      <c r="B319" s="8">
        <v>42105</v>
      </c>
      <c r="C319" s="11" t="s">
        <v>3359</v>
      </c>
      <c r="D319" s="11" t="s">
        <v>3360</v>
      </c>
      <c r="E319" s="5">
        <v>42258</v>
      </c>
      <c r="F319" s="1" t="s">
        <v>49</v>
      </c>
      <c r="G319" s="1" t="s">
        <v>946</v>
      </c>
      <c r="H319" s="1" t="s">
        <v>3583</v>
      </c>
      <c r="I319" s="1" t="s">
        <v>3584</v>
      </c>
      <c r="J319" s="1"/>
      <c r="K319" s="1" t="s">
        <v>87</v>
      </c>
      <c r="L319" s="1" t="s">
        <v>30</v>
      </c>
      <c r="M319" s="1" t="s">
        <v>233</v>
      </c>
      <c r="N319" s="1" t="s">
        <v>234</v>
      </c>
      <c r="O319" s="1">
        <v>10024</v>
      </c>
      <c r="P319" s="1" t="s">
        <v>128</v>
      </c>
      <c r="Q319" s="1" t="s">
        <v>948</v>
      </c>
      <c r="R319" s="1" t="s">
        <v>35</v>
      </c>
      <c r="S319" s="7">
        <v>135.88200000000001</v>
      </c>
      <c r="T319" s="1">
        <v>1</v>
      </c>
      <c r="U319" s="9">
        <v>135.21</v>
      </c>
      <c r="V319" s="9">
        <v>135.88200000000001</v>
      </c>
      <c r="W319" s="9">
        <v>135.21</v>
      </c>
      <c r="X319" s="12">
        <v>0.67199999999999704</v>
      </c>
      <c r="Y319" s="10">
        <v>2015</v>
      </c>
    </row>
    <row r="320" spans="1:25">
      <c r="A320" s="1" t="s">
        <v>945</v>
      </c>
      <c r="B320" s="8">
        <v>42105</v>
      </c>
      <c r="C320" s="11" t="s">
        <v>3359</v>
      </c>
      <c r="D320" s="11" t="s">
        <v>3360</v>
      </c>
      <c r="E320" s="5">
        <v>42258</v>
      </c>
      <c r="F320" s="1" t="s">
        <v>49</v>
      </c>
      <c r="G320" s="1" t="s">
        <v>946</v>
      </c>
      <c r="H320" s="1" t="s">
        <v>3583</v>
      </c>
      <c r="I320" s="1" t="s">
        <v>3584</v>
      </c>
      <c r="J320" s="1"/>
      <c r="K320" s="1" t="s">
        <v>87</v>
      </c>
      <c r="L320" s="1" t="s">
        <v>30</v>
      </c>
      <c r="M320" s="1" t="s">
        <v>233</v>
      </c>
      <c r="N320" s="1" t="s">
        <v>234</v>
      </c>
      <c r="O320" s="1">
        <v>10024</v>
      </c>
      <c r="P320" s="1" t="s">
        <v>128</v>
      </c>
      <c r="Q320" s="1" t="s">
        <v>949</v>
      </c>
      <c r="R320" s="1" t="s">
        <v>64</v>
      </c>
      <c r="S320" s="7">
        <v>3991.98</v>
      </c>
      <c r="T320" s="1">
        <v>1</v>
      </c>
      <c r="U320" s="9">
        <v>3991.36</v>
      </c>
      <c r="V320" s="9">
        <v>3991.98</v>
      </c>
      <c r="W320" s="9">
        <v>3991.36</v>
      </c>
      <c r="X320" s="12">
        <v>0.61999999999989086</v>
      </c>
      <c r="Y320" s="10">
        <v>2015</v>
      </c>
    </row>
    <row r="321" spans="1:25">
      <c r="A321" s="1" t="s">
        <v>945</v>
      </c>
      <c r="B321" s="8">
        <v>42105</v>
      </c>
      <c r="C321" s="11" t="s">
        <v>3359</v>
      </c>
      <c r="D321" s="11" t="s">
        <v>3360</v>
      </c>
      <c r="E321" s="5">
        <v>42258</v>
      </c>
      <c r="F321" s="1" t="s">
        <v>49</v>
      </c>
      <c r="G321" s="1" t="s">
        <v>946</v>
      </c>
      <c r="H321" s="1" t="s">
        <v>3583</v>
      </c>
      <c r="I321" s="1" t="s">
        <v>3584</v>
      </c>
      <c r="J321" s="1"/>
      <c r="K321" s="1" t="s">
        <v>87</v>
      </c>
      <c r="L321" s="1" t="s">
        <v>30</v>
      </c>
      <c r="M321" s="1" t="s">
        <v>233</v>
      </c>
      <c r="N321" s="1" t="s">
        <v>234</v>
      </c>
      <c r="O321" s="1">
        <v>10024</v>
      </c>
      <c r="P321" s="1" t="s">
        <v>128</v>
      </c>
      <c r="Q321" s="1" t="s">
        <v>183</v>
      </c>
      <c r="R321" s="1" t="s">
        <v>64</v>
      </c>
      <c r="S321" s="7">
        <v>275.94</v>
      </c>
      <c r="T321" s="1">
        <v>1</v>
      </c>
      <c r="U321" s="9">
        <v>275.36</v>
      </c>
      <c r="V321" s="9">
        <v>275.94</v>
      </c>
      <c r="W321" s="9">
        <v>275.36</v>
      </c>
      <c r="X321" s="12">
        <v>0.57999999999998408</v>
      </c>
      <c r="Y321" s="10">
        <v>2015</v>
      </c>
    </row>
    <row r="322" spans="1:25">
      <c r="A322" s="1" t="s">
        <v>945</v>
      </c>
      <c r="B322" s="8">
        <v>42105</v>
      </c>
      <c r="C322" s="11" t="s">
        <v>3359</v>
      </c>
      <c r="D322" s="11" t="s">
        <v>3360</v>
      </c>
      <c r="E322" s="5">
        <v>42258</v>
      </c>
      <c r="F322" s="1" t="s">
        <v>49</v>
      </c>
      <c r="G322" s="1" t="s">
        <v>946</v>
      </c>
      <c r="H322" s="1" t="s">
        <v>3583</v>
      </c>
      <c r="I322" s="1" t="s">
        <v>3584</v>
      </c>
      <c r="J322" s="1"/>
      <c r="K322" s="1" t="s">
        <v>87</v>
      </c>
      <c r="L322" s="1" t="s">
        <v>30</v>
      </c>
      <c r="M322" s="1" t="s">
        <v>233</v>
      </c>
      <c r="N322" s="1" t="s">
        <v>234</v>
      </c>
      <c r="O322" s="1">
        <v>10024</v>
      </c>
      <c r="P322" s="1" t="s">
        <v>128</v>
      </c>
      <c r="Q322" s="1" t="s">
        <v>950</v>
      </c>
      <c r="R322" s="1" t="s">
        <v>64</v>
      </c>
      <c r="S322" s="7">
        <v>360</v>
      </c>
      <c r="T322" s="1">
        <v>1</v>
      </c>
      <c r="U322" s="9">
        <v>359.42</v>
      </c>
      <c r="V322" s="9">
        <v>360</v>
      </c>
      <c r="W322" s="9">
        <v>359.42</v>
      </c>
      <c r="X322" s="12">
        <v>0.57999999999998408</v>
      </c>
      <c r="Y322" s="10">
        <v>2015</v>
      </c>
    </row>
    <row r="323" spans="1:25">
      <c r="A323" s="1" t="s">
        <v>945</v>
      </c>
      <c r="B323" s="8">
        <v>42105</v>
      </c>
      <c r="C323" s="11" t="s">
        <v>3359</v>
      </c>
      <c r="D323" s="11" t="s">
        <v>3360</v>
      </c>
      <c r="E323" s="5">
        <v>42258</v>
      </c>
      <c r="F323" s="1" t="s">
        <v>49</v>
      </c>
      <c r="G323" s="1" t="s">
        <v>946</v>
      </c>
      <c r="H323" s="1" t="s">
        <v>3583</v>
      </c>
      <c r="I323" s="1" t="s">
        <v>3584</v>
      </c>
      <c r="J323" s="1"/>
      <c r="K323" s="1" t="s">
        <v>87</v>
      </c>
      <c r="L323" s="1" t="s">
        <v>30</v>
      </c>
      <c r="M323" s="1" t="s">
        <v>233</v>
      </c>
      <c r="N323" s="1" t="s">
        <v>234</v>
      </c>
      <c r="O323" s="1">
        <v>10024</v>
      </c>
      <c r="P323" s="1" t="s">
        <v>128</v>
      </c>
      <c r="Q323" s="1" t="s">
        <v>459</v>
      </c>
      <c r="R323" s="1" t="s">
        <v>46</v>
      </c>
      <c r="S323" s="7">
        <v>43.57</v>
      </c>
      <c r="T323" s="1">
        <v>1</v>
      </c>
      <c r="U323" s="9">
        <v>43.4</v>
      </c>
      <c r="V323" s="9">
        <v>43.57</v>
      </c>
      <c r="W323" s="9">
        <v>43.4</v>
      </c>
      <c r="X323" s="12">
        <v>0.17000000000000171</v>
      </c>
      <c r="Y323" s="10">
        <v>2015</v>
      </c>
    </row>
    <row r="324" spans="1:25">
      <c r="A324" s="1" t="s">
        <v>951</v>
      </c>
      <c r="B324" s="8">
        <v>42266</v>
      </c>
      <c r="C324" s="11" t="s">
        <v>3356</v>
      </c>
      <c r="D324" s="11" t="s">
        <v>3345</v>
      </c>
      <c r="E324" s="5" t="s">
        <v>952</v>
      </c>
      <c r="F324" s="1" t="s">
        <v>49</v>
      </c>
      <c r="G324" s="1" t="s">
        <v>953</v>
      </c>
      <c r="H324" s="1" t="s">
        <v>3513</v>
      </c>
      <c r="I324" s="1" t="s">
        <v>3585</v>
      </c>
      <c r="J324" s="1"/>
      <c r="K324" s="1" t="s">
        <v>41</v>
      </c>
      <c r="L324" s="1" t="s">
        <v>30</v>
      </c>
      <c r="M324" s="1" t="s">
        <v>955</v>
      </c>
      <c r="N324" s="1" t="s">
        <v>68</v>
      </c>
      <c r="O324" s="1">
        <v>90805</v>
      </c>
      <c r="P324" s="1" t="s">
        <v>44</v>
      </c>
      <c r="Q324" s="1" t="s">
        <v>956</v>
      </c>
      <c r="R324" s="1" t="s">
        <v>46</v>
      </c>
      <c r="S324" s="7">
        <v>7.16</v>
      </c>
      <c r="T324" s="1">
        <v>9</v>
      </c>
      <c r="U324" s="9">
        <v>6.57</v>
      </c>
      <c r="V324" s="9">
        <v>64.44</v>
      </c>
      <c r="W324" s="9">
        <v>59.13</v>
      </c>
      <c r="X324" s="12">
        <v>5.3099999999999952</v>
      </c>
      <c r="Y324" s="10">
        <v>2015</v>
      </c>
    </row>
    <row r="325" spans="1:25">
      <c r="A325" s="1" t="s">
        <v>957</v>
      </c>
      <c r="B325" s="8">
        <v>42848</v>
      </c>
      <c r="C325" s="11" t="s">
        <v>3359</v>
      </c>
      <c r="D325" s="11" t="s">
        <v>3360</v>
      </c>
      <c r="E325" s="5" t="s">
        <v>958</v>
      </c>
      <c r="F325" s="1" t="s">
        <v>49</v>
      </c>
      <c r="G325" s="1" t="s">
        <v>959</v>
      </c>
      <c r="H325" s="1" t="s">
        <v>3586</v>
      </c>
      <c r="I325" s="1" t="s">
        <v>3547</v>
      </c>
      <c r="J325" s="1"/>
      <c r="K325" s="1" t="s">
        <v>41</v>
      </c>
      <c r="L325" s="1" t="s">
        <v>30</v>
      </c>
      <c r="M325" s="1" t="s">
        <v>961</v>
      </c>
      <c r="N325" s="1" t="s">
        <v>68</v>
      </c>
      <c r="O325" s="1">
        <v>92345</v>
      </c>
      <c r="P325" s="1" t="s">
        <v>44</v>
      </c>
      <c r="Q325" s="1" t="s">
        <v>888</v>
      </c>
      <c r="R325" s="1" t="s">
        <v>46</v>
      </c>
      <c r="S325" s="7">
        <v>251.52</v>
      </c>
      <c r="T325" s="1">
        <v>9</v>
      </c>
      <c r="U325" s="9">
        <v>250.57</v>
      </c>
      <c r="V325" s="9">
        <v>2263.6800000000003</v>
      </c>
      <c r="W325" s="9">
        <v>2255.13</v>
      </c>
      <c r="X325" s="12">
        <v>8.5500000000001819</v>
      </c>
      <c r="Y325" s="10">
        <v>2017</v>
      </c>
    </row>
    <row r="326" spans="1:25">
      <c r="A326" s="1" t="s">
        <v>957</v>
      </c>
      <c r="B326" s="8">
        <v>42848</v>
      </c>
      <c r="C326" s="11" t="s">
        <v>3359</v>
      </c>
      <c r="D326" s="11" t="s">
        <v>3360</v>
      </c>
      <c r="E326" s="5" t="s">
        <v>958</v>
      </c>
      <c r="F326" s="1" t="s">
        <v>49</v>
      </c>
      <c r="G326" s="1" t="s">
        <v>959</v>
      </c>
      <c r="H326" s="1" t="s">
        <v>3586</v>
      </c>
      <c r="I326" s="1" t="s">
        <v>3547</v>
      </c>
      <c r="J326" s="1"/>
      <c r="K326" s="1" t="s">
        <v>41</v>
      </c>
      <c r="L326" s="1" t="s">
        <v>30</v>
      </c>
      <c r="M326" s="1" t="s">
        <v>961</v>
      </c>
      <c r="N326" s="1" t="s">
        <v>68</v>
      </c>
      <c r="O326" s="1">
        <v>92345</v>
      </c>
      <c r="P326" s="1" t="s">
        <v>44</v>
      </c>
      <c r="Q326" s="1" t="s">
        <v>962</v>
      </c>
      <c r="R326" s="1" t="s">
        <v>64</v>
      </c>
      <c r="S326" s="7">
        <v>99.99</v>
      </c>
      <c r="T326" s="1">
        <v>9</v>
      </c>
      <c r="U326" s="9">
        <v>99.99</v>
      </c>
      <c r="V326" s="9">
        <v>899.91</v>
      </c>
      <c r="W326" s="9">
        <v>899.91</v>
      </c>
      <c r="X326" s="12">
        <v>0</v>
      </c>
      <c r="Y326" s="10">
        <v>2017</v>
      </c>
    </row>
    <row r="327" spans="1:25">
      <c r="A327" s="1" t="s">
        <v>963</v>
      </c>
      <c r="B327" s="8">
        <v>43170</v>
      </c>
      <c r="C327" s="11" t="s">
        <v>3429</v>
      </c>
      <c r="D327" s="11" t="s">
        <v>3382</v>
      </c>
      <c r="E327" s="5">
        <v>43231</v>
      </c>
      <c r="F327" s="1" t="s">
        <v>26</v>
      </c>
      <c r="G327" s="1" t="s">
        <v>964</v>
      </c>
      <c r="H327" s="1" t="s">
        <v>3587</v>
      </c>
      <c r="I327" s="1" t="s">
        <v>3501</v>
      </c>
      <c r="J327" s="1"/>
      <c r="K327" s="1" t="s">
        <v>41</v>
      </c>
      <c r="L327" s="1" t="s">
        <v>30</v>
      </c>
      <c r="M327" s="1" t="s">
        <v>966</v>
      </c>
      <c r="N327" s="1" t="s">
        <v>287</v>
      </c>
      <c r="O327" s="1">
        <v>37130</v>
      </c>
      <c r="P327" s="1" t="s">
        <v>33</v>
      </c>
      <c r="Q327" s="1" t="s">
        <v>967</v>
      </c>
      <c r="R327" s="1" t="s">
        <v>35</v>
      </c>
      <c r="S327" s="7">
        <v>15.992000000000001</v>
      </c>
      <c r="T327" s="1">
        <v>3</v>
      </c>
      <c r="U327" s="9">
        <v>15.43</v>
      </c>
      <c r="V327" s="9">
        <v>47.975999999999999</v>
      </c>
      <c r="W327" s="9">
        <v>46.29</v>
      </c>
      <c r="X327" s="12">
        <v>1.6859999999999999</v>
      </c>
      <c r="Y327" s="10">
        <v>2018</v>
      </c>
    </row>
    <row r="328" spans="1:25">
      <c r="A328" s="1" t="s">
        <v>968</v>
      </c>
      <c r="B328" s="8">
        <v>42977</v>
      </c>
      <c r="C328" s="11" t="s">
        <v>3344</v>
      </c>
      <c r="D328" s="11" t="s">
        <v>3345</v>
      </c>
      <c r="E328" s="5">
        <v>42744</v>
      </c>
      <c r="F328" s="1" t="s">
        <v>162</v>
      </c>
      <c r="G328" s="1" t="s">
        <v>969</v>
      </c>
      <c r="H328" s="1" t="s">
        <v>3402</v>
      </c>
      <c r="I328" s="1" t="s">
        <v>3588</v>
      </c>
      <c r="J328" s="1"/>
      <c r="K328" s="1" t="s">
        <v>29</v>
      </c>
      <c r="L328" s="1" t="s">
        <v>30</v>
      </c>
      <c r="M328" s="1" t="s">
        <v>126</v>
      </c>
      <c r="N328" s="1" t="s">
        <v>127</v>
      </c>
      <c r="O328" s="1">
        <v>19143</v>
      </c>
      <c r="P328" s="1" t="s">
        <v>128</v>
      </c>
      <c r="Q328" s="1" t="s">
        <v>971</v>
      </c>
      <c r="R328" s="1" t="s">
        <v>64</v>
      </c>
      <c r="S328" s="7">
        <v>290.89800000000002</v>
      </c>
      <c r="T328" s="1">
        <v>1</v>
      </c>
      <c r="U328" s="9">
        <v>290.29000000000002</v>
      </c>
      <c r="V328" s="9">
        <v>290.89800000000002</v>
      </c>
      <c r="W328" s="9">
        <v>290.29000000000002</v>
      </c>
      <c r="X328" s="12">
        <v>0.60800000000000409</v>
      </c>
      <c r="Y328" s="10">
        <v>2017</v>
      </c>
    </row>
    <row r="329" spans="1:25">
      <c r="A329" s="1" t="s">
        <v>968</v>
      </c>
      <c r="B329" s="8">
        <v>42977</v>
      </c>
      <c r="C329" s="11" t="s">
        <v>3344</v>
      </c>
      <c r="D329" s="11" t="s">
        <v>3345</v>
      </c>
      <c r="E329" s="5">
        <v>42744</v>
      </c>
      <c r="F329" s="1" t="s">
        <v>162</v>
      </c>
      <c r="G329" s="1" t="s">
        <v>969</v>
      </c>
      <c r="H329" s="1" t="s">
        <v>3402</v>
      </c>
      <c r="I329" s="1" t="s">
        <v>3588</v>
      </c>
      <c r="J329" s="1"/>
      <c r="K329" s="1" t="s">
        <v>29</v>
      </c>
      <c r="L329" s="1" t="s">
        <v>30</v>
      </c>
      <c r="M329" s="1" t="s">
        <v>126</v>
      </c>
      <c r="N329" s="1" t="s">
        <v>127</v>
      </c>
      <c r="O329" s="1">
        <v>19143</v>
      </c>
      <c r="P329" s="1" t="s">
        <v>128</v>
      </c>
      <c r="Q329" s="1" t="s">
        <v>972</v>
      </c>
      <c r="R329" s="1" t="s">
        <v>46</v>
      </c>
      <c r="S329" s="7">
        <v>54.223999999999997</v>
      </c>
      <c r="T329" s="1">
        <v>1</v>
      </c>
      <c r="U329" s="9">
        <v>53.98</v>
      </c>
      <c r="V329" s="9">
        <v>54.223999999999997</v>
      </c>
      <c r="W329" s="9">
        <v>53.98</v>
      </c>
      <c r="X329" s="12">
        <v>0.24399999999999977</v>
      </c>
      <c r="Y329" s="10">
        <v>2017</v>
      </c>
    </row>
    <row r="330" spans="1:25">
      <c r="A330" s="1" t="s">
        <v>968</v>
      </c>
      <c r="B330" s="8">
        <v>42977</v>
      </c>
      <c r="C330" s="11" t="s">
        <v>3344</v>
      </c>
      <c r="D330" s="11" t="s">
        <v>3345</v>
      </c>
      <c r="E330" s="5">
        <v>42744</v>
      </c>
      <c r="F330" s="1" t="s">
        <v>162</v>
      </c>
      <c r="G330" s="1" t="s">
        <v>969</v>
      </c>
      <c r="H330" s="1" t="s">
        <v>3402</v>
      </c>
      <c r="I330" s="1" t="s">
        <v>3588</v>
      </c>
      <c r="J330" s="1"/>
      <c r="K330" s="1" t="s">
        <v>29</v>
      </c>
      <c r="L330" s="1" t="s">
        <v>30</v>
      </c>
      <c r="M330" s="1" t="s">
        <v>126</v>
      </c>
      <c r="N330" s="1" t="s">
        <v>127</v>
      </c>
      <c r="O330" s="1">
        <v>19143</v>
      </c>
      <c r="P330" s="1" t="s">
        <v>128</v>
      </c>
      <c r="Q330" s="1" t="s">
        <v>973</v>
      </c>
      <c r="R330" s="1" t="s">
        <v>35</v>
      </c>
      <c r="S330" s="7">
        <v>786.74400000000003</v>
      </c>
      <c r="T330" s="1">
        <v>1</v>
      </c>
      <c r="U330" s="9">
        <v>786.38</v>
      </c>
      <c r="V330" s="9">
        <v>786.74400000000003</v>
      </c>
      <c r="W330" s="9">
        <v>786.38</v>
      </c>
      <c r="X330" s="12">
        <v>0.36400000000003274</v>
      </c>
      <c r="Y330" s="10">
        <v>2017</v>
      </c>
    </row>
    <row r="331" spans="1:25">
      <c r="A331" s="1" t="s">
        <v>968</v>
      </c>
      <c r="B331" s="8">
        <v>42977</v>
      </c>
      <c r="C331" s="11" t="s">
        <v>3344</v>
      </c>
      <c r="D331" s="11" t="s">
        <v>3345</v>
      </c>
      <c r="E331" s="5">
        <v>42744</v>
      </c>
      <c r="F331" s="1" t="s">
        <v>162</v>
      </c>
      <c r="G331" s="1" t="s">
        <v>969</v>
      </c>
      <c r="H331" s="1" t="s">
        <v>3402</v>
      </c>
      <c r="I331" s="1" t="s">
        <v>3588</v>
      </c>
      <c r="J331" s="1"/>
      <c r="K331" s="1" t="s">
        <v>29</v>
      </c>
      <c r="L331" s="1" t="s">
        <v>30</v>
      </c>
      <c r="M331" s="1" t="s">
        <v>126</v>
      </c>
      <c r="N331" s="1" t="s">
        <v>127</v>
      </c>
      <c r="O331" s="1">
        <v>19143</v>
      </c>
      <c r="P331" s="1" t="s">
        <v>128</v>
      </c>
      <c r="Q331" s="1" t="s">
        <v>974</v>
      </c>
      <c r="R331" s="1" t="s">
        <v>46</v>
      </c>
      <c r="S331" s="7">
        <v>100.24</v>
      </c>
      <c r="T331" s="1">
        <v>1</v>
      </c>
      <c r="U331" s="9">
        <v>99.24</v>
      </c>
      <c r="V331" s="9">
        <v>100.24</v>
      </c>
      <c r="W331" s="9">
        <v>99.24</v>
      </c>
      <c r="X331" s="12">
        <v>1</v>
      </c>
      <c r="Y331" s="10">
        <v>2017</v>
      </c>
    </row>
    <row r="332" spans="1:25">
      <c r="A332" s="1" t="s">
        <v>968</v>
      </c>
      <c r="B332" s="8">
        <v>42977</v>
      </c>
      <c r="C332" s="11" t="s">
        <v>3344</v>
      </c>
      <c r="D332" s="11" t="s">
        <v>3345</v>
      </c>
      <c r="E332" s="5">
        <v>42744</v>
      </c>
      <c r="F332" s="1" t="s">
        <v>162</v>
      </c>
      <c r="G332" s="1" t="s">
        <v>969</v>
      </c>
      <c r="H332" s="1" t="s">
        <v>3402</v>
      </c>
      <c r="I332" s="1" t="s">
        <v>3588</v>
      </c>
      <c r="J332" s="1"/>
      <c r="K332" s="1" t="s">
        <v>29</v>
      </c>
      <c r="L332" s="1" t="s">
        <v>30</v>
      </c>
      <c r="M332" s="1" t="s">
        <v>126</v>
      </c>
      <c r="N332" s="1" t="s">
        <v>127</v>
      </c>
      <c r="O332" s="1">
        <v>19143</v>
      </c>
      <c r="P332" s="1" t="s">
        <v>128</v>
      </c>
      <c r="Q332" s="1" t="s">
        <v>975</v>
      </c>
      <c r="R332" s="1" t="s">
        <v>46</v>
      </c>
      <c r="S332" s="7">
        <v>37.764000000000003</v>
      </c>
      <c r="T332" s="1">
        <v>1</v>
      </c>
      <c r="U332" s="9">
        <v>37.700000000000003</v>
      </c>
      <c r="V332" s="9">
        <v>37.764000000000003</v>
      </c>
      <c r="W332" s="9">
        <v>37.700000000000003</v>
      </c>
      <c r="X332" s="12">
        <v>6.4000000000000057E-2</v>
      </c>
      <c r="Y332" s="10">
        <v>2017</v>
      </c>
    </row>
    <row r="333" spans="1:25">
      <c r="A333" s="1" t="s">
        <v>976</v>
      </c>
      <c r="B333" s="8">
        <v>42850</v>
      </c>
      <c r="C333" s="11" t="s">
        <v>3359</v>
      </c>
      <c r="D333" s="11" t="s">
        <v>3360</v>
      </c>
      <c r="E333" s="5" t="s">
        <v>977</v>
      </c>
      <c r="F333" s="1" t="s">
        <v>26</v>
      </c>
      <c r="G333" s="1" t="s">
        <v>978</v>
      </c>
      <c r="H333" s="1" t="s">
        <v>3589</v>
      </c>
      <c r="I333" s="1" t="s">
        <v>3590</v>
      </c>
      <c r="J333" s="1"/>
      <c r="K333" s="1" t="s">
        <v>29</v>
      </c>
      <c r="L333" s="1" t="s">
        <v>30</v>
      </c>
      <c r="M333" s="1" t="s">
        <v>126</v>
      </c>
      <c r="N333" s="1" t="s">
        <v>127</v>
      </c>
      <c r="O333" s="1">
        <v>19134</v>
      </c>
      <c r="P333" s="1" t="s">
        <v>128</v>
      </c>
      <c r="Q333" s="1" t="s">
        <v>980</v>
      </c>
      <c r="R333" s="1" t="s">
        <v>64</v>
      </c>
      <c r="S333" s="7">
        <v>82.8</v>
      </c>
      <c r="T333" s="1">
        <v>1</v>
      </c>
      <c r="U333" s="9">
        <v>82.11</v>
      </c>
      <c r="V333" s="9">
        <v>82.8</v>
      </c>
      <c r="W333" s="9">
        <v>82.11</v>
      </c>
      <c r="X333" s="12">
        <v>0.68999999999999773</v>
      </c>
      <c r="Y333" s="10">
        <v>2017</v>
      </c>
    </row>
    <row r="334" spans="1:25">
      <c r="A334" s="1" t="s">
        <v>976</v>
      </c>
      <c r="B334" s="8">
        <v>42850</v>
      </c>
      <c r="C334" s="11" t="s">
        <v>3359</v>
      </c>
      <c r="D334" s="11" t="s">
        <v>3360</v>
      </c>
      <c r="E334" s="5" t="s">
        <v>977</v>
      </c>
      <c r="F334" s="1" t="s">
        <v>26</v>
      </c>
      <c r="G334" s="1" t="s">
        <v>978</v>
      </c>
      <c r="H334" s="1" t="s">
        <v>3589</v>
      </c>
      <c r="I334" s="1" t="s">
        <v>3590</v>
      </c>
      <c r="J334" s="1"/>
      <c r="K334" s="1" t="s">
        <v>29</v>
      </c>
      <c r="L334" s="1" t="s">
        <v>30</v>
      </c>
      <c r="M334" s="1" t="s">
        <v>126</v>
      </c>
      <c r="N334" s="1" t="s">
        <v>127</v>
      </c>
      <c r="O334" s="1">
        <v>19134</v>
      </c>
      <c r="P334" s="1" t="s">
        <v>128</v>
      </c>
      <c r="Q334" s="1" t="s">
        <v>981</v>
      </c>
      <c r="R334" s="1" t="s">
        <v>46</v>
      </c>
      <c r="S334" s="7">
        <v>20.724</v>
      </c>
      <c r="T334" s="1">
        <v>1</v>
      </c>
      <c r="U334" s="9">
        <v>20.190000000000001</v>
      </c>
      <c r="V334" s="9">
        <v>20.724</v>
      </c>
      <c r="W334" s="9">
        <v>20.190000000000001</v>
      </c>
      <c r="X334" s="12">
        <v>0.53399999999999892</v>
      </c>
      <c r="Y334" s="10">
        <v>2017</v>
      </c>
    </row>
    <row r="335" spans="1:25">
      <c r="A335" s="1" t="s">
        <v>976</v>
      </c>
      <c r="B335" s="8">
        <v>42850</v>
      </c>
      <c r="C335" s="11" t="s">
        <v>3359</v>
      </c>
      <c r="D335" s="11" t="s">
        <v>3360</v>
      </c>
      <c r="E335" s="5" t="s">
        <v>977</v>
      </c>
      <c r="F335" s="1" t="s">
        <v>26</v>
      </c>
      <c r="G335" s="1" t="s">
        <v>978</v>
      </c>
      <c r="H335" s="1" t="s">
        <v>3589</v>
      </c>
      <c r="I335" s="1" t="s">
        <v>3590</v>
      </c>
      <c r="J335" s="1"/>
      <c r="K335" s="1" t="s">
        <v>29</v>
      </c>
      <c r="L335" s="1" t="s">
        <v>30</v>
      </c>
      <c r="M335" s="1" t="s">
        <v>126</v>
      </c>
      <c r="N335" s="1" t="s">
        <v>127</v>
      </c>
      <c r="O335" s="1">
        <v>19134</v>
      </c>
      <c r="P335" s="1" t="s">
        <v>128</v>
      </c>
      <c r="Q335" s="1" t="s">
        <v>982</v>
      </c>
      <c r="R335" s="1" t="s">
        <v>46</v>
      </c>
      <c r="S335" s="7">
        <v>4.8959999999999999</v>
      </c>
      <c r="T335" s="1">
        <v>1</v>
      </c>
      <c r="U335" s="9">
        <v>4.8</v>
      </c>
      <c r="V335" s="9">
        <v>4.8959999999999999</v>
      </c>
      <c r="W335" s="9">
        <v>4.8</v>
      </c>
      <c r="X335" s="12">
        <v>9.6000000000000085E-2</v>
      </c>
      <c r="Y335" s="10">
        <v>2017</v>
      </c>
    </row>
    <row r="336" spans="1:25">
      <c r="A336" s="1" t="s">
        <v>983</v>
      </c>
      <c r="B336" s="8">
        <v>42378</v>
      </c>
      <c r="C336" s="11" t="s">
        <v>3381</v>
      </c>
      <c r="D336" s="11" t="s">
        <v>3382</v>
      </c>
      <c r="E336" s="5">
        <v>42469</v>
      </c>
      <c r="F336" s="1" t="s">
        <v>26</v>
      </c>
      <c r="G336" s="1" t="s">
        <v>984</v>
      </c>
      <c r="H336" s="1" t="s">
        <v>3591</v>
      </c>
      <c r="I336" s="1" t="s">
        <v>3592</v>
      </c>
      <c r="J336" s="1"/>
      <c r="K336" s="1" t="s">
        <v>29</v>
      </c>
      <c r="L336" s="1" t="s">
        <v>30</v>
      </c>
      <c r="M336" s="1" t="s">
        <v>42</v>
      </c>
      <c r="N336" s="1" t="s">
        <v>68</v>
      </c>
      <c r="O336" s="1">
        <v>90045</v>
      </c>
      <c r="P336" s="1" t="s">
        <v>44</v>
      </c>
      <c r="Q336" s="1" t="s">
        <v>986</v>
      </c>
      <c r="R336" s="1" t="s">
        <v>46</v>
      </c>
      <c r="S336" s="7">
        <v>4.7519999999999998</v>
      </c>
      <c r="T336" s="1">
        <v>9</v>
      </c>
      <c r="U336" s="9">
        <v>4.63</v>
      </c>
      <c r="V336" s="9">
        <v>42.768000000000001</v>
      </c>
      <c r="W336" s="9">
        <v>41.67</v>
      </c>
      <c r="X336" s="12">
        <v>1.097999999999999</v>
      </c>
      <c r="Y336" s="10">
        <v>2016</v>
      </c>
    </row>
    <row r="337" spans="1:25">
      <c r="A337" s="1" t="s">
        <v>983</v>
      </c>
      <c r="B337" s="8">
        <v>42378</v>
      </c>
      <c r="C337" s="11" t="s">
        <v>3381</v>
      </c>
      <c r="D337" s="11" t="s">
        <v>3382</v>
      </c>
      <c r="E337" s="5">
        <v>42469</v>
      </c>
      <c r="F337" s="1" t="s">
        <v>26</v>
      </c>
      <c r="G337" s="1" t="s">
        <v>984</v>
      </c>
      <c r="H337" s="1" t="s">
        <v>3591</v>
      </c>
      <c r="I337" s="1" t="s">
        <v>3592</v>
      </c>
      <c r="J337" s="1"/>
      <c r="K337" s="1" t="s">
        <v>29</v>
      </c>
      <c r="L337" s="1" t="s">
        <v>30</v>
      </c>
      <c r="M337" s="1" t="s">
        <v>42</v>
      </c>
      <c r="N337" s="1" t="s">
        <v>68</v>
      </c>
      <c r="O337" s="1">
        <v>90045</v>
      </c>
      <c r="P337" s="1" t="s">
        <v>44</v>
      </c>
      <c r="Q337" s="1" t="s">
        <v>987</v>
      </c>
      <c r="R337" s="1" t="s">
        <v>64</v>
      </c>
      <c r="S337" s="7">
        <v>959.98400000000004</v>
      </c>
      <c r="T337" s="1">
        <v>9</v>
      </c>
      <c r="U337" s="9">
        <v>959.68</v>
      </c>
      <c r="V337" s="9">
        <v>8639.8559999999998</v>
      </c>
      <c r="W337" s="9">
        <v>8637.119999999999</v>
      </c>
      <c r="X337" s="12">
        <v>2.7360000000007858</v>
      </c>
      <c r="Y337" s="10">
        <v>2016</v>
      </c>
    </row>
    <row r="338" spans="1:25">
      <c r="A338" s="1" t="s">
        <v>983</v>
      </c>
      <c r="B338" s="8">
        <v>42378</v>
      </c>
      <c r="C338" s="11" t="s">
        <v>3381</v>
      </c>
      <c r="D338" s="11" t="s">
        <v>3382</v>
      </c>
      <c r="E338" s="5">
        <v>42469</v>
      </c>
      <c r="F338" s="1" t="s">
        <v>26</v>
      </c>
      <c r="G338" s="1" t="s">
        <v>984</v>
      </c>
      <c r="H338" s="1" t="s">
        <v>3591</v>
      </c>
      <c r="I338" s="1" t="s">
        <v>3592</v>
      </c>
      <c r="J338" s="1"/>
      <c r="K338" s="1" t="s">
        <v>29</v>
      </c>
      <c r="L338" s="1" t="s">
        <v>30</v>
      </c>
      <c r="M338" s="1" t="s">
        <v>42</v>
      </c>
      <c r="N338" s="1" t="s">
        <v>68</v>
      </c>
      <c r="O338" s="1">
        <v>90045</v>
      </c>
      <c r="P338" s="1" t="s">
        <v>44</v>
      </c>
      <c r="Q338" s="1" t="s">
        <v>988</v>
      </c>
      <c r="R338" s="1" t="s">
        <v>46</v>
      </c>
      <c r="S338" s="7">
        <v>14.368</v>
      </c>
      <c r="T338" s="1">
        <v>9</v>
      </c>
      <c r="U338" s="9">
        <v>13.73</v>
      </c>
      <c r="V338" s="9">
        <v>129.31200000000001</v>
      </c>
      <c r="W338" s="9">
        <v>123.57000000000001</v>
      </c>
      <c r="X338" s="12">
        <v>5.7420000000000044</v>
      </c>
      <c r="Y338" s="10">
        <v>2016</v>
      </c>
    </row>
    <row r="339" spans="1:25">
      <c r="A339" s="1" t="s">
        <v>989</v>
      </c>
      <c r="B339" s="8">
        <v>42345</v>
      </c>
      <c r="C339" s="11" t="s">
        <v>3348</v>
      </c>
      <c r="D339" s="11" t="s">
        <v>3349</v>
      </c>
      <c r="E339" s="5" t="s">
        <v>990</v>
      </c>
      <c r="F339" s="1" t="s">
        <v>49</v>
      </c>
      <c r="G339" s="1" t="s">
        <v>991</v>
      </c>
      <c r="H339" s="1" t="s">
        <v>3593</v>
      </c>
      <c r="I339" s="1" t="s">
        <v>3594</v>
      </c>
      <c r="J339" s="1"/>
      <c r="K339" s="1" t="s">
        <v>41</v>
      </c>
      <c r="L339" s="1" t="s">
        <v>30</v>
      </c>
      <c r="M339" s="1" t="s">
        <v>110</v>
      </c>
      <c r="N339" s="1" t="s">
        <v>68</v>
      </c>
      <c r="O339" s="1">
        <v>94122</v>
      </c>
      <c r="P339" s="1" t="s">
        <v>44</v>
      </c>
      <c r="Q339" s="1" t="s">
        <v>993</v>
      </c>
      <c r="R339" s="1" t="s">
        <v>46</v>
      </c>
      <c r="S339" s="7">
        <v>7.7119999999999997</v>
      </c>
      <c r="T339" s="1">
        <v>9</v>
      </c>
      <c r="U339" s="9">
        <v>7.19</v>
      </c>
      <c r="V339" s="9">
        <v>69.408000000000001</v>
      </c>
      <c r="W339" s="9">
        <v>64.710000000000008</v>
      </c>
      <c r="X339" s="12">
        <v>4.6979999999999933</v>
      </c>
      <c r="Y339" s="10">
        <v>2015</v>
      </c>
    </row>
    <row r="340" spans="1:25">
      <c r="A340" s="1" t="s">
        <v>989</v>
      </c>
      <c r="B340" s="8">
        <v>42345</v>
      </c>
      <c r="C340" s="11" t="s">
        <v>3348</v>
      </c>
      <c r="D340" s="11" t="s">
        <v>3349</v>
      </c>
      <c r="E340" s="5" t="s">
        <v>990</v>
      </c>
      <c r="F340" s="1" t="s">
        <v>49</v>
      </c>
      <c r="G340" s="1" t="s">
        <v>991</v>
      </c>
      <c r="H340" s="1" t="s">
        <v>3593</v>
      </c>
      <c r="I340" s="1" t="s">
        <v>3594</v>
      </c>
      <c r="J340" s="1"/>
      <c r="K340" s="1" t="s">
        <v>41</v>
      </c>
      <c r="L340" s="1" t="s">
        <v>30</v>
      </c>
      <c r="M340" s="1" t="s">
        <v>110</v>
      </c>
      <c r="N340" s="1" t="s">
        <v>68</v>
      </c>
      <c r="O340" s="1">
        <v>94122</v>
      </c>
      <c r="P340" s="1" t="s">
        <v>44</v>
      </c>
      <c r="Q340" s="1" t="s">
        <v>994</v>
      </c>
      <c r="R340" s="1" t="s">
        <v>35</v>
      </c>
      <c r="S340" s="7">
        <v>698.35199999999998</v>
      </c>
      <c r="T340" s="1">
        <v>9</v>
      </c>
      <c r="U340" s="9">
        <v>698.24</v>
      </c>
      <c r="V340" s="9">
        <v>6285.1679999999997</v>
      </c>
      <c r="W340" s="9">
        <v>6284.16</v>
      </c>
      <c r="X340" s="12">
        <v>1.0079999999998108</v>
      </c>
      <c r="Y340" s="10">
        <v>2015</v>
      </c>
    </row>
    <row r="341" spans="1:25">
      <c r="A341" s="1" t="s">
        <v>995</v>
      </c>
      <c r="B341" s="8">
        <v>42543</v>
      </c>
      <c r="C341" s="11" t="s">
        <v>3403</v>
      </c>
      <c r="D341" s="11" t="s">
        <v>3360</v>
      </c>
      <c r="E341" s="5" t="s">
        <v>996</v>
      </c>
      <c r="F341" s="1" t="s">
        <v>26</v>
      </c>
      <c r="G341" s="1" t="s">
        <v>754</v>
      </c>
      <c r="H341" s="1" t="s">
        <v>3374</v>
      </c>
      <c r="I341" s="1" t="s">
        <v>3544</v>
      </c>
      <c r="J341" s="1"/>
      <c r="K341" s="1" t="s">
        <v>29</v>
      </c>
      <c r="L341" s="1" t="s">
        <v>30</v>
      </c>
      <c r="M341" s="1" t="s">
        <v>997</v>
      </c>
      <c r="N341" s="1" t="s">
        <v>105</v>
      </c>
      <c r="O341" s="1">
        <v>84041</v>
      </c>
      <c r="P341" s="1" t="s">
        <v>44</v>
      </c>
      <c r="Q341" s="1" t="s">
        <v>998</v>
      </c>
      <c r="R341" s="1" t="s">
        <v>46</v>
      </c>
      <c r="S341" s="7">
        <v>4.96</v>
      </c>
      <c r="T341" s="1">
        <v>8</v>
      </c>
      <c r="U341" s="9">
        <v>4.45</v>
      </c>
      <c r="V341" s="9">
        <v>39.68</v>
      </c>
      <c r="W341" s="9">
        <v>35.6</v>
      </c>
      <c r="X341" s="12">
        <v>4.0799999999999983</v>
      </c>
      <c r="Y341" s="10">
        <v>2016</v>
      </c>
    </row>
    <row r="342" spans="1:25">
      <c r="A342" s="1" t="s">
        <v>999</v>
      </c>
      <c r="B342" s="8">
        <v>42107</v>
      </c>
      <c r="C342" s="11" t="s">
        <v>3359</v>
      </c>
      <c r="D342" s="11" t="s">
        <v>3360</v>
      </c>
      <c r="E342" s="5" t="s">
        <v>1000</v>
      </c>
      <c r="F342" s="1" t="s">
        <v>26</v>
      </c>
      <c r="G342" s="1" t="s">
        <v>482</v>
      </c>
      <c r="H342" s="1" t="s">
        <v>3477</v>
      </c>
      <c r="I342" s="1" t="s">
        <v>3478</v>
      </c>
      <c r="J342" s="1"/>
      <c r="K342" s="1" t="s">
        <v>41</v>
      </c>
      <c r="L342" s="1" t="s">
        <v>30</v>
      </c>
      <c r="M342" s="1" t="s">
        <v>126</v>
      </c>
      <c r="N342" s="1" t="s">
        <v>127</v>
      </c>
      <c r="O342" s="1">
        <v>19140</v>
      </c>
      <c r="P342" s="1" t="s">
        <v>128</v>
      </c>
      <c r="Q342" s="1" t="s">
        <v>1001</v>
      </c>
      <c r="R342" s="1" t="s">
        <v>46</v>
      </c>
      <c r="S342" s="7">
        <v>17.856000000000002</v>
      </c>
      <c r="T342" s="1">
        <v>1</v>
      </c>
      <c r="U342" s="9">
        <v>17.12</v>
      </c>
      <c r="V342" s="9">
        <v>17.856000000000002</v>
      </c>
      <c r="W342" s="9">
        <v>17.12</v>
      </c>
      <c r="X342" s="12">
        <v>0.73600000000000065</v>
      </c>
      <c r="Y342" s="10">
        <v>2015</v>
      </c>
    </row>
    <row r="343" spans="1:25">
      <c r="A343" s="1" t="s">
        <v>999</v>
      </c>
      <c r="B343" s="8">
        <v>42107</v>
      </c>
      <c r="C343" s="11" t="s">
        <v>3359</v>
      </c>
      <c r="D343" s="11" t="s">
        <v>3360</v>
      </c>
      <c r="E343" s="5" t="s">
        <v>1000</v>
      </c>
      <c r="F343" s="1" t="s">
        <v>26</v>
      </c>
      <c r="G343" s="1" t="s">
        <v>482</v>
      </c>
      <c r="H343" s="1" t="s">
        <v>3477</v>
      </c>
      <c r="I343" s="1" t="s">
        <v>3478</v>
      </c>
      <c r="J343" s="1"/>
      <c r="K343" s="1" t="s">
        <v>41</v>
      </c>
      <c r="L343" s="1" t="s">
        <v>30</v>
      </c>
      <c r="M343" s="1" t="s">
        <v>126</v>
      </c>
      <c r="N343" s="1" t="s">
        <v>127</v>
      </c>
      <c r="O343" s="1">
        <v>19140</v>
      </c>
      <c r="P343" s="1" t="s">
        <v>128</v>
      </c>
      <c r="Q343" s="1" t="s">
        <v>82</v>
      </c>
      <c r="R343" s="1" t="s">
        <v>46</v>
      </c>
      <c r="S343" s="7">
        <v>509.97</v>
      </c>
      <c r="T343" s="1">
        <v>1</v>
      </c>
      <c r="U343" s="9">
        <v>509.93</v>
      </c>
      <c r="V343" s="9">
        <v>509.97</v>
      </c>
      <c r="W343" s="9">
        <v>509.93</v>
      </c>
      <c r="X343" s="12">
        <v>4.0000000000020464E-2</v>
      </c>
      <c r="Y343" s="10">
        <v>2015</v>
      </c>
    </row>
    <row r="344" spans="1:25">
      <c r="A344" s="1" t="s">
        <v>999</v>
      </c>
      <c r="B344" s="8">
        <v>42107</v>
      </c>
      <c r="C344" s="11" t="s">
        <v>3359</v>
      </c>
      <c r="D344" s="11" t="s">
        <v>3360</v>
      </c>
      <c r="E344" s="5" t="s">
        <v>1000</v>
      </c>
      <c r="F344" s="1" t="s">
        <v>26</v>
      </c>
      <c r="G344" s="1" t="s">
        <v>482</v>
      </c>
      <c r="H344" s="1" t="s">
        <v>3477</v>
      </c>
      <c r="I344" s="1" t="s">
        <v>3478</v>
      </c>
      <c r="J344" s="1"/>
      <c r="K344" s="1" t="s">
        <v>41</v>
      </c>
      <c r="L344" s="1" t="s">
        <v>30</v>
      </c>
      <c r="M344" s="1" t="s">
        <v>126</v>
      </c>
      <c r="N344" s="1" t="s">
        <v>127</v>
      </c>
      <c r="O344" s="1">
        <v>19140</v>
      </c>
      <c r="P344" s="1" t="s">
        <v>128</v>
      </c>
      <c r="Q344" s="1" t="s">
        <v>469</v>
      </c>
      <c r="R344" s="1" t="s">
        <v>46</v>
      </c>
      <c r="S344" s="7">
        <v>30.992000000000001</v>
      </c>
      <c r="T344" s="1">
        <v>1</v>
      </c>
      <c r="U344" s="9">
        <v>30.06</v>
      </c>
      <c r="V344" s="9">
        <v>30.992000000000001</v>
      </c>
      <c r="W344" s="9">
        <v>30.06</v>
      </c>
      <c r="X344" s="12">
        <v>0.93200000000000216</v>
      </c>
      <c r="Y344" s="10">
        <v>2015</v>
      </c>
    </row>
    <row r="345" spans="1:25">
      <c r="A345" s="1" t="s">
        <v>999</v>
      </c>
      <c r="B345" s="8">
        <v>42107</v>
      </c>
      <c r="C345" s="11" t="s">
        <v>3359</v>
      </c>
      <c r="D345" s="11" t="s">
        <v>3360</v>
      </c>
      <c r="E345" s="5" t="s">
        <v>1000</v>
      </c>
      <c r="F345" s="1" t="s">
        <v>26</v>
      </c>
      <c r="G345" s="1" t="s">
        <v>482</v>
      </c>
      <c r="H345" s="1" t="s">
        <v>3477</v>
      </c>
      <c r="I345" s="1" t="s">
        <v>3478</v>
      </c>
      <c r="J345" s="1"/>
      <c r="K345" s="1" t="s">
        <v>41</v>
      </c>
      <c r="L345" s="1" t="s">
        <v>30</v>
      </c>
      <c r="M345" s="1" t="s">
        <v>126</v>
      </c>
      <c r="N345" s="1" t="s">
        <v>127</v>
      </c>
      <c r="O345" s="1">
        <v>19140</v>
      </c>
      <c r="P345" s="1" t="s">
        <v>128</v>
      </c>
      <c r="Q345" s="1" t="s">
        <v>1002</v>
      </c>
      <c r="R345" s="1" t="s">
        <v>64</v>
      </c>
      <c r="S345" s="7">
        <v>71.927999999999997</v>
      </c>
      <c r="T345" s="1">
        <v>1</v>
      </c>
      <c r="U345" s="9">
        <v>71.77</v>
      </c>
      <c r="V345" s="9">
        <v>71.927999999999997</v>
      </c>
      <c r="W345" s="9">
        <v>71.77</v>
      </c>
      <c r="X345" s="12">
        <v>0.15800000000000125</v>
      </c>
      <c r="Y345" s="10">
        <v>2015</v>
      </c>
    </row>
    <row r="346" spans="1:25">
      <c r="A346" s="1" t="s">
        <v>1003</v>
      </c>
      <c r="B346" s="8">
        <v>42724</v>
      </c>
      <c r="C346" s="11" t="s">
        <v>3348</v>
      </c>
      <c r="D346" s="11" t="s">
        <v>3349</v>
      </c>
      <c r="E346" s="5" t="s">
        <v>1004</v>
      </c>
      <c r="F346" s="1" t="s">
        <v>49</v>
      </c>
      <c r="G346" s="1" t="s">
        <v>574</v>
      </c>
      <c r="H346" s="1" t="s">
        <v>3503</v>
      </c>
      <c r="I346" s="1" t="s">
        <v>3504</v>
      </c>
      <c r="J346" s="1"/>
      <c r="K346" s="1" t="s">
        <v>29</v>
      </c>
      <c r="L346" s="1" t="s">
        <v>30</v>
      </c>
      <c r="M346" s="1" t="s">
        <v>1005</v>
      </c>
      <c r="N346" s="1" t="s">
        <v>89</v>
      </c>
      <c r="O346" s="1">
        <v>78745</v>
      </c>
      <c r="P346" s="1" t="s">
        <v>90</v>
      </c>
      <c r="Q346" s="1" t="s">
        <v>106</v>
      </c>
      <c r="R346" s="1" t="s">
        <v>46</v>
      </c>
      <c r="S346" s="7">
        <v>88.8</v>
      </c>
      <c r="T346" s="1">
        <v>7</v>
      </c>
      <c r="U346" s="9">
        <v>88.41</v>
      </c>
      <c r="V346" s="9">
        <v>621.6</v>
      </c>
      <c r="W346" s="9">
        <v>618.87</v>
      </c>
      <c r="X346" s="12">
        <v>2.7300000000000182</v>
      </c>
      <c r="Y346" s="10">
        <v>2016</v>
      </c>
    </row>
    <row r="347" spans="1:25">
      <c r="A347" s="1" t="s">
        <v>1006</v>
      </c>
      <c r="B347" s="8">
        <v>43266</v>
      </c>
      <c r="C347" s="11" t="s">
        <v>3403</v>
      </c>
      <c r="D347" s="11" t="s">
        <v>3360</v>
      </c>
      <c r="E347" s="5" t="s">
        <v>1007</v>
      </c>
      <c r="F347" s="1" t="s">
        <v>49</v>
      </c>
      <c r="G347" s="1" t="s">
        <v>1008</v>
      </c>
      <c r="H347" s="1" t="s">
        <v>3457</v>
      </c>
      <c r="I347" s="1" t="s">
        <v>3595</v>
      </c>
      <c r="J347" s="1"/>
      <c r="K347" s="1" t="s">
        <v>29</v>
      </c>
      <c r="L347" s="1" t="s">
        <v>30</v>
      </c>
      <c r="M347" s="1" t="s">
        <v>110</v>
      </c>
      <c r="N347" s="1" t="s">
        <v>68</v>
      </c>
      <c r="O347" s="1">
        <v>94122</v>
      </c>
      <c r="P347" s="1" t="s">
        <v>44</v>
      </c>
      <c r="Q347" s="1" t="s">
        <v>467</v>
      </c>
      <c r="R347" s="1" t="s">
        <v>64</v>
      </c>
      <c r="S347" s="7">
        <v>47.975999999999999</v>
      </c>
      <c r="T347" s="1">
        <v>9</v>
      </c>
      <c r="U347" s="9">
        <v>47.57</v>
      </c>
      <c r="V347" s="9">
        <v>431.78399999999999</v>
      </c>
      <c r="W347" s="9">
        <v>428.13</v>
      </c>
      <c r="X347" s="12">
        <v>3.6539999999999964</v>
      </c>
      <c r="Y347" s="10">
        <v>2018</v>
      </c>
    </row>
    <row r="348" spans="1:25">
      <c r="A348" s="1" t="s">
        <v>1010</v>
      </c>
      <c r="B348" s="8">
        <v>43319</v>
      </c>
      <c r="C348" s="11" t="s">
        <v>3344</v>
      </c>
      <c r="D348" s="11" t="s">
        <v>3345</v>
      </c>
      <c r="E348" s="5">
        <v>43441</v>
      </c>
      <c r="F348" s="1" t="s">
        <v>49</v>
      </c>
      <c r="G348" s="1" t="s">
        <v>1011</v>
      </c>
      <c r="H348" s="1" t="s">
        <v>3488</v>
      </c>
      <c r="I348" s="1" t="s">
        <v>3596</v>
      </c>
      <c r="J348" s="1"/>
      <c r="K348" s="1" t="s">
        <v>29</v>
      </c>
      <c r="L348" s="1" t="s">
        <v>30</v>
      </c>
      <c r="M348" s="1" t="s">
        <v>1013</v>
      </c>
      <c r="N348" s="1" t="s">
        <v>1014</v>
      </c>
      <c r="O348" s="1">
        <v>1852</v>
      </c>
      <c r="P348" s="1" t="s">
        <v>128</v>
      </c>
      <c r="Q348" s="1" t="s">
        <v>647</v>
      </c>
      <c r="R348" s="1" t="s">
        <v>46</v>
      </c>
      <c r="S348" s="7">
        <v>7.56</v>
      </c>
      <c r="T348" s="1">
        <v>1</v>
      </c>
      <c r="U348" s="9">
        <v>6.69</v>
      </c>
      <c r="V348" s="9">
        <v>7.56</v>
      </c>
      <c r="W348" s="9">
        <v>6.69</v>
      </c>
      <c r="X348" s="12">
        <v>0.86999999999999922</v>
      </c>
      <c r="Y348" s="10">
        <v>2018</v>
      </c>
    </row>
    <row r="349" spans="1:25">
      <c r="A349" s="1" t="s">
        <v>1010</v>
      </c>
      <c r="B349" s="8">
        <v>43319</v>
      </c>
      <c r="C349" s="11" t="s">
        <v>3344</v>
      </c>
      <c r="D349" s="11" t="s">
        <v>3345</v>
      </c>
      <c r="E349" s="5">
        <v>43441</v>
      </c>
      <c r="F349" s="1" t="s">
        <v>49</v>
      </c>
      <c r="G349" s="1" t="s">
        <v>1011</v>
      </c>
      <c r="H349" s="1" t="s">
        <v>3488</v>
      </c>
      <c r="I349" s="1" t="s">
        <v>3596</v>
      </c>
      <c r="J349" s="1"/>
      <c r="K349" s="1" t="s">
        <v>29</v>
      </c>
      <c r="L349" s="1" t="s">
        <v>30</v>
      </c>
      <c r="M349" s="1" t="s">
        <v>1013</v>
      </c>
      <c r="N349" s="1" t="s">
        <v>1014</v>
      </c>
      <c r="O349" s="1">
        <v>1852</v>
      </c>
      <c r="P349" s="1" t="s">
        <v>128</v>
      </c>
      <c r="Q349" s="1" t="s">
        <v>160</v>
      </c>
      <c r="R349" s="1" t="s">
        <v>46</v>
      </c>
      <c r="S349" s="7">
        <v>24.56</v>
      </c>
      <c r="T349" s="1">
        <v>1</v>
      </c>
      <c r="U349" s="9">
        <v>23.77</v>
      </c>
      <c r="V349" s="9">
        <v>24.56</v>
      </c>
      <c r="W349" s="9">
        <v>23.77</v>
      </c>
      <c r="X349" s="12">
        <v>0.78999999999999915</v>
      </c>
      <c r="Y349" s="10">
        <v>2018</v>
      </c>
    </row>
    <row r="350" spans="1:25">
      <c r="A350" s="1" t="s">
        <v>1010</v>
      </c>
      <c r="B350" s="8">
        <v>43319</v>
      </c>
      <c r="C350" s="11" t="s">
        <v>3344</v>
      </c>
      <c r="D350" s="11" t="s">
        <v>3345</v>
      </c>
      <c r="E350" s="5">
        <v>43441</v>
      </c>
      <c r="F350" s="1" t="s">
        <v>49</v>
      </c>
      <c r="G350" s="1" t="s">
        <v>1011</v>
      </c>
      <c r="H350" s="1" t="s">
        <v>3488</v>
      </c>
      <c r="I350" s="1" t="s">
        <v>3596</v>
      </c>
      <c r="J350" s="1"/>
      <c r="K350" s="1" t="s">
        <v>29</v>
      </c>
      <c r="L350" s="1" t="s">
        <v>30</v>
      </c>
      <c r="M350" s="1" t="s">
        <v>1013</v>
      </c>
      <c r="N350" s="1" t="s">
        <v>1014</v>
      </c>
      <c r="O350" s="1">
        <v>1852</v>
      </c>
      <c r="P350" s="1" t="s">
        <v>128</v>
      </c>
      <c r="Q350" s="1" t="s">
        <v>1015</v>
      </c>
      <c r="R350" s="1" t="s">
        <v>46</v>
      </c>
      <c r="S350" s="7">
        <v>12.96</v>
      </c>
      <c r="T350" s="1">
        <v>1</v>
      </c>
      <c r="U350" s="9">
        <v>12.95</v>
      </c>
      <c r="V350" s="9">
        <v>12.96</v>
      </c>
      <c r="W350" s="9">
        <v>12.95</v>
      </c>
      <c r="X350" s="12">
        <v>1.0000000000001563E-2</v>
      </c>
      <c r="Y350" s="10">
        <v>2018</v>
      </c>
    </row>
    <row r="351" spans="1:25">
      <c r="A351" s="1" t="s">
        <v>1016</v>
      </c>
      <c r="B351" s="8">
        <v>42744</v>
      </c>
      <c r="C351" s="11" t="s">
        <v>3381</v>
      </c>
      <c r="D351" s="11" t="s">
        <v>3382</v>
      </c>
      <c r="E351" s="5">
        <v>42803</v>
      </c>
      <c r="F351" s="1" t="s">
        <v>162</v>
      </c>
      <c r="G351" s="1" t="s">
        <v>1017</v>
      </c>
      <c r="H351" s="1" t="s">
        <v>3597</v>
      </c>
      <c r="I351" s="1" t="s">
        <v>3598</v>
      </c>
      <c r="J351" s="1"/>
      <c r="K351" s="1" t="s">
        <v>87</v>
      </c>
      <c r="L351" s="1" t="s">
        <v>30</v>
      </c>
      <c r="M351" s="1" t="s">
        <v>233</v>
      </c>
      <c r="N351" s="1" t="s">
        <v>234</v>
      </c>
      <c r="O351" s="1">
        <v>10009</v>
      </c>
      <c r="P351" s="1" t="s">
        <v>128</v>
      </c>
      <c r="Q351" s="1" t="s">
        <v>793</v>
      </c>
      <c r="R351" s="1" t="s">
        <v>64</v>
      </c>
      <c r="S351" s="7">
        <v>6.79</v>
      </c>
      <c r="T351" s="1">
        <v>1</v>
      </c>
      <c r="U351" s="9">
        <v>6.4</v>
      </c>
      <c r="V351" s="9">
        <v>6.79</v>
      </c>
      <c r="W351" s="9">
        <v>6.4</v>
      </c>
      <c r="X351" s="12">
        <v>0.38999999999999968</v>
      </c>
      <c r="Y351" s="10">
        <v>2017</v>
      </c>
    </row>
    <row r="352" spans="1:25">
      <c r="A352" s="1" t="s">
        <v>1016</v>
      </c>
      <c r="B352" s="8">
        <v>42744</v>
      </c>
      <c r="C352" s="11" t="s">
        <v>3381</v>
      </c>
      <c r="D352" s="11" t="s">
        <v>3382</v>
      </c>
      <c r="E352" s="5">
        <v>42803</v>
      </c>
      <c r="F352" s="1" t="s">
        <v>162</v>
      </c>
      <c r="G352" s="1" t="s">
        <v>1017</v>
      </c>
      <c r="H352" s="1" t="s">
        <v>3597</v>
      </c>
      <c r="I352" s="1" t="s">
        <v>3598</v>
      </c>
      <c r="J352" s="1"/>
      <c r="K352" s="1" t="s">
        <v>87</v>
      </c>
      <c r="L352" s="1" t="s">
        <v>30</v>
      </c>
      <c r="M352" s="1" t="s">
        <v>233</v>
      </c>
      <c r="N352" s="1" t="s">
        <v>234</v>
      </c>
      <c r="O352" s="1">
        <v>10009</v>
      </c>
      <c r="P352" s="1" t="s">
        <v>128</v>
      </c>
      <c r="Q352" s="1" t="s">
        <v>1019</v>
      </c>
      <c r="R352" s="1" t="s">
        <v>46</v>
      </c>
      <c r="S352" s="7">
        <v>24.56</v>
      </c>
      <c r="T352" s="1">
        <v>1</v>
      </c>
      <c r="U352" s="9">
        <v>23.66</v>
      </c>
      <c r="V352" s="9">
        <v>24.56</v>
      </c>
      <c r="W352" s="9">
        <v>23.66</v>
      </c>
      <c r="X352" s="12">
        <v>0.89999999999999858</v>
      </c>
      <c r="Y352" s="10">
        <v>2017</v>
      </c>
    </row>
    <row r="353" spans="1:25">
      <c r="A353" s="1" t="s">
        <v>1016</v>
      </c>
      <c r="B353" s="8">
        <v>42744</v>
      </c>
      <c r="C353" s="11" t="s">
        <v>3381</v>
      </c>
      <c r="D353" s="11" t="s">
        <v>3382</v>
      </c>
      <c r="E353" s="5">
        <v>42803</v>
      </c>
      <c r="F353" s="1" t="s">
        <v>162</v>
      </c>
      <c r="G353" s="1" t="s">
        <v>1017</v>
      </c>
      <c r="H353" s="1" t="s">
        <v>3597</v>
      </c>
      <c r="I353" s="1" t="s">
        <v>3598</v>
      </c>
      <c r="J353" s="1"/>
      <c r="K353" s="1" t="s">
        <v>87</v>
      </c>
      <c r="L353" s="1" t="s">
        <v>30</v>
      </c>
      <c r="M353" s="1" t="s">
        <v>233</v>
      </c>
      <c r="N353" s="1" t="s">
        <v>234</v>
      </c>
      <c r="O353" s="1">
        <v>10009</v>
      </c>
      <c r="P353" s="1" t="s">
        <v>128</v>
      </c>
      <c r="Q353" s="1" t="s">
        <v>1020</v>
      </c>
      <c r="R353" s="1" t="s">
        <v>46</v>
      </c>
      <c r="S353" s="7">
        <v>3.048</v>
      </c>
      <c r="T353" s="1">
        <v>1</v>
      </c>
      <c r="U353" s="9">
        <v>2.2200000000000002</v>
      </c>
      <c r="V353" s="9">
        <v>3.048</v>
      </c>
      <c r="W353" s="9">
        <v>2.2200000000000002</v>
      </c>
      <c r="X353" s="12">
        <v>0.82799999999999985</v>
      </c>
      <c r="Y353" s="10">
        <v>2017</v>
      </c>
    </row>
    <row r="354" spans="1:25">
      <c r="A354" s="1" t="s">
        <v>1016</v>
      </c>
      <c r="B354" s="8">
        <v>42744</v>
      </c>
      <c r="C354" s="11" t="s">
        <v>3381</v>
      </c>
      <c r="D354" s="11" t="s">
        <v>3382</v>
      </c>
      <c r="E354" s="5">
        <v>42803</v>
      </c>
      <c r="F354" s="1" t="s">
        <v>162</v>
      </c>
      <c r="G354" s="1" t="s">
        <v>1017</v>
      </c>
      <c r="H354" s="1" t="s">
        <v>3597</v>
      </c>
      <c r="I354" s="1" t="s">
        <v>3598</v>
      </c>
      <c r="J354" s="1"/>
      <c r="K354" s="1" t="s">
        <v>87</v>
      </c>
      <c r="L354" s="1" t="s">
        <v>30</v>
      </c>
      <c r="M354" s="1" t="s">
        <v>233</v>
      </c>
      <c r="N354" s="1" t="s">
        <v>234</v>
      </c>
      <c r="O354" s="1">
        <v>10009</v>
      </c>
      <c r="P354" s="1" t="s">
        <v>128</v>
      </c>
      <c r="Q354" s="1" t="s">
        <v>1019</v>
      </c>
      <c r="R354" s="1" t="s">
        <v>46</v>
      </c>
      <c r="S354" s="7">
        <v>49.12</v>
      </c>
      <c r="T354" s="1">
        <v>1</v>
      </c>
      <c r="U354" s="9">
        <v>48.36</v>
      </c>
      <c r="V354" s="9">
        <v>49.12</v>
      </c>
      <c r="W354" s="9">
        <v>48.36</v>
      </c>
      <c r="X354" s="12">
        <v>0.75999999999999801</v>
      </c>
      <c r="Y354" s="10">
        <v>2017</v>
      </c>
    </row>
    <row r="355" spans="1:25">
      <c r="A355" s="1" t="s">
        <v>1016</v>
      </c>
      <c r="B355" s="8">
        <v>42744</v>
      </c>
      <c r="C355" s="11" t="s">
        <v>3381</v>
      </c>
      <c r="D355" s="11" t="s">
        <v>3382</v>
      </c>
      <c r="E355" s="5">
        <v>42803</v>
      </c>
      <c r="F355" s="1" t="s">
        <v>162</v>
      </c>
      <c r="G355" s="1" t="s">
        <v>1017</v>
      </c>
      <c r="H355" s="1" t="s">
        <v>3597</v>
      </c>
      <c r="I355" s="1" t="s">
        <v>3598</v>
      </c>
      <c r="J355" s="1"/>
      <c r="K355" s="1" t="s">
        <v>87</v>
      </c>
      <c r="L355" s="1" t="s">
        <v>30</v>
      </c>
      <c r="M355" s="1" t="s">
        <v>233</v>
      </c>
      <c r="N355" s="1" t="s">
        <v>234</v>
      </c>
      <c r="O355" s="1">
        <v>10009</v>
      </c>
      <c r="P355" s="1" t="s">
        <v>128</v>
      </c>
      <c r="Q355" s="1" t="s">
        <v>1021</v>
      </c>
      <c r="R355" s="1" t="s">
        <v>46</v>
      </c>
      <c r="S355" s="7">
        <v>4355.1679999999997</v>
      </c>
      <c r="T355" s="1">
        <v>1</v>
      </c>
      <c r="U355" s="9">
        <v>4355.0600000000004</v>
      </c>
      <c r="V355" s="9">
        <v>4355.1679999999997</v>
      </c>
      <c r="W355" s="9">
        <v>4355.0600000000004</v>
      </c>
      <c r="X355" s="12">
        <v>0.10799999999926513</v>
      </c>
      <c r="Y355" s="10">
        <v>2017</v>
      </c>
    </row>
    <row r="356" spans="1:25">
      <c r="A356" s="1" t="s">
        <v>1022</v>
      </c>
      <c r="B356" s="8">
        <v>42951</v>
      </c>
      <c r="C356" s="11" t="s">
        <v>3344</v>
      </c>
      <c r="D356" s="11" t="s">
        <v>3345</v>
      </c>
      <c r="E356" s="5" t="s">
        <v>1023</v>
      </c>
      <c r="F356" s="1" t="s">
        <v>49</v>
      </c>
      <c r="G356" s="1" t="s">
        <v>1024</v>
      </c>
      <c r="H356" s="1" t="s">
        <v>3599</v>
      </c>
      <c r="I356" s="1" t="s">
        <v>3544</v>
      </c>
      <c r="J356" s="1"/>
      <c r="K356" s="1" t="s">
        <v>29</v>
      </c>
      <c r="L356" s="1" t="s">
        <v>30</v>
      </c>
      <c r="M356" s="1" t="s">
        <v>233</v>
      </c>
      <c r="N356" s="1" t="s">
        <v>234</v>
      </c>
      <c r="O356" s="1">
        <v>10035</v>
      </c>
      <c r="P356" s="1" t="s">
        <v>128</v>
      </c>
      <c r="Q356" s="1" t="s">
        <v>1026</v>
      </c>
      <c r="R356" s="1" t="s">
        <v>35</v>
      </c>
      <c r="S356" s="7">
        <v>388.70400000000001</v>
      </c>
      <c r="T356" s="1">
        <v>1</v>
      </c>
      <c r="U356" s="9">
        <v>388.45</v>
      </c>
      <c r="V356" s="9">
        <v>388.70400000000001</v>
      </c>
      <c r="W356" s="9">
        <v>388.45</v>
      </c>
      <c r="X356" s="12">
        <v>0.2540000000000191</v>
      </c>
      <c r="Y356" s="10">
        <v>2017</v>
      </c>
    </row>
    <row r="357" spans="1:25">
      <c r="A357" s="1" t="s">
        <v>1022</v>
      </c>
      <c r="B357" s="8">
        <v>42951</v>
      </c>
      <c r="C357" s="11" t="s">
        <v>3344</v>
      </c>
      <c r="D357" s="11" t="s">
        <v>3345</v>
      </c>
      <c r="E357" s="5" t="s">
        <v>1023</v>
      </c>
      <c r="F357" s="1" t="s">
        <v>49</v>
      </c>
      <c r="G357" s="1" t="s">
        <v>1024</v>
      </c>
      <c r="H357" s="1" t="s">
        <v>3599</v>
      </c>
      <c r="I357" s="1" t="s">
        <v>3544</v>
      </c>
      <c r="J357" s="1"/>
      <c r="K357" s="1" t="s">
        <v>29</v>
      </c>
      <c r="L357" s="1" t="s">
        <v>30</v>
      </c>
      <c r="M357" s="1" t="s">
        <v>233</v>
      </c>
      <c r="N357" s="1" t="s">
        <v>234</v>
      </c>
      <c r="O357" s="1">
        <v>10035</v>
      </c>
      <c r="P357" s="1" t="s">
        <v>128</v>
      </c>
      <c r="Q357" s="1" t="s">
        <v>1027</v>
      </c>
      <c r="R357" s="1" t="s">
        <v>46</v>
      </c>
      <c r="S357" s="7">
        <v>8.26</v>
      </c>
      <c r="T357" s="1">
        <v>1</v>
      </c>
      <c r="U357" s="9">
        <v>7.81</v>
      </c>
      <c r="V357" s="9">
        <v>8.26</v>
      </c>
      <c r="W357" s="9">
        <v>7.81</v>
      </c>
      <c r="X357" s="12">
        <v>0.45000000000000018</v>
      </c>
      <c r="Y357" s="10">
        <v>2017</v>
      </c>
    </row>
    <row r="358" spans="1:25">
      <c r="A358" s="1" t="s">
        <v>1022</v>
      </c>
      <c r="B358" s="8">
        <v>42951</v>
      </c>
      <c r="C358" s="11" t="s">
        <v>3344</v>
      </c>
      <c r="D358" s="11" t="s">
        <v>3345</v>
      </c>
      <c r="E358" s="5" t="s">
        <v>1023</v>
      </c>
      <c r="F358" s="1" t="s">
        <v>49</v>
      </c>
      <c r="G358" s="1" t="s">
        <v>1024</v>
      </c>
      <c r="H358" s="1" t="s">
        <v>3599</v>
      </c>
      <c r="I358" s="1" t="s">
        <v>3544</v>
      </c>
      <c r="J358" s="1"/>
      <c r="K358" s="1" t="s">
        <v>29</v>
      </c>
      <c r="L358" s="1" t="s">
        <v>30</v>
      </c>
      <c r="M358" s="1" t="s">
        <v>233</v>
      </c>
      <c r="N358" s="1" t="s">
        <v>234</v>
      </c>
      <c r="O358" s="1">
        <v>10035</v>
      </c>
      <c r="P358" s="1" t="s">
        <v>128</v>
      </c>
      <c r="Q358" s="1" t="s">
        <v>1028</v>
      </c>
      <c r="R358" s="1" t="s">
        <v>46</v>
      </c>
      <c r="S358" s="7">
        <v>17.04</v>
      </c>
      <c r="T358" s="1">
        <v>1</v>
      </c>
      <c r="U358" s="9">
        <v>16.07</v>
      </c>
      <c r="V358" s="9">
        <v>17.04</v>
      </c>
      <c r="W358" s="9">
        <v>16.07</v>
      </c>
      <c r="X358" s="12">
        <v>0.96999999999999886</v>
      </c>
      <c r="Y358" s="10">
        <v>2017</v>
      </c>
    </row>
    <row r="359" spans="1:25">
      <c r="A359" s="1" t="s">
        <v>1022</v>
      </c>
      <c r="B359" s="8">
        <v>42951</v>
      </c>
      <c r="C359" s="11" t="s">
        <v>3344</v>
      </c>
      <c r="D359" s="11" t="s">
        <v>3345</v>
      </c>
      <c r="E359" s="5" t="s">
        <v>1023</v>
      </c>
      <c r="F359" s="1" t="s">
        <v>49</v>
      </c>
      <c r="G359" s="1" t="s">
        <v>1024</v>
      </c>
      <c r="H359" s="1" t="s">
        <v>3599</v>
      </c>
      <c r="I359" s="1" t="s">
        <v>3544</v>
      </c>
      <c r="J359" s="1"/>
      <c r="K359" s="1" t="s">
        <v>29</v>
      </c>
      <c r="L359" s="1" t="s">
        <v>30</v>
      </c>
      <c r="M359" s="1" t="s">
        <v>233</v>
      </c>
      <c r="N359" s="1" t="s">
        <v>234</v>
      </c>
      <c r="O359" s="1">
        <v>10035</v>
      </c>
      <c r="P359" s="1" t="s">
        <v>128</v>
      </c>
      <c r="Q359" s="1" t="s">
        <v>1029</v>
      </c>
      <c r="R359" s="1" t="s">
        <v>46</v>
      </c>
      <c r="S359" s="7">
        <v>34.4</v>
      </c>
      <c r="T359" s="1">
        <v>1</v>
      </c>
      <c r="U359" s="9">
        <v>34.1</v>
      </c>
      <c r="V359" s="9">
        <v>34.4</v>
      </c>
      <c r="W359" s="9">
        <v>34.1</v>
      </c>
      <c r="X359" s="12">
        <v>0.29999999999999716</v>
      </c>
      <c r="Y359" s="10">
        <v>2017</v>
      </c>
    </row>
    <row r="360" spans="1:25">
      <c r="A360" s="1" t="s">
        <v>1030</v>
      </c>
      <c r="B360" s="8">
        <v>42848</v>
      </c>
      <c r="C360" s="11" t="s">
        <v>3359</v>
      </c>
      <c r="D360" s="11" t="s">
        <v>3360</v>
      </c>
      <c r="E360" s="5" t="s">
        <v>1031</v>
      </c>
      <c r="F360" s="1" t="s">
        <v>49</v>
      </c>
      <c r="G360" s="1" t="s">
        <v>680</v>
      </c>
      <c r="H360" s="1" t="s">
        <v>3531</v>
      </c>
      <c r="I360" s="1" t="s">
        <v>3532</v>
      </c>
      <c r="J360" s="1"/>
      <c r="K360" s="1" t="s">
        <v>41</v>
      </c>
      <c r="L360" s="1" t="s">
        <v>30</v>
      </c>
      <c r="M360" s="1" t="s">
        <v>394</v>
      </c>
      <c r="N360" s="1" t="s">
        <v>75</v>
      </c>
      <c r="O360" s="1">
        <v>28205</v>
      </c>
      <c r="P360" s="1" t="s">
        <v>33</v>
      </c>
      <c r="Q360" s="1" t="s">
        <v>666</v>
      </c>
      <c r="R360" s="1" t="s">
        <v>46</v>
      </c>
      <c r="S360" s="7">
        <v>36.24</v>
      </c>
      <c r="T360" s="1">
        <v>2</v>
      </c>
      <c r="U360" s="9">
        <v>35.9</v>
      </c>
      <c r="V360" s="9">
        <v>72.48</v>
      </c>
      <c r="W360" s="9">
        <v>71.8</v>
      </c>
      <c r="X360" s="12">
        <v>0.68000000000000682</v>
      </c>
      <c r="Y360" s="10">
        <v>2017</v>
      </c>
    </row>
    <row r="361" spans="1:25">
      <c r="A361" s="1" t="s">
        <v>1032</v>
      </c>
      <c r="B361" s="8">
        <v>43315</v>
      </c>
      <c r="C361" s="11" t="s">
        <v>3344</v>
      </c>
      <c r="D361" s="11" t="s">
        <v>3345</v>
      </c>
      <c r="E361" s="5">
        <v>43407</v>
      </c>
      <c r="F361" s="1" t="s">
        <v>162</v>
      </c>
      <c r="G361" s="1" t="s">
        <v>1033</v>
      </c>
      <c r="H361" s="1" t="s">
        <v>3538</v>
      </c>
      <c r="I361" s="1" t="s">
        <v>3424</v>
      </c>
      <c r="J361" s="1"/>
      <c r="K361" s="1" t="s">
        <v>41</v>
      </c>
      <c r="L361" s="1" t="s">
        <v>30</v>
      </c>
      <c r="M361" s="1" t="s">
        <v>420</v>
      </c>
      <c r="N361" s="1" t="s">
        <v>1035</v>
      </c>
      <c r="O361" s="1">
        <v>31907</v>
      </c>
      <c r="P361" s="1" t="s">
        <v>33</v>
      </c>
      <c r="Q361" s="1" t="s">
        <v>1036</v>
      </c>
      <c r="R361" s="1" t="s">
        <v>46</v>
      </c>
      <c r="S361" s="7">
        <v>647.84</v>
      </c>
      <c r="T361" s="1">
        <v>3</v>
      </c>
      <c r="U361" s="9">
        <v>647.21</v>
      </c>
      <c r="V361" s="9">
        <v>1943.52</v>
      </c>
      <c r="W361" s="9">
        <v>1941.63</v>
      </c>
      <c r="X361" s="12">
        <v>1.8899999999998727</v>
      </c>
      <c r="Y361" s="10">
        <v>2018</v>
      </c>
    </row>
    <row r="362" spans="1:25">
      <c r="A362" s="1" t="s">
        <v>1032</v>
      </c>
      <c r="B362" s="8">
        <v>43315</v>
      </c>
      <c r="C362" s="11" t="s">
        <v>3344</v>
      </c>
      <c r="D362" s="11" t="s">
        <v>3345</v>
      </c>
      <c r="E362" s="5">
        <v>43407</v>
      </c>
      <c r="F362" s="1" t="s">
        <v>162</v>
      </c>
      <c r="G362" s="1" t="s">
        <v>1033</v>
      </c>
      <c r="H362" s="1" t="s">
        <v>3538</v>
      </c>
      <c r="I362" s="1" t="s">
        <v>3424</v>
      </c>
      <c r="J362" s="1"/>
      <c r="K362" s="1" t="s">
        <v>41</v>
      </c>
      <c r="L362" s="1" t="s">
        <v>30</v>
      </c>
      <c r="M362" s="1" t="s">
        <v>420</v>
      </c>
      <c r="N362" s="1" t="s">
        <v>1035</v>
      </c>
      <c r="O362" s="1">
        <v>31907</v>
      </c>
      <c r="P362" s="1" t="s">
        <v>33</v>
      </c>
      <c r="Q362" s="1" t="s">
        <v>1037</v>
      </c>
      <c r="R362" s="1" t="s">
        <v>46</v>
      </c>
      <c r="S362" s="7">
        <v>20.7</v>
      </c>
      <c r="T362" s="1">
        <v>3</v>
      </c>
      <c r="U362" s="9">
        <v>20.010000000000002</v>
      </c>
      <c r="V362" s="9">
        <v>62.099999999999994</v>
      </c>
      <c r="W362" s="9">
        <v>60.03</v>
      </c>
      <c r="X362" s="12">
        <v>2.0699999999999932</v>
      </c>
      <c r="Y362" s="10">
        <v>2018</v>
      </c>
    </row>
    <row r="363" spans="1:25">
      <c r="A363" s="1" t="s">
        <v>1038</v>
      </c>
      <c r="B363" s="8">
        <v>43368</v>
      </c>
      <c r="C363" s="11" t="s">
        <v>3356</v>
      </c>
      <c r="D363" s="11" t="s">
        <v>3345</v>
      </c>
      <c r="E363" s="5">
        <v>43110</v>
      </c>
      <c r="F363" s="1" t="s">
        <v>49</v>
      </c>
      <c r="G363" s="1" t="s">
        <v>1039</v>
      </c>
      <c r="H363" s="1" t="s">
        <v>3600</v>
      </c>
      <c r="I363" s="1" t="s">
        <v>3601</v>
      </c>
      <c r="J363" s="1"/>
      <c r="K363" s="1" t="s">
        <v>29</v>
      </c>
      <c r="L363" s="1" t="s">
        <v>30</v>
      </c>
      <c r="M363" s="1" t="s">
        <v>233</v>
      </c>
      <c r="N363" s="1" t="s">
        <v>234</v>
      </c>
      <c r="O363" s="1">
        <v>10009</v>
      </c>
      <c r="P363" s="1" t="s">
        <v>128</v>
      </c>
      <c r="Q363" s="1" t="s">
        <v>1037</v>
      </c>
      <c r="R363" s="1" t="s">
        <v>46</v>
      </c>
      <c r="S363" s="7">
        <v>20.7</v>
      </c>
      <c r="T363" s="1">
        <v>1</v>
      </c>
      <c r="U363" s="9">
        <v>20.49</v>
      </c>
      <c r="V363" s="9">
        <v>20.7</v>
      </c>
      <c r="W363" s="9">
        <v>20.49</v>
      </c>
      <c r="X363" s="12">
        <v>0.21000000000000085</v>
      </c>
      <c r="Y363" s="10">
        <v>2018</v>
      </c>
    </row>
    <row r="364" spans="1:25">
      <c r="A364" s="1" t="s">
        <v>1038</v>
      </c>
      <c r="B364" s="8">
        <v>43368</v>
      </c>
      <c r="C364" s="11" t="s">
        <v>3356</v>
      </c>
      <c r="D364" s="11" t="s">
        <v>3345</v>
      </c>
      <c r="E364" s="5">
        <v>43110</v>
      </c>
      <c r="F364" s="1" t="s">
        <v>49</v>
      </c>
      <c r="G364" s="1" t="s">
        <v>1039</v>
      </c>
      <c r="H364" s="1" t="s">
        <v>3600</v>
      </c>
      <c r="I364" s="1" t="s">
        <v>3601</v>
      </c>
      <c r="J364" s="1"/>
      <c r="K364" s="1" t="s">
        <v>29</v>
      </c>
      <c r="L364" s="1" t="s">
        <v>30</v>
      </c>
      <c r="M364" s="1" t="s">
        <v>233</v>
      </c>
      <c r="N364" s="1" t="s">
        <v>234</v>
      </c>
      <c r="O364" s="1">
        <v>10009</v>
      </c>
      <c r="P364" s="1" t="s">
        <v>128</v>
      </c>
      <c r="Q364" s="1" t="s">
        <v>1041</v>
      </c>
      <c r="R364" s="1" t="s">
        <v>35</v>
      </c>
      <c r="S364" s="7">
        <v>488.64600000000002</v>
      </c>
      <c r="T364" s="1">
        <v>1</v>
      </c>
      <c r="U364" s="9">
        <v>488.09</v>
      </c>
      <c r="V364" s="9">
        <v>488.64600000000002</v>
      </c>
      <c r="W364" s="9">
        <v>488.09</v>
      </c>
      <c r="X364" s="12">
        <v>0.55600000000004002</v>
      </c>
      <c r="Y364" s="10">
        <v>2018</v>
      </c>
    </row>
    <row r="365" spans="1:25">
      <c r="A365" s="1" t="s">
        <v>1038</v>
      </c>
      <c r="B365" s="8">
        <v>43368</v>
      </c>
      <c r="C365" s="11" t="s">
        <v>3356</v>
      </c>
      <c r="D365" s="11" t="s">
        <v>3345</v>
      </c>
      <c r="E365" s="5">
        <v>43110</v>
      </c>
      <c r="F365" s="1" t="s">
        <v>49</v>
      </c>
      <c r="G365" s="1" t="s">
        <v>1039</v>
      </c>
      <c r="H365" s="1" t="s">
        <v>3600</v>
      </c>
      <c r="I365" s="1" t="s">
        <v>3601</v>
      </c>
      <c r="J365" s="1"/>
      <c r="K365" s="1" t="s">
        <v>29</v>
      </c>
      <c r="L365" s="1" t="s">
        <v>30</v>
      </c>
      <c r="M365" s="1" t="s">
        <v>233</v>
      </c>
      <c r="N365" s="1" t="s">
        <v>234</v>
      </c>
      <c r="O365" s="1">
        <v>10009</v>
      </c>
      <c r="P365" s="1" t="s">
        <v>128</v>
      </c>
      <c r="Q365" s="1" t="s">
        <v>1042</v>
      </c>
      <c r="R365" s="1" t="s">
        <v>46</v>
      </c>
      <c r="S365" s="7">
        <v>5.56</v>
      </c>
      <c r="T365" s="1">
        <v>1</v>
      </c>
      <c r="U365" s="9">
        <v>5.19</v>
      </c>
      <c r="V365" s="9">
        <v>5.56</v>
      </c>
      <c r="W365" s="9">
        <v>5.19</v>
      </c>
      <c r="X365" s="12">
        <v>0.36999999999999922</v>
      </c>
      <c r="Y365" s="10">
        <v>2018</v>
      </c>
    </row>
    <row r="366" spans="1:25">
      <c r="A366" s="1" t="s">
        <v>1038</v>
      </c>
      <c r="B366" s="8">
        <v>43368</v>
      </c>
      <c r="C366" s="11" t="s">
        <v>3356</v>
      </c>
      <c r="D366" s="11" t="s">
        <v>3345</v>
      </c>
      <c r="E366" s="5">
        <v>43110</v>
      </c>
      <c r="F366" s="1" t="s">
        <v>49</v>
      </c>
      <c r="G366" s="1" t="s">
        <v>1039</v>
      </c>
      <c r="H366" s="1" t="s">
        <v>3600</v>
      </c>
      <c r="I366" s="1" t="s">
        <v>3601</v>
      </c>
      <c r="J366" s="1"/>
      <c r="K366" s="1" t="s">
        <v>29</v>
      </c>
      <c r="L366" s="1" t="s">
        <v>30</v>
      </c>
      <c r="M366" s="1" t="s">
        <v>233</v>
      </c>
      <c r="N366" s="1" t="s">
        <v>234</v>
      </c>
      <c r="O366" s="1">
        <v>10009</v>
      </c>
      <c r="P366" s="1" t="s">
        <v>128</v>
      </c>
      <c r="Q366" s="1" t="s">
        <v>1043</v>
      </c>
      <c r="R366" s="1" t="s">
        <v>35</v>
      </c>
      <c r="S366" s="7">
        <v>47.12</v>
      </c>
      <c r="T366" s="1">
        <v>1</v>
      </c>
      <c r="U366" s="9">
        <v>46.53</v>
      </c>
      <c r="V366" s="9">
        <v>47.12</v>
      </c>
      <c r="W366" s="9">
        <v>46.53</v>
      </c>
      <c r="X366" s="12">
        <v>0.58999999999999631</v>
      </c>
      <c r="Y366" s="10">
        <v>2018</v>
      </c>
    </row>
    <row r="367" spans="1:25">
      <c r="A367" s="1" t="s">
        <v>1044</v>
      </c>
      <c r="B367" s="8">
        <v>42271</v>
      </c>
      <c r="C367" s="11" t="s">
        <v>3356</v>
      </c>
      <c r="D367" s="11" t="s">
        <v>3345</v>
      </c>
      <c r="E367" s="5" t="s">
        <v>1045</v>
      </c>
      <c r="F367" s="1" t="s">
        <v>49</v>
      </c>
      <c r="G367" s="1" t="s">
        <v>1046</v>
      </c>
      <c r="H367" s="1" t="s">
        <v>3602</v>
      </c>
      <c r="I367" s="1" t="s">
        <v>3603</v>
      </c>
      <c r="J367" s="1"/>
      <c r="K367" s="1" t="s">
        <v>29</v>
      </c>
      <c r="L367" s="1" t="s">
        <v>30</v>
      </c>
      <c r="M367" s="1" t="s">
        <v>110</v>
      </c>
      <c r="N367" s="1" t="s">
        <v>68</v>
      </c>
      <c r="O367" s="1">
        <v>94109</v>
      </c>
      <c r="P367" s="1" t="s">
        <v>44</v>
      </c>
      <c r="Q367" s="1" t="s">
        <v>210</v>
      </c>
      <c r="R367" s="1" t="s">
        <v>46</v>
      </c>
      <c r="S367" s="7">
        <v>211.96</v>
      </c>
      <c r="T367" s="1">
        <v>9</v>
      </c>
      <c r="U367" s="9">
        <v>211.15</v>
      </c>
      <c r="V367" s="9">
        <v>1907.64</v>
      </c>
      <c r="W367" s="9">
        <v>1900.3500000000001</v>
      </c>
      <c r="X367" s="12">
        <v>7.2899999999999636</v>
      </c>
      <c r="Y367" s="10">
        <v>2015</v>
      </c>
    </row>
    <row r="368" spans="1:25">
      <c r="A368" s="1" t="s">
        <v>1048</v>
      </c>
      <c r="B368" s="8">
        <v>43029</v>
      </c>
      <c r="C368" s="11" t="s">
        <v>3387</v>
      </c>
      <c r="D368" s="11" t="s">
        <v>3349</v>
      </c>
      <c r="E368" s="5" t="s">
        <v>1049</v>
      </c>
      <c r="F368" s="1" t="s">
        <v>1050</v>
      </c>
      <c r="G368" s="1" t="s">
        <v>1051</v>
      </c>
      <c r="H368" s="1" t="s">
        <v>3537</v>
      </c>
      <c r="I368" s="1" t="s">
        <v>3604</v>
      </c>
      <c r="J368" s="1"/>
      <c r="K368" s="1" t="s">
        <v>41</v>
      </c>
      <c r="L368" s="1" t="s">
        <v>30</v>
      </c>
      <c r="M368" s="1" t="s">
        <v>1053</v>
      </c>
      <c r="N368" s="1" t="s">
        <v>617</v>
      </c>
      <c r="O368" s="1">
        <v>6040</v>
      </c>
      <c r="P368" s="1" t="s">
        <v>128</v>
      </c>
      <c r="Q368" s="1" t="s">
        <v>1054</v>
      </c>
      <c r="R368" s="1" t="s">
        <v>46</v>
      </c>
      <c r="S368" s="7">
        <v>23.2</v>
      </c>
      <c r="T368" s="1">
        <v>6</v>
      </c>
      <c r="U368" s="9">
        <v>22.28</v>
      </c>
      <c r="V368" s="9">
        <v>139.19999999999999</v>
      </c>
      <c r="W368" s="9">
        <v>133.68</v>
      </c>
      <c r="X368" s="12">
        <v>5.5199999999999818</v>
      </c>
      <c r="Y368" s="10">
        <v>2017</v>
      </c>
    </row>
    <row r="369" spans="1:25">
      <c r="A369" s="1" t="s">
        <v>1048</v>
      </c>
      <c r="B369" s="8">
        <v>43029</v>
      </c>
      <c r="C369" s="11" t="s">
        <v>3387</v>
      </c>
      <c r="D369" s="11" t="s">
        <v>3349</v>
      </c>
      <c r="E369" s="5" t="s">
        <v>1049</v>
      </c>
      <c r="F369" s="1" t="s">
        <v>1050</v>
      </c>
      <c r="G369" s="1" t="s">
        <v>1051</v>
      </c>
      <c r="H369" s="1" t="s">
        <v>3537</v>
      </c>
      <c r="I369" s="1" t="s">
        <v>3604</v>
      </c>
      <c r="J369" s="1"/>
      <c r="K369" s="1" t="s">
        <v>41</v>
      </c>
      <c r="L369" s="1" t="s">
        <v>30</v>
      </c>
      <c r="M369" s="1" t="s">
        <v>1053</v>
      </c>
      <c r="N369" s="1" t="s">
        <v>617</v>
      </c>
      <c r="O369" s="1">
        <v>6040</v>
      </c>
      <c r="P369" s="1" t="s">
        <v>128</v>
      </c>
      <c r="Q369" s="1" t="s">
        <v>1055</v>
      </c>
      <c r="R369" s="1" t="s">
        <v>46</v>
      </c>
      <c r="S369" s="7">
        <v>7.36</v>
      </c>
      <c r="T369" s="1">
        <v>6</v>
      </c>
      <c r="U369" s="9">
        <v>6.65</v>
      </c>
      <c r="V369" s="9">
        <v>44.160000000000004</v>
      </c>
      <c r="W369" s="9">
        <v>39.900000000000006</v>
      </c>
      <c r="X369" s="12">
        <v>4.259999999999998</v>
      </c>
      <c r="Y369" s="10">
        <v>2017</v>
      </c>
    </row>
    <row r="370" spans="1:25">
      <c r="A370" s="1" t="s">
        <v>1048</v>
      </c>
      <c r="B370" s="8">
        <v>43029</v>
      </c>
      <c r="C370" s="11" t="s">
        <v>3387</v>
      </c>
      <c r="D370" s="11" t="s">
        <v>3349</v>
      </c>
      <c r="E370" s="5" t="s">
        <v>1049</v>
      </c>
      <c r="F370" s="1" t="s">
        <v>1050</v>
      </c>
      <c r="G370" s="1" t="s">
        <v>1051</v>
      </c>
      <c r="H370" s="1" t="s">
        <v>3537</v>
      </c>
      <c r="I370" s="1" t="s">
        <v>3604</v>
      </c>
      <c r="J370" s="1"/>
      <c r="K370" s="1" t="s">
        <v>41</v>
      </c>
      <c r="L370" s="1" t="s">
        <v>30</v>
      </c>
      <c r="M370" s="1" t="s">
        <v>1053</v>
      </c>
      <c r="N370" s="1" t="s">
        <v>617</v>
      </c>
      <c r="O370" s="1">
        <v>6040</v>
      </c>
      <c r="P370" s="1" t="s">
        <v>128</v>
      </c>
      <c r="Q370" s="1" t="s">
        <v>1056</v>
      </c>
      <c r="R370" s="1" t="s">
        <v>46</v>
      </c>
      <c r="S370" s="7">
        <v>104.79</v>
      </c>
      <c r="T370" s="1">
        <v>6</v>
      </c>
      <c r="U370" s="9">
        <v>104.42</v>
      </c>
      <c r="V370" s="9">
        <v>628.74</v>
      </c>
      <c r="W370" s="9">
        <v>626.52</v>
      </c>
      <c r="X370" s="12">
        <v>2.2200000000000273</v>
      </c>
      <c r="Y370" s="10">
        <v>2017</v>
      </c>
    </row>
    <row r="371" spans="1:25">
      <c r="A371" s="1" t="s">
        <v>1048</v>
      </c>
      <c r="B371" s="8">
        <v>43029</v>
      </c>
      <c r="C371" s="11" t="s">
        <v>3387</v>
      </c>
      <c r="D371" s="11" t="s">
        <v>3349</v>
      </c>
      <c r="E371" s="5" t="s">
        <v>1049</v>
      </c>
      <c r="F371" s="1" t="s">
        <v>1050</v>
      </c>
      <c r="G371" s="1" t="s">
        <v>1051</v>
      </c>
      <c r="H371" s="1" t="s">
        <v>3537</v>
      </c>
      <c r="I371" s="1" t="s">
        <v>3604</v>
      </c>
      <c r="J371" s="1"/>
      <c r="K371" s="1" t="s">
        <v>41</v>
      </c>
      <c r="L371" s="1" t="s">
        <v>30</v>
      </c>
      <c r="M371" s="1" t="s">
        <v>1053</v>
      </c>
      <c r="N371" s="1" t="s">
        <v>617</v>
      </c>
      <c r="O371" s="1">
        <v>6040</v>
      </c>
      <c r="P371" s="1" t="s">
        <v>128</v>
      </c>
      <c r="Q371" s="1" t="s">
        <v>174</v>
      </c>
      <c r="R371" s="1" t="s">
        <v>35</v>
      </c>
      <c r="S371" s="7">
        <v>1043.92</v>
      </c>
      <c r="T371" s="1">
        <v>6</v>
      </c>
      <c r="U371" s="9">
        <v>1042.99</v>
      </c>
      <c r="V371" s="9">
        <v>6263.52</v>
      </c>
      <c r="W371" s="9">
        <v>6257.9400000000005</v>
      </c>
      <c r="X371" s="12">
        <v>5.5799999999999272</v>
      </c>
      <c r="Y371" s="10">
        <v>2017</v>
      </c>
    </row>
    <row r="372" spans="1:25">
      <c r="A372" s="1" t="s">
        <v>1057</v>
      </c>
      <c r="B372" s="8">
        <v>43249</v>
      </c>
      <c r="C372" s="11" t="s">
        <v>3363</v>
      </c>
      <c r="D372" s="11" t="s">
        <v>3360</v>
      </c>
      <c r="E372" s="5">
        <v>43196</v>
      </c>
      <c r="F372" s="1" t="s">
        <v>49</v>
      </c>
      <c r="G372" s="1" t="s">
        <v>1058</v>
      </c>
      <c r="H372" s="1" t="s">
        <v>3605</v>
      </c>
      <c r="I372" s="1" t="s">
        <v>3606</v>
      </c>
      <c r="J372" s="1"/>
      <c r="K372" s="1" t="s">
        <v>29</v>
      </c>
      <c r="L372" s="1" t="s">
        <v>30</v>
      </c>
      <c r="M372" s="1" t="s">
        <v>1060</v>
      </c>
      <c r="N372" s="1" t="s">
        <v>89</v>
      </c>
      <c r="O372" s="1">
        <v>78550</v>
      </c>
      <c r="P372" s="1" t="s">
        <v>90</v>
      </c>
      <c r="Q372" s="1" t="s">
        <v>1061</v>
      </c>
      <c r="R372" s="1" t="s">
        <v>46</v>
      </c>
      <c r="S372" s="7">
        <v>25.92</v>
      </c>
      <c r="T372" s="1">
        <v>7</v>
      </c>
      <c r="U372" s="9">
        <v>25.3</v>
      </c>
      <c r="V372" s="9">
        <v>181.44</v>
      </c>
      <c r="W372" s="9">
        <v>177.1</v>
      </c>
      <c r="X372" s="12">
        <v>4.3400000000000034</v>
      </c>
      <c r="Y372" s="10">
        <v>2018</v>
      </c>
    </row>
    <row r="373" spans="1:25">
      <c r="A373" s="1" t="s">
        <v>1057</v>
      </c>
      <c r="B373" s="8">
        <v>43249</v>
      </c>
      <c r="C373" s="11" t="s">
        <v>3363</v>
      </c>
      <c r="D373" s="11" t="s">
        <v>3360</v>
      </c>
      <c r="E373" s="5">
        <v>43196</v>
      </c>
      <c r="F373" s="1" t="s">
        <v>49</v>
      </c>
      <c r="G373" s="1" t="s">
        <v>1058</v>
      </c>
      <c r="H373" s="1" t="s">
        <v>3605</v>
      </c>
      <c r="I373" s="1" t="s">
        <v>3606</v>
      </c>
      <c r="J373" s="1"/>
      <c r="K373" s="1" t="s">
        <v>29</v>
      </c>
      <c r="L373" s="1" t="s">
        <v>30</v>
      </c>
      <c r="M373" s="1" t="s">
        <v>1060</v>
      </c>
      <c r="N373" s="1" t="s">
        <v>89</v>
      </c>
      <c r="O373" s="1">
        <v>78550</v>
      </c>
      <c r="P373" s="1" t="s">
        <v>90</v>
      </c>
      <c r="Q373" s="1" t="s">
        <v>1062</v>
      </c>
      <c r="R373" s="1" t="s">
        <v>46</v>
      </c>
      <c r="S373" s="7">
        <v>53.423999999999999</v>
      </c>
      <c r="T373" s="1">
        <v>7</v>
      </c>
      <c r="U373" s="9">
        <v>52.95</v>
      </c>
      <c r="V373" s="9">
        <v>373.96800000000002</v>
      </c>
      <c r="W373" s="9">
        <v>370.65000000000003</v>
      </c>
      <c r="X373" s="12">
        <v>3.3179999999999836</v>
      </c>
      <c r="Y373" s="10">
        <v>2018</v>
      </c>
    </row>
    <row r="374" spans="1:25">
      <c r="A374" s="1" t="s">
        <v>1063</v>
      </c>
      <c r="B374" s="8">
        <v>42208</v>
      </c>
      <c r="C374" s="11" t="s">
        <v>3376</v>
      </c>
      <c r="D374" s="11" t="s">
        <v>3345</v>
      </c>
      <c r="E374" s="5" t="s">
        <v>1064</v>
      </c>
      <c r="F374" s="1" t="s">
        <v>49</v>
      </c>
      <c r="G374" s="1" t="s">
        <v>1065</v>
      </c>
      <c r="H374" s="1" t="s">
        <v>3607</v>
      </c>
      <c r="I374" s="1" t="s">
        <v>3608</v>
      </c>
      <c r="J374" s="1"/>
      <c r="K374" s="1" t="s">
        <v>29</v>
      </c>
      <c r="L374" s="1" t="s">
        <v>30</v>
      </c>
      <c r="M374" s="1" t="s">
        <v>1067</v>
      </c>
      <c r="N374" s="1" t="s">
        <v>265</v>
      </c>
      <c r="O374" s="1">
        <v>85705</v>
      </c>
      <c r="P374" s="1" t="s">
        <v>44</v>
      </c>
      <c r="Q374" s="1" t="s">
        <v>982</v>
      </c>
      <c r="R374" s="1" t="s">
        <v>46</v>
      </c>
      <c r="S374" s="7">
        <v>8.16</v>
      </c>
      <c r="T374" s="1">
        <v>8</v>
      </c>
      <c r="U374" s="9">
        <v>7.87</v>
      </c>
      <c r="V374" s="9">
        <v>65.28</v>
      </c>
      <c r="W374" s="9">
        <v>62.96</v>
      </c>
      <c r="X374" s="12">
        <v>2.3200000000000003</v>
      </c>
      <c r="Y374" s="10">
        <v>2015</v>
      </c>
    </row>
    <row r="375" spans="1:25">
      <c r="A375" s="1" t="s">
        <v>1063</v>
      </c>
      <c r="B375" s="8">
        <v>42208</v>
      </c>
      <c r="C375" s="11" t="s">
        <v>3376</v>
      </c>
      <c r="D375" s="11" t="s">
        <v>3345</v>
      </c>
      <c r="E375" s="5" t="s">
        <v>1064</v>
      </c>
      <c r="F375" s="1" t="s">
        <v>49</v>
      </c>
      <c r="G375" s="1" t="s">
        <v>1065</v>
      </c>
      <c r="H375" s="1" t="s">
        <v>3607</v>
      </c>
      <c r="I375" s="1" t="s">
        <v>3608</v>
      </c>
      <c r="J375" s="1"/>
      <c r="K375" s="1" t="s">
        <v>29</v>
      </c>
      <c r="L375" s="1" t="s">
        <v>30</v>
      </c>
      <c r="M375" s="1" t="s">
        <v>1067</v>
      </c>
      <c r="N375" s="1" t="s">
        <v>265</v>
      </c>
      <c r="O375" s="1">
        <v>85705</v>
      </c>
      <c r="P375" s="1" t="s">
        <v>44</v>
      </c>
      <c r="Q375" s="1" t="s">
        <v>1068</v>
      </c>
      <c r="R375" s="1" t="s">
        <v>64</v>
      </c>
      <c r="S375" s="7">
        <v>1023.936</v>
      </c>
      <c r="T375" s="1">
        <v>8</v>
      </c>
      <c r="U375" s="9">
        <v>1023.84</v>
      </c>
      <c r="V375" s="9">
        <v>8191.4880000000003</v>
      </c>
      <c r="W375" s="9">
        <v>8190.72</v>
      </c>
      <c r="X375" s="12">
        <v>0.7680000000000291</v>
      </c>
      <c r="Y375" s="10">
        <v>2015</v>
      </c>
    </row>
    <row r="376" spans="1:25">
      <c r="A376" s="1" t="s">
        <v>1063</v>
      </c>
      <c r="B376" s="8">
        <v>42208</v>
      </c>
      <c r="C376" s="11" t="s">
        <v>3376</v>
      </c>
      <c r="D376" s="11" t="s">
        <v>3345</v>
      </c>
      <c r="E376" s="5" t="s">
        <v>1064</v>
      </c>
      <c r="F376" s="1" t="s">
        <v>49</v>
      </c>
      <c r="G376" s="1" t="s">
        <v>1065</v>
      </c>
      <c r="H376" s="1" t="s">
        <v>3607</v>
      </c>
      <c r="I376" s="1" t="s">
        <v>3608</v>
      </c>
      <c r="J376" s="1"/>
      <c r="K376" s="1" t="s">
        <v>29</v>
      </c>
      <c r="L376" s="1" t="s">
        <v>30</v>
      </c>
      <c r="M376" s="1" t="s">
        <v>1067</v>
      </c>
      <c r="N376" s="1" t="s">
        <v>265</v>
      </c>
      <c r="O376" s="1">
        <v>85705</v>
      </c>
      <c r="P376" s="1" t="s">
        <v>44</v>
      </c>
      <c r="Q376" s="1" t="s">
        <v>1069</v>
      </c>
      <c r="R376" s="1" t="s">
        <v>46</v>
      </c>
      <c r="S376" s="7">
        <v>9.24</v>
      </c>
      <c r="T376" s="1">
        <v>8</v>
      </c>
      <c r="U376" s="9">
        <v>8.58</v>
      </c>
      <c r="V376" s="9">
        <v>73.92</v>
      </c>
      <c r="W376" s="9">
        <v>68.64</v>
      </c>
      <c r="X376" s="12">
        <v>5.2800000000000011</v>
      </c>
      <c r="Y376" s="10">
        <v>2015</v>
      </c>
    </row>
    <row r="377" spans="1:25">
      <c r="A377" s="1" t="s">
        <v>1063</v>
      </c>
      <c r="B377" s="8">
        <v>42208</v>
      </c>
      <c r="C377" s="11" t="s">
        <v>3376</v>
      </c>
      <c r="D377" s="11" t="s">
        <v>3345</v>
      </c>
      <c r="E377" s="5" t="s">
        <v>1064</v>
      </c>
      <c r="F377" s="1" t="s">
        <v>49</v>
      </c>
      <c r="G377" s="1" t="s">
        <v>1065</v>
      </c>
      <c r="H377" s="1" t="s">
        <v>3607</v>
      </c>
      <c r="I377" s="1" t="s">
        <v>3608</v>
      </c>
      <c r="J377" s="1"/>
      <c r="K377" s="1" t="s">
        <v>29</v>
      </c>
      <c r="L377" s="1" t="s">
        <v>30</v>
      </c>
      <c r="M377" s="1" t="s">
        <v>1067</v>
      </c>
      <c r="N377" s="1" t="s">
        <v>265</v>
      </c>
      <c r="O377" s="1">
        <v>85705</v>
      </c>
      <c r="P377" s="1" t="s">
        <v>44</v>
      </c>
      <c r="Q377" s="1" t="s">
        <v>1070</v>
      </c>
      <c r="R377" s="1" t="s">
        <v>64</v>
      </c>
      <c r="S377" s="7">
        <v>479.04</v>
      </c>
      <c r="T377" s="1">
        <v>8</v>
      </c>
      <c r="U377" s="9">
        <v>478.19</v>
      </c>
      <c r="V377" s="9">
        <v>3832.32</v>
      </c>
      <c r="W377" s="9">
        <v>3825.52</v>
      </c>
      <c r="X377" s="12">
        <v>6.8000000000001819</v>
      </c>
      <c r="Y377" s="10">
        <v>2015</v>
      </c>
    </row>
    <row r="378" spans="1:25">
      <c r="A378" s="1" t="s">
        <v>1071</v>
      </c>
      <c r="B378" s="8">
        <v>43006</v>
      </c>
      <c r="C378" s="11" t="s">
        <v>3356</v>
      </c>
      <c r="D378" s="11" t="s">
        <v>3345</v>
      </c>
      <c r="E378" s="5">
        <v>42745</v>
      </c>
      <c r="F378" s="1" t="s">
        <v>162</v>
      </c>
      <c r="G378" s="1" t="s">
        <v>1072</v>
      </c>
      <c r="H378" s="1" t="s">
        <v>3609</v>
      </c>
      <c r="I378" s="1" t="s">
        <v>3610</v>
      </c>
      <c r="J378" s="1"/>
      <c r="K378" s="1" t="s">
        <v>41</v>
      </c>
      <c r="L378" s="1" t="s">
        <v>30</v>
      </c>
      <c r="M378" s="1" t="s">
        <v>1074</v>
      </c>
      <c r="N378" s="1" t="s">
        <v>182</v>
      </c>
      <c r="O378" s="1">
        <v>62301</v>
      </c>
      <c r="P378" s="1" t="s">
        <v>90</v>
      </c>
      <c r="Q378" s="1" t="s">
        <v>1075</v>
      </c>
      <c r="R378" s="1" t="s">
        <v>46</v>
      </c>
      <c r="S378" s="7">
        <v>99.135999999999996</v>
      </c>
      <c r="T378" s="1">
        <v>6</v>
      </c>
      <c r="U378" s="9">
        <v>98.18</v>
      </c>
      <c r="V378" s="9">
        <v>594.81600000000003</v>
      </c>
      <c r="W378" s="9">
        <v>589.08000000000004</v>
      </c>
      <c r="X378" s="12">
        <v>5.73599999999999</v>
      </c>
      <c r="Y378" s="10">
        <v>2017</v>
      </c>
    </row>
    <row r="379" spans="1:25">
      <c r="A379" s="1" t="s">
        <v>1076</v>
      </c>
      <c r="B379" s="8">
        <v>43339</v>
      </c>
      <c r="C379" s="11" t="s">
        <v>3344</v>
      </c>
      <c r="D379" s="11" t="s">
        <v>3345</v>
      </c>
      <c r="E379" s="5">
        <v>43109</v>
      </c>
      <c r="F379" s="1" t="s">
        <v>49</v>
      </c>
      <c r="G379" s="1" t="s">
        <v>1077</v>
      </c>
      <c r="H379" s="1" t="s">
        <v>3362</v>
      </c>
      <c r="I379" s="1" t="s">
        <v>3611</v>
      </c>
      <c r="J379" s="1"/>
      <c r="K379" s="1" t="s">
        <v>41</v>
      </c>
      <c r="L379" s="1" t="s">
        <v>30</v>
      </c>
      <c r="M379" s="1" t="s">
        <v>510</v>
      </c>
      <c r="N379" s="1" t="s">
        <v>1014</v>
      </c>
      <c r="O379" s="1">
        <v>2038</v>
      </c>
      <c r="P379" s="1" t="s">
        <v>128</v>
      </c>
      <c r="Q379" s="1" t="s">
        <v>1079</v>
      </c>
      <c r="R379" s="1" t="s">
        <v>35</v>
      </c>
      <c r="S379" s="7">
        <v>1488.424</v>
      </c>
      <c r="T379" s="1">
        <v>2</v>
      </c>
      <c r="U379" s="9">
        <v>1488.22</v>
      </c>
      <c r="V379" s="9">
        <v>2976.848</v>
      </c>
      <c r="W379" s="9">
        <v>2976.44</v>
      </c>
      <c r="X379" s="12">
        <v>0.40799999999990177</v>
      </c>
      <c r="Y379" s="10">
        <v>2018</v>
      </c>
    </row>
    <row r="380" spans="1:25">
      <c r="A380" s="1" t="s">
        <v>1080</v>
      </c>
      <c r="B380" s="8">
        <v>42488</v>
      </c>
      <c r="C380" s="11" t="s">
        <v>3359</v>
      </c>
      <c r="D380" s="11" t="s">
        <v>3360</v>
      </c>
      <c r="E380" s="5">
        <v>42495</v>
      </c>
      <c r="F380" s="1" t="s">
        <v>49</v>
      </c>
      <c r="G380" s="1" t="s">
        <v>1081</v>
      </c>
      <c r="H380" s="1" t="s">
        <v>3612</v>
      </c>
      <c r="I380" s="1" t="s">
        <v>3613</v>
      </c>
      <c r="J380" s="1"/>
      <c r="K380" s="1" t="s">
        <v>29</v>
      </c>
      <c r="L380" s="1" t="s">
        <v>30</v>
      </c>
      <c r="M380" s="1" t="s">
        <v>172</v>
      </c>
      <c r="N380" s="1" t="s">
        <v>89</v>
      </c>
      <c r="O380" s="1">
        <v>77095</v>
      </c>
      <c r="P380" s="1" t="s">
        <v>90</v>
      </c>
      <c r="Q380" s="1" t="s">
        <v>1083</v>
      </c>
      <c r="R380" s="1" t="s">
        <v>46</v>
      </c>
      <c r="S380" s="7">
        <v>8.6519999999999992</v>
      </c>
      <c r="T380" s="1">
        <v>7</v>
      </c>
      <c r="U380" s="9">
        <v>7.8</v>
      </c>
      <c r="V380" s="9">
        <v>60.563999999999993</v>
      </c>
      <c r="W380" s="9">
        <v>54.6</v>
      </c>
      <c r="X380" s="12">
        <v>5.9639999999999915</v>
      </c>
      <c r="Y380" s="10">
        <v>2016</v>
      </c>
    </row>
    <row r="381" spans="1:25">
      <c r="A381" s="1" t="s">
        <v>1080</v>
      </c>
      <c r="B381" s="8">
        <v>42488</v>
      </c>
      <c r="C381" s="11" t="s">
        <v>3359</v>
      </c>
      <c r="D381" s="11" t="s">
        <v>3360</v>
      </c>
      <c r="E381" s="5">
        <v>42495</v>
      </c>
      <c r="F381" s="1" t="s">
        <v>49</v>
      </c>
      <c r="G381" s="1" t="s">
        <v>1081</v>
      </c>
      <c r="H381" s="1" t="s">
        <v>3612</v>
      </c>
      <c r="I381" s="1" t="s">
        <v>3613</v>
      </c>
      <c r="J381" s="1"/>
      <c r="K381" s="1" t="s">
        <v>29</v>
      </c>
      <c r="L381" s="1" t="s">
        <v>30</v>
      </c>
      <c r="M381" s="1" t="s">
        <v>172</v>
      </c>
      <c r="N381" s="1" t="s">
        <v>89</v>
      </c>
      <c r="O381" s="1">
        <v>77095</v>
      </c>
      <c r="P381" s="1" t="s">
        <v>90</v>
      </c>
      <c r="Q381" s="1" t="s">
        <v>1084</v>
      </c>
      <c r="R381" s="1" t="s">
        <v>46</v>
      </c>
      <c r="S381" s="7">
        <v>23.832000000000001</v>
      </c>
      <c r="T381" s="1">
        <v>7</v>
      </c>
      <c r="U381" s="9">
        <v>23.31</v>
      </c>
      <c r="V381" s="9">
        <v>166.82400000000001</v>
      </c>
      <c r="W381" s="9">
        <v>163.16999999999999</v>
      </c>
      <c r="X381" s="12">
        <v>3.6540000000000248</v>
      </c>
      <c r="Y381" s="10">
        <v>2016</v>
      </c>
    </row>
    <row r="382" spans="1:25">
      <c r="A382" s="1" t="s">
        <v>1080</v>
      </c>
      <c r="B382" s="8">
        <v>42488</v>
      </c>
      <c r="C382" s="11" t="s">
        <v>3359</v>
      </c>
      <c r="D382" s="11" t="s">
        <v>3360</v>
      </c>
      <c r="E382" s="5">
        <v>42495</v>
      </c>
      <c r="F382" s="1" t="s">
        <v>49</v>
      </c>
      <c r="G382" s="1" t="s">
        <v>1081</v>
      </c>
      <c r="H382" s="1" t="s">
        <v>3612</v>
      </c>
      <c r="I382" s="1" t="s">
        <v>3613</v>
      </c>
      <c r="J382" s="1"/>
      <c r="K382" s="1" t="s">
        <v>29</v>
      </c>
      <c r="L382" s="1" t="s">
        <v>30</v>
      </c>
      <c r="M382" s="1" t="s">
        <v>172</v>
      </c>
      <c r="N382" s="1" t="s">
        <v>89</v>
      </c>
      <c r="O382" s="1">
        <v>77095</v>
      </c>
      <c r="P382" s="1" t="s">
        <v>90</v>
      </c>
      <c r="Q382" s="1" t="s">
        <v>1085</v>
      </c>
      <c r="R382" s="1" t="s">
        <v>46</v>
      </c>
      <c r="S382" s="7">
        <v>12.176</v>
      </c>
      <c r="T382" s="1">
        <v>7</v>
      </c>
      <c r="U382" s="9">
        <v>12.05</v>
      </c>
      <c r="V382" s="9">
        <v>85.231999999999999</v>
      </c>
      <c r="W382" s="9">
        <v>84.350000000000009</v>
      </c>
      <c r="X382" s="12">
        <v>0.88199999999999079</v>
      </c>
      <c r="Y382" s="10">
        <v>2016</v>
      </c>
    </row>
    <row r="383" spans="1:25">
      <c r="A383" s="1" t="s">
        <v>1086</v>
      </c>
      <c r="B383" s="8">
        <v>43036</v>
      </c>
      <c r="C383" s="11" t="s">
        <v>3387</v>
      </c>
      <c r="D383" s="11" t="s">
        <v>3349</v>
      </c>
      <c r="E383" s="5" t="s">
        <v>1087</v>
      </c>
      <c r="F383" s="1" t="s">
        <v>162</v>
      </c>
      <c r="G383" s="1" t="s">
        <v>1088</v>
      </c>
      <c r="H383" s="1" t="s">
        <v>3370</v>
      </c>
      <c r="I383" s="1" t="s">
        <v>3614</v>
      </c>
      <c r="J383" s="1"/>
      <c r="K383" s="1" t="s">
        <v>41</v>
      </c>
      <c r="L383" s="1" t="s">
        <v>30</v>
      </c>
      <c r="M383" s="1" t="s">
        <v>110</v>
      </c>
      <c r="N383" s="1" t="s">
        <v>68</v>
      </c>
      <c r="O383" s="1">
        <v>94109</v>
      </c>
      <c r="P383" s="1" t="s">
        <v>44</v>
      </c>
      <c r="Q383" s="1" t="s">
        <v>1090</v>
      </c>
      <c r="R383" s="1" t="s">
        <v>46</v>
      </c>
      <c r="S383" s="7">
        <v>50.96</v>
      </c>
      <c r="T383" s="1">
        <v>9</v>
      </c>
      <c r="U383" s="9">
        <v>50.41</v>
      </c>
      <c r="V383" s="9">
        <v>458.64</v>
      </c>
      <c r="W383" s="9">
        <v>453.68999999999994</v>
      </c>
      <c r="X383" s="12">
        <v>4.9500000000000455</v>
      </c>
      <c r="Y383" s="10">
        <v>2017</v>
      </c>
    </row>
    <row r="384" spans="1:25">
      <c r="A384" s="1" t="s">
        <v>1086</v>
      </c>
      <c r="B384" s="8">
        <v>43036</v>
      </c>
      <c r="C384" s="11" t="s">
        <v>3387</v>
      </c>
      <c r="D384" s="11" t="s">
        <v>3349</v>
      </c>
      <c r="E384" s="5" t="s">
        <v>1087</v>
      </c>
      <c r="F384" s="1" t="s">
        <v>162</v>
      </c>
      <c r="G384" s="1" t="s">
        <v>1088</v>
      </c>
      <c r="H384" s="1" t="s">
        <v>3370</v>
      </c>
      <c r="I384" s="1" t="s">
        <v>3614</v>
      </c>
      <c r="J384" s="1"/>
      <c r="K384" s="1" t="s">
        <v>41</v>
      </c>
      <c r="L384" s="1" t="s">
        <v>30</v>
      </c>
      <c r="M384" s="1" t="s">
        <v>110</v>
      </c>
      <c r="N384" s="1" t="s">
        <v>68</v>
      </c>
      <c r="O384" s="1">
        <v>94109</v>
      </c>
      <c r="P384" s="1" t="s">
        <v>44</v>
      </c>
      <c r="Q384" s="1" t="s">
        <v>1091</v>
      </c>
      <c r="R384" s="1" t="s">
        <v>46</v>
      </c>
      <c r="S384" s="7">
        <v>49.536000000000001</v>
      </c>
      <c r="T384" s="1">
        <v>9</v>
      </c>
      <c r="U384" s="9">
        <v>49.01</v>
      </c>
      <c r="V384" s="9">
        <v>445.82400000000001</v>
      </c>
      <c r="W384" s="9">
        <v>441.09</v>
      </c>
      <c r="X384" s="12">
        <v>4.7340000000000373</v>
      </c>
      <c r="Y384" s="10">
        <v>2017</v>
      </c>
    </row>
    <row r="385" spans="1:25">
      <c r="A385" s="1" t="s">
        <v>1092</v>
      </c>
      <c r="B385" s="8">
        <v>42547</v>
      </c>
      <c r="C385" s="11" t="s">
        <v>3403</v>
      </c>
      <c r="D385" s="11" t="s">
        <v>3360</v>
      </c>
      <c r="E385" s="5" t="s">
        <v>1093</v>
      </c>
      <c r="F385" s="1" t="s">
        <v>26</v>
      </c>
      <c r="G385" s="1" t="s">
        <v>1094</v>
      </c>
      <c r="H385" s="1" t="s">
        <v>3615</v>
      </c>
      <c r="I385" s="1" t="s">
        <v>3454</v>
      </c>
      <c r="J385" s="1"/>
      <c r="K385" s="1" t="s">
        <v>41</v>
      </c>
      <c r="L385" s="1" t="s">
        <v>30</v>
      </c>
      <c r="M385" s="1" t="s">
        <v>905</v>
      </c>
      <c r="N385" s="1" t="s">
        <v>209</v>
      </c>
      <c r="O385" s="1">
        <v>48180</v>
      </c>
      <c r="P385" s="1" t="s">
        <v>90</v>
      </c>
      <c r="Q385" s="1" t="s">
        <v>1096</v>
      </c>
      <c r="R385" s="1" t="s">
        <v>64</v>
      </c>
      <c r="S385" s="7">
        <v>41.9</v>
      </c>
      <c r="T385" s="1">
        <v>4</v>
      </c>
      <c r="U385" s="9">
        <v>41.31</v>
      </c>
      <c r="V385" s="9">
        <v>167.6</v>
      </c>
      <c r="W385" s="9">
        <v>165.24</v>
      </c>
      <c r="X385" s="12">
        <v>2.3599999999999852</v>
      </c>
      <c r="Y385" s="10">
        <v>2016</v>
      </c>
    </row>
    <row r="386" spans="1:25">
      <c r="A386" s="1" t="s">
        <v>1097</v>
      </c>
      <c r="B386" s="8">
        <v>42701</v>
      </c>
      <c r="C386" s="11" t="s">
        <v>3353</v>
      </c>
      <c r="D386" s="11" t="s">
        <v>3349</v>
      </c>
      <c r="E386" s="5">
        <v>42412</v>
      </c>
      <c r="F386" s="1" t="s">
        <v>49</v>
      </c>
      <c r="G386" s="1" t="s">
        <v>1098</v>
      </c>
      <c r="H386" s="1" t="s">
        <v>3616</v>
      </c>
      <c r="I386" s="1" t="s">
        <v>3617</v>
      </c>
      <c r="J386" s="1"/>
      <c r="K386" s="1" t="s">
        <v>29</v>
      </c>
      <c r="L386" s="1" t="s">
        <v>30</v>
      </c>
      <c r="M386" s="1" t="s">
        <v>1100</v>
      </c>
      <c r="N386" s="1" t="s">
        <v>194</v>
      </c>
      <c r="O386" s="1">
        <v>33024</v>
      </c>
      <c r="P386" s="1" t="s">
        <v>33</v>
      </c>
      <c r="Q386" s="1" t="s">
        <v>1101</v>
      </c>
      <c r="R386" s="1" t="s">
        <v>35</v>
      </c>
      <c r="S386" s="7">
        <v>375.45749999999998</v>
      </c>
      <c r="T386" s="1">
        <v>3</v>
      </c>
      <c r="U386" s="9">
        <v>374.84</v>
      </c>
      <c r="V386" s="9">
        <v>1126.3724999999999</v>
      </c>
      <c r="W386" s="9">
        <v>1124.52</v>
      </c>
      <c r="X386" s="12">
        <v>1.8524999999999636</v>
      </c>
      <c r="Y386" s="10">
        <v>2016</v>
      </c>
    </row>
    <row r="387" spans="1:25">
      <c r="A387" s="1" t="s">
        <v>1097</v>
      </c>
      <c r="B387" s="8">
        <v>42701</v>
      </c>
      <c r="C387" s="11" t="s">
        <v>3353</v>
      </c>
      <c r="D387" s="11" t="s">
        <v>3349</v>
      </c>
      <c r="E387" s="5">
        <v>42412</v>
      </c>
      <c r="F387" s="1" t="s">
        <v>49</v>
      </c>
      <c r="G387" s="1" t="s">
        <v>1098</v>
      </c>
      <c r="H387" s="1" t="s">
        <v>3616</v>
      </c>
      <c r="I387" s="1" t="s">
        <v>3617</v>
      </c>
      <c r="J387" s="1"/>
      <c r="K387" s="1" t="s">
        <v>29</v>
      </c>
      <c r="L387" s="1" t="s">
        <v>30</v>
      </c>
      <c r="M387" s="1" t="s">
        <v>1100</v>
      </c>
      <c r="N387" s="1" t="s">
        <v>194</v>
      </c>
      <c r="O387" s="1">
        <v>33024</v>
      </c>
      <c r="P387" s="1" t="s">
        <v>33</v>
      </c>
      <c r="Q387" s="1" t="s">
        <v>1102</v>
      </c>
      <c r="R387" s="1" t="s">
        <v>64</v>
      </c>
      <c r="S387" s="7">
        <v>83.975999999999999</v>
      </c>
      <c r="T387" s="1">
        <v>3</v>
      </c>
      <c r="U387" s="9">
        <v>83.07</v>
      </c>
      <c r="V387" s="9">
        <v>251.928</v>
      </c>
      <c r="W387" s="9">
        <v>249.20999999999998</v>
      </c>
      <c r="X387" s="12">
        <v>2.7180000000000177</v>
      </c>
      <c r="Y387" s="10">
        <v>2016</v>
      </c>
    </row>
    <row r="388" spans="1:25">
      <c r="A388" s="1" t="s">
        <v>1103</v>
      </c>
      <c r="B388" s="8">
        <v>42441</v>
      </c>
      <c r="C388" s="11" t="s">
        <v>3429</v>
      </c>
      <c r="D388" s="11" t="s">
        <v>3382</v>
      </c>
      <c r="E388" s="5">
        <v>42563</v>
      </c>
      <c r="F388" s="1" t="s">
        <v>49</v>
      </c>
      <c r="G388" s="1" t="s">
        <v>1104</v>
      </c>
      <c r="H388" s="1" t="s">
        <v>3618</v>
      </c>
      <c r="I388" s="1" t="s">
        <v>3619</v>
      </c>
      <c r="J388" s="1"/>
      <c r="K388" s="1" t="s">
        <v>41</v>
      </c>
      <c r="L388" s="1" t="s">
        <v>30</v>
      </c>
      <c r="M388" s="1" t="s">
        <v>126</v>
      </c>
      <c r="N388" s="1" t="s">
        <v>127</v>
      </c>
      <c r="O388" s="1">
        <v>19140</v>
      </c>
      <c r="P388" s="1" t="s">
        <v>128</v>
      </c>
      <c r="Q388" s="1" t="s">
        <v>1106</v>
      </c>
      <c r="R388" s="1" t="s">
        <v>64</v>
      </c>
      <c r="S388" s="7">
        <v>482.34</v>
      </c>
      <c r="T388" s="1">
        <v>1</v>
      </c>
      <c r="U388" s="9">
        <v>481.81</v>
      </c>
      <c r="V388" s="9">
        <v>482.34</v>
      </c>
      <c r="W388" s="9">
        <v>481.81</v>
      </c>
      <c r="X388" s="12">
        <v>0.52999999999997272</v>
      </c>
      <c r="Y388" s="10">
        <v>2016</v>
      </c>
    </row>
    <row r="389" spans="1:25">
      <c r="A389" s="1" t="s">
        <v>1103</v>
      </c>
      <c r="B389" s="8">
        <v>42441</v>
      </c>
      <c r="C389" s="11" t="s">
        <v>3429</v>
      </c>
      <c r="D389" s="11" t="s">
        <v>3382</v>
      </c>
      <c r="E389" s="5">
        <v>42563</v>
      </c>
      <c r="F389" s="1" t="s">
        <v>49</v>
      </c>
      <c r="G389" s="1" t="s">
        <v>1104</v>
      </c>
      <c r="H389" s="1" t="s">
        <v>3618</v>
      </c>
      <c r="I389" s="1" t="s">
        <v>3619</v>
      </c>
      <c r="J389" s="1"/>
      <c r="K389" s="1" t="s">
        <v>41</v>
      </c>
      <c r="L389" s="1" t="s">
        <v>30</v>
      </c>
      <c r="M389" s="1" t="s">
        <v>126</v>
      </c>
      <c r="N389" s="1" t="s">
        <v>127</v>
      </c>
      <c r="O389" s="1">
        <v>19140</v>
      </c>
      <c r="P389" s="1" t="s">
        <v>128</v>
      </c>
      <c r="Q389" s="1" t="s">
        <v>1107</v>
      </c>
      <c r="R389" s="1" t="s">
        <v>35</v>
      </c>
      <c r="S389" s="7">
        <v>2.96</v>
      </c>
      <c r="T389" s="1">
        <v>1</v>
      </c>
      <c r="U389" s="9">
        <v>2.2400000000000002</v>
      </c>
      <c r="V389" s="9">
        <v>2.96</v>
      </c>
      <c r="W389" s="9">
        <v>2.2400000000000002</v>
      </c>
      <c r="X389" s="12">
        <v>0.71999999999999975</v>
      </c>
      <c r="Y389" s="10">
        <v>2016</v>
      </c>
    </row>
    <row r="390" spans="1:25">
      <c r="A390" s="1" t="s">
        <v>1108</v>
      </c>
      <c r="B390" s="8">
        <v>42332</v>
      </c>
      <c r="C390" s="11" t="s">
        <v>3353</v>
      </c>
      <c r="D390" s="11" t="s">
        <v>3349</v>
      </c>
      <c r="E390" s="5" t="s">
        <v>1109</v>
      </c>
      <c r="F390" s="1" t="s">
        <v>162</v>
      </c>
      <c r="G390" s="1" t="s">
        <v>1110</v>
      </c>
      <c r="H390" s="1" t="s">
        <v>3583</v>
      </c>
      <c r="I390" s="1" t="s">
        <v>3620</v>
      </c>
      <c r="J390" s="1"/>
      <c r="K390" s="1" t="s">
        <v>29</v>
      </c>
      <c r="L390" s="1" t="s">
        <v>30</v>
      </c>
      <c r="M390" s="1" t="s">
        <v>829</v>
      </c>
      <c r="N390" s="1" t="s">
        <v>421</v>
      </c>
      <c r="O390" s="1">
        <v>45231</v>
      </c>
      <c r="P390" s="1" t="s">
        <v>128</v>
      </c>
      <c r="Q390" s="1" t="s">
        <v>1112</v>
      </c>
      <c r="R390" s="1" t="s">
        <v>46</v>
      </c>
      <c r="S390" s="7">
        <v>2.6240000000000001</v>
      </c>
      <c r="T390" s="1">
        <v>4</v>
      </c>
      <c r="U390" s="9">
        <v>2.11</v>
      </c>
      <c r="V390" s="9">
        <v>10.496</v>
      </c>
      <c r="W390" s="9">
        <v>8.44</v>
      </c>
      <c r="X390" s="12">
        <v>2.0560000000000009</v>
      </c>
      <c r="Y390" s="10">
        <v>2015</v>
      </c>
    </row>
    <row r="391" spans="1:25">
      <c r="A391" s="1" t="s">
        <v>1113</v>
      </c>
      <c r="B391" s="8">
        <v>43416</v>
      </c>
      <c r="C391" s="11" t="s">
        <v>3353</v>
      </c>
      <c r="D391" s="11" t="s">
        <v>3349</v>
      </c>
      <c r="E391" s="5" t="s">
        <v>1114</v>
      </c>
      <c r="F391" s="1" t="s">
        <v>49</v>
      </c>
      <c r="G391" s="1" t="s">
        <v>1115</v>
      </c>
      <c r="H391" s="1" t="s">
        <v>3621</v>
      </c>
      <c r="I391" s="1" t="s">
        <v>3622</v>
      </c>
      <c r="J391" s="1"/>
      <c r="K391" s="1" t="s">
        <v>29</v>
      </c>
      <c r="L391" s="1" t="s">
        <v>30</v>
      </c>
      <c r="M391" s="1" t="s">
        <v>233</v>
      </c>
      <c r="N391" s="1" t="s">
        <v>234</v>
      </c>
      <c r="O391" s="1">
        <v>10009</v>
      </c>
      <c r="P391" s="1" t="s">
        <v>128</v>
      </c>
      <c r="Q391" s="1" t="s">
        <v>1117</v>
      </c>
      <c r="R391" s="1" t="s">
        <v>46</v>
      </c>
      <c r="S391" s="7">
        <v>23.36</v>
      </c>
      <c r="T391" s="1">
        <v>1</v>
      </c>
      <c r="U391" s="9">
        <v>22.76</v>
      </c>
      <c r="V391" s="9">
        <v>23.36</v>
      </c>
      <c r="W391" s="9">
        <v>22.76</v>
      </c>
      <c r="X391" s="12">
        <v>0.59999999999999787</v>
      </c>
      <c r="Y391" s="10">
        <v>2018</v>
      </c>
    </row>
    <row r="392" spans="1:25">
      <c r="A392" s="1" t="s">
        <v>1113</v>
      </c>
      <c r="B392" s="8">
        <v>43416</v>
      </c>
      <c r="C392" s="11" t="s">
        <v>3353</v>
      </c>
      <c r="D392" s="11" t="s">
        <v>3349</v>
      </c>
      <c r="E392" s="5" t="s">
        <v>1114</v>
      </c>
      <c r="F392" s="1" t="s">
        <v>49</v>
      </c>
      <c r="G392" s="1" t="s">
        <v>1115</v>
      </c>
      <c r="H392" s="1" t="s">
        <v>3621</v>
      </c>
      <c r="I392" s="1" t="s">
        <v>3622</v>
      </c>
      <c r="J392" s="1"/>
      <c r="K392" s="1" t="s">
        <v>29</v>
      </c>
      <c r="L392" s="1" t="s">
        <v>30</v>
      </c>
      <c r="M392" s="1" t="s">
        <v>233</v>
      </c>
      <c r="N392" s="1" t="s">
        <v>234</v>
      </c>
      <c r="O392" s="1">
        <v>10009</v>
      </c>
      <c r="P392" s="1" t="s">
        <v>128</v>
      </c>
      <c r="Q392" s="1" t="s">
        <v>332</v>
      </c>
      <c r="R392" s="1" t="s">
        <v>64</v>
      </c>
      <c r="S392" s="7">
        <v>39.979999999999997</v>
      </c>
      <c r="T392" s="1">
        <v>1</v>
      </c>
      <c r="U392" s="9">
        <v>39.119999999999997</v>
      </c>
      <c r="V392" s="9">
        <v>39.979999999999997</v>
      </c>
      <c r="W392" s="9">
        <v>39.119999999999997</v>
      </c>
      <c r="X392" s="12">
        <v>0.85999999999999943</v>
      </c>
      <c r="Y392" s="10">
        <v>2018</v>
      </c>
    </row>
    <row r="393" spans="1:25">
      <c r="A393" s="1" t="s">
        <v>1118</v>
      </c>
      <c r="B393" s="8">
        <v>42268</v>
      </c>
      <c r="C393" s="11" t="s">
        <v>3356</v>
      </c>
      <c r="D393" s="11" t="s">
        <v>3345</v>
      </c>
      <c r="E393" s="5" t="s">
        <v>1119</v>
      </c>
      <c r="F393" s="1" t="s">
        <v>26</v>
      </c>
      <c r="G393" s="1" t="s">
        <v>1120</v>
      </c>
      <c r="H393" s="1" t="s">
        <v>3623</v>
      </c>
      <c r="I393" s="1" t="s">
        <v>3624</v>
      </c>
      <c r="J393" s="1"/>
      <c r="K393" s="1" t="s">
        <v>29</v>
      </c>
      <c r="L393" s="1" t="s">
        <v>30</v>
      </c>
      <c r="M393" s="1" t="s">
        <v>1122</v>
      </c>
      <c r="N393" s="1" t="s">
        <v>81</v>
      </c>
      <c r="O393" s="1">
        <v>98198</v>
      </c>
      <c r="P393" s="1" t="s">
        <v>44</v>
      </c>
      <c r="Q393" s="1" t="s">
        <v>1123</v>
      </c>
      <c r="R393" s="1" t="s">
        <v>64</v>
      </c>
      <c r="S393" s="7">
        <v>246.38399999999999</v>
      </c>
      <c r="T393" s="1">
        <v>9</v>
      </c>
      <c r="U393" s="9">
        <v>245.6</v>
      </c>
      <c r="V393" s="9">
        <v>2217.4559999999997</v>
      </c>
      <c r="W393" s="9">
        <v>2210.4</v>
      </c>
      <c r="X393" s="12">
        <v>7.0559999999995853</v>
      </c>
      <c r="Y393" s="10">
        <v>2015</v>
      </c>
    </row>
    <row r="394" spans="1:25">
      <c r="A394" s="1" t="s">
        <v>1118</v>
      </c>
      <c r="B394" s="8">
        <v>42268</v>
      </c>
      <c r="C394" s="11" t="s">
        <v>3356</v>
      </c>
      <c r="D394" s="11" t="s">
        <v>3345</v>
      </c>
      <c r="E394" s="5" t="s">
        <v>1119</v>
      </c>
      <c r="F394" s="1" t="s">
        <v>26</v>
      </c>
      <c r="G394" s="1" t="s">
        <v>1120</v>
      </c>
      <c r="H394" s="1" t="s">
        <v>3623</v>
      </c>
      <c r="I394" s="1" t="s">
        <v>3624</v>
      </c>
      <c r="J394" s="1"/>
      <c r="K394" s="1" t="s">
        <v>29</v>
      </c>
      <c r="L394" s="1" t="s">
        <v>30</v>
      </c>
      <c r="M394" s="1" t="s">
        <v>1122</v>
      </c>
      <c r="N394" s="1" t="s">
        <v>81</v>
      </c>
      <c r="O394" s="1">
        <v>98198</v>
      </c>
      <c r="P394" s="1" t="s">
        <v>44</v>
      </c>
      <c r="Q394" s="1" t="s">
        <v>1124</v>
      </c>
      <c r="R394" s="1" t="s">
        <v>64</v>
      </c>
      <c r="S394" s="7">
        <v>1799.97</v>
      </c>
      <c r="T394" s="1">
        <v>9</v>
      </c>
      <c r="U394" s="9">
        <v>1799.44</v>
      </c>
      <c r="V394" s="9">
        <v>16199.73</v>
      </c>
      <c r="W394" s="9">
        <v>16194.960000000001</v>
      </c>
      <c r="X394" s="12">
        <v>4.7699999999986176</v>
      </c>
      <c r="Y394" s="10">
        <v>2015</v>
      </c>
    </row>
    <row r="395" spans="1:25">
      <c r="A395" s="1" t="s">
        <v>1125</v>
      </c>
      <c r="B395" s="8">
        <v>42191</v>
      </c>
      <c r="C395" s="11" t="s">
        <v>3376</v>
      </c>
      <c r="D395" s="11" t="s">
        <v>3345</v>
      </c>
      <c r="E395" s="5">
        <v>42283</v>
      </c>
      <c r="F395" s="1" t="s">
        <v>26</v>
      </c>
      <c r="G395" s="1" t="s">
        <v>1126</v>
      </c>
      <c r="H395" s="1" t="s">
        <v>3625</v>
      </c>
      <c r="I395" s="1" t="s">
        <v>3626</v>
      </c>
      <c r="J395" s="1"/>
      <c r="K395" s="1" t="s">
        <v>41</v>
      </c>
      <c r="L395" s="1" t="s">
        <v>30</v>
      </c>
      <c r="M395" s="1" t="s">
        <v>1128</v>
      </c>
      <c r="N395" s="1" t="s">
        <v>182</v>
      </c>
      <c r="O395" s="1">
        <v>61604</v>
      </c>
      <c r="P395" s="1" t="s">
        <v>90</v>
      </c>
      <c r="Q395" s="1" t="s">
        <v>1129</v>
      </c>
      <c r="R395" s="1" t="s">
        <v>46</v>
      </c>
      <c r="S395" s="7">
        <v>12.462</v>
      </c>
      <c r="T395" s="1">
        <v>6</v>
      </c>
      <c r="U395" s="9">
        <v>11.68</v>
      </c>
      <c r="V395" s="9">
        <v>74.771999999999991</v>
      </c>
      <c r="W395" s="9">
        <v>70.08</v>
      </c>
      <c r="X395" s="12">
        <v>4.6919999999999931</v>
      </c>
      <c r="Y395" s="10">
        <v>2015</v>
      </c>
    </row>
    <row r="396" spans="1:25">
      <c r="A396" s="1" t="s">
        <v>1130</v>
      </c>
      <c r="B396" s="8">
        <v>43281</v>
      </c>
      <c r="C396" s="11" t="s">
        <v>3403</v>
      </c>
      <c r="D396" s="11" t="s">
        <v>3360</v>
      </c>
      <c r="E396" s="5">
        <v>43227</v>
      </c>
      <c r="F396" s="1" t="s">
        <v>49</v>
      </c>
      <c r="G396" s="1" t="s">
        <v>1131</v>
      </c>
      <c r="H396" s="1" t="s">
        <v>3627</v>
      </c>
      <c r="I396" s="1" t="s">
        <v>3628</v>
      </c>
      <c r="J396" s="1"/>
      <c r="K396" s="1" t="s">
        <v>87</v>
      </c>
      <c r="L396" s="1" t="s">
        <v>30</v>
      </c>
      <c r="M396" s="1" t="s">
        <v>1133</v>
      </c>
      <c r="N396" s="1" t="s">
        <v>1134</v>
      </c>
      <c r="O396" s="1">
        <v>89115</v>
      </c>
      <c r="P396" s="1" t="s">
        <v>44</v>
      </c>
      <c r="Q396" s="1" t="s">
        <v>1135</v>
      </c>
      <c r="R396" s="1" t="s">
        <v>46</v>
      </c>
      <c r="S396" s="7">
        <v>75.792000000000002</v>
      </c>
      <c r="T396" s="1">
        <v>8</v>
      </c>
      <c r="U396" s="9">
        <v>75.2</v>
      </c>
      <c r="V396" s="9">
        <v>606.33600000000001</v>
      </c>
      <c r="W396" s="9">
        <v>601.6</v>
      </c>
      <c r="X396" s="12">
        <v>4.73599999999999</v>
      </c>
      <c r="Y396" s="10">
        <v>2018</v>
      </c>
    </row>
    <row r="397" spans="1:25">
      <c r="A397" s="1" t="s">
        <v>1136</v>
      </c>
      <c r="B397" s="8">
        <v>43390</v>
      </c>
      <c r="C397" s="11" t="s">
        <v>3387</v>
      </c>
      <c r="D397" s="11" t="s">
        <v>3349</v>
      </c>
      <c r="E397" s="5" t="s">
        <v>1137</v>
      </c>
      <c r="F397" s="1" t="s">
        <v>26</v>
      </c>
      <c r="G397" s="1" t="s">
        <v>1138</v>
      </c>
      <c r="H397" s="1" t="s">
        <v>3629</v>
      </c>
      <c r="I397" s="1" t="s">
        <v>3630</v>
      </c>
      <c r="J397" s="1"/>
      <c r="K397" s="1" t="s">
        <v>41</v>
      </c>
      <c r="L397" s="1" t="s">
        <v>30</v>
      </c>
      <c r="M397" s="1" t="s">
        <v>1140</v>
      </c>
      <c r="N397" s="1" t="s">
        <v>1141</v>
      </c>
      <c r="O397" s="1">
        <v>2886</v>
      </c>
      <c r="P397" s="1" t="s">
        <v>128</v>
      </c>
      <c r="Q397" s="1" t="s">
        <v>1142</v>
      </c>
      <c r="R397" s="1" t="s">
        <v>46</v>
      </c>
      <c r="S397" s="7">
        <v>49.96</v>
      </c>
      <c r="T397" s="1">
        <v>2</v>
      </c>
      <c r="U397" s="9">
        <v>49.81</v>
      </c>
      <c r="V397" s="9">
        <v>99.92</v>
      </c>
      <c r="W397" s="9">
        <v>99.62</v>
      </c>
      <c r="X397" s="12">
        <v>0.29999999999999716</v>
      </c>
      <c r="Y397" s="10">
        <v>2018</v>
      </c>
    </row>
    <row r="398" spans="1:25">
      <c r="A398" s="1" t="s">
        <v>1136</v>
      </c>
      <c r="B398" s="8">
        <v>43390</v>
      </c>
      <c r="C398" s="11" t="s">
        <v>3387</v>
      </c>
      <c r="D398" s="11" t="s">
        <v>3349</v>
      </c>
      <c r="E398" s="5" t="s">
        <v>1137</v>
      </c>
      <c r="F398" s="1" t="s">
        <v>26</v>
      </c>
      <c r="G398" s="1" t="s">
        <v>1138</v>
      </c>
      <c r="H398" s="1" t="s">
        <v>3629</v>
      </c>
      <c r="I398" s="1" t="s">
        <v>3630</v>
      </c>
      <c r="J398" s="1"/>
      <c r="K398" s="1" t="s">
        <v>41</v>
      </c>
      <c r="L398" s="1" t="s">
        <v>30</v>
      </c>
      <c r="M398" s="1" t="s">
        <v>1140</v>
      </c>
      <c r="N398" s="1" t="s">
        <v>1141</v>
      </c>
      <c r="O398" s="1">
        <v>2886</v>
      </c>
      <c r="P398" s="1" t="s">
        <v>128</v>
      </c>
      <c r="Q398" s="1" t="s">
        <v>1143</v>
      </c>
      <c r="R398" s="1" t="s">
        <v>46</v>
      </c>
      <c r="S398" s="7">
        <v>12.96</v>
      </c>
      <c r="T398" s="1">
        <v>2</v>
      </c>
      <c r="U398" s="9">
        <v>12.37</v>
      </c>
      <c r="V398" s="9">
        <v>25.92</v>
      </c>
      <c r="W398" s="9">
        <v>24.74</v>
      </c>
      <c r="X398" s="12">
        <v>1.1800000000000033</v>
      </c>
      <c r="Y398" s="10">
        <v>2018</v>
      </c>
    </row>
    <row r="399" spans="1:25">
      <c r="A399" s="1" t="s">
        <v>1144</v>
      </c>
      <c r="B399" s="8">
        <v>42674</v>
      </c>
      <c r="C399" s="11" t="s">
        <v>3387</v>
      </c>
      <c r="D399" s="11" t="s">
        <v>3349</v>
      </c>
      <c r="E399" s="5">
        <v>42471</v>
      </c>
      <c r="F399" s="1" t="s">
        <v>49</v>
      </c>
      <c r="G399" s="1" t="s">
        <v>85</v>
      </c>
      <c r="H399" s="1" t="s">
        <v>3366</v>
      </c>
      <c r="I399" s="1" t="s">
        <v>3367</v>
      </c>
      <c r="J399" s="1"/>
      <c r="K399" s="1" t="s">
        <v>87</v>
      </c>
      <c r="L399" s="1" t="s">
        <v>30</v>
      </c>
      <c r="M399" s="1" t="s">
        <v>281</v>
      </c>
      <c r="N399" s="1" t="s">
        <v>209</v>
      </c>
      <c r="O399" s="1">
        <v>49201</v>
      </c>
      <c r="P399" s="1" t="s">
        <v>90</v>
      </c>
      <c r="Q399" s="1" t="s">
        <v>1145</v>
      </c>
      <c r="R399" s="1" t="s">
        <v>46</v>
      </c>
      <c r="S399" s="7">
        <v>70.12</v>
      </c>
      <c r="T399" s="1">
        <v>4</v>
      </c>
      <c r="U399" s="9">
        <v>69.33</v>
      </c>
      <c r="V399" s="9">
        <v>280.48</v>
      </c>
      <c r="W399" s="9">
        <v>277.32</v>
      </c>
      <c r="X399" s="12">
        <v>3.160000000000025</v>
      </c>
      <c r="Y399" s="10">
        <v>2016</v>
      </c>
    </row>
    <row r="400" spans="1:25">
      <c r="A400" s="1" t="s">
        <v>1146</v>
      </c>
      <c r="B400" s="8">
        <v>42956</v>
      </c>
      <c r="C400" s="11" t="s">
        <v>3344</v>
      </c>
      <c r="D400" s="11" t="s">
        <v>3345</v>
      </c>
      <c r="E400" s="5">
        <v>43017</v>
      </c>
      <c r="F400" s="1" t="s">
        <v>26</v>
      </c>
      <c r="G400" s="1" t="s">
        <v>1147</v>
      </c>
      <c r="H400" s="1" t="s">
        <v>3631</v>
      </c>
      <c r="I400" s="1" t="s">
        <v>3632</v>
      </c>
      <c r="J400" s="1"/>
      <c r="K400" s="1" t="s">
        <v>29</v>
      </c>
      <c r="L400" s="1" t="s">
        <v>30</v>
      </c>
      <c r="M400" s="1" t="s">
        <v>172</v>
      </c>
      <c r="N400" s="1" t="s">
        <v>89</v>
      </c>
      <c r="O400" s="1">
        <v>77036</v>
      </c>
      <c r="P400" s="1" t="s">
        <v>90</v>
      </c>
      <c r="Q400" s="1" t="s">
        <v>1149</v>
      </c>
      <c r="R400" s="1" t="s">
        <v>46</v>
      </c>
      <c r="S400" s="7">
        <v>35.951999999999998</v>
      </c>
      <c r="T400" s="1">
        <v>7</v>
      </c>
      <c r="U400" s="9">
        <v>35.909999999999997</v>
      </c>
      <c r="V400" s="9">
        <v>251.66399999999999</v>
      </c>
      <c r="W400" s="9">
        <v>251.36999999999998</v>
      </c>
      <c r="X400" s="12">
        <v>0.29400000000001114</v>
      </c>
      <c r="Y400" s="10">
        <v>2017</v>
      </c>
    </row>
    <row r="401" spans="1:25">
      <c r="A401" s="1" t="s">
        <v>1146</v>
      </c>
      <c r="B401" s="8">
        <v>42956</v>
      </c>
      <c r="C401" s="11" t="s">
        <v>3344</v>
      </c>
      <c r="D401" s="11" t="s">
        <v>3345</v>
      </c>
      <c r="E401" s="5">
        <v>43017</v>
      </c>
      <c r="F401" s="1" t="s">
        <v>26</v>
      </c>
      <c r="G401" s="1" t="s">
        <v>1147</v>
      </c>
      <c r="H401" s="1" t="s">
        <v>3631</v>
      </c>
      <c r="I401" s="1" t="s">
        <v>3632</v>
      </c>
      <c r="J401" s="1"/>
      <c r="K401" s="1" t="s">
        <v>29</v>
      </c>
      <c r="L401" s="1" t="s">
        <v>30</v>
      </c>
      <c r="M401" s="1" t="s">
        <v>172</v>
      </c>
      <c r="N401" s="1" t="s">
        <v>89</v>
      </c>
      <c r="O401" s="1">
        <v>77036</v>
      </c>
      <c r="P401" s="1" t="s">
        <v>90</v>
      </c>
      <c r="Q401" s="1" t="s">
        <v>146</v>
      </c>
      <c r="R401" s="1" t="s">
        <v>35</v>
      </c>
      <c r="S401" s="7">
        <v>2396.2656000000002</v>
      </c>
      <c r="T401" s="1">
        <v>7</v>
      </c>
      <c r="U401" s="9">
        <v>2395.7800000000002</v>
      </c>
      <c r="V401" s="9">
        <v>16773.859200000003</v>
      </c>
      <c r="W401" s="9">
        <v>16770.460000000003</v>
      </c>
      <c r="X401" s="12">
        <v>3.399199999999837</v>
      </c>
      <c r="Y401" s="10">
        <v>2017</v>
      </c>
    </row>
    <row r="402" spans="1:25">
      <c r="A402" s="1" t="s">
        <v>1146</v>
      </c>
      <c r="B402" s="8">
        <v>42956</v>
      </c>
      <c r="C402" s="11" t="s">
        <v>3344</v>
      </c>
      <c r="D402" s="11" t="s">
        <v>3345</v>
      </c>
      <c r="E402" s="5">
        <v>43017</v>
      </c>
      <c r="F402" s="1" t="s">
        <v>26</v>
      </c>
      <c r="G402" s="1" t="s">
        <v>1147</v>
      </c>
      <c r="H402" s="1" t="s">
        <v>3631</v>
      </c>
      <c r="I402" s="1" t="s">
        <v>3632</v>
      </c>
      <c r="J402" s="1"/>
      <c r="K402" s="1" t="s">
        <v>29</v>
      </c>
      <c r="L402" s="1" t="s">
        <v>30</v>
      </c>
      <c r="M402" s="1" t="s">
        <v>172</v>
      </c>
      <c r="N402" s="1" t="s">
        <v>89</v>
      </c>
      <c r="O402" s="1">
        <v>77036</v>
      </c>
      <c r="P402" s="1" t="s">
        <v>90</v>
      </c>
      <c r="Q402" s="1" t="s">
        <v>1150</v>
      </c>
      <c r="R402" s="1" t="s">
        <v>46</v>
      </c>
      <c r="S402" s="7">
        <v>131.136</v>
      </c>
      <c r="T402" s="1">
        <v>7</v>
      </c>
      <c r="U402" s="9">
        <v>130.97</v>
      </c>
      <c r="V402" s="9">
        <v>917.952</v>
      </c>
      <c r="W402" s="9">
        <v>916.79</v>
      </c>
      <c r="X402" s="12">
        <v>1.1620000000000346</v>
      </c>
      <c r="Y402" s="10">
        <v>2017</v>
      </c>
    </row>
    <row r="403" spans="1:25">
      <c r="A403" s="1" t="s">
        <v>1146</v>
      </c>
      <c r="B403" s="8">
        <v>42956</v>
      </c>
      <c r="C403" s="11" t="s">
        <v>3344</v>
      </c>
      <c r="D403" s="11" t="s">
        <v>3345</v>
      </c>
      <c r="E403" s="5">
        <v>43017</v>
      </c>
      <c r="F403" s="1" t="s">
        <v>26</v>
      </c>
      <c r="G403" s="1" t="s">
        <v>1147</v>
      </c>
      <c r="H403" s="1" t="s">
        <v>3631</v>
      </c>
      <c r="I403" s="1" t="s">
        <v>3632</v>
      </c>
      <c r="J403" s="1"/>
      <c r="K403" s="1" t="s">
        <v>29</v>
      </c>
      <c r="L403" s="1" t="s">
        <v>30</v>
      </c>
      <c r="M403" s="1" t="s">
        <v>172</v>
      </c>
      <c r="N403" s="1" t="s">
        <v>89</v>
      </c>
      <c r="O403" s="1">
        <v>77036</v>
      </c>
      <c r="P403" s="1" t="s">
        <v>90</v>
      </c>
      <c r="Q403" s="1" t="s">
        <v>1151</v>
      </c>
      <c r="R403" s="1" t="s">
        <v>64</v>
      </c>
      <c r="S403" s="7">
        <v>57.584000000000003</v>
      </c>
      <c r="T403" s="1">
        <v>7</v>
      </c>
      <c r="U403" s="9">
        <v>57.1</v>
      </c>
      <c r="V403" s="9">
        <v>403.08800000000002</v>
      </c>
      <c r="W403" s="9">
        <v>399.7</v>
      </c>
      <c r="X403" s="12">
        <v>3.3880000000000337</v>
      </c>
      <c r="Y403" s="10">
        <v>2017</v>
      </c>
    </row>
    <row r="404" spans="1:25">
      <c r="A404" s="1" t="s">
        <v>1152</v>
      </c>
      <c r="B404" s="8">
        <v>42362</v>
      </c>
      <c r="C404" s="11" t="s">
        <v>3348</v>
      </c>
      <c r="D404" s="11" t="s">
        <v>3349</v>
      </c>
      <c r="E404" s="5" t="s">
        <v>1153</v>
      </c>
      <c r="F404" s="1" t="s">
        <v>162</v>
      </c>
      <c r="G404" s="1" t="s">
        <v>1154</v>
      </c>
      <c r="H404" s="1" t="s">
        <v>3633</v>
      </c>
      <c r="I404" s="1" t="s">
        <v>3634</v>
      </c>
      <c r="J404" s="1"/>
      <c r="K404" s="1" t="s">
        <v>29</v>
      </c>
      <c r="L404" s="1" t="s">
        <v>30</v>
      </c>
      <c r="M404" s="1" t="s">
        <v>1156</v>
      </c>
      <c r="N404" s="1" t="s">
        <v>194</v>
      </c>
      <c r="O404" s="1">
        <v>33180</v>
      </c>
      <c r="P404" s="1" t="s">
        <v>33</v>
      </c>
      <c r="Q404" s="1" t="s">
        <v>1157</v>
      </c>
      <c r="R404" s="1" t="s">
        <v>46</v>
      </c>
      <c r="S404" s="7">
        <v>9.5679999999999996</v>
      </c>
      <c r="T404" s="1">
        <v>3</v>
      </c>
      <c r="U404" s="9">
        <v>8.7100000000000009</v>
      </c>
      <c r="V404" s="9">
        <v>28.704000000000001</v>
      </c>
      <c r="W404" s="9">
        <v>26.130000000000003</v>
      </c>
      <c r="X404" s="12">
        <v>2.5739999999999981</v>
      </c>
      <c r="Y404" s="10">
        <v>2015</v>
      </c>
    </row>
    <row r="405" spans="1:25">
      <c r="A405" s="1" t="s">
        <v>1158</v>
      </c>
      <c r="B405" s="8">
        <v>42110</v>
      </c>
      <c r="C405" s="11" t="s">
        <v>3359</v>
      </c>
      <c r="D405" s="11" t="s">
        <v>3360</v>
      </c>
      <c r="E405" s="5" t="s">
        <v>1159</v>
      </c>
      <c r="F405" s="1" t="s">
        <v>49</v>
      </c>
      <c r="G405" s="1" t="s">
        <v>522</v>
      </c>
      <c r="H405" s="1" t="s">
        <v>3490</v>
      </c>
      <c r="I405" s="1" t="s">
        <v>3491</v>
      </c>
      <c r="J405" s="1"/>
      <c r="K405" s="1" t="s">
        <v>41</v>
      </c>
      <c r="L405" s="1" t="s">
        <v>30</v>
      </c>
      <c r="M405" s="1" t="s">
        <v>438</v>
      </c>
      <c r="N405" s="1" t="s">
        <v>75</v>
      </c>
      <c r="O405" s="1">
        <v>28403</v>
      </c>
      <c r="P405" s="1" t="s">
        <v>33</v>
      </c>
      <c r="Q405" s="1" t="s">
        <v>1160</v>
      </c>
      <c r="R405" s="1" t="s">
        <v>46</v>
      </c>
      <c r="S405" s="7">
        <v>39.072000000000003</v>
      </c>
      <c r="T405" s="1">
        <v>2</v>
      </c>
      <c r="U405" s="9">
        <v>38.51</v>
      </c>
      <c r="V405" s="9">
        <v>78.144000000000005</v>
      </c>
      <c r="W405" s="9">
        <v>77.02</v>
      </c>
      <c r="X405" s="12">
        <v>1.1240000000000094</v>
      </c>
      <c r="Y405" s="10">
        <v>2015</v>
      </c>
    </row>
    <row r="406" spans="1:25">
      <c r="A406" s="1" t="s">
        <v>1161</v>
      </c>
      <c r="B406" s="8">
        <v>43458</v>
      </c>
      <c r="C406" s="11" t="s">
        <v>3348</v>
      </c>
      <c r="D406" s="11" t="s">
        <v>3349</v>
      </c>
      <c r="E406" s="5" t="s">
        <v>1162</v>
      </c>
      <c r="F406" s="1" t="s">
        <v>49</v>
      </c>
      <c r="G406" s="1" t="s">
        <v>1163</v>
      </c>
      <c r="H406" s="1" t="s">
        <v>3557</v>
      </c>
      <c r="I406" s="1" t="s">
        <v>3635</v>
      </c>
      <c r="J406" s="1"/>
      <c r="K406" s="1" t="s">
        <v>29</v>
      </c>
      <c r="L406" s="1" t="s">
        <v>30</v>
      </c>
      <c r="M406" s="1" t="s">
        <v>233</v>
      </c>
      <c r="N406" s="1" t="s">
        <v>234</v>
      </c>
      <c r="O406" s="1">
        <v>10024</v>
      </c>
      <c r="P406" s="1" t="s">
        <v>128</v>
      </c>
      <c r="Q406" s="1" t="s">
        <v>1165</v>
      </c>
      <c r="R406" s="1" t="s">
        <v>46</v>
      </c>
      <c r="S406" s="7">
        <v>35.909999999999997</v>
      </c>
      <c r="T406" s="1">
        <v>1</v>
      </c>
      <c r="U406" s="9">
        <v>35.67</v>
      </c>
      <c r="V406" s="9">
        <v>35.909999999999997</v>
      </c>
      <c r="W406" s="9">
        <v>35.67</v>
      </c>
      <c r="X406" s="12">
        <v>0.23999999999999488</v>
      </c>
      <c r="Y406" s="10">
        <v>2018</v>
      </c>
    </row>
    <row r="407" spans="1:25">
      <c r="A407" s="1" t="s">
        <v>1166</v>
      </c>
      <c r="B407" s="8">
        <v>43324</v>
      </c>
      <c r="C407" s="11" t="s">
        <v>3344</v>
      </c>
      <c r="D407" s="11" t="s">
        <v>3345</v>
      </c>
      <c r="E407" s="5">
        <v>43446</v>
      </c>
      <c r="F407" s="1" t="s">
        <v>49</v>
      </c>
      <c r="G407" s="1" t="s">
        <v>1167</v>
      </c>
      <c r="H407" s="1" t="s">
        <v>3636</v>
      </c>
      <c r="I407" s="1" t="s">
        <v>3637</v>
      </c>
      <c r="J407" s="1"/>
      <c r="K407" s="1" t="s">
        <v>29</v>
      </c>
      <c r="L407" s="1" t="s">
        <v>30</v>
      </c>
      <c r="M407" s="1" t="s">
        <v>110</v>
      </c>
      <c r="N407" s="1" t="s">
        <v>68</v>
      </c>
      <c r="O407" s="1">
        <v>94110</v>
      </c>
      <c r="P407" s="1" t="s">
        <v>44</v>
      </c>
      <c r="Q407" s="1" t="s">
        <v>1151</v>
      </c>
      <c r="R407" s="1" t="s">
        <v>64</v>
      </c>
      <c r="S407" s="7">
        <v>179.95</v>
      </c>
      <c r="T407" s="1">
        <v>9</v>
      </c>
      <c r="U407" s="9">
        <v>179.62</v>
      </c>
      <c r="V407" s="9">
        <v>1619.55</v>
      </c>
      <c r="W407" s="9">
        <v>1616.58</v>
      </c>
      <c r="X407" s="12">
        <v>2.9700000000000273</v>
      </c>
      <c r="Y407" s="10">
        <v>2018</v>
      </c>
    </row>
    <row r="408" spans="1:25">
      <c r="A408" s="1" t="s">
        <v>1166</v>
      </c>
      <c r="B408" s="8">
        <v>43324</v>
      </c>
      <c r="C408" s="11" t="s">
        <v>3344</v>
      </c>
      <c r="D408" s="11" t="s">
        <v>3345</v>
      </c>
      <c r="E408" s="5">
        <v>43446</v>
      </c>
      <c r="F408" s="1" t="s">
        <v>49</v>
      </c>
      <c r="G408" s="1" t="s">
        <v>1167</v>
      </c>
      <c r="H408" s="1" t="s">
        <v>3636</v>
      </c>
      <c r="I408" s="1" t="s">
        <v>3637</v>
      </c>
      <c r="J408" s="1"/>
      <c r="K408" s="1" t="s">
        <v>29</v>
      </c>
      <c r="L408" s="1" t="s">
        <v>30</v>
      </c>
      <c r="M408" s="1" t="s">
        <v>110</v>
      </c>
      <c r="N408" s="1" t="s">
        <v>68</v>
      </c>
      <c r="O408" s="1">
        <v>94110</v>
      </c>
      <c r="P408" s="1" t="s">
        <v>44</v>
      </c>
      <c r="Q408" s="1" t="s">
        <v>1169</v>
      </c>
      <c r="R408" s="1" t="s">
        <v>64</v>
      </c>
      <c r="S408" s="7">
        <v>1199.9760000000001</v>
      </c>
      <c r="T408" s="1">
        <v>9</v>
      </c>
      <c r="U408" s="9">
        <v>1199.8599999999999</v>
      </c>
      <c r="V408" s="9">
        <v>10799.784000000001</v>
      </c>
      <c r="W408" s="9">
        <v>10798.74</v>
      </c>
      <c r="X408" s="12">
        <v>1.044000000001688</v>
      </c>
      <c r="Y408" s="10">
        <v>2018</v>
      </c>
    </row>
    <row r="409" spans="1:25">
      <c r="A409" s="1" t="s">
        <v>1166</v>
      </c>
      <c r="B409" s="8">
        <v>43324</v>
      </c>
      <c r="C409" s="11" t="s">
        <v>3344</v>
      </c>
      <c r="D409" s="11" t="s">
        <v>3345</v>
      </c>
      <c r="E409" s="5">
        <v>43446</v>
      </c>
      <c r="F409" s="1" t="s">
        <v>49</v>
      </c>
      <c r="G409" s="1" t="s">
        <v>1167</v>
      </c>
      <c r="H409" s="1" t="s">
        <v>3636</v>
      </c>
      <c r="I409" s="1" t="s">
        <v>3637</v>
      </c>
      <c r="J409" s="1"/>
      <c r="K409" s="1" t="s">
        <v>29</v>
      </c>
      <c r="L409" s="1" t="s">
        <v>30</v>
      </c>
      <c r="M409" s="1" t="s">
        <v>110</v>
      </c>
      <c r="N409" s="1" t="s">
        <v>68</v>
      </c>
      <c r="O409" s="1">
        <v>94110</v>
      </c>
      <c r="P409" s="1" t="s">
        <v>44</v>
      </c>
      <c r="Q409" s="1" t="s">
        <v>1170</v>
      </c>
      <c r="R409" s="1" t="s">
        <v>46</v>
      </c>
      <c r="S409" s="7">
        <v>27.15</v>
      </c>
      <c r="T409" s="1">
        <v>9</v>
      </c>
      <c r="U409" s="9">
        <v>27.07</v>
      </c>
      <c r="V409" s="9">
        <v>244.35</v>
      </c>
      <c r="W409" s="9">
        <v>243.63</v>
      </c>
      <c r="X409" s="12">
        <v>0.71999999999999886</v>
      </c>
      <c r="Y409" s="10">
        <v>2018</v>
      </c>
    </row>
    <row r="410" spans="1:25">
      <c r="A410" s="1" t="s">
        <v>1166</v>
      </c>
      <c r="B410" s="8">
        <v>43324</v>
      </c>
      <c r="C410" s="11" t="s">
        <v>3344</v>
      </c>
      <c r="D410" s="11" t="s">
        <v>3345</v>
      </c>
      <c r="E410" s="5">
        <v>43446</v>
      </c>
      <c r="F410" s="1" t="s">
        <v>49</v>
      </c>
      <c r="G410" s="1" t="s">
        <v>1167</v>
      </c>
      <c r="H410" s="1" t="s">
        <v>3636</v>
      </c>
      <c r="I410" s="1" t="s">
        <v>3637</v>
      </c>
      <c r="J410" s="1"/>
      <c r="K410" s="1" t="s">
        <v>29</v>
      </c>
      <c r="L410" s="1" t="s">
        <v>30</v>
      </c>
      <c r="M410" s="1" t="s">
        <v>110</v>
      </c>
      <c r="N410" s="1" t="s">
        <v>68</v>
      </c>
      <c r="O410" s="1">
        <v>94110</v>
      </c>
      <c r="P410" s="1" t="s">
        <v>44</v>
      </c>
      <c r="Q410" s="1" t="s">
        <v>1171</v>
      </c>
      <c r="R410" s="1" t="s">
        <v>35</v>
      </c>
      <c r="S410" s="7">
        <v>1004.024</v>
      </c>
      <c r="T410" s="1">
        <v>9</v>
      </c>
      <c r="U410" s="9">
        <v>1003.74</v>
      </c>
      <c r="V410" s="9">
        <v>9036.2160000000003</v>
      </c>
      <c r="W410" s="9">
        <v>9033.66</v>
      </c>
      <c r="X410" s="12">
        <v>2.5560000000004948</v>
      </c>
      <c r="Y410" s="10">
        <v>2018</v>
      </c>
    </row>
    <row r="411" spans="1:25">
      <c r="A411" s="1" t="s">
        <v>1166</v>
      </c>
      <c r="B411" s="8">
        <v>43324</v>
      </c>
      <c r="C411" s="11" t="s">
        <v>3344</v>
      </c>
      <c r="D411" s="11" t="s">
        <v>3345</v>
      </c>
      <c r="E411" s="5">
        <v>43446</v>
      </c>
      <c r="F411" s="1" t="s">
        <v>49</v>
      </c>
      <c r="G411" s="1" t="s">
        <v>1167</v>
      </c>
      <c r="H411" s="1" t="s">
        <v>3636</v>
      </c>
      <c r="I411" s="1" t="s">
        <v>3637</v>
      </c>
      <c r="J411" s="1"/>
      <c r="K411" s="1" t="s">
        <v>29</v>
      </c>
      <c r="L411" s="1" t="s">
        <v>30</v>
      </c>
      <c r="M411" s="1" t="s">
        <v>110</v>
      </c>
      <c r="N411" s="1" t="s">
        <v>68</v>
      </c>
      <c r="O411" s="1">
        <v>94110</v>
      </c>
      <c r="P411" s="1" t="s">
        <v>44</v>
      </c>
      <c r="Q411" s="1" t="s">
        <v>1172</v>
      </c>
      <c r="R411" s="1" t="s">
        <v>46</v>
      </c>
      <c r="S411" s="7">
        <v>9.68</v>
      </c>
      <c r="T411" s="1">
        <v>9</v>
      </c>
      <c r="U411" s="9">
        <v>8.77</v>
      </c>
      <c r="V411" s="9">
        <v>87.12</v>
      </c>
      <c r="W411" s="9">
        <v>78.929999999999993</v>
      </c>
      <c r="X411" s="12">
        <v>8.1900000000000119</v>
      </c>
      <c r="Y411" s="10">
        <v>2018</v>
      </c>
    </row>
    <row r="412" spans="1:25">
      <c r="A412" s="1" t="s">
        <v>1166</v>
      </c>
      <c r="B412" s="8">
        <v>43324</v>
      </c>
      <c r="C412" s="11" t="s">
        <v>3344</v>
      </c>
      <c r="D412" s="11" t="s">
        <v>3345</v>
      </c>
      <c r="E412" s="5">
        <v>43446</v>
      </c>
      <c r="F412" s="1" t="s">
        <v>49</v>
      </c>
      <c r="G412" s="1" t="s">
        <v>1167</v>
      </c>
      <c r="H412" s="1" t="s">
        <v>3636</v>
      </c>
      <c r="I412" s="1" t="s">
        <v>3637</v>
      </c>
      <c r="J412" s="1"/>
      <c r="K412" s="1" t="s">
        <v>29</v>
      </c>
      <c r="L412" s="1" t="s">
        <v>30</v>
      </c>
      <c r="M412" s="1" t="s">
        <v>110</v>
      </c>
      <c r="N412" s="1" t="s">
        <v>68</v>
      </c>
      <c r="O412" s="1">
        <v>94110</v>
      </c>
      <c r="P412" s="1" t="s">
        <v>44</v>
      </c>
      <c r="Q412" s="1" t="s">
        <v>1173</v>
      </c>
      <c r="R412" s="1" t="s">
        <v>46</v>
      </c>
      <c r="S412" s="7">
        <v>28.35</v>
      </c>
      <c r="T412" s="1">
        <v>9</v>
      </c>
      <c r="U412" s="9">
        <v>27.45</v>
      </c>
      <c r="V412" s="9">
        <v>255.15</v>
      </c>
      <c r="W412" s="9">
        <v>247.04999999999998</v>
      </c>
      <c r="X412" s="12">
        <v>8.1000000000000227</v>
      </c>
      <c r="Y412" s="10">
        <v>2018</v>
      </c>
    </row>
    <row r="413" spans="1:25">
      <c r="A413" s="1" t="s">
        <v>1166</v>
      </c>
      <c r="B413" s="8">
        <v>43324</v>
      </c>
      <c r="C413" s="11" t="s">
        <v>3344</v>
      </c>
      <c r="D413" s="11" t="s">
        <v>3345</v>
      </c>
      <c r="E413" s="5">
        <v>43446</v>
      </c>
      <c r="F413" s="1" t="s">
        <v>49</v>
      </c>
      <c r="G413" s="1" t="s">
        <v>1167</v>
      </c>
      <c r="H413" s="1" t="s">
        <v>3636</v>
      </c>
      <c r="I413" s="1" t="s">
        <v>3637</v>
      </c>
      <c r="J413" s="1"/>
      <c r="K413" s="1" t="s">
        <v>29</v>
      </c>
      <c r="L413" s="1" t="s">
        <v>30</v>
      </c>
      <c r="M413" s="1" t="s">
        <v>110</v>
      </c>
      <c r="N413" s="1" t="s">
        <v>68</v>
      </c>
      <c r="O413" s="1">
        <v>94110</v>
      </c>
      <c r="P413" s="1" t="s">
        <v>44</v>
      </c>
      <c r="Q413" s="1" t="s">
        <v>1019</v>
      </c>
      <c r="R413" s="1" t="s">
        <v>46</v>
      </c>
      <c r="S413" s="7">
        <v>55.98</v>
      </c>
      <c r="T413" s="1">
        <v>9</v>
      </c>
      <c r="U413" s="9">
        <v>55.71</v>
      </c>
      <c r="V413" s="9">
        <v>503.82</v>
      </c>
      <c r="W413" s="9">
        <v>501.39</v>
      </c>
      <c r="X413" s="12">
        <v>2.4300000000000068</v>
      </c>
      <c r="Y413" s="10">
        <v>2018</v>
      </c>
    </row>
    <row r="414" spans="1:25">
      <c r="A414" s="1" t="s">
        <v>1166</v>
      </c>
      <c r="B414" s="8">
        <v>43324</v>
      </c>
      <c r="C414" s="11" t="s">
        <v>3344</v>
      </c>
      <c r="D414" s="11" t="s">
        <v>3345</v>
      </c>
      <c r="E414" s="5">
        <v>43446</v>
      </c>
      <c r="F414" s="1" t="s">
        <v>49</v>
      </c>
      <c r="G414" s="1" t="s">
        <v>1167</v>
      </c>
      <c r="H414" s="1" t="s">
        <v>3636</v>
      </c>
      <c r="I414" s="1" t="s">
        <v>3637</v>
      </c>
      <c r="J414" s="1"/>
      <c r="K414" s="1" t="s">
        <v>29</v>
      </c>
      <c r="L414" s="1" t="s">
        <v>30</v>
      </c>
      <c r="M414" s="1" t="s">
        <v>110</v>
      </c>
      <c r="N414" s="1" t="s">
        <v>68</v>
      </c>
      <c r="O414" s="1">
        <v>94110</v>
      </c>
      <c r="P414" s="1" t="s">
        <v>44</v>
      </c>
      <c r="Q414" s="1" t="s">
        <v>1174</v>
      </c>
      <c r="R414" s="1" t="s">
        <v>35</v>
      </c>
      <c r="S414" s="7">
        <v>1336.829</v>
      </c>
      <c r="T414" s="1">
        <v>9</v>
      </c>
      <c r="U414" s="9">
        <v>1336.39</v>
      </c>
      <c r="V414" s="9">
        <v>12031.460999999999</v>
      </c>
      <c r="W414" s="9">
        <v>12027.51</v>
      </c>
      <c r="X414" s="12">
        <v>3.9509999999991123</v>
      </c>
      <c r="Y414" s="10">
        <v>2018</v>
      </c>
    </row>
    <row r="415" spans="1:25">
      <c r="A415" s="1" t="s">
        <v>1166</v>
      </c>
      <c r="B415" s="8">
        <v>43324</v>
      </c>
      <c r="C415" s="11" t="s">
        <v>3344</v>
      </c>
      <c r="D415" s="11" t="s">
        <v>3345</v>
      </c>
      <c r="E415" s="5">
        <v>43446</v>
      </c>
      <c r="F415" s="1" t="s">
        <v>49</v>
      </c>
      <c r="G415" s="1" t="s">
        <v>1167</v>
      </c>
      <c r="H415" s="1" t="s">
        <v>3636</v>
      </c>
      <c r="I415" s="1" t="s">
        <v>3637</v>
      </c>
      <c r="J415" s="1"/>
      <c r="K415" s="1" t="s">
        <v>29</v>
      </c>
      <c r="L415" s="1" t="s">
        <v>30</v>
      </c>
      <c r="M415" s="1" t="s">
        <v>110</v>
      </c>
      <c r="N415" s="1" t="s">
        <v>68</v>
      </c>
      <c r="O415" s="1">
        <v>94110</v>
      </c>
      <c r="P415" s="1" t="s">
        <v>44</v>
      </c>
      <c r="Q415" s="1" t="s">
        <v>1175</v>
      </c>
      <c r="R415" s="1" t="s">
        <v>35</v>
      </c>
      <c r="S415" s="7">
        <v>113.568</v>
      </c>
      <c r="T415" s="1">
        <v>9</v>
      </c>
      <c r="U415" s="9">
        <v>113.48</v>
      </c>
      <c r="V415" s="9">
        <v>1022.112</v>
      </c>
      <c r="W415" s="9">
        <v>1021.32</v>
      </c>
      <c r="X415" s="12">
        <v>0.79199999999991633</v>
      </c>
      <c r="Y415" s="10">
        <v>2018</v>
      </c>
    </row>
    <row r="416" spans="1:25">
      <c r="A416" s="1" t="s">
        <v>1176</v>
      </c>
      <c r="B416" s="8">
        <v>43170</v>
      </c>
      <c r="C416" s="11" t="s">
        <v>3429</v>
      </c>
      <c r="D416" s="11" t="s">
        <v>3382</v>
      </c>
      <c r="E416" s="5">
        <v>43292</v>
      </c>
      <c r="F416" s="1" t="s">
        <v>49</v>
      </c>
      <c r="G416" s="1" t="s">
        <v>1177</v>
      </c>
      <c r="H416" s="1" t="s">
        <v>3638</v>
      </c>
      <c r="I416" s="1" t="s">
        <v>3639</v>
      </c>
      <c r="J416" s="1"/>
      <c r="K416" s="1" t="s">
        <v>41</v>
      </c>
      <c r="L416" s="1" t="s">
        <v>30</v>
      </c>
      <c r="M416" s="1" t="s">
        <v>80</v>
      </c>
      <c r="N416" s="1" t="s">
        <v>81</v>
      </c>
      <c r="O416" s="1">
        <v>98105</v>
      </c>
      <c r="P416" s="1" t="s">
        <v>44</v>
      </c>
      <c r="Q416" s="1" t="s">
        <v>1179</v>
      </c>
      <c r="R416" s="1" t="s">
        <v>46</v>
      </c>
      <c r="S416" s="7">
        <v>139.86000000000001</v>
      </c>
      <c r="T416" s="1">
        <v>9</v>
      </c>
      <c r="U416" s="9">
        <v>138.94</v>
      </c>
      <c r="V416" s="9">
        <v>1258.7400000000002</v>
      </c>
      <c r="W416" s="9">
        <v>1250.46</v>
      </c>
      <c r="X416" s="12">
        <v>8.2800000000002001</v>
      </c>
      <c r="Y416" s="10">
        <v>2018</v>
      </c>
    </row>
    <row r="417" spans="1:25">
      <c r="A417" s="1" t="s">
        <v>1176</v>
      </c>
      <c r="B417" s="8">
        <v>43170</v>
      </c>
      <c r="C417" s="11" t="s">
        <v>3429</v>
      </c>
      <c r="D417" s="11" t="s">
        <v>3382</v>
      </c>
      <c r="E417" s="5">
        <v>43292</v>
      </c>
      <c r="F417" s="1" t="s">
        <v>49</v>
      </c>
      <c r="G417" s="1" t="s">
        <v>1177</v>
      </c>
      <c r="H417" s="1" t="s">
        <v>3638</v>
      </c>
      <c r="I417" s="1" t="s">
        <v>3639</v>
      </c>
      <c r="J417" s="1"/>
      <c r="K417" s="1" t="s">
        <v>41</v>
      </c>
      <c r="L417" s="1" t="s">
        <v>30</v>
      </c>
      <c r="M417" s="1" t="s">
        <v>80</v>
      </c>
      <c r="N417" s="1" t="s">
        <v>81</v>
      </c>
      <c r="O417" s="1">
        <v>98105</v>
      </c>
      <c r="P417" s="1" t="s">
        <v>44</v>
      </c>
      <c r="Q417" s="1" t="s">
        <v>886</v>
      </c>
      <c r="R417" s="1" t="s">
        <v>35</v>
      </c>
      <c r="S417" s="7">
        <v>307.13600000000002</v>
      </c>
      <c r="T417" s="1">
        <v>9</v>
      </c>
      <c r="U417" s="9">
        <v>306.85000000000002</v>
      </c>
      <c r="V417" s="9">
        <v>2764.2240000000002</v>
      </c>
      <c r="W417" s="9">
        <v>2761.65</v>
      </c>
      <c r="X417" s="12">
        <v>2.5740000000000691</v>
      </c>
      <c r="Y417" s="10">
        <v>2018</v>
      </c>
    </row>
    <row r="418" spans="1:25">
      <c r="A418" s="1" t="s">
        <v>1180</v>
      </c>
      <c r="B418" s="8">
        <v>43275</v>
      </c>
      <c r="C418" s="11" t="s">
        <v>3403</v>
      </c>
      <c r="D418" s="11" t="s">
        <v>3360</v>
      </c>
      <c r="E418" s="5" t="s">
        <v>1181</v>
      </c>
      <c r="F418" s="1" t="s">
        <v>49</v>
      </c>
      <c r="G418" s="1" t="s">
        <v>1182</v>
      </c>
      <c r="H418" s="1" t="s">
        <v>3640</v>
      </c>
      <c r="I418" s="1" t="s">
        <v>3641</v>
      </c>
      <c r="J418" s="1"/>
      <c r="K418" s="1" t="s">
        <v>29</v>
      </c>
      <c r="L418" s="1" t="s">
        <v>30</v>
      </c>
      <c r="M418" s="1" t="s">
        <v>1184</v>
      </c>
      <c r="N418" s="1" t="s">
        <v>68</v>
      </c>
      <c r="O418" s="1">
        <v>92646</v>
      </c>
      <c r="P418" s="1" t="s">
        <v>44</v>
      </c>
      <c r="Q418" s="1" t="s">
        <v>1185</v>
      </c>
      <c r="R418" s="1" t="s">
        <v>46</v>
      </c>
      <c r="S418" s="7">
        <v>95.92</v>
      </c>
      <c r="T418" s="1">
        <v>9</v>
      </c>
      <c r="U418" s="9">
        <v>95.2</v>
      </c>
      <c r="V418" s="9">
        <v>863.28</v>
      </c>
      <c r="W418" s="9">
        <v>856.80000000000007</v>
      </c>
      <c r="X418" s="12">
        <v>6.4799999999999045</v>
      </c>
      <c r="Y418" s="10">
        <v>2018</v>
      </c>
    </row>
    <row r="419" spans="1:25">
      <c r="A419" s="1" t="s">
        <v>1186</v>
      </c>
      <c r="B419" s="8">
        <v>42839</v>
      </c>
      <c r="C419" s="11" t="s">
        <v>3359</v>
      </c>
      <c r="D419" s="11" t="s">
        <v>3360</v>
      </c>
      <c r="E419" s="5" t="s">
        <v>1187</v>
      </c>
      <c r="F419" s="1" t="s">
        <v>49</v>
      </c>
      <c r="G419" s="1" t="s">
        <v>1188</v>
      </c>
      <c r="H419" s="1" t="s">
        <v>3470</v>
      </c>
      <c r="I419" s="1" t="s">
        <v>3642</v>
      </c>
      <c r="J419" s="1"/>
      <c r="K419" s="1" t="s">
        <v>29</v>
      </c>
      <c r="L419" s="1" t="s">
        <v>30</v>
      </c>
      <c r="M419" s="1" t="s">
        <v>42</v>
      </c>
      <c r="N419" s="1" t="s">
        <v>68</v>
      </c>
      <c r="O419" s="1">
        <v>90004</v>
      </c>
      <c r="P419" s="1" t="s">
        <v>44</v>
      </c>
      <c r="Q419" s="1" t="s">
        <v>1190</v>
      </c>
      <c r="R419" s="1" t="s">
        <v>35</v>
      </c>
      <c r="S419" s="7">
        <v>383.8</v>
      </c>
      <c r="T419" s="1">
        <v>9</v>
      </c>
      <c r="U419" s="9">
        <v>383.39</v>
      </c>
      <c r="V419" s="9">
        <v>3454.2000000000003</v>
      </c>
      <c r="W419" s="9">
        <v>3450.5099999999998</v>
      </c>
      <c r="X419" s="12">
        <v>3.6900000000005093</v>
      </c>
      <c r="Y419" s="10">
        <v>2017</v>
      </c>
    </row>
    <row r="420" spans="1:25">
      <c r="A420" s="1" t="s">
        <v>1191</v>
      </c>
      <c r="B420" s="8">
        <v>43262</v>
      </c>
      <c r="C420" s="11" t="s">
        <v>3403</v>
      </c>
      <c r="D420" s="11" t="s">
        <v>3360</v>
      </c>
      <c r="E420" s="5">
        <v>43384</v>
      </c>
      <c r="F420" s="1" t="s">
        <v>49</v>
      </c>
      <c r="G420" s="1" t="s">
        <v>1033</v>
      </c>
      <c r="H420" s="1" t="s">
        <v>3538</v>
      </c>
      <c r="I420" s="1" t="s">
        <v>3424</v>
      </c>
      <c r="J420" s="1"/>
      <c r="K420" s="1" t="s">
        <v>41</v>
      </c>
      <c r="L420" s="1" t="s">
        <v>30</v>
      </c>
      <c r="M420" s="1" t="s">
        <v>1192</v>
      </c>
      <c r="N420" s="1" t="s">
        <v>32</v>
      </c>
      <c r="O420" s="1">
        <v>40475</v>
      </c>
      <c r="P420" s="1" t="s">
        <v>33</v>
      </c>
      <c r="Q420" s="1" t="s">
        <v>1193</v>
      </c>
      <c r="R420" s="1" t="s">
        <v>46</v>
      </c>
      <c r="S420" s="7">
        <v>5.78</v>
      </c>
      <c r="T420" s="1">
        <v>4</v>
      </c>
      <c r="U420" s="9">
        <v>5.46</v>
      </c>
      <c r="V420" s="9">
        <v>23.12</v>
      </c>
      <c r="W420" s="9">
        <v>21.84</v>
      </c>
      <c r="X420" s="12">
        <v>1.2800000000000011</v>
      </c>
      <c r="Y420" s="10">
        <v>2018</v>
      </c>
    </row>
    <row r="421" spans="1:25">
      <c r="A421" s="1" t="s">
        <v>1194</v>
      </c>
      <c r="B421" s="8">
        <v>43193</v>
      </c>
      <c r="C421" s="11" t="s">
        <v>3359</v>
      </c>
      <c r="D421" s="11" t="s">
        <v>3360</v>
      </c>
      <c r="E421" s="5">
        <v>43346</v>
      </c>
      <c r="F421" s="1" t="s">
        <v>49</v>
      </c>
      <c r="G421" s="1" t="s">
        <v>942</v>
      </c>
      <c r="H421" s="1" t="s">
        <v>3581</v>
      </c>
      <c r="I421" s="1" t="s">
        <v>3582</v>
      </c>
      <c r="J421" s="1"/>
      <c r="K421" s="1" t="s">
        <v>41</v>
      </c>
      <c r="L421" s="1" t="s">
        <v>30</v>
      </c>
      <c r="M421" s="1" t="s">
        <v>42</v>
      </c>
      <c r="N421" s="1" t="s">
        <v>68</v>
      </c>
      <c r="O421" s="1">
        <v>90045</v>
      </c>
      <c r="P421" s="1" t="s">
        <v>44</v>
      </c>
      <c r="Q421" s="1" t="s">
        <v>1195</v>
      </c>
      <c r="R421" s="1" t="s">
        <v>46</v>
      </c>
      <c r="S421" s="7">
        <v>9.32</v>
      </c>
      <c r="T421" s="1">
        <v>9</v>
      </c>
      <c r="U421" s="9">
        <v>8.9499999999999993</v>
      </c>
      <c r="V421" s="9">
        <v>83.88</v>
      </c>
      <c r="W421" s="9">
        <v>80.55</v>
      </c>
      <c r="X421" s="12">
        <v>3.3299999999999983</v>
      </c>
      <c r="Y421" s="10">
        <v>2018</v>
      </c>
    </row>
    <row r="422" spans="1:25">
      <c r="A422" s="1" t="s">
        <v>1194</v>
      </c>
      <c r="B422" s="8">
        <v>43193</v>
      </c>
      <c r="C422" s="11" t="s">
        <v>3359</v>
      </c>
      <c r="D422" s="11" t="s">
        <v>3360</v>
      </c>
      <c r="E422" s="5">
        <v>43346</v>
      </c>
      <c r="F422" s="1" t="s">
        <v>49</v>
      </c>
      <c r="G422" s="1" t="s">
        <v>942</v>
      </c>
      <c r="H422" s="1" t="s">
        <v>3581</v>
      </c>
      <c r="I422" s="1" t="s">
        <v>3582</v>
      </c>
      <c r="J422" s="1"/>
      <c r="K422" s="1" t="s">
        <v>41</v>
      </c>
      <c r="L422" s="1" t="s">
        <v>30</v>
      </c>
      <c r="M422" s="1" t="s">
        <v>42</v>
      </c>
      <c r="N422" s="1" t="s">
        <v>68</v>
      </c>
      <c r="O422" s="1">
        <v>90045</v>
      </c>
      <c r="P422" s="1" t="s">
        <v>44</v>
      </c>
      <c r="Q422" s="1" t="s">
        <v>1196</v>
      </c>
      <c r="R422" s="1" t="s">
        <v>46</v>
      </c>
      <c r="S422" s="7">
        <v>15.25</v>
      </c>
      <c r="T422" s="1">
        <v>9</v>
      </c>
      <c r="U422" s="9">
        <v>15.23</v>
      </c>
      <c r="V422" s="9">
        <v>137.25</v>
      </c>
      <c r="W422" s="9">
        <v>137.07</v>
      </c>
      <c r="X422" s="12">
        <v>0.18000000000000682</v>
      </c>
      <c r="Y422" s="10">
        <v>2018</v>
      </c>
    </row>
    <row r="423" spans="1:25">
      <c r="A423" s="1" t="s">
        <v>1197</v>
      </c>
      <c r="B423" s="8">
        <v>42177</v>
      </c>
      <c r="C423" s="11" t="s">
        <v>3403</v>
      </c>
      <c r="D423" s="11" t="s">
        <v>3360</v>
      </c>
      <c r="E423" s="5" t="s">
        <v>1198</v>
      </c>
      <c r="F423" s="1" t="s">
        <v>162</v>
      </c>
      <c r="G423" s="1" t="s">
        <v>284</v>
      </c>
      <c r="H423" s="1" t="s">
        <v>3422</v>
      </c>
      <c r="I423" s="1" t="s">
        <v>3423</v>
      </c>
      <c r="J423" s="1"/>
      <c r="K423" s="1" t="s">
        <v>29</v>
      </c>
      <c r="L423" s="1" t="s">
        <v>30</v>
      </c>
      <c r="M423" s="1" t="s">
        <v>1199</v>
      </c>
      <c r="N423" s="1" t="s">
        <v>386</v>
      </c>
      <c r="O423" s="1">
        <v>80027</v>
      </c>
      <c r="P423" s="1" t="s">
        <v>44</v>
      </c>
      <c r="Q423" s="1" t="s">
        <v>1200</v>
      </c>
      <c r="R423" s="1" t="s">
        <v>64</v>
      </c>
      <c r="S423" s="7">
        <v>196.75200000000001</v>
      </c>
      <c r="T423" s="1">
        <v>8</v>
      </c>
      <c r="U423" s="9">
        <v>196.71</v>
      </c>
      <c r="V423" s="9">
        <v>1574.0160000000001</v>
      </c>
      <c r="W423" s="9">
        <v>1573.68</v>
      </c>
      <c r="X423" s="12">
        <v>0.33600000000001273</v>
      </c>
      <c r="Y423" s="10">
        <v>2015</v>
      </c>
    </row>
    <row r="424" spans="1:25">
      <c r="A424" s="1" t="s">
        <v>1201</v>
      </c>
      <c r="B424" s="8">
        <v>43392</v>
      </c>
      <c r="C424" s="11" t="s">
        <v>3387</v>
      </c>
      <c r="D424" s="11" t="s">
        <v>3349</v>
      </c>
      <c r="E424" s="5" t="s">
        <v>156</v>
      </c>
      <c r="F424" s="1" t="s">
        <v>49</v>
      </c>
      <c r="G424" s="1" t="s">
        <v>1202</v>
      </c>
      <c r="H424" s="1" t="s">
        <v>3537</v>
      </c>
      <c r="I424" s="1" t="s">
        <v>3496</v>
      </c>
      <c r="J424" s="1"/>
      <c r="K424" s="1" t="s">
        <v>41</v>
      </c>
      <c r="L424" s="1" t="s">
        <v>30</v>
      </c>
      <c r="M424" s="1" t="s">
        <v>1204</v>
      </c>
      <c r="N424" s="1" t="s">
        <v>1014</v>
      </c>
      <c r="O424" s="1">
        <v>1841</v>
      </c>
      <c r="P424" s="1" t="s">
        <v>128</v>
      </c>
      <c r="Q424" s="1" t="s">
        <v>1205</v>
      </c>
      <c r="R424" s="1" t="s">
        <v>35</v>
      </c>
      <c r="S424" s="7">
        <v>56.56</v>
      </c>
      <c r="T424" s="1">
        <v>1</v>
      </c>
      <c r="U424" s="9">
        <v>56.43</v>
      </c>
      <c r="V424" s="9">
        <v>56.56</v>
      </c>
      <c r="W424" s="9">
        <v>56.43</v>
      </c>
      <c r="X424" s="12">
        <v>0.13000000000000256</v>
      </c>
      <c r="Y424" s="10">
        <v>2018</v>
      </c>
    </row>
    <row r="425" spans="1:25">
      <c r="A425" s="1" t="s">
        <v>1201</v>
      </c>
      <c r="B425" s="8">
        <v>43392</v>
      </c>
      <c r="C425" s="11" t="s">
        <v>3387</v>
      </c>
      <c r="D425" s="11" t="s">
        <v>3349</v>
      </c>
      <c r="E425" s="5" t="s">
        <v>156</v>
      </c>
      <c r="F425" s="1" t="s">
        <v>49</v>
      </c>
      <c r="G425" s="1" t="s">
        <v>1202</v>
      </c>
      <c r="H425" s="1" t="s">
        <v>3537</v>
      </c>
      <c r="I425" s="1" t="s">
        <v>3496</v>
      </c>
      <c r="J425" s="1"/>
      <c r="K425" s="1" t="s">
        <v>41</v>
      </c>
      <c r="L425" s="1" t="s">
        <v>30</v>
      </c>
      <c r="M425" s="1" t="s">
        <v>1204</v>
      </c>
      <c r="N425" s="1" t="s">
        <v>1014</v>
      </c>
      <c r="O425" s="1">
        <v>1841</v>
      </c>
      <c r="P425" s="1" t="s">
        <v>128</v>
      </c>
      <c r="Q425" s="1" t="s">
        <v>1206</v>
      </c>
      <c r="R425" s="1" t="s">
        <v>46</v>
      </c>
      <c r="S425" s="7">
        <v>32.700000000000003</v>
      </c>
      <c r="T425" s="1">
        <v>1</v>
      </c>
      <c r="U425" s="9">
        <v>31.8</v>
      </c>
      <c r="V425" s="9">
        <v>32.700000000000003</v>
      </c>
      <c r="W425" s="9">
        <v>31.8</v>
      </c>
      <c r="X425" s="12">
        <v>0.90000000000000213</v>
      </c>
      <c r="Y425" s="10">
        <v>2018</v>
      </c>
    </row>
    <row r="426" spans="1:25">
      <c r="A426" s="1" t="s">
        <v>1207</v>
      </c>
      <c r="B426" s="8">
        <v>43333</v>
      </c>
      <c r="C426" s="11" t="s">
        <v>3344</v>
      </c>
      <c r="D426" s="11" t="s">
        <v>3345</v>
      </c>
      <c r="E426" s="5" t="s">
        <v>1208</v>
      </c>
      <c r="F426" s="1" t="s">
        <v>26</v>
      </c>
      <c r="G426" s="1" t="s">
        <v>1209</v>
      </c>
      <c r="H426" s="1" t="s">
        <v>3643</v>
      </c>
      <c r="I426" s="1" t="s">
        <v>3644</v>
      </c>
      <c r="J426" s="1"/>
      <c r="K426" s="1" t="s">
        <v>29</v>
      </c>
      <c r="L426" s="1" t="s">
        <v>30</v>
      </c>
      <c r="M426" s="1" t="s">
        <v>281</v>
      </c>
      <c r="N426" s="1" t="s">
        <v>1211</v>
      </c>
      <c r="O426" s="1">
        <v>39212</v>
      </c>
      <c r="P426" s="1" t="s">
        <v>33</v>
      </c>
      <c r="Q426" s="1" t="s">
        <v>1212</v>
      </c>
      <c r="R426" s="1" t="s">
        <v>35</v>
      </c>
      <c r="S426" s="7">
        <v>866.4</v>
      </c>
      <c r="T426" s="1">
        <v>3</v>
      </c>
      <c r="U426" s="9">
        <v>865.96</v>
      </c>
      <c r="V426" s="9">
        <v>2599.1999999999998</v>
      </c>
      <c r="W426" s="9">
        <v>2597.88</v>
      </c>
      <c r="X426" s="12">
        <v>1.319999999999709</v>
      </c>
      <c r="Y426" s="10">
        <v>2018</v>
      </c>
    </row>
    <row r="427" spans="1:25">
      <c r="A427" s="1" t="s">
        <v>1213</v>
      </c>
      <c r="B427" s="8">
        <v>43427</v>
      </c>
      <c r="C427" s="11" t="s">
        <v>3353</v>
      </c>
      <c r="D427" s="11" t="s">
        <v>3349</v>
      </c>
      <c r="E427" s="5" t="s">
        <v>1214</v>
      </c>
      <c r="F427" s="1" t="s">
        <v>26</v>
      </c>
      <c r="G427" s="1" t="s">
        <v>231</v>
      </c>
      <c r="H427" s="1" t="s">
        <v>3408</v>
      </c>
      <c r="I427" s="1" t="s">
        <v>3409</v>
      </c>
      <c r="J427" s="1"/>
      <c r="K427" s="1" t="s">
        <v>41</v>
      </c>
      <c r="L427" s="1" t="s">
        <v>30</v>
      </c>
      <c r="M427" s="1" t="s">
        <v>1215</v>
      </c>
      <c r="N427" s="1" t="s">
        <v>209</v>
      </c>
      <c r="O427" s="1">
        <v>48187</v>
      </c>
      <c r="P427" s="1" t="s">
        <v>90</v>
      </c>
      <c r="Q427" s="1" t="s">
        <v>1216</v>
      </c>
      <c r="R427" s="1" t="s">
        <v>35</v>
      </c>
      <c r="S427" s="7">
        <v>28.4</v>
      </c>
      <c r="T427" s="1">
        <v>4</v>
      </c>
      <c r="U427" s="9">
        <v>27.46</v>
      </c>
      <c r="V427" s="9">
        <v>113.6</v>
      </c>
      <c r="W427" s="9">
        <v>109.84</v>
      </c>
      <c r="X427" s="12">
        <v>3.7599999999999909</v>
      </c>
      <c r="Y427" s="10">
        <v>2018</v>
      </c>
    </row>
    <row r="428" spans="1:25">
      <c r="A428" s="1" t="s">
        <v>1213</v>
      </c>
      <c r="B428" s="8">
        <v>43427</v>
      </c>
      <c r="C428" s="11" t="s">
        <v>3353</v>
      </c>
      <c r="D428" s="11" t="s">
        <v>3349</v>
      </c>
      <c r="E428" s="5" t="s">
        <v>1214</v>
      </c>
      <c r="F428" s="1" t="s">
        <v>26</v>
      </c>
      <c r="G428" s="1" t="s">
        <v>231</v>
      </c>
      <c r="H428" s="1" t="s">
        <v>3408</v>
      </c>
      <c r="I428" s="1" t="s">
        <v>3409</v>
      </c>
      <c r="J428" s="1"/>
      <c r="K428" s="1" t="s">
        <v>41</v>
      </c>
      <c r="L428" s="1" t="s">
        <v>30</v>
      </c>
      <c r="M428" s="1" t="s">
        <v>1215</v>
      </c>
      <c r="N428" s="1" t="s">
        <v>209</v>
      </c>
      <c r="O428" s="1">
        <v>48187</v>
      </c>
      <c r="P428" s="1" t="s">
        <v>90</v>
      </c>
      <c r="Q428" s="1" t="s">
        <v>1217</v>
      </c>
      <c r="R428" s="1" t="s">
        <v>46</v>
      </c>
      <c r="S428" s="7">
        <v>287.92</v>
      </c>
      <c r="T428" s="1">
        <v>4</v>
      </c>
      <c r="U428" s="9">
        <v>287.29000000000002</v>
      </c>
      <c r="V428" s="9">
        <v>1151.68</v>
      </c>
      <c r="W428" s="9">
        <v>1149.1600000000001</v>
      </c>
      <c r="X428" s="12">
        <v>2.5199999999999818</v>
      </c>
      <c r="Y428" s="10">
        <v>2018</v>
      </c>
    </row>
    <row r="429" spans="1:25">
      <c r="A429" s="1" t="s">
        <v>1218</v>
      </c>
      <c r="B429" s="8">
        <v>42347</v>
      </c>
      <c r="C429" s="11" t="s">
        <v>3348</v>
      </c>
      <c r="D429" s="11" t="s">
        <v>3349</v>
      </c>
      <c r="E429" s="5" t="s">
        <v>1219</v>
      </c>
      <c r="F429" s="1" t="s">
        <v>162</v>
      </c>
      <c r="G429" s="1" t="s">
        <v>1220</v>
      </c>
      <c r="H429" s="1" t="s">
        <v>3507</v>
      </c>
      <c r="I429" s="1" t="s">
        <v>3419</v>
      </c>
      <c r="J429" s="1"/>
      <c r="K429" s="1" t="s">
        <v>87</v>
      </c>
      <c r="L429" s="1" t="s">
        <v>30</v>
      </c>
      <c r="M429" s="1" t="s">
        <v>1222</v>
      </c>
      <c r="N429" s="1" t="s">
        <v>234</v>
      </c>
      <c r="O429" s="1">
        <v>10801</v>
      </c>
      <c r="P429" s="1" t="s">
        <v>128</v>
      </c>
      <c r="Q429" s="1" t="s">
        <v>1223</v>
      </c>
      <c r="R429" s="1" t="s">
        <v>64</v>
      </c>
      <c r="S429" s="7">
        <v>69.989999999999995</v>
      </c>
      <c r="T429" s="1">
        <v>1</v>
      </c>
      <c r="U429" s="9">
        <v>69.33</v>
      </c>
      <c r="V429" s="9">
        <v>69.989999999999995</v>
      </c>
      <c r="W429" s="9">
        <v>69.33</v>
      </c>
      <c r="X429" s="12">
        <v>0.65999999999999659</v>
      </c>
      <c r="Y429" s="10">
        <v>2015</v>
      </c>
    </row>
    <row r="430" spans="1:25">
      <c r="A430" s="1" t="s">
        <v>1224</v>
      </c>
      <c r="B430" s="8">
        <v>43110</v>
      </c>
      <c r="C430" s="11" t="s">
        <v>3381</v>
      </c>
      <c r="D430" s="11" t="s">
        <v>3382</v>
      </c>
      <c r="E430" s="5">
        <v>43322</v>
      </c>
      <c r="F430" s="1" t="s">
        <v>49</v>
      </c>
      <c r="G430" s="1" t="s">
        <v>1225</v>
      </c>
      <c r="H430" s="1" t="s">
        <v>3374</v>
      </c>
      <c r="I430" s="1" t="s">
        <v>3645</v>
      </c>
      <c r="J430" s="1"/>
      <c r="K430" s="1" t="s">
        <v>41</v>
      </c>
      <c r="L430" s="1" t="s">
        <v>30</v>
      </c>
      <c r="M430" s="1" t="s">
        <v>565</v>
      </c>
      <c r="N430" s="1" t="s">
        <v>89</v>
      </c>
      <c r="O430" s="1">
        <v>78207</v>
      </c>
      <c r="P430" s="1" t="s">
        <v>90</v>
      </c>
      <c r="Q430" s="1" t="s">
        <v>1227</v>
      </c>
      <c r="R430" s="1" t="s">
        <v>46</v>
      </c>
      <c r="S430" s="7">
        <v>6.6719999999999997</v>
      </c>
      <c r="T430" s="1">
        <v>7</v>
      </c>
      <c r="U430" s="9">
        <v>5.83</v>
      </c>
      <c r="V430" s="9">
        <v>46.704000000000001</v>
      </c>
      <c r="W430" s="9">
        <v>40.81</v>
      </c>
      <c r="X430" s="12">
        <v>5.8939999999999984</v>
      </c>
      <c r="Y430" s="10">
        <v>2018</v>
      </c>
    </row>
    <row r="431" spans="1:25">
      <c r="A431" s="1" t="s">
        <v>1228</v>
      </c>
      <c r="B431" s="8">
        <v>42840</v>
      </c>
      <c r="C431" s="11" t="s">
        <v>3359</v>
      </c>
      <c r="D431" s="11" t="s">
        <v>3360</v>
      </c>
      <c r="E431" s="5" t="s">
        <v>1229</v>
      </c>
      <c r="F431" s="1" t="s">
        <v>49</v>
      </c>
      <c r="G431" s="1" t="s">
        <v>1230</v>
      </c>
      <c r="H431" s="1" t="s">
        <v>3646</v>
      </c>
      <c r="I431" s="1" t="s">
        <v>3647</v>
      </c>
      <c r="J431" s="1"/>
      <c r="K431" s="1" t="s">
        <v>87</v>
      </c>
      <c r="L431" s="1" t="s">
        <v>30</v>
      </c>
      <c r="M431" s="1" t="s">
        <v>1232</v>
      </c>
      <c r="N431" s="1" t="s">
        <v>75</v>
      </c>
      <c r="O431" s="1">
        <v>28052</v>
      </c>
      <c r="P431" s="1" t="s">
        <v>33</v>
      </c>
      <c r="Q431" s="1" t="s">
        <v>1233</v>
      </c>
      <c r="R431" s="1" t="s">
        <v>46</v>
      </c>
      <c r="S431" s="7">
        <v>189.58799999999999</v>
      </c>
      <c r="T431" s="1">
        <v>2</v>
      </c>
      <c r="U431" s="9">
        <v>189.27</v>
      </c>
      <c r="V431" s="9">
        <v>379.17599999999999</v>
      </c>
      <c r="W431" s="9">
        <v>378.54</v>
      </c>
      <c r="X431" s="12">
        <v>0.63599999999996726</v>
      </c>
      <c r="Y431" s="10">
        <v>2017</v>
      </c>
    </row>
    <row r="432" spans="1:25">
      <c r="A432" s="1" t="s">
        <v>1228</v>
      </c>
      <c r="B432" s="8">
        <v>42840</v>
      </c>
      <c r="C432" s="11" t="s">
        <v>3359</v>
      </c>
      <c r="D432" s="11" t="s">
        <v>3360</v>
      </c>
      <c r="E432" s="5" t="s">
        <v>1229</v>
      </c>
      <c r="F432" s="1" t="s">
        <v>49</v>
      </c>
      <c r="G432" s="1" t="s">
        <v>1230</v>
      </c>
      <c r="H432" s="1" t="s">
        <v>3646</v>
      </c>
      <c r="I432" s="1" t="s">
        <v>3647</v>
      </c>
      <c r="J432" s="1"/>
      <c r="K432" s="1" t="s">
        <v>87</v>
      </c>
      <c r="L432" s="1" t="s">
        <v>30</v>
      </c>
      <c r="M432" s="1" t="s">
        <v>1232</v>
      </c>
      <c r="N432" s="1" t="s">
        <v>75</v>
      </c>
      <c r="O432" s="1">
        <v>28052</v>
      </c>
      <c r="P432" s="1" t="s">
        <v>33</v>
      </c>
      <c r="Q432" s="1" t="s">
        <v>603</v>
      </c>
      <c r="R432" s="1" t="s">
        <v>64</v>
      </c>
      <c r="S432" s="7">
        <v>408.74400000000003</v>
      </c>
      <c r="T432" s="1">
        <v>2</v>
      </c>
      <c r="U432" s="9">
        <v>408.29</v>
      </c>
      <c r="V432" s="9">
        <v>817.48800000000006</v>
      </c>
      <c r="W432" s="9">
        <v>816.58</v>
      </c>
      <c r="X432" s="12">
        <v>0.90800000000001546</v>
      </c>
      <c r="Y432" s="10">
        <v>2017</v>
      </c>
    </row>
    <row r="433" spans="1:25">
      <c r="A433" s="1" t="s">
        <v>1228</v>
      </c>
      <c r="B433" s="8">
        <v>42840</v>
      </c>
      <c r="C433" s="11" t="s">
        <v>3359</v>
      </c>
      <c r="D433" s="11" t="s">
        <v>3360</v>
      </c>
      <c r="E433" s="5" t="s">
        <v>1229</v>
      </c>
      <c r="F433" s="1" t="s">
        <v>49</v>
      </c>
      <c r="G433" s="1" t="s">
        <v>1230</v>
      </c>
      <c r="H433" s="1" t="s">
        <v>3646</v>
      </c>
      <c r="I433" s="1" t="s">
        <v>3647</v>
      </c>
      <c r="J433" s="1"/>
      <c r="K433" s="1" t="s">
        <v>87</v>
      </c>
      <c r="L433" s="1" t="s">
        <v>30</v>
      </c>
      <c r="M433" s="1" t="s">
        <v>1232</v>
      </c>
      <c r="N433" s="1" t="s">
        <v>75</v>
      </c>
      <c r="O433" s="1">
        <v>28052</v>
      </c>
      <c r="P433" s="1" t="s">
        <v>33</v>
      </c>
      <c r="Q433" s="1" t="s">
        <v>603</v>
      </c>
      <c r="R433" s="1" t="s">
        <v>64</v>
      </c>
      <c r="S433" s="7">
        <v>291.95999999999998</v>
      </c>
      <c r="T433" s="1">
        <v>2</v>
      </c>
      <c r="U433" s="9">
        <v>291.27</v>
      </c>
      <c r="V433" s="9">
        <v>583.91999999999996</v>
      </c>
      <c r="W433" s="9">
        <v>582.54</v>
      </c>
      <c r="X433" s="12">
        <v>1.3799999999999955</v>
      </c>
      <c r="Y433" s="10">
        <v>2017</v>
      </c>
    </row>
    <row r="434" spans="1:25">
      <c r="A434" s="1" t="s">
        <v>1228</v>
      </c>
      <c r="B434" s="8">
        <v>42840</v>
      </c>
      <c r="C434" s="11" t="s">
        <v>3359</v>
      </c>
      <c r="D434" s="11" t="s">
        <v>3360</v>
      </c>
      <c r="E434" s="5" t="s">
        <v>1229</v>
      </c>
      <c r="F434" s="1" t="s">
        <v>49</v>
      </c>
      <c r="G434" s="1" t="s">
        <v>1230</v>
      </c>
      <c r="H434" s="1" t="s">
        <v>3646</v>
      </c>
      <c r="I434" s="1" t="s">
        <v>3647</v>
      </c>
      <c r="J434" s="1"/>
      <c r="K434" s="1" t="s">
        <v>87</v>
      </c>
      <c r="L434" s="1" t="s">
        <v>30</v>
      </c>
      <c r="M434" s="1" t="s">
        <v>1232</v>
      </c>
      <c r="N434" s="1" t="s">
        <v>75</v>
      </c>
      <c r="O434" s="1">
        <v>28052</v>
      </c>
      <c r="P434" s="1" t="s">
        <v>33</v>
      </c>
      <c r="Q434" s="1" t="s">
        <v>1234</v>
      </c>
      <c r="R434" s="1" t="s">
        <v>46</v>
      </c>
      <c r="S434" s="7">
        <v>4.7679999999999998</v>
      </c>
      <c r="T434" s="1">
        <v>2</v>
      </c>
      <c r="U434" s="9">
        <v>4.4800000000000004</v>
      </c>
      <c r="V434" s="9">
        <v>9.5359999999999996</v>
      </c>
      <c r="W434" s="9">
        <v>8.9600000000000009</v>
      </c>
      <c r="X434" s="12">
        <v>0.57599999999999874</v>
      </c>
      <c r="Y434" s="10">
        <v>2017</v>
      </c>
    </row>
    <row r="435" spans="1:25">
      <c r="A435" s="1" t="s">
        <v>1235</v>
      </c>
      <c r="B435" s="8">
        <v>42892</v>
      </c>
      <c r="C435" s="11" t="s">
        <v>3403</v>
      </c>
      <c r="D435" s="11" t="s">
        <v>3360</v>
      </c>
      <c r="E435" s="5">
        <v>42922</v>
      </c>
      <c r="F435" s="1" t="s">
        <v>162</v>
      </c>
      <c r="G435" s="1" t="s">
        <v>533</v>
      </c>
      <c r="H435" s="1" t="s">
        <v>3462</v>
      </c>
      <c r="I435" s="1" t="s">
        <v>3494</v>
      </c>
      <c r="J435" s="1"/>
      <c r="K435" s="1" t="s">
        <v>29</v>
      </c>
      <c r="L435" s="1" t="s">
        <v>30</v>
      </c>
      <c r="M435" s="1" t="s">
        <v>1013</v>
      </c>
      <c r="N435" s="1" t="s">
        <v>1014</v>
      </c>
      <c r="O435" s="1">
        <v>1852</v>
      </c>
      <c r="P435" s="1" t="s">
        <v>128</v>
      </c>
      <c r="Q435" s="1" t="s">
        <v>1236</v>
      </c>
      <c r="R435" s="1" t="s">
        <v>46</v>
      </c>
      <c r="S435" s="7">
        <v>714.3</v>
      </c>
      <c r="T435" s="1">
        <v>1</v>
      </c>
      <c r="U435" s="9">
        <v>713.4</v>
      </c>
      <c r="V435" s="9">
        <v>714.3</v>
      </c>
      <c r="W435" s="9">
        <v>713.4</v>
      </c>
      <c r="X435" s="12">
        <v>0.89999999999997726</v>
      </c>
      <c r="Y435" s="10">
        <v>2017</v>
      </c>
    </row>
    <row r="436" spans="1:25">
      <c r="A436" s="1" t="s">
        <v>1237</v>
      </c>
      <c r="B436" s="8">
        <v>42357</v>
      </c>
      <c r="C436" s="11" t="s">
        <v>3348</v>
      </c>
      <c r="D436" s="11" t="s">
        <v>3349</v>
      </c>
      <c r="E436" s="5" t="s">
        <v>1238</v>
      </c>
      <c r="F436" s="1" t="s">
        <v>49</v>
      </c>
      <c r="G436" s="1" t="s">
        <v>1239</v>
      </c>
      <c r="H436" s="1" t="s">
        <v>3621</v>
      </c>
      <c r="I436" s="1" t="s">
        <v>3604</v>
      </c>
      <c r="J436" s="1"/>
      <c r="K436" s="1" t="s">
        <v>29</v>
      </c>
      <c r="L436" s="1" t="s">
        <v>30</v>
      </c>
      <c r="M436" s="1" t="s">
        <v>1241</v>
      </c>
      <c r="N436" s="1" t="s">
        <v>194</v>
      </c>
      <c r="O436" s="1">
        <v>32216</v>
      </c>
      <c r="P436" s="1" t="s">
        <v>33</v>
      </c>
      <c r="Q436" s="1" t="s">
        <v>1242</v>
      </c>
      <c r="R436" s="1" t="s">
        <v>46</v>
      </c>
      <c r="S436" s="7">
        <v>4.8120000000000003</v>
      </c>
      <c r="T436" s="1">
        <v>3</v>
      </c>
      <c r="U436" s="9">
        <v>3.97</v>
      </c>
      <c r="V436" s="9">
        <v>14.436</v>
      </c>
      <c r="W436" s="9">
        <v>11.91</v>
      </c>
      <c r="X436" s="12">
        <v>2.5259999999999998</v>
      </c>
      <c r="Y436" s="10">
        <v>2015</v>
      </c>
    </row>
    <row r="437" spans="1:25">
      <c r="A437" s="1" t="s">
        <v>1237</v>
      </c>
      <c r="B437" s="8">
        <v>42357</v>
      </c>
      <c r="C437" s="11" t="s">
        <v>3348</v>
      </c>
      <c r="D437" s="11" t="s">
        <v>3349</v>
      </c>
      <c r="E437" s="5" t="s">
        <v>1238</v>
      </c>
      <c r="F437" s="1" t="s">
        <v>49</v>
      </c>
      <c r="G437" s="1" t="s">
        <v>1239</v>
      </c>
      <c r="H437" s="1" t="s">
        <v>3621</v>
      </c>
      <c r="I437" s="1" t="s">
        <v>3604</v>
      </c>
      <c r="J437" s="1"/>
      <c r="K437" s="1" t="s">
        <v>29</v>
      </c>
      <c r="L437" s="1" t="s">
        <v>30</v>
      </c>
      <c r="M437" s="1" t="s">
        <v>1241</v>
      </c>
      <c r="N437" s="1" t="s">
        <v>194</v>
      </c>
      <c r="O437" s="1">
        <v>32216</v>
      </c>
      <c r="P437" s="1" t="s">
        <v>33</v>
      </c>
      <c r="Q437" s="1" t="s">
        <v>1243</v>
      </c>
      <c r="R437" s="1" t="s">
        <v>64</v>
      </c>
      <c r="S437" s="7">
        <v>247.8</v>
      </c>
      <c r="T437" s="1">
        <v>3</v>
      </c>
      <c r="U437" s="9">
        <v>247.72</v>
      </c>
      <c r="V437" s="9">
        <v>743.40000000000009</v>
      </c>
      <c r="W437" s="9">
        <v>743.16</v>
      </c>
      <c r="X437" s="12">
        <v>0.24000000000012278</v>
      </c>
      <c r="Y437" s="10">
        <v>2015</v>
      </c>
    </row>
    <row r="438" spans="1:25">
      <c r="A438" s="1" t="s">
        <v>1244</v>
      </c>
      <c r="B438" s="8">
        <v>43075</v>
      </c>
      <c r="C438" s="11" t="s">
        <v>3348</v>
      </c>
      <c r="D438" s="11" t="s">
        <v>3349</v>
      </c>
      <c r="E438" s="5" t="s">
        <v>1245</v>
      </c>
      <c r="F438" s="1" t="s">
        <v>26</v>
      </c>
      <c r="G438" s="1" t="s">
        <v>1246</v>
      </c>
      <c r="H438" s="1" t="s">
        <v>3648</v>
      </c>
      <c r="I438" s="1" t="s">
        <v>3649</v>
      </c>
      <c r="J438" s="1"/>
      <c r="K438" s="1" t="s">
        <v>87</v>
      </c>
      <c r="L438" s="1" t="s">
        <v>30</v>
      </c>
      <c r="M438" s="1" t="s">
        <v>259</v>
      </c>
      <c r="N438" s="1" t="s">
        <v>182</v>
      </c>
      <c r="O438" s="1">
        <v>60623</v>
      </c>
      <c r="P438" s="1" t="s">
        <v>90</v>
      </c>
      <c r="Q438" s="1" t="s">
        <v>1248</v>
      </c>
      <c r="R438" s="1" t="s">
        <v>64</v>
      </c>
      <c r="S438" s="7">
        <v>1007.979</v>
      </c>
      <c r="T438" s="1">
        <v>6</v>
      </c>
      <c r="U438" s="9">
        <v>1007.35</v>
      </c>
      <c r="V438" s="9">
        <v>6047.8739999999998</v>
      </c>
      <c r="W438" s="9">
        <v>6044.1</v>
      </c>
      <c r="X438" s="12">
        <v>3.7739999999994325</v>
      </c>
      <c r="Y438" s="10">
        <v>2017</v>
      </c>
    </row>
    <row r="439" spans="1:25">
      <c r="A439" s="1" t="s">
        <v>1244</v>
      </c>
      <c r="B439" s="8">
        <v>43075</v>
      </c>
      <c r="C439" s="11" t="s">
        <v>3348</v>
      </c>
      <c r="D439" s="11" t="s">
        <v>3349</v>
      </c>
      <c r="E439" s="5" t="s">
        <v>1245</v>
      </c>
      <c r="F439" s="1" t="s">
        <v>26</v>
      </c>
      <c r="G439" s="1" t="s">
        <v>1246</v>
      </c>
      <c r="H439" s="1" t="s">
        <v>3648</v>
      </c>
      <c r="I439" s="1" t="s">
        <v>3649</v>
      </c>
      <c r="J439" s="1"/>
      <c r="K439" s="1" t="s">
        <v>87</v>
      </c>
      <c r="L439" s="1" t="s">
        <v>30</v>
      </c>
      <c r="M439" s="1" t="s">
        <v>259</v>
      </c>
      <c r="N439" s="1" t="s">
        <v>182</v>
      </c>
      <c r="O439" s="1">
        <v>60623</v>
      </c>
      <c r="P439" s="1" t="s">
        <v>90</v>
      </c>
      <c r="Q439" s="1" t="s">
        <v>1019</v>
      </c>
      <c r="R439" s="1" t="s">
        <v>46</v>
      </c>
      <c r="S439" s="7">
        <v>313.488</v>
      </c>
      <c r="T439" s="1">
        <v>6</v>
      </c>
      <c r="U439" s="9">
        <v>313.04000000000002</v>
      </c>
      <c r="V439" s="9">
        <v>1880.9279999999999</v>
      </c>
      <c r="W439" s="9">
        <v>1878.2400000000002</v>
      </c>
      <c r="X439" s="12">
        <v>2.6879999999996471</v>
      </c>
      <c r="Y439" s="10">
        <v>2017</v>
      </c>
    </row>
    <row r="440" spans="1:25">
      <c r="A440" s="1" t="s">
        <v>1249</v>
      </c>
      <c r="B440" s="8">
        <v>43358</v>
      </c>
      <c r="C440" s="11" t="s">
        <v>3356</v>
      </c>
      <c r="D440" s="11" t="s">
        <v>3345</v>
      </c>
      <c r="E440" s="5" t="s">
        <v>1250</v>
      </c>
      <c r="F440" s="1" t="s">
        <v>49</v>
      </c>
      <c r="G440" s="1" t="s">
        <v>1251</v>
      </c>
      <c r="H440" s="1" t="s">
        <v>3650</v>
      </c>
      <c r="I440" s="1" t="s">
        <v>3651</v>
      </c>
      <c r="J440" s="1"/>
      <c r="K440" s="1" t="s">
        <v>41</v>
      </c>
      <c r="L440" s="1" t="s">
        <v>30</v>
      </c>
      <c r="M440" s="1" t="s">
        <v>172</v>
      </c>
      <c r="N440" s="1" t="s">
        <v>89</v>
      </c>
      <c r="O440" s="1">
        <v>77070</v>
      </c>
      <c r="P440" s="1" t="s">
        <v>90</v>
      </c>
      <c r="Q440" s="1" t="s">
        <v>1253</v>
      </c>
      <c r="R440" s="1" t="s">
        <v>46</v>
      </c>
      <c r="S440" s="7">
        <v>31.872</v>
      </c>
      <c r="T440" s="1">
        <v>7</v>
      </c>
      <c r="U440" s="9">
        <v>31.68</v>
      </c>
      <c r="V440" s="9">
        <v>223.10399999999998</v>
      </c>
      <c r="W440" s="9">
        <v>221.76</v>
      </c>
      <c r="X440" s="12">
        <v>1.3439999999999941</v>
      </c>
      <c r="Y440" s="10">
        <v>2018</v>
      </c>
    </row>
    <row r="441" spans="1:25">
      <c r="A441" s="1" t="s">
        <v>1254</v>
      </c>
      <c r="B441" s="8">
        <v>43120</v>
      </c>
      <c r="C441" s="11" t="s">
        <v>3381</v>
      </c>
      <c r="D441" s="11" t="s">
        <v>3382</v>
      </c>
      <c r="E441" s="5" t="s">
        <v>1255</v>
      </c>
      <c r="F441" s="1" t="s">
        <v>26</v>
      </c>
      <c r="G441" s="1" t="s">
        <v>406</v>
      </c>
      <c r="H441" s="1" t="s">
        <v>3455</v>
      </c>
      <c r="I441" s="1" t="s">
        <v>3456</v>
      </c>
      <c r="J441" s="1"/>
      <c r="K441" s="1" t="s">
        <v>41</v>
      </c>
      <c r="L441" s="1" t="s">
        <v>30</v>
      </c>
      <c r="M441" s="1" t="s">
        <v>233</v>
      </c>
      <c r="N441" s="1" t="s">
        <v>234</v>
      </c>
      <c r="O441" s="1">
        <v>10024</v>
      </c>
      <c r="P441" s="1" t="s">
        <v>128</v>
      </c>
      <c r="Q441" s="1" t="s">
        <v>1256</v>
      </c>
      <c r="R441" s="1" t="s">
        <v>35</v>
      </c>
      <c r="S441" s="7">
        <v>207.846</v>
      </c>
      <c r="T441" s="1">
        <v>1</v>
      </c>
      <c r="U441" s="9">
        <v>207.58</v>
      </c>
      <c r="V441" s="9">
        <v>207.846</v>
      </c>
      <c r="W441" s="9">
        <v>207.58</v>
      </c>
      <c r="X441" s="12">
        <v>0.26599999999999113</v>
      </c>
      <c r="Y441" s="10">
        <v>2018</v>
      </c>
    </row>
    <row r="442" spans="1:25">
      <c r="A442" s="1" t="s">
        <v>1257</v>
      </c>
      <c r="B442" s="8">
        <v>42864</v>
      </c>
      <c r="C442" s="11" t="s">
        <v>3363</v>
      </c>
      <c r="D442" s="11" t="s">
        <v>3360</v>
      </c>
      <c r="E442" s="5">
        <v>42925</v>
      </c>
      <c r="F442" s="1" t="s">
        <v>26</v>
      </c>
      <c r="G442" s="1" t="s">
        <v>95</v>
      </c>
      <c r="H442" s="1" t="s">
        <v>3368</v>
      </c>
      <c r="I442" s="1" t="s">
        <v>3369</v>
      </c>
      <c r="J442" s="1"/>
      <c r="K442" s="1" t="s">
        <v>29</v>
      </c>
      <c r="L442" s="1" t="s">
        <v>30</v>
      </c>
      <c r="M442" s="1" t="s">
        <v>728</v>
      </c>
      <c r="N442" s="1" t="s">
        <v>209</v>
      </c>
      <c r="O442" s="1">
        <v>48227</v>
      </c>
      <c r="P442" s="1" t="s">
        <v>90</v>
      </c>
      <c r="Q442" s="1" t="s">
        <v>1258</v>
      </c>
      <c r="R442" s="1" t="s">
        <v>35</v>
      </c>
      <c r="S442" s="7">
        <v>12.22</v>
      </c>
      <c r="T442" s="1">
        <v>4</v>
      </c>
      <c r="U442" s="9">
        <v>11.56</v>
      </c>
      <c r="V442" s="9">
        <v>48.88</v>
      </c>
      <c r="W442" s="9">
        <v>46.24</v>
      </c>
      <c r="X442" s="12">
        <v>2.6400000000000006</v>
      </c>
      <c r="Y442" s="10">
        <v>2017</v>
      </c>
    </row>
    <row r="443" spans="1:25">
      <c r="A443" s="1" t="s">
        <v>1257</v>
      </c>
      <c r="B443" s="8">
        <v>42864</v>
      </c>
      <c r="C443" s="11" t="s">
        <v>3363</v>
      </c>
      <c r="D443" s="11" t="s">
        <v>3360</v>
      </c>
      <c r="E443" s="5">
        <v>42925</v>
      </c>
      <c r="F443" s="1" t="s">
        <v>26</v>
      </c>
      <c r="G443" s="1" t="s">
        <v>95</v>
      </c>
      <c r="H443" s="1" t="s">
        <v>3368</v>
      </c>
      <c r="I443" s="1" t="s">
        <v>3369</v>
      </c>
      <c r="J443" s="1"/>
      <c r="K443" s="1" t="s">
        <v>29</v>
      </c>
      <c r="L443" s="1" t="s">
        <v>30</v>
      </c>
      <c r="M443" s="1" t="s">
        <v>728</v>
      </c>
      <c r="N443" s="1" t="s">
        <v>209</v>
      </c>
      <c r="O443" s="1">
        <v>48227</v>
      </c>
      <c r="P443" s="1" t="s">
        <v>90</v>
      </c>
      <c r="Q443" s="1" t="s">
        <v>1259</v>
      </c>
      <c r="R443" s="1" t="s">
        <v>46</v>
      </c>
      <c r="S443" s="7">
        <v>194.94</v>
      </c>
      <c r="T443" s="1">
        <v>4</v>
      </c>
      <c r="U443" s="9">
        <v>194.44</v>
      </c>
      <c r="V443" s="9">
        <v>779.76</v>
      </c>
      <c r="W443" s="9">
        <v>777.76</v>
      </c>
      <c r="X443" s="12">
        <v>2</v>
      </c>
      <c r="Y443" s="10">
        <v>2017</v>
      </c>
    </row>
    <row r="444" spans="1:25">
      <c r="A444" s="1" t="s">
        <v>1257</v>
      </c>
      <c r="B444" s="8">
        <v>42864</v>
      </c>
      <c r="C444" s="11" t="s">
        <v>3363</v>
      </c>
      <c r="D444" s="11" t="s">
        <v>3360</v>
      </c>
      <c r="E444" s="5">
        <v>42925</v>
      </c>
      <c r="F444" s="1" t="s">
        <v>26</v>
      </c>
      <c r="G444" s="1" t="s">
        <v>95</v>
      </c>
      <c r="H444" s="1" t="s">
        <v>3368</v>
      </c>
      <c r="I444" s="1" t="s">
        <v>3369</v>
      </c>
      <c r="J444" s="1"/>
      <c r="K444" s="1" t="s">
        <v>29</v>
      </c>
      <c r="L444" s="1" t="s">
        <v>30</v>
      </c>
      <c r="M444" s="1" t="s">
        <v>728</v>
      </c>
      <c r="N444" s="1" t="s">
        <v>209</v>
      </c>
      <c r="O444" s="1">
        <v>48227</v>
      </c>
      <c r="P444" s="1" t="s">
        <v>90</v>
      </c>
      <c r="Q444" s="1" t="s">
        <v>1260</v>
      </c>
      <c r="R444" s="1" t="s">
        <v>46</v>
      </c>
      <c r="S444" s="7">
        <v>70.95</v>
      </c>
      <c r="T444" s="1">
        <v>4</v>
      </c>
      <c r="U444" s="9">
        <v>70.42</v>
      </c>
      <c r="V444" s="9">
        <v>283.8</v>
      </c>
      <c r="W444" s="9">
        <v>281.68</v>
      </c>
      <c r="X444" s="12">
        <v>2.1200000000000045</v>
      </c>
      <c r="Y444" s="10">
        <v>2017</v>
      </c>
    </row>
    <row r="445" spans="1:25">
      <c r="A445" s="1" t="s">
        <v>1257</v>
      </c>
      <c r="B445" s="8">
        <v>42864</v>
      </c>
      <c r="C445" s="11" t="s">
        <v>3363</v>
      </c>
      <c r="D445" s="11" t="s">
        <v>3360</v>
      </c>
      <c r="E445" s="5">
        <v>42925</v>
      </c>
      <c r="F445" s="1" t="s">
        <v>26</v>
      </c>
      <c r="G445" s="1" t="s">
        <v>95</v>
      </c>
      <c r="H445" s="1" t="s">
        <v>3368</v>
      </c>
      <c r="I445" s="1" t="s">
        <v>3369</v>
      </c>
      <c r="J445" s="1"/>
      <c r="K445" s="1" t="s">
        <v>29</v>
      </c>
      <c r="L445" s="1" t="s">
        <v>30</v>
      </c>
      <c r="M445" s="1" t="s">
        <v>728</v>
      </c>
      <c r="N445" s="1" t="s">
        <v>209</v>
      </c>
      <c r="O445" s="1">
        <v>48227</v>
      </c>
      <c r="P445" s="1" t="s">
        <v>90</v>
      </c>
      <c r="Q445" s="1" t="s">
        <v>1261</v>
      </c>
      <c r="R445" s="1" t="s">
        <v>46</v>
      </c>
      <c r="S445" s="7">
        <v>91.36</v>
      </c>
      <c r="T445" s="1">
        <v>4</v>
      </c>
      <c r="U445" s="9">
        <v>90.47</v>
      </c>
      <c r="V445" s="9">
        <v>365.44</v>
      </c>
      <c r="W445" s="9">
        <v>361.88</v>
      </c>
      <c r="X445" s="12">
        <v>3.5600000000000023</v>
      </c>
      <c r="Y445" s="10">
        <v>2017</v>
      </c>
    </row>
    <row r="446" spans="1:25">
      <c r="A446" s="1" t="s">
        <v>1257</v>
      </c>
      <c r="B446" s="8">
        <v>42864</v>
      </c>
      <c r="C446" s="11" t="s">
        <v>3363</v>
      </c>
      <c r="D446" s="11" t="s">
        <v>3360</v>
      </c>
      <c r="E446" s="5">
        <v>42925</v>
      </c>
      <c r="F446" s="1" t="s">
        <v>26</v>
      </c>
      <c r="G446" s="1" t="s">
        <v>95</v>
      </c>
      <c r="H446" s="1" t="s">
        <v>3368</v>
      </c>
      <c r="I446" s="1" t="s">
        <v>3369</v>
      </c>
      <c r="J446" s="1"/>
      <c r="K446" s="1" t="s">
        <v>29</v>
      </c>
      <c r="L446" s="1" t="s">
        <v>30</v>
      </c>
      <c r="M446" s="1" t="s">
        <v>728</v>
      </c>
      <c r="N446" s="1" t="s">
        <v>209</v>
      </c>
      <c r="O446" s="1">
        <v>48227</v>
      </c>
      <c r="P446" s="1" t="s">
        <v>90</v>
      </c>
      <c r="Q446" s="1" t="s">
        <v>1262</v>
      </c>
      <c r="R446" s="1" t="s">
        <v>35</v>
      </c>
      <c r="S446" s="7">
        <v>242.94</v>
      </c>
      <c r="T446" s="1">
        <v>4</v>
      </c>
      <c r="U446" s="9">
        <v>242.17</v>
      </c>
      <c r="V446" s="9">
        <v>971.76</v>
      </c>
      <c r="W446" s="9">
        <v>968.68</v>
      </c>
      <c r="X446" s="12">
        <v>3.0800000000000409</v>
      </c>
      <c r="Y446" s="10">
        <v>2017</v>
      </c>
    </row>
    <row r="447" spans="1:25">
      <c r="A447" s="1" t="s">
        <v>1257</v>
      </c>
      <c r="B447" s="8">
        <v>42864</v>
      </c>
      <c r="C447" s="11" t="s">
        <v>3363</v>
      </c>
      <c r="D447" s="11" t="s">
        <v>3360</v>
      </c>
      <c r="E447" s="5">
        <v>42925</v>
      </c>
      <c r="F447" s="1" t="s">
        <v>26</v>
      </c>
      <c r="G447" s="1" t="s">
        <v>95</v>
      </c>
      <c r="H447" s="1" t="s">
        <v>3368</v>
      </c>
      <c r="I447" s="1" t="s">
        <v>3369</v>
      </c>
      <c r="J447" s="1"/>
      <c r="K447" s="1" t="s">
        <v>29</v>
      </c>
      <c r="L447" s="1" t="s">
        <v>30</v>
      </c>
      <c r="M447" s="1" t="s">
        <v>728</v>
      </c>
      <c r="N447" s="1" t="s">
        <v>209</v>
      </c>
      <c r="O447" s="1">
        <v>48227</v>
      </c>
      <c r="P447" s="1" t="s">
        <v>90</v>
      </c>
      <c r="Q447" s="1" t="s">
        <v>1263</v>
      </c>
      <c r="R447" s="1" t="s">
        <v>46</v>
      </c>
      <c r="S447" s="7">
        <v>22.05</v>
      </c>
      <c r="T447" s="1">
        <v>4</v>
      </c>
      <c r="U447" s="9">
        <v>21.14</v>
      </c>
      <c r="V447" s="9">
        <v>88.2</v>
      </c>
      <c r="W447" s="9">
        <v>84.56</v>
      </c>
      <c r="X447" s="12">
        <v>3.6400000000000006</v>
      </c>
      <c r="Y447" s="10">
        <v>2017</v>
      </c>
    </row>
    <row r="448" spans="1:25">
      <c r="A448" s="1" t="s">
        <v>1264</v>
      </c>
      <c r="B448" s="8">
        <v>43179</v>
      </c>
      <c r="C448" s="11" t="s">
        <v>3429</v>
      </c>
      <c r="D448" s="11" t="s">
        <v>3382</v>
      </c>
      <c r="E448" s="5" t="s">
        <v>1265</v>
      </c>
      <c r="F448" s="1" t="s">
        <v>26</v>
      </c>
      <c r="G448" s="1" t="s">
        <v>1266</v>
      </c>
      <c r="H448" s="1" t="s">
        <v>241</v>
      </c>
      <c r="I448" s="1" t="s">
        <v>3652</v>
      </c>
      <c r="J448" s="1"/>
      <c r="K448" s="1" t="s">
        <v>29</v>
      </c>
      <c r="L448" s="1" t="s">
        <v>30</v>
      </c>
      <c r="M448" s="1" t="s">
        <v>420</v>
      </c>
      <c r="N448" s="1" t="s">
        <v>224</v>
      </c>
      <c r="O448" s="1">
        <v>47201</v>
      </c>
      <c r="P448" s="1" t="s">
        <v>90</v>
      </c>
      <c r="Q448" s="1" t="s">
        <v>1268</v>
      </c>
      <c r="R448" s="1" t="s">
        <v>35</v>
      </c>
      <c r="S448" s="7">
        <v>2.91</v>
      </c>
      <c r="T448" s="1">
        <v>4</v>
      </c>
      <c r="U448" s="9">
        <v>2.17</v>
      </c>
      <c r="V448" s="9">
        <v>11.64</v>
      </c>
      <c r="W448" s="9">
        <v>8.68</v>
      </c>
      <c r="X448" s="12">
        <v>2.9600000000000009</v>
      </c>
      <c r="Y448" s="10">
        <v>2018</v>
      </c>
    </row>
    <row r="449" spans="1:25">
      <c r="A449" s="1" t="s">
        <v>1269</v>
      </c>
      <c r="B449" s="8">
        <v>42739</v>
      </c>
      <c r="C449" s="11" t="s">
        <v>3381</v>
      </c>
      <c r="D449" s="11" t="s">
        <v>3382</v>
      </c>
      <c r="E449" s="5">
        <v>42798</v>
      </c>
      <c r="F449" s="1" t="s">
        <v>26</v>
      </c>
      <c r="G449" s="1" t="s">
        <v>1270</v>
      </c>
      <c r="H449" s="1" t="s">
        <v>3653</v>
      </c>
      <c r="I449" s="1" t="s">
        <v>3654</v>
      </c>
      <c r="J449" s="1"/>
      <c r="K449" s="1" t="s">
        <v>29</v>
      </c>
      <c r="L449" s="1" t="s">
        <v>30</v>
      </c>
      <c r="M449" s="1" t="s">
        <v>1272</v>
      </c>
      <c r="N449" s="1" t="s">
        <v>234</v>
      </c>
      <c r="O449" s="1">
        <v>13021</v>
      </c>
      <c r="P449" s="1" t="s">
        <v>128</v>
      </c>
      <c r="Q449" s="1" t="s">
        <v>1273</v>
      </c>
      <c r="R449" s="1" t="s">
        <v>46</v>
      </c>
      <c r="S449" s="7">
        <v>59.52</v>
      </c>
      <c r="T449" s="1">
        <v>1</v>
      </c>
      <c r="U449" s="9">
        <v>58.78</v>
      </c>
      <c r="V449" s="9">
        <v>59.52</v>
      </c>
      <c r="W449" s="9">
        <v>58.78</v>
      </c>
      <c r="X449" s="12">
        <v>0.74000000000000199</v>
      </c>
      <c r="Y449" s="10">
        <v>2017</v>
      </c>
    </row>
    <row r="450" spans="1:25">
      <c r="A450" s="1" t="s">
        <v>1269</v>
      </c>
      <c r="B450" s="8">
        <v>42739</v>
      </c>
      <c r="C450" s="11" t="s">
        <v>3381</v>
      </c>
      <c r="D450" s="11" t="s">
        <v>3382</v>
      </c>
      <c r="E450" s="5">
        <v>42798</v>
      </c>
      <c r="F450" s="1" t="s">
        <v>26</v>
      </c>
      <c r="G450" s="1" t="s">
        <v>1270</v>
      </c>
      <c r="H450" s="1" t="s">
        <v>3653</v>
      </c>
      <c r="I450" s="1" t="s">
        <v>3654</v>
      </c>
      <c r="J450" s="1"/>
      <c r="K450" s="1" t="s">
        <v>29</v>
      </c>
      <c r="L450" s="1" t="s">
        <v>30</v>
      </c>
      <c r="M450" s="1" t="s">
        <v>1272</v>
      </c>
      <c r="N450" s="1" t="s">
        <v>234</v>
      </c>
      <c r="O450" s="1">
        <v>13021</v>
      </c>
      <c r="P450" s="1" t="s">
        <v>128</v>
      </c>
      <c r="Q450" s="1" t="s">
        <v>1274</v>
      </c>
      <c r="R450" s="1" t="s">
        <v>46</v>
      </c>
      <c r="S450" s="7">
        <v>161.94</v>
      </c>
      <c r="T450" s="1">
        <v>1</v>
      </c>
      <c r="U450" s="9">
        <v>161.59</v>
      </c>
      <c r="V450" s="9">
        <v>161.94</v>
      </c>
      <c r="W450" s="9">
        <v>161.59</v>
      </c>
      <c r="X450" s="12">
        <v>0.34999999999999432</v>
      </c>
      <c r="Y450" s="10">
        <v>2017</v>
      </c>
    </row>
    <row r="451" spans="1:25">
      <c r="A451" s="1" t="s">
        <v>1269</v>
      </c>
      <c r="B451" s="8">
        <v>42739</v>
      </c>
      <c r="C451" s="11" t="s">
        <v>3381</v>
      </c>
      <c r="D451" s="11" t="s">
        <v>3382</v>
      </c>
      <c r="E451" s="5">
        <v>42798</v>
      </c>
      <c r="F451" s="1" t="s">
        <v>26</v>
      </c>
      <c r="G451" s="1" t="s">
        <v>1270</v>
      </c>
      <c r="H451" s="1" t="s">
        <v>3653</v>
      </c>
      <c r="I451" s="1" t="s">
        <v>3654</v>
      </c>
      <c r="J451" s="1"/>
      <c r="K451" s="1" t="s">
        <v>29</v>
      </c>
      <c r="L451" s="1" t="s">
        <v>30</v>
      </c>
      <c r="M451" s="1" t="s">
        <v>1272</v>
      </c>
      <c r="N451" s="1" t="s">
        <v>234</v>
      </c>
      <c r="O451" s="1">
        <v>13021</v>
      </c>
      <c r="P451" s="1" t="s">
        <v>128</v>
      </c>
      <c r="Q451" s="1" t="s">
        <v>1275</v>
      </c>
      <c r="R451" s="1" t="s">
        <v>46</v>
      </c>
      <c r="S451" s="7">
        <v>263.88</v>
      </c>
      <c r="T451" s="1">
        <v>1</v>
      </c>
      <c r="U451" s="9">
        <v>263.38</v>
      </c>
      <c r="V451" s="9">
        <v>263.88</v>
      </c>
      <c r="W451" s="9">
        <v>263.38</v>
      </c>
      <c r="X451" s="12">
        <v>0.5</v>
      </c>
      <c r="Y451" s="10">
        <v>2017</v>
      </c>
    </row>
    <row r="452" spans="1:25">
      <c r="A452" s="1" t="s">
        <v>1269</v>
      </c>
      <c r="B452" s="8">
        <v>42739</v>
      </c>
      <c r="C452" s="11" t="s">
        <v>3381</v>
      </c>
      <c r="D452" s="11" t="s">
        <v>3382</v>
      </c>
      <c r="E452" s="5">
        <v>42798</v>
      </c>
      <c r="F452" s="1" t="s">
        <v>26</v>
      </c>
      <c r="G452" s="1" t="s">
        <v>1270</v>
      </c>
      <c r="H452" s="1" t="s">
        <v>3653</v>
      </c>
      <c r="I452" s="1" t="s">
        <v>3654</v>
      </c>
      <c r="J452" s="1"/>
      <c r="K452" s="1" t="s">
        <v>29</v>
      </c>
      <c r="L452" s="1" t="s">
        <v>30</v>
      </c>
      <c r="M452" s="1" t="s">
        <v>1272</v>
      </c>
      <c r="N452" s="1" t="s">
        <v>234</v>
      </c>
      <c r="O452" s="1">
        <v>13021</v>
      </c>
      <c r="P452" s="1" t="s">
        <v>128</v>
      </c>
      <c r="Q452" s="1" t="s">
        <v>1276</v>
      </c>
      <c r="R452" s="1" t="s">
        <v>46</v>
      </c>
      <c r="S452" s="7">
        <v>30.48</v>
      </c>
      <c r="T452" s="1">
        <v>1</v>
      </c>
      <c r="U452" s="9">
        <v>30.24</v>
      </c>
      <c r="V452" s="9">
        <v>30.48</v>
      </c>
      <c r="W452" s="9">
        <v>30.24</v>
      </c>
      <c r="X452" s="12">
        <v>0.24000000000000199</v>
      </c>
      <c r="Y452" s="10">
        <v>2017</v>
      </c>
    </row>
    <row r="453" spans="1:25">
      <c r="A453" s="1" t="s">
        <v>1269</v>
      </c>
      <c r="B453" s="8">
        <v>42739</v>
      </c>
      <c r="C453" s="11" t="s">
        <v>3381</v>
      </c>
      <c r="D453" s="11" t="s">
        <v>3382</v>
      </c>
      <c r="E453" s="5">
        <v>42798</v>
      </c>
      <c r="F453" s="1" t="s">
        <v>26</v>
      </c>
      <c r="G453" s="1" t="s">
        <v>1270</v>
      </c>
      <c r="H453" s="1" t="s">
        <v>3653</v>
      </c>
      <c r="I453" s="1" t="s">
        <v>3654</v>
      </c>
      <c r="J453" s="1"/>
      <c r="K453" s="1" t="s">
        <v>29</v>
      </c>
      <c r="L453" s="1" t="s">
        <v>30</v>
      </c>
      <c r="M453" s="1" t="s">
        <v>1272</v>
      </c>
      <c r="N453" s="1" t="s">
        <v>234</v>
      </c>
      <c r="O453" s="1">
        <v>13021</v>
      </c>
      <c r="P453" s="1" t="s">
        <v>128</v>
      </c>
      <c r="Q453" s="1" t="s">
        <v>1277</v>
      </c>
      <c r="R453" s="1" t="s">
        <v>46</v>
      </c>
      <c r="S453" s="7">
        <v>9.84</v>
      </c>
      <c r="T453" s="1">
        <v>1</v>
      </c>
      <c r="U453" s="9">
        <v>9.02</v>
      </c>
      <c r="V453" s="9">
        <v>9.84</v>
      </c>
      <c r="W453" s="9">
        <v>9.02</v>
      </c>
      <c r="X453" s="12">
        <v>0.82000000000000028</v>
      </c>
      <c r="Y453" s="10">
        <v>2017</v>
      </c>
    </row>
    <row r="454" spans="1:25">
      <c r="A454" s="1" t="s">
        <v>1269</v>
      </c>
      <c r="B454" s="8">
        <v>42739</v>
      </c>
      <c r="C454" s="11" t="s">
        <v>3381</v>
      </c>
      <c r="D454" s="11" t="s">
        <v>3382</v>
      </c>
      <c r="E454" s="5">
        <v>42798</v>
      </c>
      <c r="F454" s="1" t="s">
        <v>26</v>
      </c>
      <c r="G454" s="1" t="s">
        <v>1270</v>
      </c>
      <c r="H454" s="1" t="s">
        <v>3653</v>
      </c>
      <c r="I454" s="1" t="s">
        <v>3654</v>
      </c>
      <c r="J454" s="1"/>
      <c r="K454" s="1" t="s">
        <v>29</v>
      </c>
      <c r="L454" s="1" t="s">
        <v>30</v>
      </c>
      <c r="M454" s="1" t="s">
        <v>1272</v>
      </c>
      <c r="N454" s="1" t="s">
        <v>234</v>
      </c>
      <c r="O454" s="1">
        <v>13021</v>
      </c>
      <c r="P454" s="1" t="s">
        <v>128</v>
      </c>
      <c r="Q454" s="1" t="s">
        <v>1278</v>
      </c>
      <c r="R454" s="1" t="s">
        <v>64</v>
      </c>
      <c r="S454" s="7">
        <v>35.119999999999997</v>
      </c>
      <c r="T454" s="1">
        <v>1</v>
      </c>
      <c r="U454" s="9">
        <v>34.270000000000003</v>
      </c>
      <c r="V454" s="9">
        <v>35.119999999999997</v>
      </c>
      <c r="W454" s="9">
        <v>34.270000000000003</v>
      </c>
      <c r="X454" s="12">
        <v>0.84999999999999432</v>
      </c>
      <c r="Y454" s="10">
        <v>2017</v>
      </c>
    </row>
    <row r="455" spans="1:25">
      <c r="A455" s="1" t="s">
        <v>1279</v>
      </c>
      <c r="B455" s="8">
        <v>43393</v>
      </c>
      <c r="C455" s="11" t="s">
        <v>3387</v>
      </c>
      <c r="D455" s="11" t="s">
        <v>3349</v>
      </c>
      <c r="E455" s="5" t="s">
        <v>1280</v>
      </c>
      <c r="F455" s="1" t="s">
        <v>49</v>
      </c>
      <c r="G455" s="1" t="s">
        <v>1281</v>
      </c>
      <c r="H455" s="1" t="s">
        <v>3655</v>
      </c>
      <c r="I455" s="1" t="s">
        <v>3506</v>
      </c>
      <c r="J455" s="1"/>
      <c r="K455" s="1" t="s">
        <v>41</v>
      </c>
      <c r="L455" s="1" t="s">
        <v>30</v>
      </c>
      <c r="M455" s="1" t="s">
        <v>665</v>
      </c>
      <c r="N455" s="1" t="s">
        <v>421</v>
      </c>
      <c r="O455" s="1">
        <v>44312</v>
      </c>
      <c r="P455" s="1" t="s">
        <v>128</v>
      </c>
      <c r="Q455" s="1" t="s">
        <v>67</v>
      </c>
      <c r="R455" s="1" t="s">
        <v>35</v>
      </c>
      <c r="S455" s="7">
        <v>284.36399999999998</v>
      </c>
      <c r="T455" s="1">
        <v>4</v>
      </c>
      <c r="U455" s="9">
        <v>283.97000000000003</v>
      </c>
      <c r="V455" s="9">
        <v>1137.4559999999999</v>
      </c>
      <c r="W455" s="9">
        <v>1135.8800000000001</v>
      </c>
      <c r="X455" s="12">
        <v>1.5759999999997945</v>
      </c>
      <c r="Y455" s="10">
        <v>2018</v>
      </c>
    </row>
    <row r="456" spans="1:25">
      <c r="A456" s="1" t="s">
        <v>1279</v>
      </c>
      <c r="B456" s="8">
        <v>43393</v>
      </c>
      <c r="C456" s="11" t="s">
        <v>3387</v>
      </c>
      <c r="D456" s="11" t="s">
        <v>3349</v>
      </c>
      <c r="E456" s="5" t="s">
        <v>1280</v>
      </c>
      <c r="F456" s="1" t="s">
        <v>49</v>
      </c>
      <c r="G456" s="1" t="s">
        <v>1281</v>
      </c>
      <c r="H456" s="1" t="s">
        <v>3655</v>
      </c>
      <c r="I456" s="1" t="s">
        <v>3506</v>
      </c>
      <c r="J456" s="1"/>
      <c r="K456" s="1" t="s">
        <v>41</v>
      </c>
      <c r="L456" s="1" t="s">
        <v>30</v>
      </c>
      <c r="M456" s="1" t="s">
        <v>665</v>
      </c>
      <c r="N456" s="1" t="s">
        <v>421</v>
      </c>
      <c r="O456" s="1">
        <v>44312</v>
      </c>
      <c r="P456" s="1" t="s">
        <v>128</v>
      </c>
      <c r="Q456" s="1" t="s">
        <v>1283</v>
      </c>
      <c r="R456" s="1" t="s">
        <v>46</v>
      </c>
      <c r="S456" s="7">
        <v>665.40800000000002</v>
      </c>
      <c r="T456" s="1">
        <v>4</v>
      </c>
      <c r="U456" s="9">
        <v>664.6</v>
      </c>
      <c r="V456" s="9">
        <v>2661.6320000000001</v>
      </c>
      <c r="W456" s="9">
        <v>2658.4</v>
      </c>
      <c r="X456" s="12">
        <v>3.2319999999999709</v>
      </c>
      <c r="Y456" s="10">
        <v>2018</v>
      </c>
    </row>
    <row r="457" spans="1:25">
      <c r="A457" s="1" t="s">
        <v>1284</v>
      </c>
      <c r="B457" s="8">
        <v>43082</v>
      </c>
      <c r="C457" s="11" t="s">
        <v>3348</v>
      </c>
      <c r="D457" s="11" t="s">
        <v>3349</v>
      </c>
      <c r="E457" s="5" t="s">
        <v>230</v>
      </c>
      <c r="F457" s="1" t="s">
        <v>49</v>
      </c>
      <c r="G457" s="1" t="s">
        <v>1225</v>
      </c>
      <c r="H457" s="1" t="s">
        <v>3374</v>
      </c>
      <c r="I457" s="1" t="s">
        <v>3645</v>
      </c>
      <c r="J457" s="1"/>
      <c r="K457" s="1" t="s">
        <v>41</v>
      </c>
      <c r="L457" s="1" t="s">
        <v>30</v>
      </c>
      <c r="M457" s="1" t="s">
        <v>1285</v>
      </c>
      <c r="N457" s="1" t="s">
        <v>540</v>
      </c>
      <c r="O457" s="1">
        <v>73071</v>
      </c>
      <c r="P457" s="1" t="s">
        <v>90</v>
      </c>
      <c r="Q457" s="1" t="s">
        <v>1286</v>
      </c>
      <c r="R457" s="1" t="s">
        <v>64</v>
      </c>
      <c r="S457" s="7">
        <v>63.88</v>
      </c>
      <c r="T457" s="1">
        <v>7</v>
      </c>
      <c r="U457" s="9">
        <v>63.05</v>
      </c>
      <c r="V457" s="9">
        <v>447.16</v>
      </c>
      <c r="W457" s="9">
        <v>441.34999999999997</v>
      </c>
      <c r="X457" s="12">
        <v>5.8100000000000591</v>
      </c>
      <c r="Y457" s="10">
        <v>2017</v>
      </c>
    </row>
    <row r="458" spans="1:25">
      <c r="A458" s="1" t="s">
        <v>1287</v>
      </c>
      <c r="B458" s="8">
        <v>42340</v>
      </c>
      <c r="C458" s="11" t="s">
        <v>3348</v>
      </c>
      <c r="D458" s="11" t="s">
        <v>3349</v>
      </c>
      <c r="E458" s="5" t="s">
        <v>1288</v>
      </c>
      <c r="F458" s="1" t="s">
        <v>49</v>
      </c>
      <c r="G458" s="1" t="s">
        <v>1289</v>
      </c>
      <c r="H458" s="1" t="s">
        <v>3656</v>
      </c>
      <c r="I458" s="1" t="s">
        <v>3657</v>
      </c>
      <c r="J458" s="1"/>
      <c r="K458" s="1" t="s">
        <v>29</v>
      </c>
      <c r="L458" s="1" t="s">
        <v>30</v>
      </c>
      <c r="M458" s="1" t="s">
        <v>74</v>
      </c>
      <c r="N458" s="1" t="s">
        <v>68</v>
      </c>
      <c r="O458" s="1">
        <v>94521</v>
      </c>
      <c r="P458" s="1" t="s">
        <v>44</v>
      </c>
      <c r="Q458" s="1" t="s">
        <v>1291</v>
      </c>
      <c r="R458" s="1" t="s">
        <v>35</v>
      </c>
      <c r="S458" s="7">
        <v>129.56800000000001</v>
      </c>
      <c r="T458" s="1">
        <v>9</v>
      </c>
      <c r="U458" s="9">
        <v>129.15</v>
      </c>
      <c r="V458" s="9">
        <v>1166.1120000000001</v>
      </c>
      <c r="W458" s="9">
        <v>1162.3500000000001</v>
      </c>
      <c r="X458" s="12">
        <v>3.7619999999999436</v>
      </c>
      <c r="Y458" s="10">
        <v>2015</v>
      </c>
    </row>
    <row r="459" spans="1:25">
      <c r="A459" s="1" t="s">
        <v>1292</v>
      </c>
      <c r="B459" s="8">
        <v>43004</v>
      </c>
      <c r="C459" s="11" t="s">
        <v>3356</v>
      </c>
      <c r="D459" s="11" t="s">
        <v>3345</v>
      </c>
      <c r="E459" s="5">
        <v>42745</v>
      </c>
      <c r="F459" s="1" t="s">
        <v>49</v>
      </c>
      <c r="G459" s="1" t="s">
        <v>1209</v>
      </c>
      <c r="H459" s="1" t="s">
        <v>3643</v>
      </c>
      <c r="I459" s="1" t="s">
        <v>3644</v>
      </c>
      <c r="J459" s="1"/>
      <c r="K459" s="1" t="s">
        <v>29</v>
      </c>
      <c r="L459" s="1" t="s">
        <v>30</v>
      </c>
      <c r="M459" s="1" t="s">
        <v>303</v>
      </c>
      <c r="N459" s="1" t="s">
        <v>182</v>
      </c>
      <c r="O459" s="1">
        <v>62521</v>
      </c>
      <c r="P459" s="1" t="s">
        <v>90</v>
      </c>
      <c r="Q459" s="1" t="s">
        <v>1293</v>
      </c>
      <c r="R459" s="1" t="s">
        <v>35</v>
      </c>
      <c r="S459" s="7">
        <v>747.55799999999999</v>
      </c>
      <c r="T459" s="1">
        <v>6</v>
      </c>
      <c r="U459" s="9">
        <v>746.84</v>
      </c>
      <c r="V459" s="9">
        <v>4485.348</v>
      </c>
      <c r="W459" s="9">
        <v>4481.04</v>
      </c>
      <c r="X459" s="12">
        <v>4.3079999999999927</v>
      </c>
      <c r="Y459" s="10">
        <v>2017</v>
      </c>
    </row>
    <row r="460" spans="1:25">
      <c r="A460" s="1" t="s">
        <v>1292</v>
      </c>
      <c r="B460" s="8">
        <v>43004</v>
      </c>
      <c r="C460" s="11" t="s">
        <v>3356</v>
      </c>
      <c r="D460" s="11" t="s">
        <v>3345</v>
      </c>
      <c r="E460" s="5">
        <v>42745</v>
      </c>
      <c r="F460" s="1" t="s">
        <v>49</v>
      </c>
      <c r="G460" s="1" t="s">
        <v>1209</v>
      </c>
      <c r="H460" s="1" t="s">
        <v>3643</v>
      </c>
      <c r="I460" s="1" t="s">
        <v>3644</v>
      </c>
      <c r="J460" s="1"/>
      <c r="K460" s="1" t="s">
        <v>29</v>
      </c>
      <c r="L460" s="1" t="s">
        <v>30</v>
      </c>
      <c r="M460" s="1" t="s">
        <v>303</v>
      </c>
      <c r="N460" s="1" t="s">
        <v>182</v>
      </c>
      <c r="O460" s="1">
        <v>62521</v>
      </c>
      <c r="P460" s="1" t="s">
        <v>90</v>
      </c>
      <c r="Q460" s="1" t="s">
        <v>1294</v>
      </c>
      <c r="R460" s="1" t="s">
        <v>46</v>
      </c>
      <c r="S460" s="7">
        <v>8.9280000000000008</v>
      </c>
      <c r="T460" s="1">
        <v>6</v>
      </c>
      <c r="U460" s="9">
        <v>8.2799999999999994</v>
      </c>
      <c r="V460" s="9">
        <v>53.568000000000005</v>
      </c>
      <c r="W460" s="9">
        <v>49.679999999999993</v>
      </c>
      <c r="X460" s="12">
        <v>3.8880000000000123</v>
      </c>
      <c r="Y460" s="10">
        <v>2017</v>
      </c>
    </row>
    <row r="461" spans="1:25">
      <c r="A461" s="1" t="s">
        <v>1295</v>
      </c>
      <c r="B461" s="8">
        <v>42719</v>
      </c>
      <c r="C461" s="11" t="s">
        <v>3348</v>
      </c>
      <c r="D461" s="11" t="s">
        <v>3349</v>
      </c>
      <c r="E461" s="5" t="s">
        <v>1296</v>
      </c>
      <c r="F461" s="1" t="s">
        <v>49</v>
      </c>
      <c r="G461" s="1" t="s">
        <v>690</v>
      </c>
      <c r="H461" s="1" t="s">
        <v>3535</v>
      </c>
      <c r="I461" s="1" t="s">
        <v>3536</v>
      </c>
      <c r="J461" s="1"/>
      <c r="K461" s="1" t="s">
        <v>29</v>
      </c>
      <c r="L461" s="1" t="s">
        <v>30</v>
      </c>
      <c r="M461" s="1" t="s">
        <v>80</v>
      </c>
      <c r="N461" s="1" t="s">
        <v>81</v>
      </c>
      <c r="O461" s="1">
        <v>98115</v>
      </c>
      <c r="P461" s="1" t="s">
        <v>44</v>
      </c>
      <c r="Q461" s="1" t="s">
        <v>1297</v>
      </c>
      <c r="R461" s="1" t="s">
        <v>46</v>
      </c>
      <c r="S461" s="7">
        <v>103.92</v>
      </c>
      <c r="T461" s="1">
        <v>9</v>
      </c>
      <c r="U461" s="9">
        <v>103.73</v>
      </c>
      <c r="V461" s="9">
        <v>935.28</v>
      </c>
      <c r="W461" s="9">
        <v>933.57</v>
      </c>
      <c r="X461" s="12">
        <v>1.7099999999999227</v>
      </c>
      <c r="Y461" s="10">
        <v>2016</v>
      </c>
    </row>
    <row r="462" spans="1:25">
      <c r="A462" s="1" t="s">
        <v>1295</v>
      </c>
      <c r="B462" s="8">
        <v>42719</v>
      </c>
      <c r="C462" s="11" t="s">
        <v>3348</v>
      </c>
      <c r="D462" s="11" t="s">
        <v>3349</v>
      </c>
      <c r="E462" s="5" t="s">
        <v>1296</v>
      </c>
      <c r="F462" s="1" t="s">
        <v>49</v>
      </c>
      <c r="G462" s="1" t="s">
        <v>690</v>
      </c>
      <c r="H462" s="1" t="s">
        <v>3535</v>
      </c>
      <c r="I462" s="1" t="s">
        <v>3536</v>
      </c>
      <c r="J462" s="1"/>
      <c r="K462" s="1" t="s">
        <v>29</v>
      </c>
      <c r="L462" s="1" t="s">
        <v>30</v>
      </c>
      <c r="M462" s="1" t="s">
        <v>80</v>
      </c>
      <c r="N462" s="1" t="s">
        <v>81</v>
      </c>
      <c r="O462" s="1">
        <v>98115</v>
      </c>
      <c r="P462" s="1" t="s">
        <v>44</v>
      </c>
      <c r="Q462" s="1" t="s">
        <v>1298</v>
      </c>
      <c r="R462" s="1" t="s">
        <v>64</v>
      </c>
      <c r="S462" s="7">
        <v>899.91</v>
      </c>
      <c r="T462" s="1">
        <v>9</v>
      </c>
      <c r="U462" s="9">
        <v>899.67</v>
      </c>
      <c r="V462" s="9">
        <v>8099.19</v>
      </c>
      <c r="W462" s="9">
        <v>8097.03</v>
      </c>
      <c r="X462" s="12">
        <v>2.1599999999998545</v>
      </c>
      <c r="Y462" s="10">
        <v>2016</v>
      </c>
    </row>
    <row r="463" spans="1:25">
      <c r="A463" s="1" t="s">
        <v>1295</v>
      </c>
      <c r="B463" s="8">
        <v>42719</v>
      </c>
      <c r="C463" s="11" t="s">
        <v>3348</v>
      </c>
      <c r="D463" s="11" t="s">
        <v>3349</v>
      </c>
      <c r="E463" s="5" t="s">
        <v>1296</v>
      </c>
      <c r="F463" s="1" t="s">
        <v>49</v>
      </c>
      <c r="G463" s="1" t="s">
        <v>690</v>
      </c>
      <c r="H463" s="1" t="s">
        <v>3535</v>
      </c>
      <c r="I463" s="1" t="s">
        <v>3536</v>
      </c>
      <c r="J463" s="1"/>
      <c r="K463" s="1" t="s">
        <v>29</v>
      </c>
      <c r="L463" s="1" t="s">
        <v>30</v>
      </c>
      <c r="M463" s="1" t="s">
        <v>80</v>
      </c>
      <c r="N463" s="1" t="s">
        <v>81</v>
      </c>
      <c r="O463" s="1">
        <v>98115</v>
      </c>
      <c r="P463" s="1" t="s">
        <v>44</v>
      </c>
      <c r="Q463" s="1" t="s">
        <v>1299</v>
      </c>
      <c r="R463" s="1" t="s">
        <v>46</v>
      </c>
      <c r="S463" s="7">
        <v>51.311999999999998</v>
      </c>
      <c r="T463" s="1">
        <v>9</v>
      </c>
      <c r="U463" s="9">
        <v>50.41</v>
      </c>
      <c r="V463" s="9">
        <v>461.80799999999999</v>
      </c>
      <c r="W463" s="9">
        <v>453.68999999999994</v>
      </c>
      <c r="X463" s="12">
        <v>8.1180000000000518</v>
      </c>
      <c r="Y463" s="10">
        <v>2016</v>
      </c>
    </row>
    <row r="464" spans="1:25">
      <c r="A464" s="1" t="s">
        <v>1300</v>
      </c>
      <c r="B464" s="8">
        <v>42847</v>
      </c>
      <c r="C464" s="11" t="s">
        <v>3359</v>
      </c>
      <c r="D464" s="11" t="s">
        <v>3360</v>
      </c>
      <c r="E464" s="5" t="s">
        <v>977</v>
      </c>
      <c r="F464" s="1" t="s">
        <v>49</v>
      </c>
      <c r="G464" s="1" t="s">
        <v>1301</v>
      </c>
      <c r="H464" s="1" t="s">
        <v>3658</v>
      </c>
      <c r="I464" s="1" t="s">
        <v>3659</v>
      </c>
      <c r="J464" s="1"/>
      <c r="K464" s="1" t="s">
        <v>87</v>
      </c>
      <c r="L464" s="1" t="s">
        <v>30</v>
      </c>
      <c r="M464" s="1" t="s">
        <v>457</v>
      </c>
      <c r="N464" s="1" t="s">
        <v>265</v>
      </c>
      <c r="O464" s="1">
        <v>85023</v>
      </c>
      <c r="P464" s="1" t="s">
        <v>44</v>
      </c>
      <c r="Q464" s="1" t="s">
        <v>1043</v>
      </c>
      <c r="R464" s="1" t="s">
        <v>35</v>
      </c>
      <c r="S464" s="7">
        <v>23.56</v>
      </c>
      <c r="T464" s="1">
        <v>8</v>
      </c>
      <c r="U464" s="9">
        <v>23.16</v>
      </c>
      <c r="V464" s="9">
        <v>188.48</v>
      </c>
      <c r="W464" s="9">
        <v>185.28</v>
      </c>
      <c r="X464" s="12">
        <v>3.1999999999999886</v>
      </c>
      <c r="Y464" s="10">
        <v>2017</v>
      </c>
    </row>
    <row r="465" spans="1:25">
      <c r="A465" s="1" t="s">
        <v>1300</v>
      </c>
      <c r="B465" s="8">
        <v>42847</v>
      </c>
      <c r="C465" s="11" t="s">
        <v>3359</v>
      </c>
      <c r="D465" s="11" t="s">
        <v>3360</v>
      </c>
      <c r="E465" s="5" t="s">
        <v>977</v>
      </c>
      <c r="F465" s="1" t="s">
        <v>49</v>
      </c>
      <c r="G465" s="1" t="s">
        <v>1301</v>
      </c>
      <c r="H465" s="1" t="s">
        <v>3658</v>
      </c>
      <c r="I465" s="1" t="s">
        <v>3659</v>
      </c>
      <c r="J465" s="1"/>
      <c r="K465" s="1" t="s">
        <v>87</v>
      </c>
      <c r="L465" s="1" t="s">
        <v>30</v>
      </c>
      <c r="M465" s="1" t="s">
        <v>457</v>
      </c>
      <c r="N465" s="1" t="s">
        <v>265</v>
      </c>
      <c r="O465" s="1">
        <v>85023</v>
      </c>
      <c r="P465" s="1" t="s">
        <v>44</v>
      </c>
      <c r="Q465" s="1" t="s">
        <v>1303</v>
      </c>
      <c r="R465" s="1" t="s">
        <v>35</v>
      </c>
      <c r="S465" s="7">
        <v>1272.6300000000001</v>
      </c>
      <c r="T465" s="1">
        <v>8</v>
      </c>
      <c r="U465" s="9">
        <v>1272.51</v>
      </c>
      <c r="V465" s="9">
        <v>10181.040000000001</v>
      </c>
      <c r="W465" s="9">
        <v>10180.08</v>
      </c>
      <c r="X465" s="12">
        <v>0.96000000000094587</v>
      </c>
      <c r="Y465" s="10">
        <v>2017</v>
      </c>
    </row>
    <row r="466" spans="1:25">
      <c r="A466" s="1" t="s">
        <v>1300</v>
      </c>
      <c r="B466" s="8">
        <v>42847</v>
      </c>
      <c r="C466" s="11" t="s">
        <v>3359</v>
      </c>
      <c r="D466" s="11" t="s">
        <v>3360</v>
      </c>
      <c r="E466" s="5" t="s">
        <v>977</v>
      </c>
      <c r="F466" s="1" t="s">
        <v>49</v>
      </c>
      <c r="G466" s="1" t="s">
        <v>1301</v>
      </c>
      <c r="H466" s="1" t="s">
        <v>3658</v>
      </c>
      <c r="I466" s="1" t="s">
        <v>3659</v>
      </c>
      <c r="J466" s="1"/>
      <c r="K466" s="1" t="s">
        <v>87</v>
      </c>
      <c r="L466" s="1" t="s">
        <v>30</v>
      </c>
      <c r="M466" s="1" t="s">
        <v>457</v>
      </c>
      <c r="N466" s="1" t="s">
        <v>265</v>
      </c>
      <c r="O466" s="1">
        <v>85023</v>
      </c>
      <c r="P466" s="1" t="s">
        <v>44</v>
      </c>
      <c r="Q466" s="1" t="s">
        <v>1304</v>
      </c>
      <c r="R466" s="1" t="s">
        <v>46</v>
      </c>
      <c r="S466" s="7">
        <v>28.484999999999999</v>
      </c>
      <c r="T466" s="1">
        <v>8</v>
      </c>
      <c r="U466" s="9">
        <v>28.44</v>
      </c>
      <c r="V466" s="9">
        <v>227.88</v>
      </c>
      <c r="W466" s="9">
        <v>227.52</v>
      </c>
      <c r="X466" s="12">
        <v>0.35999999999998522</v>
      </c>
      <c r="Y466" s="10">
        <v>2017</v>
      </c>
    </row>
    <row r="467" spans="1:25">
      <c r="A467" s="1" t="s">
        <v>1300</v>
      </c>
      <c r="B467" s="8">
        <v>42847</v>
      </c>
      <c r="C467" s="11" t="s">
        <v>3359</v>
      </c>
      <c r="D467" s="11" t="s">
        <v>3360</v>
      </c>
      <c r="E467" s="5" t="s">
        <v>977</v>
      </c>
      <c r="F467" s="1" t="s">
        <v>49</v>
      </c>
      <c r="G467" s="1" t="s">
        <v>1301</v>
      </c>
      <c r="H467" s="1" t="s">
        <v>3658</v>
      </c>
      <c r="I467" s="1" t="s">
        <v>3659</v>
      </c>
      <c r="J467" s="1"/>
      <c r="K467" s="1" t="s">
        <v>87</v>
      </c>
      <c r="L467" s="1" t="s">
        <v>30</v>
      </c>
      <c r="M467" s="1" t="s">
        <v>457</v>
      </c>
      <c r="N467" s="1" t="s">
        <v>265</v>
      </c>
      <c r="O467" s="1">
        <v>85023</v>
      </c>
      <c r="P467" s="1" t="s">
        <v>44</v>
      </c>
      <c r="Q467" s="1" t="s">
        <v>1305</v>
      </c>
      <c r="R467" s="1" t="s">
        <v>46</v>
      </c>
      <c r="S467" s="7">
        <v>185.376</v>
      </c>
      <c r="T467" s="1">
        <v>8</v>
      </c>
      <c r="U467" s="9">
        <v>184.43</v>
      </c>
      <c r="V467" s="9">
        <v>1483.008</v>
      </c>
      <c r="W467" s="9">
        <v>1475.44</v>
      </c>
      <c r="X467" s="12">
        <v>7.5679999999999836</v>
      </c>
      <c r="Y467" s="10">
        <v>2017</v>
      </c>
    </row>
    <row r="468" spans="1:25">
      <c r="A468" s="1" t="s">
        <v>1300</v>
      </c>
      <c r="B468" s="8">
        <v>42847</v>
      </c>
      <c r="C468" s="11" t="s">
        <v>3359</v>
      </c>
      <c r="D468" s="11" t="s">
        <v>3360</v>
      </c>
      <c r="E468" s="5" t="s">
        <v>977</v>
      </c>
      <c r="F468" s="1" t="s">
        <v>49</v>
      </c>
      <c r="G468" s="1" t="s">
        <v>1301</v>
      </c>
      <c r="H468" s="1" t="s">
        <v>3658</v>
      </c>
      <c r="I468" s="1" t="s">
        <v>3659</v>
      </c>
      <c r="J468" s="1"/>
      <c r="K468" s="1" t="s">
        <v>87</v>
      </c>
      <c r="L468" s="1" t="s">
        <v>30</v>
      </c>
      <c r="M468" s="1" t="s">
        <v>457</v>
      </c>
      <c r="N468" s="1" t="s">
        <v>265</v>
      </c>
      <c r="O468" s="1">
        <v>85023</v>
      </c>
      <c r="P468" s="1" t="s">
        <v>44</v>
      </c>
      <c r="Q468" s="1" t="s">
        <v>1306</v>
      </c>
      <c r="R468" s="1" t="s">
        <v>46</v>
      </c>
      <c r="S468" s="7">
        <v>78.272000000000006</v>
      </c>
      <c r="T468" s="1">
        <v>8</v>
      </c>
      <c r="U468" s="9">
        <v>77.64</v>
      </c>
      <c r="V468" s="9">
        <v>626.17600000000004</v>
      </c>
      <c r="W468" s="9">
        <v>621.12</v>
      </c>
      <c r="X468" s="12">
        <v>5.05600000000004</v>
      </c>
      <c r="Y468" s="10">
        <v>2017</v>
      </c>
    </row>
    <row r="469" spans="1:25">
      <c r="A469" s="1" t="s">
        <v>1307</v>
      </c>
      <c r="B469" s="8">
        <v>42386</v>
      </c>
      <c r="C469" s="11" t="s">
        <v>3381</v>
      </c>
      <c r="D469" s="11" t="s">
        <v>3382</v>
      </c>
      <c r="E469" s="5" t="s">
        <v>1308</v>
      </c>
      <c r="F469" s="1" t="s">
        <v>49</v>
      </c>
      <c r="G469" s="1" t="s">
        <v>1309</v>
      </c>
      <c r="H469" s="1" t="s">
        <v>3541</v>
      </c>
      <c r="I469" s="1" t="s">
        <v>3660</v>
      </c>
      <c r="J469" s="1"/>
      <c r="K469" s="1" t="s">
        <v>87</v>
      </c>
      <c r="L469" s="1" t="s">
        <v>30</v>
      </c>
      <c r="M469" s="1" t="s">
        <v>1311</v>
      </c>
      <c r="N469" s="1" t="s">
        <v>182</v>
      </c>
      <c r="O469" s="1">
        <v>60068</v>
      </c>
      <c r="P469" s="1" t="s">
        <v>90</v>
      </c>
      <c r="Q469" s="1" t="s">
        <v>887</v>
      </c>
      <c r="R469" s="1" t="s">
        <v>35</v>
      </c>
      <c r="S469" s="7">
        <v>254.744</v>
      </c>
      <c r="T469" s="1">
        <v>6</v>
      </c>
      <c r="U469" s="9">
        <v>254.06</v>
      </c>
      <c r="V469" s="9">
        <v>1528.4639999999999</v>
      </c>
      <c r="W469" s="9">
        <v>1524.3600000000001</v>
      </c>
      <c r="X469" s="12">
        <v>4.1039999999998145</v>
      </c>
      <c r="Y469" s="10">
        <v>2016</v>
      </c>
    </row>
    <row r="470" spans="1:25">
      <c r="A470" s="1" t="s">
        <v>1312</v>
      </c>
      <c r="B470" s="8">
        <v>43190</v>
      </c>
      <c r="C470" s="11" t="s">
        <v>3429</v>
      </c>
      <c r="D470" s="11" t="s">
        <v>3382</v>
      </c>
      <c r="E470" s="5">
        <v>43194</v>
      </c>
      <c r="F470" s="1" t="s">
        <v>49</v>
      </c>
      <c r="G470" s="1" t="s">
        <v>726</v>
      </c>
      <c r="H470" s="1" t="s">
        <v>3508</v>
      </c>
      <c r="I470" s="1" t="s">
        <v>3399</v>
      </c>
      <c r="J470" s="1"/>
      <c r="K470" s="1" t="s">
        <v>41</v>
      </c>
      <c r="L470" s="1" t="s">
        <v>30</v>
      </c>
      <c r="M470" s="1" t="s">
        <v>1313</v>
      </c>
      <c r="N470" s="1" t="s">
        <v>89</v>
      </c>
      <c r="O470" s="1">
        <v>79109</v>
      </c>
      <c r="P470" s="1" t="s">
        <v>90</v>
      </c>
      <c r="Q470" s="1" t="s">
        <v>1314</v>
      </c>
      <c r="R470" s="1" t="s">
        <v>35</v>
      </c>
      <c r="S470" s="7">
        <v>205.33279999999999</v>
      </c>
      <c r="T470" s="1">
        <v>7</v>
      </c>
      <c r="U470" s="9">
        <v>205.18</v>
      </c>
      <c r="V470" s="9">
        <v>1437.3296</v>
      </c>
      <c r="W470" s="9">
        <v>1436.26</v>
      </c>
      <c r="X470" s="12">
        <v>1.0696000000000367</v>
      </c>
      <c r="Y470" s="10">
        <v>2018</v>
      </c>
    </row>
    <row r="471" spans="1:25">
      <c r="A471" s="1" t="s">
        <v>1315</v>
      </c>
      <c r="B471" s="8">
        <v>43085</v>
      </c>
      <c r="C471" s="11" t="s">
        <v>3348</v>
      </c>
      <c r="D471" s="11" t="s">
        <v>3349</v>
      </c>
      <c r="E471" s="5" t="s">
        <v>868</v>
      </c>
      <c r="F471" s="1" t="s">
        <v>26</v>
      </c>
      <c r="G471" s="1" t="s">
        <v>791</v>
      </c>
      <c r="H471" s="1" t="s">
        <v>3553</v>
      </c>
      <c r="I471" s="1" t="s">
        <v>3554</v>
      </c>
      <c r="J471" s="1"/>
      <c r="K471" s="1" t="s">
        <v>29</v>
      </c>
      <c r="L471" s="1" t="s">
        <v>30</v>
      </c>
      <c r="M471" s="1" t="s">
        <v>259</v>
      </c>
      <c r="N471" s="1" t="s">
        <v>182</v>
      </c>
      <c r="O471" s="1">
        <v>60610</v>
      </c>
      <c r="P471" s="1" t="s">
        <v>90</v>
      </c>
      <c r="Q471" s="1" t="s">
        <v>1316</v>
      </c>
      <c r="R471" s="1" t="s">
        <v>46</v>
      </c>
      <c r="S471" s="7">
        <v>4.7880000000000003</v>
      </c>
      <c r="T471" s="1">
        <v>6</v>
      </c>
      <c r="U471" s="9">
        <v>4.67</v>
      </c>
      <c r="V471" s="9">
        <v>28.728000000000002</v>
      </c>
      <c r="W471" s="9">
        <v>28.02</v>
      </c>
      <c r="X471" s="12">
        <v>0.70800000000000196</v>
      </c>
      <c r="Y471" s="10">
        <v>2017</v>
      </c>
    </row>
    <row r="472" spans="1:25">
      <c r="A472" s="1" t="s">
        <v>1317</v>
      </c>
      <c r="B472" s="8">
        <v>42724</v>
      </c>
      <c r="C472" s="11" t="s">
        <v>3348</v>
      </c>
      <c r="D472" s="11" t="s">
        <v>3349</v>
      </c>
      <c r="E472" s="5" t="s">
        <v>1004</v>
      </c>
      <c r="F472" s="1" t="s">
        <v>49</v>
      </c>
      <c r="G472" s="1" t="s">
        <v>1318</v>
      </c>
      <c r="H472" s="1" t="s">
        <v>3661</v>
      </c>
      <c r="I472" s="1" t="s">
        <v>3662</v>
      </c>
      <c r="J472" s="1"/>
      <c r="K472" s="1" t="s">
        <v>41</v>
      </c>
      <c r="L472" s="1" t="s">
        <v>30</v>
      </c>
      <c r="M472" s="1" t="s">
        <v>1320</v>
      </c>
      <c r="N472" s="1" t="s">
        <v>234</v>
      </c>
      <c r="O472" s="1">
        <v>11757</v>
      </c>
      <c r="P472" s="1" t="s">
        <v>128</v>
      </c>
      <c r="Q472" s="1" t="s">
        <v>1321</v>
      </c>
      <c r="R472" s="1" t="s">
        <v>46</v>
      </c>
      <c r="S472" s="7">
        <v>55.48</v>
      </c>
      <c r="T472" s="1">
        <v>1</v>
      </c>
      <c r="U472" s="9">
        <v>55.37</v>
      </c>
      <c r="V472" s="9">
        <v>55.48</v>
      </c>
      <c r="W472" s="9">
        <v>55.37</v>
      </c>
      <c r="X472" s="12">
        <v>0.10999999999999943</v>
      </c>
      <c r="Y472" s="10">
        <v>2016</v>
      </c>
    </row>
    <row r="473" spans="1:25">
      <c r="A473" s="1" t="s">
        <v>1322</v>
      </c>
      <c r="B473" s="8">
        <v>42258</v>
      </c>
      <c r="C473" s="11" t="s">
        <v>3356</v>
      </c>
      <c r="D473" s="11" t="s">
        <v>3345</v>
      </c>
      <c r="E473" s="5">
        <v>42319</v>
      </c>
      <c r="F473" s="1" t="s">
        <v>26</v>
      </c>
      <c r="G473" s="1" t="s">
        <v>1323</v>
      </c>
      <c r="H473" s="1" t="s">
        <v>3599</v>
      </c>
      <c r="I473" s="1" t="s">
        <v>3663</v>
      </c>
      <c r="J473" s="1"/>
      <c r="K473" s="1" t="s">
        <v>29</v>
      </c>
      <c r="L473" s="1" t="s">
        <v>30</v>
      </c>
      <c r="M473" s="1" t="s">
        <v>110</v>
      </c>
      <c r="N473" s="1" t="s">
        <v>68</v>
      </c>
      <c r="O473" s="1">
        <v>94110</v>
      </c>
      <c r="P473" s="1" t="s">
        <v>44</v>
      </c>
      <c r="Q473" s="1" t="s">
        <v>1325</v>
      </c>
      <c r="R473" s="1" t="s">
        <v>46</v>
      </c>
      <c r="S473" s="7">
        <v>340.92</v>
      </c>
      <c r="T473" s="1">
        <v>9</v>
      </c>
      <c r="U473" s="9">
        <v>340.43</v>
      </c>
      <c r="V473" s="9">
        <v>3068.28</v>
      </c>
      <c r="W473" s="9">
        <v>3063.87</v>
      </c>
      <c r="X473" s="12">
        <v>4.4100000000003092</v>
      </c>
      <c r="Y473" s="10">
        <v>2015</v>
      </c>
    </row>
    <row r="474" spans="1:25">
      <c r="A474" s="1" t="s">
        <v>1322</v>
      </c>
      <c r="B474" s="8">
        <v>42258</v>
      </c>
      <c r="C474" s="11" t="s">
        <v>3356</v>
      </c>
      <c r="D474" s="11" t="s">
        <v>3345</v>
      </c>
      <c r="E474" s="5">
        <v>42319</v>
      </c>
      <c r="F474" s="1" t="s">
        <v>26</v>
      </c>
      <c r="G474" s="1" t="s">
        <v>1323</v>
      </c>
      <c r="H474" s="1" t="s">
        <v>3599</v>
      </c>
      <c r="I474" s="1" t="s">
        <v>3663</v>
      </c>
      <c r="J474" s="1"/>
      <c r="K474" s="1" t="s">
        <v>29</v>
      </c>
      <c r="L474" s="1" t="s">
        <v>30</v>
      </c>
      <c r="M474" s="1" t="s">
        <v>110</v>
      </c>
      <c r="N474" s="1" t="s">
        <v>68</v>
      </c>
      <c r="O474" s="1">
        <v>94110</v>
      </c>
      <c r="P474" s="1" t="s">
        <v>44</v>
      </c>
      <c r="Q474" s="1" t="s">
        <v>1326</v>
      </c>
      <c r="R474" s="1" t="s">
        <v>35</v>
      </c>
      <c r="S474" s="7">
        <v>222.666</v>
      </c>
      <c r="T474" s="1">
        <v>9</v>
      </c>
      <c r="U474" s="9">
        <v>221.73</v>
      </c>
      <c r="V474" s="9">
        <v>2003.9939999999999</v>
      </c>
      <c r="W474" s="9">
        <v>1995.57</v>
      </c>
      <c r="X474" s="12">
        <v>8.4239999999999782</v>
      </c>
      <c r="Y474" s="10">
        <v>2015</v>
      </c>
    </row>
    <row r="475" spans="1:25">
      <c r="A475" s="1" t="s">
        <v>1322</v>
      </c>
      <c r="B475" s="8">
        <v>42258</v>
      </c>
      <c r="C475" s="11" t="s">
        <v>3356</v>
      </c>
      <c r="D475" s="11" t="s">
        <v>3345</v>
      </c>
      <c r="E475" s="5">
        <v>42319</v>
      </c>
      <c r="F475" s="1" t="s">
        <v>26</v>
      </c>
      <c r="G475" s="1" t="s">
        <v>1323</v>
      </c>
      <c r="H475" s="1" t="s">
        <v>3599</v>
      </c>
      <c r="I475" s="1" t="s">
        <v>3663</v>
      </c>
      <c r="J475" s="1"/>
      <c r="K475" s="1" t="s">
        <v>29</v>
      </c>
      <c r="L475" s="1" t="s">
        <v>30</v>
      </c>
      <c r="M475" s="1" t="s">
        <v>110</v>
      </c>
      <c r="N475" s="1" t="s">
        <v>68</v>
      </c>
      <c r="O475" s="1">
        <v>94110</v>
      </c>
      <c r="P475" s="1" t="s">
        <v>44</v>
      </c>
      <c r="Q475" s="1" t="s">
        <v>1327</v>
      </c>
      <c r="R475" s="1" t="s">
        <v>64</v>
      </c>
      <c r="S475" s="7">
        <v>703.96799999999996</v>
      </c>
      <c r="T475" s="1">
        <v>9</v>
      </c>
      <c r="U475" s="9">
        <v>703.77</v>
      </c>
      <c r="V475" s="9">
        <v>6335.7119999999995</v>
      </c>
      <c r="W475" s="9">
        <v>6333.93</v>
      </c>
      <c r="X475" s="12">
        <v>1.7819999999992433</v>
      </c>
      <c r="Y475" s="10">
        <v>2015</v>
      </c>
    </row>
    <row r="476" spans="1:25">
      <c r="A476" s="1" t="s">
        <v>1322</v>
      </c>
      <c r="B476" s="8">
        <v>42258</v>
      </c>
      <c r="C476" s="11" t="s">
        <v>3356</v>
      </c>
      <c r="D476" s="11" t="s">
        <v>3345</v>
      </c>
      <c r="E476" s="5">
        <v>42319</v>
      </c>
      <c r="F476" s="1" t="s">
        <v>26</v>
      </c>
      <c r="G476" s="1" t="s">
        <v>1323</v>
      </c>
      <c r="H476" s="1" t="s">
        <v>3599</v>
      </c>
      <c r="I476" s="1" t="s">
        <v>3663</v>
      </c>
      <c r="J476" s="1"/>
      <c r="K476" s="1" t="s">
        <v>29</v>
      </c>
      <c r="L476" s="1" t="s">
        <v>30</v>
      </c>
      <c r="M476" s="1" t="s">
        <v>110</v>
      </c>
      <c r="N476" s="1" t="s">
        <v>68</v>
      </c>
      <c r="O476" s="1">
        <v>94110</v>
      </c>
      <c r="P476" s="1" t="s">
        <v>44</v>
      </c>
      <c r="Q476" s="1" t="s">
        <v>1328</v>
      </c>
      <c r="R476" s="1" t="s">
        <v>46</v>
      </c>
      <c r="S476" s="7">
        <v>92.52</v>
      </c>
      <c r="T476" s="1">
        <v>9</v>
      </c>
      <c r="U476" s="9">
        <v>91.76</v>
      </c>
      <c r="V476" s="9">
        <v>832.68</v>
      </c>
      <c r="W476" s="9">
        <v>825.84</v>
      </c>
      <c r="X476" s="12">
        <v>6.8399999999999181</v>
      </c>
      <c r="Y476" s="10">
        <v>2015</v>
      </c>
    </row>
    <row r="477" spans="1:25">
      <c r="A477" s="1" t="s">
        <v>1322</v>
      </c>
      <c r="B477" s="8">
        <v>42258</v>
      </c>
      <c r="C477" s="11" t="s">
        <v>3356</v>
      </c>
      <c r="D477" s="11" t="s">
        <v>3345</v>
      </c>
      <c r="E477" s="5">
        <v>42319</v>
      </c>
      <c r="F477" s="1" t="s">
        <v>26</v>
      </c>
      <c r="G477" s="1" t="s">
        <v>1323</v>
      </c>
      <c r="H477" s="1" t="s">
        <v>3599</v>
      </c>
      <c r="I477" s="1" t="s">
        <v>3663</v>
      </c>
      <c r="J477" s="1"/>
      <c r="K477" s="1" t="s">
        <v>29</v>
      </c>
      <c r="L477" s="1" t="s">
        <v>30</v>
      </c>
      <c r="M477" s="1" t="s">
        <v>110</v>
      </c>
      <c r="N477" s="1" t="s">
        <v>68</v>
      </c>
      <c r="O477" s="1">
        <v>94110</v>
      </c>
      <c r="P477" s="1" t="s">
        <v>44</v>
      </c>
      <c r="Q477" s="1" t="s">
        <v>1329</v>
      </c>
      <c r="R477" s="1" t="s">
        <v>46</v>
      </c>
      <c r="S477" s="7">
        <v>62.65</v>
      </c>
      <c r="T477" s="1">
        <v>9</v>
      </c>
      <c r="U477" s="9">
        <v>61.71</v>
      </c>
      <c r="V477" s="9">
        <v>563.85</v>
      </c>
      <c r="W477" s="9">
        <v>555.39</v>
      </c>
      <c r="X477" s="12">
        <v>8.4600000000000364</v>
      </c>
      <c r="Y477" s="10">
        <v>2015</v>
      </c>
    </row>
    <row r="478" spans="1:25">
      <c r="A478" s="1" t="s">
        <v>1322</v>
      </c>
      <c r="B478" s="8">
        <v>42258</v>
      </c>
      <c r="C478" s="11" t="s">
        <v>3356</v>
      </c>
      <c r="D478" s="11" t="s">
        <v>3345</v>
      </c>
      <c r="E478" s="5">
        <v>42319</v>
      </c>
      <c r="F478" s="1" t="s">
        <v>26</v>
      </c>
      <c r="G478" s="1" t="s">
        <v>1323</v>
      </c>
      <c r="H478" s="1" t="s">
        <v>3599</v>
      </c>
      <c r="I478" s="1" t="s">
        <v>3663</v>
      </c>
      <c r="J478" s="1"/>
      <c r="K478" s="1" t="s">
        <v>29</v>
      </c>
      <c r="L478" s="1" t="s">
        <v>30</v>
      </c>
      <c r="M478" s="1" t="s">
        <v>110</v>
      </c>
      <c r="N478" s="1" t="s">
        <v>68</v>
      </c>
      <c r="O478" s="1">
        <v>94110</v>
      </c>
      <c r="P478" s="1" t="s">
        <v>44</v>
      </c>
      <c r="Q478" s="1" t="s">
        <v>1330</v>
      </c>
      <c r="R478" s="1" t="s">
        <v>46</v>
      </c>
      <c r="S478" s="7">
        <v>94.85</v>
      </c>
      <c r="T478" s="1">
        <v>9</v>
      </c>
      <c r="U478" s="9">
        <v>94.19</v>
      </c>
      <c r="V478" s="9">
        <v>853.65</v>
      </c>
      <c r="W478" s="9">
        <v>847.71</v>
      </c>
      <c r="X478" s="12">
        <v>5.9399999999999409</v>
      </c>
      <c r="Y478" s="10">
        <v>2015</v>
      </c>
    </row>
    <row r="479" spans="1:25">
      <c r="A479" s="1" t="s">
        <v>1331</v>
      </c>
      <c r="B479" s="8">
        <v>43076</v>
      </c>
      <c r="C479" s="11" t="s">
        <v>3348</v>
      </c>
      <c r="D479" s="11" t="s">
        <v>3349</v>
      </c>
      <c r="E479" s="5" t="s">
        <v>1332</v>
      </c>
      <c r="F479" s="1" t="s">
        <v>49</v>
      </c>
      <c r="G479" s="1" t="s">
        <v>833</v>
      </c>
      <c r="H479" s="1" t="s">
        <v>3563</v>
      </c>
      <c r="I479" s="1" t="s">
        <v>3564</v>
      </c>
      <c r="J479" s="1"/>
      <c r="K479" s="1" t="s">
        <v>41</v>
      </c>
      <c r="L479" s="1" t="s">
        <v>30</v>
      </c>
      <c r="M479" s="1" t="s">
        <v>42</v>
      </c>
      <c r="N479" s="1" t="s">
        <v>68</v>
      </c>
      <c r="O479" s="1">
        <v>90008</v>
      </c>
      <c r="P479" s="1" t="s">
        <v>44</v>
      </c>
      <c r="Q479" s="1" t="s">
        <v>1333</v>
      </c>
      <c r="R479" s="1" t="s">
        <v>64</v>
      </c>
      <c r="S479" s="7">
        <v>95.76</v>
      </c>
      <c r="T479" s="1">
        <v>9</v>
      </c>
      <c r="U479" s="9">
        <v>95.18</v>
      </c>
      <c r="V479" s="9">
        <v>861.84</v>
      </c>
      <c r="W479" s="9">
        <v>856.62000000000012</v>
      </c>
      <c r="X479" s="12">
        <v>5.2199999999999136</v>
      </c>
      <c r="Y479" s="10">
        <v>2017</v>
      </c>
    </row>
    <row r="480" spans="1:25">
      <c r="A480" s="1" t="s">
        <v>1334</v>
      </c>
      <c r="B480" s="8">
        <v>43035</v>
      </c>
      <c r="C480" s="11" t="s">
        <v>3387</v>
      </c>
      <c r="D480" s="11" t="s">
        <v>3349</v>
      </c>
      <c r="E480" s="5">
        <v>42777</v>
      </c>
      <c r="F480" s="1" t="s">
        <v>49</v>
      </c>
      <c r="G480" s="1" t="s">
        <v>1335</v>
      </c>
      <c r="H480" s="1" t="s">
        <v>3599</v>
      </c>
      <c r="I480" s="1" t="s">
        <v>3487</v>
      </c>
      <c r="J480" s="1"/>
      <c r="K480" s="1" t="s">
        <v>29</v>
      </c>
      <c r="L480" s="1" t="s">
        <v>30</v>
      </c>
      <c r="M480" s="1" t="s">
        <v>241</v>
      </c>
      <c r="N480" s="1" t="s">
        <v>234</v>
      </c>
      <c r="O480" s="1">
        <v>12180</v>
      </c>
      <c r="P480" s="1" t="s">
        <v>128</v>
      </c>
      <c r="Q480" s="1" t="s">
        <v>903</v>
      </c>
      <c r="R480" s="1" t="s">
        <v>35</v>
      </c>
      <c r="S480" s="7">
        <v>40.200000000000003</v>
      </c>
      <c r="T480" s="1">
        <v>1</v>
      </c>
      <c r="U480" s="9">
        <v>39.61</v>
      </c>
      <c r="V480" s="9">
        <v>40.200000000000003</v>
      </c>
      <c r="W480" s="9">
        <v>39.61</v>
      </c>
      <c r="X480" s="12">
        <v>0.59000000000000341</v>
      </c>
      <c r="Y480" s="10">
        <v>2017</v>
      </c>
    </row>
    <row r="481" spans="1:25">
      <c r="A481" s="1" t="s">
        <v>1337</v>
      </c>
      <c r="B481" s="8">
        <v>42912</v>
      </c>
      <c r="C481" s="11" t="s">
        <v>3403</v>
      </c>
      <c r="D481" s="11" t="s">
        <v>3360</v>
      </c>
      <c r="E481" s="5">
        <v>42773</v>
      </c>
      <c r="F481" s="1" t="s">
        <v>49</v>
      </c>
      <c r="G481" s="1" t="s">
        <v>1338</v>
      </c>
      <c r="H481" s="1" t="s">
        <v>3589</v>
      </c>
      <c r="I481" s="1" t="s">
        <v>3664</v>
      </c>
      <c r="J481" s="1"/>
      <c r="K481" s="1" t="s">
        <v>41</v>
      </c>
      <c r="L481" s="1" t="s">
        <v>30</v>
      </c>
      <c r="M481" s="1" t="s">
        <v>233</v>
      </c>
      <c r="N481" s="1" t="s">
        <v>234</v>
      </c>
      <c r="O481" s="1">
        <v>10024</v>
      </c>
      <c r="P481" s="1" t="s">
        <v>128</v>
      </c>
      <c r="Q481" s="1" t="s">
        <v>1340</v>
      </c>
      <c r="R481" s="1" t="s">
        <v>46</v>
      </c>
      <c r="S481" s="7">
        <v>14.7</v>
      </c>
      <c r="T481" s="1">
        <v>1</v>
      </c>
      <c r="U481" s="9">
        <v>13.71</v>
      </c>
      <c r="V481" s="9">
        <v>14.7</v>
      </c>
      <c r="W481" s="9">
        <v>13.71</v>
      </c>
      <c r="X481" s="12">
        <v>0.98999999999999844</v>
      </c>
      <c r="Y481" s="10">
        <v>2017</v>
      </c>
    </row>
    <row r="482" spans="1:25">
      <c r="A482" s="1" t="s">
        <v>1337</v>
      </c>
      <c r="B482" s="8">
        <v>42912</v>
      </c>
      <c r="C482" s="11" t="s">
        <v>3403</v>
      </c>
      <c r="D482" s="11" t="s">
        <v>3360</v>
      </c>
      <c r="E482" s="5">
        <v>42773</v>
      </c>
      <c r="F482" s="1" t="s">
        <v>49</v>
      </c>
      <c r="G482" s="1" t="s">
        <v>1338</v>
      </c>
      <c r="H482" s="1" t="s">
        <v>3589</v>
      </c>
      <c r="I482" s="1" t="s">
        <v>3664</v>
      </c>
      <c r="J482" s="1"/>
      <c r="K482" s="1" t="s">
        <v>41</v>
      </c>
      <c r="L482" s="1" t="s">
        <v>30</v>
      </c>
      <c r="M482" s="1" t="s">
        <v>233</v>
      </c>
      <c r="N482" s="1" t="s">
        <v>234</v>
      </c>
      <c r="O482" s="1">
        <v>10024</v>
      </c>
      <c r="P482" s="1" t="s">
        <v>128</v>
      </c>
      <c r="Q482" s="1" t="s">
        <v>1341</v>
      </c>
      <c r="R482" s="1" t="s">
        <v>46</v>
      </c>
      <c r="S482" s="7">
        <v>704.25</v>
      </c>
      <c r="T482" s="1">
        <v>1</v>
      </c>
      <c r="U482" s="9">
        <v>703.79</v>
      </c>
      <c r="V482" s="9">
        <v>704.25</v>
      </c>
      <c r="W482" s="9">
        <v>703.79</v>
      </c>
      <c r="X482" s="12">
        <v>0.46000000000003638</v>
      </c>
      <c r="Y482" s="10">
        <v>2017</v>
      </c>
    </row>
    <row r="483" spans="1:25">
      <c r="A483" s="1" t="s">
        <v>1342</v>
      </c>
      <c r="B483" s="8">
        <v>42165</v>
      </c>
      <c r="C483" s="11" t="s">
        <v>3403</v>
      </c>
      <c r="D483" s="11" t="s">
        <v>3360</v>
      </c>
      <c r="E483" s="5">
        <v>42287</v>
      </c>
      <c r="F483" s="1" t="s">
        <v>49</v>
      </c>
      <c r="G483" s="1" t="s">
        <v>1343</v>
      </c>
      <c r="H483" s="1" t="s">
        <v>3665</v>
      </c>
      <c r="I483" s="1" t="s">
        <v>3628</v>
      </c>
      <c r="J483" s="1"/>
      <c r="K483" s="1" t="s">
        <v>29</v>
      </c>
      <c r="L483" s="1" t="s">
        <v>30</v>
      </c>
      <c r="M483" s="1" t="s">
        <v>778</v>
      </c>
      <c r="N483" s="1" t="s">
        <v>68</v>
      </c>
      <c r="O483" s="1">
        <v>92024</v>
      </c>
      <c r="P483" s="1" t="s">
        <v>44</v>
      </c>
      <c r="Q483" s="1" t="s">
        <v>1345</v>
      </c>
      <c r="R483" s="1" t="s">
        <v>64</v>
      </c>
      <c r="S483" s="7">
        <v>9.09</v>
      </c>
      <c r="T483" s="1">
        <v>9</v>
      </c>
      <c r="U483" s="9">
        <v>8.9</v>
      </c>
      <c r="V483" s="9">
        <v>81.81</v>
      </c>
      <c r="W483" s="9">
        <v>80.100000000000009</v>
      </c>
      <c r="X483" s="12">
        <v>1.7099999999999937</v>
      </c>
      <c r="Y483" s="10">
        <v>2015</v>
      </c>
    </row>
    <row r="484" spans="1:25">
      <c r="A484" s="1" t="s">
        <v>1346</v>
      </c>
      <c r="B484" s="8">
        <v>42207</v>
      </c>
      <c r="C484" s="11" t="s">
        <v>3376</v>
      </c>
      <c r="D484" s="11" t="s">
        <v>3345</v>
      </c>
      <c r="E484" s="5" t="s">
        <v>1064</v>
      </c>
      <c r="F484" s="1" t="s">
        <v>49</v>
      </c>
      <c r="G484" s="1" t="s">
        <v>1347</v>
      </c>
      <c r="H484" s="1" t="s">
        <v>3398</v>
      </c>
      <c r="I484" s="1" t="s">
        <v>3666</v>
      </c>
      <c r="J484" s="1"/>
      <c r="K484" s="1" t="s">
        <v>29</v>
      </c>
      <c r="L484" s="1" t="s">
        <v>30</v>
      </c>
      <c r="M484" s="1" t="s">
        <v>233</v>
      </c>
      <c r="N484" s="1" t="s">
        <v>234</v>
      </c>
      <c r="O484" s="1">
        <v>10024</v>
      </c>
      <c r="P484" s="1" t="s">
        <v>128</v>
      </c>
      <c r="Q484" s="1" t="s">
        <v>311</v>
      </c>
      <c r="R484" s="1" t="s">
        <v>46</v>
      </c>
      <c r="S484" s="7">
        <v>5.96</v>
      </c>
      <c r="T484" s="1">
        <v>1</v>
      </c>
      <c r="U484" s="9">
        <v>4.97</v>
      </c>
      <c r="V484" s="9">
        <v>5.96</v>
      </c>
      <c r="W484" s="9">
        <v>4.97</v>
      </c>
      <c r="X484" s="12">
        <v>0.99000000000000021</v>
      </c>
      <c r="Y484" s="10">
        <v>2015</v>
      </c>
    </row>
    <row r="485" spans="1:25">
      <c r="A485" s="1" t="s">
        <v>1346</v>
      </c>
      <c r="B485" s="8">
        <v>42207</v>
      </c>
      <c r="C485" s="11" t="s">
        <v>3376</v>
      </c>
      <c r="D485" s="11" t="s">
        <v>3345</v>
      </c>
      <c r="E485" s="5" t="s">
        <v>1064</v>
      </c>
      <c r="F485" s="1" t="s">
        <v>49</v>
      </c>
      <c r="G485" s="1" t="s">
        <v>1347</v>
      </c>
      <c r="H485" s="1" t="s">
        <v>3398</v>
      </c>
      <c r="I485" s="1" t="s">
        <v>3666</v>
      </c>
      <c r="J485" s="1"/>
      <c r="K485" s="1" t="s">
        <v>29</v>
      </c>
      <c r="L485" s="1" t="s">
        <v>30</v>
      </c>
      <c r="M485" s="1" t="s">
        <v>233</v>
      </c>
      <c r="N485" s="1" t="s">
        <v>234</v>
      </c>
      <c r="O485" s="1">
        <v>10024</v>
      </c>
      <c r="P485" s="1" t="s">
        <v>128</v>
      </c>
      <c r="Q485" s="1" t="s">
        <v>1349</v>
      </c>
      <c r="R485" s="1" t="s">
        <v>64</v>
      </c>
      <c r="S485" s="7">
        <v>159.97999999999999</v>
      </c>
      <c r="T485" s="1">
        <v>1</v>
      </c>
      <c r="U485" s="9">
        <v>159.24</v>
      </c>
      <c r="V485" s="9">
        <v>159.97999999999999</v>
      </c>
      <c r="W485" s="9">
        <v>159.24</v>
      </c>
      <c r="X485" s="12">
        <v>0.73999999999998067</v>
      </c>
      <c r="Y485" s="10">
        <v>2015</v>
      </c>
    </row>
    <row r="486" spans="1:25">
      <c r="A486" s="1" t="s">
        <v>1350</v>
      </c>
      <c r="B486" s="8">
        <v>43379</v>
      </c>
      <c r="C486" s="11" t="s">
        <v>3387</v>
      </c>
      <c r="D486" s="11" t="s">
        <v>3349</v>
      </c>
      <c r="E486" s="5" t="s">
        <v>1351</v>
      </c>
      <c r="F486" s="1" t="s">
        <v>162</v>
      </c>
      <c r="G486" s="1" t="s">
        <v>1352</v>
      </c>
      <c r="H486" s="1" t="s">
        <v>3667</v>
      </c>
      <c r="I486" s="1" t="s">
        <v>3668</v>
      </c>
      <c r="J486" s="1"/>
      <c r="K486" s="1" t="s">
        <v>87</v>
      </c>
      <c r="L486" s="1" t="s">
        <v>30</v>
      </c>
      <c r="M486" s="1" t="s">
        <v>42</v>
      </c>
      <c r="N486" s="1" t="s">
        <v>68</v>
      </c>
      <c r="O486" s="1">
        <v>90045</v>
      </c>
      <c r="P486" s="1" t="s">
        <v>44</v>
      </c>
      <c r="Q486" s="1" t="s">
        <v>1354</v>
      </c>
      <c r="R486" s="1" t="s">
        <v>46</v>
      </c>
      <c r="S486" s="7">
        <v>29.6</v>
      </c>
      <c r="T486" s="1">
        <v>9</v>
      </c>
      <c r="U486" s="9">
        <v>29.14</v>
      </c>
      <c r="V486" s="9">
        <v>266.40000000000003</v>
      </c>
      <c r="W486" s="9">
        <v>262.26</v>
      </c>
      <c r="X486" s="12">
        <v>4.1400000000000432</v>
      </c>
      <c r="Y486" s="10">
        <v>2018</v>
      </c>
    </row>
    <row r="487" spans="1:25">
      <c r="A487" s="1" t="s">
        <v>1350</v>
      </c>
      <c r="B487" s="8">
        <v>43379</v>
      </c>
      <c r="C487" s="11" t="s">
        <v>3387</v>
      </c>
      <c r="D487" s="11" t="s">
        <v>3349</v>
      </c>
      <c r="E487" s="5" t="s">
        <v>1351</v>
      </c>
      <c r="F487" s="1" t="s">
        <v>162</v>
      </c>
      <c r="G487" s="1" t="s">
        <v>1352</v>
      </c>
      <c r="H487" s="1" t="s">
        <v>3667</v>
      </c>
      <c r="I487" s="1" t="s">
        <v>3668</v>
      </c>
      <c r="J487" s="1"/>
      <c r="K487" s="1" t="s">
        <v>87</v>
      </c>
      <c r="L487" s="1" t="s">
        <v>30</v>
      </c>
      <c r="M487" s="1" t="s">
        <v>42</v>
      </c>
      <c r="N487" s="1" t="s">
        <v>68</v>
      </c>
      <c r="O487" s="1">
        <v>90045</v>
      </c>
      <c r="P487" s="1" t="s">
        <v>44</v>
      </c>
      <c r="Q487" s="1" t="s">
        <v>1355</v>
      </c>
      <c r="R487" s="1" t="s">
        <v>35</v>
      </c>
      <c r="S487" s="7">
        <v>514.16499999999996</v>
      </c>
      <c r="T487" s="1">
        <v>9</v>
      </c>
      <c r="U487" s="9">
        <v>513.37</v>
      </c>
      <c r="V487" s="9">
        <v>4627.4849999999997</v>
      </c>
      <c r="W487" s="9">
        <v>4620.33</v>
      </c>
      <c r="X487" s="12">
        <v>7.1549999999997453</v>
      </c>
      <c r="Y487" s="10">
        <v>2018</v>
      </c>
    </row>
    <row r="488" spans="1:25">
      <c r="A488" s="1" t="s">
        <v>1350</v>
      </c>
      <c r="B488" s="8">
        <v>43379</v>
      </c>
      <c r="C488" s="11" t="s">
        <v>3387</v>
      </c>
      <c r="D488" s="11" t="s">
        <v>3349</v>
      </c>
      <c r="E488" s="5" t="s">
        <v>1351</v>
      </c>
      <c r="F488" s="1" t="s">
        <v>162</v>
      </c>
      <c r="G488" s="1" t="s">
        <v>1352</v>
      </c>
      <c r="H488" s="1" t="s">
        <v>3667</v>
      </c>
      <c r="I488" s="1" t="s">
        <v>3668</v>
      </c>
      <c r="J488" s="1"/>
      <c r="K488" s="1" t="s">
        <v>87</v>
      </c>
      <c r="L488" s="1" t="s">
        <v>30</v>
      </c>
      <c r="M488" s="1" t="s">
        <v>42</v>
      </c>
      <c r="N488" s="1" t="s">
        <v>68</v>
      </c>
      <c r="O488" s="1">
        <v>90045</v>
      </c>
      <c r="P488" s="1" t="s">
        <v>44</v>
      </c>
      <c r="Q488" s="1" t="s">
        <v>1356</v>
      </c>
      <c r="R488" s="1" t="s">
        <v>64</v>
      </c>
      <c r="S488" s="7">
        <v>279.95999999999998</v>
      </c>
      <c r="T488" s="1">
        <v>9</v>
      </c>
      <c r="U488" s="9">
        <v>279.24</v>
      </c>
      <c r="V488" s="9">
        <v>2519.64</v>
      </c>
      <c r="W488" s="9">
        <v>2513.16</v>
      </c>
      <c r="X488" s="12">
        <v>6.4800000000000182</v>
      </c>
      <c r="Y488" s="10">
        <v>2018</v>
      </c>
    </row>
    <row r="489" spans="1:25">
      <c r="A489" s="1" t="s">
        <v>1357</v>
      </c>
      <c r="B489" s="8">
        <v>42306</v>
      </c>
      <c r="C489" s="11" t="s">
        <v>3387</v>
      </c>
      <c r="D489" s="11" t="s">
        <v>3349</v>
      </c>
      <c r="E489" s="5" t="s">
        <v>1358</v>
      </c>
      <c r="F489" s="1" t="s">
        <v>162</v>
      </c>
      <c r="G489" s="1" t="s">
        <v>1359</v>
      </c>
      <c r="H489" s="1" t="s">
        <v>3669</v>
      </c>
      <c r="I489" s="1" t="s">
        <v>3670</v>
      </c>
      <c r="J489" s="1" t="s">
        <v>3671</v>
      </c>
      <c r="K489" s="1" t="s">
        <v>29</v>
      </c>
      <c r="L489" s="1" t="s">
        <v>30</v>
      </c>
      <c r="M489" s="1" t="s">
        <v>259</v>
      </c>
      <c r="N489" s="1" t="s">
        <v>182</v>
      </c>
      <c r="O489" s="1">
        <v>60610</v>
      </c>
      <c r="P489" s="1" t="s">
        <v>90</v>
      </c>
      <c r="Q489" s="1" t="s">
        <v>1361</v>
      </c>
      <c r="R489" s="1" t="s">
        <v>64</v>
      </c>
      <c r="S489" s="7">
        <v>2735.9520000000002</v>
      </c>
      <c r="T489" s="1">
        <v>6</v>
      </c>
      <c r="U489" s="9">
        <v>2735.58</v>
      </c>
      <c r="V489" s="9">
        <v>16415.712</v>
      </c>
      <c r="W489" s="9">
        <v>16413.48</v>
      </c>
      <c r="X489" s="12">
        <v>2.2319999999999709</v>
      </c>
      <c r="Y489" s="10">
        <v>2015</v>
      </c>
    </row>
    <row r="490" spans="1:25">
      <c r="A490" s="1" t="s">
        <v>1362</v>
      </c>
      <c r="B490" s="8">
        <v>42253</v>
      </c>
      <c r="C490" s="11" t="s">
        <v>3356</v>
      </c>
      <c r="D490" s="11" t="s">
        <v>3345</v>
      </c>
      <c r="E490" s="5" t="s">
        <v>1363</v>
      </c>
      <c r="F490" s="1" t="s">
        <v>26</v>
      </c>
      <c r="G490" s="1" t="s">
        <v>1364</v>
      </c>
      <c r="H490" s="1" t="s">
        <v>3672</v>
      </c>
      <c r="I490" s="1" t="s">
        <v>3673</v>
      </c>
      <c r="J490" s="1"/>
      <c r="K490" s="1" t="s">
        <v>87</v>
      </c>
      <c r="L490" s="1" t="s">
        <v>30</v>
      </c>
      <c r="M490" s="1" t="s">
        <v>1366</v>
      </c>
      <c r="N490" s="1" t="s">
        <v>89</v>
      </c>
      <c r="O490" s="1">
        <v>77340</v>
      </c>
      <c r="P490" s="1" t="s">
        <v>90</v>
      </c>
      <c r="Q490" s="1" t="s">
        <v>1367</v>
      </c>
      <c r="R490" s="1" t="s">
        <v>64</v>
      </c>
      <c r="S490" s="7">
        <v>7.992</v>
      </c>
      <c r="T490" s="1">
        <v>7</v>
      </c>
      <c r="U490" s="9">
        <v>7.29</v>
      </c>
      <c r="V490" s="9">
        <v>55.944000000000003</v>
      </c>
      <c r="W490" s="9">
        <v>51.03</v>
      </c>
      <c r="X490" s="12">
        <v>4.9140000000000015</v>
      </c>
      <c r="Y490" s="10">
        <v>2015</v>
      </c>
    </row>
    <row r="491" spans="1:25">
      <c r="A491" s="1" t="s">
        <v>1362</v>
      </c>
      <c r="B491" s="8">
        <v>42253</v>
      </c>
      <c r="C491" s="11" t="s">
        <v>3356</v>
      </c>
      <c r="D491" s="11" t="s">
        <v>3345</v>
      </c>
      <c r="E491" s="5" t="s">
        <v>1363</v>
      </c>
      <c r="F491" s="1" t="s">
        <v>26</v>
      </c>
      <c r="G491" s="1" t="s">
        <v>1364</v>
      </c>
      <c r="H491" s="1" t="s">
        <v>3672</v>
      </c>
      <c r="I491" s="1" t="s">
        <v>3673</v>
      </c>
      <c r="J491" s="1"/>
      <c r="K491" s="1" t="s">
        <v>87</v>
      </c>
      <c r="L491" s="1" t="s">
        <v>30</v>
      </c>
      <c r="M491" s="1" t="s">
        <v>1366</v>
      </c>
      <c r="N491" s="1" t="s">
        <v>89</v>
      </c>
      <c r="O491" s="1">
        <v>77340</v>
      </c>
      <c r="P491" s="1" t="s">
        <v>90</v>
      </c>
      <c r="Q491" s="1" t="s">
        <v>1368</v>
      </c>
      <c r="R491" s="1" t="s">
        <v>64</v>
      </c>
      <c r="S491" s="7">
        <v>63.984000000000002</v>
      </c>
      <c r="T491" s="1">
        <v>7</v>
      </c>
      <c r="U491" s="9">
        <v>63.56</v>
      </c>
      <c r="V491" s="9">
        <v>447.88800000000003</v>
      </c>
      <c r="W491" s="9">
        <v>444.92</v>
      </c>
      <c r="X491" s="12">
        <v>2.9680000000000177</v>
      </c>
      <c r="Y491" s="10">
        <v>2015</v>
      </c>
    </row>
    <row r="492" spans="1:25">
      <c r="A492" s="1" t="s">
        <v>1362</v>
      </c>
      <c r="B492" s="8">
        <v>42253</v>
      </c>
      <c r="C492" s="11" t="s">
        <v>3356</v>
      </c>
      <c r="D492" s="11" t="s">
        <v>3345</v>
      </c>
      <c r="E492" s="5" t="s">
        <v>1363</v>
      </c>
      <c r="F492" s="1" t="s">
        <v>26</v>
      </c>
      <c r="G492" s="1" t="s">
        <v>1364</v>
      </c>
      <c r="H492" s="1" t="s">
        <v>3672</v>
      </c>
      <c r="I492" s="1" t="s">
        <v>3673</v>
      </c>
      <c r="J492" s="1"/>
      <c r="K492" s="1" t="s">
        <v>87</v>
      </c>
      <c r="L492" s="1" t="s">
        <v>30</v>
      </c>
      <c r="M492" s="1" t="s">
        <v>1366</v>
      </c>
      <c r="N492" s="1" t="s">
        <v>89</v>
      </c>
      <c r="O492" s="1">
        <v>77340</v>
      </c>
      <c r="P492" s="1" t="s">
        <v>90</v>
      </c>
      <c r="Q492" s="1" t="s">
        <v>1275</v>
      </c>
      <c r="R492" s="1" t="s">
        <v>46</v>
      </c>
      <c r="S492" s="7">
        <v>70.367999999999995</v>
      </c>
      <c r="T492" s="1">
        <v>7</v>
      </c>
      <c r="U492" s="9">
        <v>69.680000000000007</v>
      </c>
      <c r="V492" s="9">
        <v>492.57599999999996</v>
      </c>
      <c r="W492" s="9">
        <v>487.76000000000005</v>
      </c>
      <c r="X492" s="12">
        <v>4.8159999999999172</v>
      </c>
      <c r="Y492" s="10">
        <v>2015</v>
      </c>
    </row>
    <row r="493" spans="1:25">
      <c r="A493" s="1" t="s">
        <v>1369</v>
      </c>
      <c r="B493" s="8">
        <v>42261</v>
      </c>
      <c r="C493" s="11" t="s">
        <v>3356</v>
      </c>
      <c r="D493" s="11" t="s">
        <v>3345</v>
      </c>
      <c r="E493" s="5" t="s">
        <v>580</v>
      </c>
      <c r="F493" s="1" t="s">
        <v>49</v>
      </c>
      <c r="G493" s="1" t="s">
        <v>1370</v>
      </c>
      <c r="H493" s="1" t="s">
        <v>3674</v>
      </c>
      <c r="I493" s="1" t="s">
        <v>3501</v>
      </c>
      <c r="J493" s="1"/>
      <c r="K493" s="1" t="s">
        <v>29</v>
      </c>
      <c r="L493" s="1" t="s">
        <v>30</v>
      </c>
      <c r="M493" s="1" t="s">
        <v>331</v>
      </c>
      <c r="N493" s="1" t="s">
        <v>234</v>
      </c>
      <c r="O493" s="1">
        <v>14609</v>
      </c>
      <c r="P493" s="1" t="s">
        <v>128</v>
      </c>
      <c r="Q493" s="1" t="s">
        <v>1372</v>
      </c>
      <c r="R493" s="1" t="s">
        <v>46</v>
      </c>
      <c r="S493" s="7">
        <v>449.15</v>
      </c>
      <c r="T493" s="1">
        <v>1</v>
      </c>
      <c r="U493" s="9">
        <v>448.88</v>
      </c>
      <c r="V493" s="9">
        <v>449.15</v>
      </c>
      <c r="W493" s="9">
        <v>448.88</v>
      </c>
      <c r="X493" s="12">
        <v>0.26999999999998181</v>
      </c>
      <c r="Y493" s="10">
        <v>2015</v>
      </c>
    </row>
    <row r="494" spans="1:25">
      <c r="A494" s="1" t="s">
        <v>1369</v>
      </c>
      <c r="B494" s="8">
        <v>42261</v>
      </c>
      <c r="C494" s="11" t="s">
        <v>3356</v>
      </c>
      <c r="D494" s="11" t="s">
        <v>3345</v>
      </c>
      <c r="E494" s="5" t="s">
        <v>580</v>
      </c>
      <c r="F494" s="1" t="s">
        <v>49</v>
      </c>
      <c r="G494" s="1" t="s">
        <v>1370</v>
      </c>
      <c r="H494" s="1" t="s">
        <v>3674</v>
      </c>
      <c r="I494" s="1" t="s">
        <v>3501</v>
      </c>
      <c r="J494" s="1"/>
      <c r="K494" s="1" t="s">
        <v>29</v>
      </c>
      <c r="L494" s="1" t="s">
        <v>30</v>
      </c>
      <c r="M494" s="1" t="s">
        <v>331</v>
      </c>
      <c r="N494" s="1" t="s">
        <v>234</v>
      </c>
      <c r="O494" s="1">
        <v>14609</v>
      </c>
      <c r="P494" s="1" t="s">
        <v>128</v>
      </c>
      <c r="Q494" s="1" t="s">
        <v>1373</v>
      </c>
      <c r="R494" s="1" t="s">
        <v>46</v>
      </c>
      <c r="S494" s="7">
        <v>11.07</v>
      </c>
      <c r="T494" s="1">
        <v>1</v>
      </c>
      <c r="U494" s="9">
        <v>10.58</v>
      </c>
      <c r="V494" s="9">
        <v>11.07</v>
      </c>
      <c r="W494" s="9">
        <v>10.58</v>
      </c>
      <c r="X494" s="12">
        <v>0.49000000000000021</v>
      </c>
      <c r="Y494" s="10">
        <v>2015</v>
      </c>
    </row>
    <row r="495" spans="1:25">
      <c r="A495" s="1" t="s">
        <v>1374</v>
      </c>
      <c r="B495" s="8">
        <v>42983</v>
      </c>
      <c r="C495" s="11" t="s">
        <v>3356</v>
      </c>
      <c r="D495" s="11" t="s">
        <v>3345</v>
      </c>
      <c r="E495" s="5" t="s">
        <v>1375</v>
      </c>
      <c r="F495" s="1" t="s">
        <v>49</v>
      </c>
      <c r="G495" s="1" t="s">
        <v>1376</v>
      </c>
      <c r="H495" s="1" t="s">
        <v>3675</v>
      </c>
      <c r="I495" s="1" t="s">
        <v>3676</v>
      </c>
      <c r="J495" s="1"/>
      <c r="K495" s="1" t="s">
        <v>29</v>
      </c>
      <c r="L495" s="1" t="s">
        <v>30</v>
      </c>
      <c r="M495" s="1" t="s">
        <v>80</v>
      </c>
      <c r="N495" s="1" t="s">
        <v>81</v>
      </c>
      <c r="O495" s="1">
        <v>98115</v>
      </c>
      <c r="P495" s="1" t="s">
        <v>44</v>
      </c>
      <c r="Q495" s="1" t="s">
        <v>1378</v>
      </c>
      <c r="R495" s="1" t="s">
        <v>64</v>
      </c>
      <c r="S495" s="7">
        <v>93.98</v>
      </c>
      <c r="T495" s="1">
        <v>9</v>
      </c>
      <c r="U495" s="9">
        <v>93.2</v>
      </c>
      <c r="V495" s="9">
        <v>845.82</v>
      </c>
      <c r="W495" s="9">
        <v>838.80000000000007</v>
      </c>
      <c r="X495" s="12">
        <v>7.0199999999999818</v>
      </c>
      <c r="Y495" s="10">
        <v>2017</v>
      </c>
    </row>
    <row r="496" spans="1:25">
      <c r="A496" s="1" t="s">
        <v>1379</v>
      </c>
      <c r="B496" s="8">
        <v>42812</v>
      </c>
      <c r="C496" s="11" t="s">
        <v>3429</v>
      </c>
      <c r="D496" s="11" t="s">
        <v>3382</v>
      </c>
      <c r="E496" s="5" t="s">
        <v>1380</v>
      </c>
      <c r="F496" s="1" t="s">
        <v>26</v>
      </c>
      <c r="G496" s="1" t="s">
        <v>1381</v>
      </c>
      <c r="H496" s="1" t="s">
        <v>3677</v>
      </c>
      <c r="I496" s="1" t="s">
        <v>3678</v>
      </c>
      <c r="J496" s="1"/>
      <c r="K496" s="1" t="s">
        <v>29</v>
      </c>
      <c r="L496" s="1" t="s">
        <v>30</v>
      </c>
      <c r="M496" s="1" t="s">
        <v>286</v>
      </c>
      <c r="N496" s="1" t="s">
        <v>287</v>
      </c>
      <c r="O496" s="1">
        <v>38109</v>
      </c>
      <c r="P496" s="1" t="s">
        <v>33</v>
      </c>
      <c r="Q496" s="1" t="s">
        <v>1383</v>
      </c>
      <c r="R496" s="1" t="s">
        <v>35</v>
      </c>
      <c r="S496" s="7">
        <v>189.88200000000001</v>
      </c>
      <c r="T496" s="1">
        <v>3</v>
      </c>
      <c r="U496" s="9">
        <v>189.64</v>
      </c>
      <c r="V496" s="9">
        <v>569.64599999999996</v>
      </c>
      <c r="W496" s="9">
        <v>568.91999999999996</v>
      </c>
      <c r="X496" s="12">
        <v>0.72599999999999909</v>
      </c>
      <c r="Y496" s="10">
        <v>2017</v>
      </c>
    </row>
    <row r="497" spans="1:25">
      <c r="A497" s="1" t="s">
        <v>1384</v>
      </c>
      <c r="B497" s="8">
        <v>42731</v>
      </c>
      <c r="C497" s="11" t="s">
        <v>3348</v>
      </c>
      <c r="D497" s="11" t="s">
        <v>3349</v>
      </c>
      <c r="E497" s="5" t="s">
        <v>169</v>
      </c>
      <c r="F497" s="1" t="s">
        <v>49</v>
      </c>
      <c r="G497" s="1" t="s">
        <v>1385</v>
      </c>
      <c r="H497" s="1" t="s">
        <v>3679</v>
      </c>
      <c r="I497" s="1" t="s">
        <v>3680</v>
      </c>
      <c r="J497" s="1"/>
      <c r="K497" s="1" t="s">
        <v>29</v>
      </c>
      <c r="L497" s="1" t="s">
        <v>30</v>
      </c>
      <c r="M497" s="1" t="s">
        <v>1387</v>
      </c>
      <c r="N497" s="1" t="s">
        <v>1388</v>
      </c>
      <c r="O497" s="1">
        <v>72701</v>
      </c>
      <c r="P497" s="1" t="s">
        <v>33</v>
      </c>
      <c r="Q497" s="1" t="s">
        <v>1389</v>
      </c>
      <c r="R497" s="1" t="s">
        <v>46</v>
      </c>
      <c r="S497" s="7">
        <v>105.42</v>
      </c>
      <c r="T497" s="1">
        <v>7</v>
      </c>
      <c r="U497" s="9">
        <v>105.38</v>
      </c>
      <c r="V497" s="9">
        <v>737.94</v>
      </c>
      <c r="W497" s="9">
        <v>737.66</v>
      </c>
      <c r="X497" s="12">
        <v>0.2800000000000864</v>
      </c>
      <c r="Y497" s="10">
        <v>2016</v>
      </c>
    </row>
    <row r="498" spans="1:25">
      <c r="A498" s="1" t="s">
        <v>1390</v>
      </c>
      <c r="B498" s="8">
        <v>42941</v>
      </c>
      <c r="C498" s="11" t="s">
        <v>3376</v>
      </c>
      <c r="D498" s="11" t="s">
        <v>3345</v>
      </c>
      <c r="E498" s="5" t="s">
        <v>1391</v>
      </c>
      <c r="F498" s="1" t="s">
        <v>49</v>
      </c>
      <c r="G498" s="1" t="s">
        <v>1289</v>
      </c>
      <c r="H498" s="1" t="s">
        <v>3656</v>
      </c>
      <c r="I498" s="1" t="s">
        <v>3657</v>
      </c>
      <c r="J498" s="1"/>
      <c r="K498" s="1" t="s">
        <v>29</v>
      </c>
      <c r="L498" s="1" t="s">
        <v>30</v>
      </c>
      <c r="M498" s="1" t="s">
        <v>1392</v>
      </c>
      <c r="N498" s="1" t="s">
        <v>68</v>
      </c>
      <c r="O498" s="1">
        <v>92627</v>
      </c>
      <c r="P498" s="1" t="s">
        <v>44</v>
      </c>
      <c r="Q498" s="1" t="s">
        <v>1393</v>
      </c>
      <c r="R498" s="1" t="s">
        <v>46</v>
      </c>
      <c r="S498" s="7">
        <v>119.616</v>
      </c>
      <c r="T498" s="1">
        <v>9</v>
      </c>
      <c r="U498" s="9">
        <v>119.1</v>
      </c>
      <c r="V498" s="9">
        <v>1076.5440000000001</v>
      </c>
      <c r="W498" s="9">
        <v>1071.8999999999999</v>
      </c>
      <c r="X498" s="12">
        <v>4.6440000000002328</v>
      </c>
      <c r="Y498" s="10">
        <v>2017</v>
      </c>
    </row>
    <row r="499" spans="1:25">
      <c r="A499" s="1" t="s">
        <v>1390</v>
      </c>
      <c r="B499" s="8">
        <v>42941</v>
      </c>
      <c r="C499" s="11" t="s">
        <v>3376</v>
      </c>
      <c r="D499" s="11" t="s">
        <v>3345</v>
      </c>
      <c r="E499" s="5" t="s">
        <v>1391</v>
      </c>
      <c r="F499" s="1" t="s">
        <v>49</v>
      </c>
      <c r="G499" s="1" t="s">
        <v>1289</v>
      </c>
      <c r="H499" s="1" t="s">
        <v>3656</v>
      </c>
      <c r="I499" s="1" t="s">
        <v>3657</v>
      </c>
      <c r="J499" s="1"/>
      <c r="K499" s="1" t="s">
        <v>29</v>
      </c>
      <c r="L499" s="1" t="s">
        <v>30</v>
      </c>
      <c r="M499" s="1" t="s">
        <v>1392</v>
      </c>
      <c r="N499" s="1" t="s">
        <v>68</v>
      </c>
      <c r="O499" s="1">
        <v>92627</v>
      </c>
      <c r="P499" s="1" t="s">
        <v>44</v>
      </c>
      <c r="Q499" s="1" t="s">
        <v>1394</v>
      </c>
      <c r="R499" s="1" t="s">
        <v>35</v>
      </c>
      <c r="S499" s="7">
        <v>255.76</v>
      </c>
      <c r="T499" s="1">
        <v>9</v>
      </c>
      <c r="U499" s="9">
        <v>254.81</v>
      </c>
      <c r="V499" s="9">
        <v>2301.84</v>
      </c>
      <c r="W499" s="9">
        <v>2293.29</v>
      </c>
      <c r="X499" s="12">
        <v>8.5500000000001819</v>
      </c>
      <c r="Y499" s="10">
        <v>2017</v>
      </c>
    </row>
    <row r="500" spans="1:25">
      <c r="A500" s="1" t="s">
        <v>1390</v>
      </c>
      <c r="B500" s="8">
        <v>42941</v>
      </c>
      <c r="C500" s="11" t="s">
        <v>3376</v>
      </c>
      <c r="D500" s="11" t="s">
        <v>3345</v>
      </c>
      <c r="E500" s="5" t="s">
        <v>1391</v>
      </c>
      <c r="F500" s="1" t="s">
        <v>49</v>
      </c>
      <c r="G500" s="1" t="s">
        <v>1289</v>
      </c>
      <c r="H500" s="1" t="s">
        <v>3656</v>
      </c>
      <c r="I500" s="1" t="s">
        <v>3657</v>
      </c>
      <c r="J500" s="1"/>
      <c r="K500" s="1" t="s">
        <v>29</v>
      </c>
      <c r="L500" s="1" t="s">
        <v>30</v>
      </c>
      <c r="M500" s="1" t="s">
        <v>1392</v>
      </c>
      <c r="N500" s="1" t="s">
        <v>68</v>
      </c>
      <c r="O500" s="1">
        <v>92627</v>
      </c>
      <c r="P500" s="1" t="s">
        <v>44</v>
      </c>
      <c r="Q500" s="1" t="s">
        <v>948</v>
      </c>
      <c r="R500" s="1" t="s">
        <v>35</v>
      </c>
      <c r="S500" s="7">
        <v>241.56800000000001</v>
      </c>
      <c r="T500" s="1">
        <v>9</v>
      </c>
      <c r="U500" s="9">
        <v>240.79</v>
      </c>
      <c r="V500" s="9">
        <v>2174.1120000000001</v>
      </c>
      <c r="W500" s="9">
        <v>2167.11</v>
      </c>
      <c r="X500" s="12">
        <v>7.0019999999999527</v>
      </c>
      <c r="Y500" s="10">
        <v>2017</v>
      </c>
    </row>
    <row r="501" spans="1:25">
      <c r="A501" s="1" t="s">
        <v>1390</v>
      </c>
      <c r="B501" s="8">
        <v>42941</v>
      </c>
      <c r="C501" s="11" t="s">
        <v>3376</v>
      </c>
      <c r="D501" s="11" t="s">
        <v>3345</v>
      </c>
      <c r="E501" s="5" t="s">
        <v>1391</v>
      </c>
      <c r="F501" s="1" t="s">
        <v>49</v>
      </c>
      <c r="G501" s="1" t="s">
        <v>1289</v>
      </c>
      <c r="H501" s="1" t="s">
        <v>3656</v>
      </c>
      <c r="I501" s="1" t="s">
        <v>3657</v>
      </c>
      <c r="J501" s="1"/>
      <c r="K501" s="1" t="s">
        <v>29</v>
      </c>
      <c r="L501" s="1" t="s">
        <v>30</v>
      </c>
      <c r="M501" s="1" t="s">
        <v>1392</v>
      </c>
      <c r="N501" s="1" t="s">
        <v>68</v>
      </c>
      <c r="O501" s="1">
        <v>92627</v>
      </c>
      <c r="P501" s="1" t="s">
        <v>44</v>
      </c>
      <c r="Q501" s="1" t="s">
        <v>1395</v>
      </c>
      <c r="R501" s="1" t="s">
        <v>35</v>
      </c>
      <c r="S501" s="7">
        <v>69.3</v>
      </c>
      <c r="T501" s="1">
        <v>9</v>
      </c>
      <c r="U501" s="9">
        <v>68.37</v>
      </c>
      <c r="V501" s="9">
        <v>623.69999999999993</v>
      </c>
      <c r="W501" s="9">
        <v>615.33000000000004</v>
      </c>
      <c r="X501" s="12">
        <v>8.3699999999998909</v>
      </c>
      <c r="Y501" s="10">
        <v>2017</v>
      </c>
    </row>
    <row r="502" spans="1:25">
      <c r="A502" s="1" t="s">
        <v>1396</v>
      </c>
      <c r="B502" s="8">
        <v>42885</v>
      </c>
      <c r="C502" s="11" t="s">
        <v>3363</v>
      </c>
      <c r="D502" s="11" t="s">
        <v>3360</v>
      </c>
      <c r="E502" s="5">
        <v>42831</v>
      </c>
      <c r="F502" s="1" t="s">
        <v>49</v>
      </c>
      <c r="G502" s="1" t="s">
        <v>1397</v>
      </c>
      <c r="H502" s="1" t="s">
        <v>3679</v>
      </c>
      <c r="I502" s="1" t="s">
        <v>3681</v>
      </c>
      <c r="J502" s="1"/>
      <c r="K502" s="1" t="s">
        <v>41</v>
      </c>
      <c r="L502" s="1" t="s">
        <v>30</v>
      </c>
      <c r="M502" s="1" t="s">
        <v>1399</v>
      </c>
      <c r="N502" s="1" t="s">
        <v>386</v>
      </c>
      <c r="O502" s="1">
        <v>80134</v>
      </c>
      <c r="P502" s="1" t="s">
        <v>44</v>
      </c>
      <c r="Q502" s="1" t="s">
        <v>1400</v>
      </c>
      <c r="R502" s="1" t="s">
        <v>46</v>
      </c>
      <c r="S502" s="7">
        <v>22.62</v>
      </c>
      <c r="T502" s="1">
        <v>8</v>
      </c>
      <c r="U502" s="9">
        <v>22.21</v>
      </c>
      <c r="V502" s="9">
        <v>180.96</v>
      </c>
      <c r="W502" s="9">
        <v>177.68</v>
      </c>
      <c r="X502" s="12">
        <v>3.2800000000000011</v>
      </c>
      <c r="Y502" s="10">
        <v>2017</v>
      </c>
    </row>
    <row r="503" spans="1:25">
      <c r="A503" s="1" t="s">
        <v>1396</v>
      </c>
      <c r="B503" s="8">
        <v>42885</v>
      </c>
      <c r="C503" s="11" t="s">
        <v>3363</v>
      </c>
      <c r="D503" s="11" t="s">
        <v>3360</v>
      </c>
      <c r="E503" s="5">
        <v>42831</v>
      </c>
      <c r="F503" s="1" t="s">
        <v>49</v>
      </c>
      <c r="G503" s="1" t="s">
        <v>1397</v>
      </c>
      <c r="H503" s="1" t="s">
        <v>3679</v>
      </c>
      <c r="I503" s="1" t="s">
        <v>3681</v>
      </c>
      <c r="J503" s="1"/>
      <c r="K503" s="1" t="s">
        <v>41</v>
      </c>
      <c r="L503" s="1" t="s">
        <v>30</v>
      </c>
      <c r="M503" s="1" t="s">
        <v>1399</v>
      </c>
      <c r="N503" s="1" t="s">
        <v>386</v>
      </c>
      <c r="O503" s="1">
        <v>80134</v>
      </c>
      <c r="P503" s="1" t="s">
        <v>44</v>
      </c>
      <c r="Q503" s="1" t="s">
        <v>1401</v>
      </c>
      <c r="R503" s="1" t="s">
        <v>46</v>
      </c>
      <c r="S503" s="7">
        <v>14.952</v>
      </c>
      <c r="T503" s="1">
        <v>8</v>
      </c>
      <c r="U503" s="9">
        <v>14.93</v>
      </c>
      <c r="V503" s="9">
        <v>119.616</v>
      </c>
      <c r="W503" s="9">
        <v>119.44</v>
      </c>
      <c r="X503" s="12">
        <v>0.17600000000000193</v>
      </c>
      <c r="Y503" s="10">
        <v>2017</v>
      </c>
    </row>
    <row r="504" spans="1:25">
      <c r="A504" s="1" t="s">
        <v>1396</v>
      </c>
      <c r="B504" s="8">
        <v>42885</v>
      </c>
      <c r="C504" s="11" t="s">
        <v>3363</v>
      </c>
      <c r="D504" s="11" t="s">
        <v>3360</v>
      </c>
      <c r="E504" s="5">
        <v>42831</v>
      </c>
      <c r="F504" s="1" t="s">
        <v>49</v>
      </c>
      <c r="G504" s="1" t="s">
        <v>1397</v>
      </c>
      <c r="H504" s="1" t="s">
        <v>3679</v>
      </c>
      <c r="I504" s="1" t="s">
        <v>3681</v>
      </c>
      <c r="J504" s="1"/>
      <c r="K504" s="1" t="s">
        <v>41</v>
      </c>
      <c r="L504" s="1" t="s">
        <v>30</v>
      </c>
      <c r="M504" s="1" t="s">
        <v>1399</v>
      </c>
      <c r="N504" s="1" t="s">
        <v>386</v>
      </c>
      <c r="O504" s="1">
        <v>80134</v>
      </c>
      <c r="P504" s="1" t="s">
        <v>44</v>
      </c>
      <c r="Q504" s="1" t="s">
        <v>1402</v>
      </c>
      <c r="R504" s="1" t="s">
        <v>35</v>
      </c>
      <c r="S504" s="7">
        <v>801.56799999999998</v>
      </c>
      <c r="T504" s="1">
        <v>8</v>
      </c>
      <c r="U504" s="9">
        <v>801.23</v>
      </c>
      <c r="V504" s="9">
        <v>6412.5439999999999</v>
      </c>
      <c r="W504" s="9">
        <v>6409.84</v>
      </c>
      <c r="X504" s="12">
        <v>2.7039999999997235</v>
      </c>
      <c r="Y504" s="10">
        <v>2017</v>
      </c>
    </row>
    <row r="505" spans="1:25">
      <c r="A505" s="1" t="s">
        <v>1396</v>
      </c>
      <c r="B505" s="8">
        <v>42885</v>
      </c>
      <c r="C505" s="11" t="s">
        <v>3363</v>
      </c>
      <c r="D505" s="11" t="s">
        <v>3360</v>
      </c>
      <c r="E505" s="5">
        <v>42831</v>
      </c>
      <c r="F505" s="1" t="s">
        <v>49</v>
      </c>
      <c r="G505" s="1" t="s">
        <v>1397</v>
      </c>
      <c r="H505" s="1" t="s">
        <v>3679</v>
      </c>
      <c r="I505" s="1" t="s">
        <v>3681</v>
      </c>
      <c r="J505" s="1"/>
      <c r="K505" s="1" t="s">
        <v>41</v>
      </c>
      <c r="L505" s="1" t="s">
        <v>30</v>
      </c>
      <c r="M505" s="1" t="s">
        <v>1399</v>
      </c>
      <c r="N505" s="1" t="s">
        <v>386</v>
      </c>
      <c r="O505" s="1">
        <v>80134</v>
      </c>
      <c r="P505" s="1" t="s">
        <v>44</v>
      </c>
      <c r="Q505" s="1" t="s">
        <v>1403</v>
      </c>
      <c r="R505" s="1" t="s">
        <v>46</v>
      </c>
      <c r="S505" s="7">
        <v>2.3759999999999999</v>
      </c>
      <c r="T505" s="1">
        <v>8</v>
      </c>
      <c r="U505" s="9">
        <v>1.55</v>
      </c>
      <c r="V505" s="9">
        <v>19.007999999999999</v>
      </c>
      <c r="W505" s="9">
        <v>12.4</v>
      </c>
      <c r="X505" s="12">
        <v>6.6079999999999988</v>
      </c>
      <c r="Y505" s="10">
        <v>2017</v>
      </c>
    </row>
    <row r="506" spans="1:25">
      <c r="A506" s="1" t="s">
        <v>1396</v>
      </c>
      <c r="B506" s="8">
        <v>42885</v>
      </c>
      <c r="C506" s="11" t="s">
        <v>3363</v>
      </c>
      <c r="D506" s="11" t="s">
        <v>3360</v>
      </c>
      <c r="E506" s="5">
        <v>42831</v>
      </c>
      <c r="F506" s="1" t="s">
        <v>49</v>
      </c>
      <c r="G506" s="1" t="s">
        <v>1397</v>
      </c>
      <c r="H506" s="1" t="s">
        <v>3679</v>
      </c>
      <c r="I506" s="1" t="s">
        <v>3681</v>
      </c>
      <c r="J506" s="1"/>
      <c r="K506" s="1" t="s">
        <v>41</v>
      </c>
      <c r="L506" s="1" t="s">
        <v>30</v>
      </c>
      <c r="M506" s="1" t="s">
        <v>1399</v>
      </c>
      <c r="N506" s="1" t="s">
        <v>386</v>
      </c>
      <c r="O506" s="1">
        <v>80134</v>
      </c>
      <c r="P506" s="1" t="s">
        <v>44</v>
      </c>
      <c r="Q506" s="1" t="s">
        <v>1404</v>
      </c>
      <c r="R506" s="1" t="s">
        <v>46</v>
      </c>
      <c r="S506" s="7">
        <v>32.792000000000002</v>
      </c>
      <c r="T506" s="1">
        <v>8</v>
      </c>
      <c r="U506" s="9">
        <v>32.25</v>
      </c>
      <c r="V506" s="9">
        <v>262.33600000000001</v>
      </c>
      <c r="W506" s="9">
        <v>258</v>
      </c>
      <c r="X506" s="12">
        <v>4.3360000000000127</v>
      </c>
      <c r="Y506" s="10">
        <v>2017</v>
      </c>
    </row>
    <row r="507" spans="1:25">
      <c r="A507" s="1" t="s">
        <v>1405</v>
      </c>
      <c r="B507" s="8">
        <v>43445</v>
      </c>
      <c r="C507" s="11" t="s">
        <v>3348</v>
      </c>
      <c r="D507" s="11" t="s">
        <v>3349</v>
      </c>
      <c r="E507" s="5" t="s">
        <v>1406</v>
      </c>
      <c r="F507" s="1" t="s">
        <v>26</v>
      </c>
      <c r="G507" s="1" t="s">
        <v>1281</v>
      </c>
      <c r="H507" s="1" t="s">
        <v>3655</v>
      </c>
      <c r="I507" s="1" t="s">
        <v>3506</v>
      </c>
      <c r="J507" s="1"/>
      <c r="K507" s="1" t="s">
        <v>41</v>
      </c>
      <c r="L507" s="1" t="s">
        <v>30</v>
      </c>
      <c r="M507" s="1" t="s">
        <v>233</v>
      </c>
      <c r="N507" s="1" t="s">
        <v>234</v>
      </c>
      <c r="O507" s="1">
        <v>10024</v>
      </c>
      <c r="P507" s="1" t="s">
        <v>128</v>
      </c>
      <c r="Q507" s="1" t="s">
        <v>458</v>
      </c>
      <c r="R507" s="1" t="s">
        <v>46</v>
      </c>
      <c r="S507" s="7">
        <v>15.92</v>
      </c>
      <c r="T507" s="1">
        <v>1</v>
      </c>
      <c r="U507" s="9">
        <v>15.15</v>
      </c>
      <c r="V507" s="9">
        <v>15.92</v>
      </c>
      <c r="W507" s="9">
        <v>15.15</v>
      </c>
      <c r="X507" s="12">
        <v>0.76999999999999957</v>
      </c>
      <c r="Y507" s="10">
        <v>2018</v>
      </c>
    </row>
    <row r="508" spans="1:25">
      <c r="A508" s="1" t="s">
        <v>1407</v>
      </c>
      <c r="B508" s="8">
        <v>42445</v>
      </c>
      <c r="C508" s="11" t="s">
        <v>3429</v>
      </c>
      <c r="D508" s="11" t="s">
        <v>3382</v>
      </c>
      <c r="E508" s="5" t="s">
        <v>1408</v>
      </c>
      <c r="F508" s="1" t="s">
        <v>49</v>
      </c>
      <c r="G508" s="1" t="s">
        <v>1409</v>
      </c>
      <c r="H508" s="1" t="s">
        <v>3432</v>
      </c>
      <c r="I508" s="1" t="s">
        <v>3682</v>
      </c>
      <c r="J508" s="1"/>
      <c r="K508" s="1" t="s">
        <v>29</v>
      </c>
      <c r="L508" s="1" t="s">
        <v>30</v>
      </c>
      <c r="M508" s="1" t="s">
        <v>1411</v>
      </c>
      <c r="N508" s="1" t="s">
        <v>1035</v>
      </c>
      <c r="O508" s="1">
        <v>30318</v>
      </c>
      <c r="P508" s="1" t="s">
        <v>33</v>
      </c>
      <c r="Q508" s="1" t="s">
        <v>1412</v>
      </c>
      <c r="R508" s="1" t="s">
        <v>46</v>
      </c>
      <c r="S508" s="7">
        <v>2.74</v>
      </c>
      <c r="T508" s="1">
        <v>3</v>
      </c>
      <c r="U508" s="9">
        <v>1.79</v>
      </c>
      <c r="V508" s="9">
        <v>8.2200000000000006</v>
      </c>
      <c r="W508" s="9">
        <v>5.37</v>
      </c>
      <c r="X508" s="12">
        <v>2.8500000000000005</v>
      </c>
      <c r="Y508" s="10">
        <v>2016</v>
      </c>
    </row>
    <row r="509" spans="1:25">
      <c r="A509" s="1" t="s">
        <v>1407</v>
      </c>
      <c r="B509" s="8">
        <v>42445</v>
      </c>
      <c r="C509" s="11" t="s">
        <v>3429</v>
      </c>
      <c r="D509" s="11" t="s">
        <v>3382</v>
      </c>
      <c r="E509" s="5" t="s">
        <v>1408</v>
      </c>
      <c r="F509" s="1" t="s">
        <v>49</v>
      </c>
      <c r="G509" s="1" t="s">
        <v>1409</v>
      </c>
      <c r="H509" s="1" t="s">
        <v>3432</v>
      </c>
      <c r="I509" s="1" t="s">
        <v>3682</v>
      </c>
      <c r="J509" s="1"/>
      <c r="K509" s="1" t="s">
        <v>29</v>
      </c>
      <c r="L509" s="1" t="s">
        <v>30</v>
      </c>
      <c r="M509" s="1" t="s">
        <v>1411</v>
      </c>
      <c r="N509" s="1" t="s">
        <v>1035</v>
      </c>
      <c r="O509" s="1">
        <v>30318</v>
      </c>
      <c r="P509" s="1" t="s">
        <v>33</v>
      </c>
      <c r="Q509" s="1" t="s">
        <v>1413</v>
      </c>
      <c r="R509" s="1" t="s">
        <v>46</v>
      </c>
      <c r="S509" s="7">
        <v>8.34</v>
      </c>
      <c r="T509" s="1">
        <v>3</v>
      </c>
      <c r="U509" s="9">
        <v>8.07</v>
      </c>
      <c r="V509" s="9">
        <v>25.02</v>
      </c>
      <c r="W509" s="9">
        <v>24.21</v>
      </c>
      <c r="X509" s="12">
        <v>0.80999999999999872</v>
      </c>
      <c r="Y509" s="10">
        <v>2016</v>
      </c>
    </row>
    <row r="510" spans="1:25">
      <c r="A510" s="1" t="s">
        <v>1407</v>
      </c>
      <c r="B510" s="8">
        <v>42445</v>
      </c>
      <c r="C510" s="11" t="s">
        <v>3429</v>
      </c>
      <c r="D510" s="11" t="s">
        <v>3382</v>
      </c>
      <c r="E510" s="5" t="s">
        <v>1408</v>
      </c>
      <c r="F510" s="1" t="s">
        <v>49</v>
      </c>
      <c r="G510" s="1" t="s">
        <v>1409</v>
      </c>
      <c r="H510" s="1" t="s">
        <v>3432</v>
      </c>
      <c r="I510" s="1" t="s">
        <v>3682</v>
      </c>
      <c r="J510" s="1"/>
      <c r="K510" s="1" t="s">
        <v>29</v>
      </c>
      <c r="L510" s="1" t="s">
        <v>30</v>
      </c>
      <c r="M510" s="1" t="s">
        <v>1411</v>
      </c>
      <c r="N510" s="1" t="s">
        <v>1035</v>
      </c>
      <c r="O510" s="1">
        <v>30318</v>
      </c>
      <c r="P510" s="1" t="s">
        <v>33</v>
      </c>
      <c r="Q510" s="1" t="s">
        <v>783</v>
      </c>
      <c r="R510" s="1" t="s">
        <v>46</v>
      </c>
      <c r="S510" s="7">
        <v>46.74</v>
      </c>
      <c r="T510" s="1">
        <v>3</v>
      </c>
      <c r="U510" s="9">
        <v>45.81</v>
      </c>
      <c r="V510" s="9">
        <v>140.22</v>
      </c>
      <c r="W510" s="9">
        <v>137.43</v>
      </c>
      <c r="X510" s="12">
        <v>2.789999999999992</v>
      </c>
      <c r="Y510" s="10">
        <v>2016</v>
      </c>
    </row>
    <row r="511" spans="1:25">
      <c r="A511" s="1" t="s">
        <v>1407</v>
      </c>
      <c r="B511" s="8">
        <v>42445</v>
      </c>
      <c r="C511" s="11" t="s">
        <v>3429</v>
      </c>
      <c r="D511" s="11" t="s">
        <v>3382</v>
      </c>
      <c r="E511" s="5" t="s">
        <v>1408</v>
      </c>
      <c r="F511" s="1" t="s">
        <v>49</v>
      </c>
      <c r="G511" s="1" t="s">
        <v>1409</v>
      </c>
      <c r="H511" s="1" t="s">
        <v>3432</v>
      </c>
      <c r="I511" s="1" t="s">
        <v>3682</v>
      </c>
      <c r="J511" s="1"/>
      <c r="K511" s="1" t="s">
        <v>29</v>
      </c>
      <c r="L511" s="1" t="s">
        <v>30</v>
      </c>
      <c r="M511" s="1" t="s">
        <v>1411</v>
      </c>
      <c r="N511" s="1" t="s">
        <v>1035</v>
      </c>
      <c r="O511" s="1">
        <v>30318</v>
      </c>
      <c r="P511" s="1" t="s">
        <v>33</v>
      </c>
      <c r="Q511" s="1" t="s">
        <v>1414</v>
      </c>
      <c r="R511" s="1" t="s">
        <v>46</v>
      </c>
      <c r="S511" s="7">
        <v>6354.95</v>
      </c>
      <c r="T511" s="1">
        <v>3</v>
      </c>
      <c r="U511" s="9">
        <v>6353.97</v>
      </c>
      <c r="V511" s="9">
        <v>19064.849999999999</v>
      </c>
      <c r="W511" s="9">
        <v>19061.91</v>
      </c>
      <c r="X511" s="12">
        <v>2.9399999999986903</v>
      </c>
      <c r="Y511" s="10">
        <v>2016</v>
      </c>
    </row>
    <row r="512" spans="1:25">
      <c r="A512" s="1" t="s">
        <v>1415</v>
      </c>
      <c r="B512" s="8">
        <v>43430</v>
      </c>
      <c r="C512" s="11" t="s">
        <v>3353</v>
      </c>
      <c r="D512" s="11" t="s">
        <v>3349</v>
      </c>
      <c r="E512" s="5" t="s">
        <v>1416</v>
      </c>
      <c r="F512" s="1" t="s">
        <v>162</v>
      </c>
      <c r="G512" s="1" t="s">
        <v>1417</v>
      </c>
      <c r="H512" s="1" t="s">
        <v>3683</v>
      </c>
      <c r="I512" s="1" t="s">
        <v>3399</v>
      </c>
      <c r="J512" s="1"/>
      <c r="K512" s="1" t="s">
        <v>29</v>
      </c>
      <c r="L512" s="1" t="s">
        <v>30</v>
      </c>
      <c r="M512" s="1" t="s">
        <v>1419</v>
      </c>
      <c r="N512" s="1" t="s">
        <v>495</v>
      </c>
      <c r="O512" s="1">
        <v>64118</v>
      </c>
      <c r="P512" s="1" t="s">
        <v>90</v>
      </c>
      <c r="Q512" s="1" t="s">
        <v>1420</v>
      </c>
      <c r="R512" s="1" t="s">
        <v>35</v>
      </c>
      <c r="S512" s="7">
        <v>126.3</v>
      </c>
      <c r="T512" s="1">
        <v>6</v>
      </c>
      <c r="U512" s="9">
        <v>125.39</v>
      </c>
      <c r="V512" s="9">
        <v>757.8</v>
      </c>
      <c r="W512" s="9">
        <v>752.34</v>
      </c>
      <c r="X512" s="12">
        <v>5.4599999999999227</v>
      </c>
      <c r="Y512" s="10">
        <v>2018</v>
      </c>
    </row>
    <row r="513" spans="1:25">
      <c r="A513" s="1" t="s">
        <v>1415</v>
      </c>
      <c r="B513" s="8">
        <v>43430</v>
      </c>
      <c r="C513" s="11" t="s">
        <v>3353</v>
      </c>
      <c r="D513" s="11" t="s">
        <v>3349</v>
      </c>
      <c r="E513" s="5" t="s">
        <v>1416</v>
      </c>
      <c r="F513" s="1" t="s">
        <v>162</v>
      </c>
      <c r="G513" s="1" t="s">
        <v>1417</v>
      </c>
      <c r="H513" s="1" t="s">
        <v>3683</v>
      </c>
      <c r="I513" s="1" t="s">
        <v>3399</v>
      </c>
      <c r="J513" s="1"/>
      <c r="K513" s="1" t="s">
        <v>29</v>
      </c>
      <c r="L513" s="1" t="s">
        <v>30</v>
      </c>
      <c r="M513" s="1" t="s">
        <v>1419</v>
      </c>
      <c r="N513" s="1" t="s">
        <v>495</v>
      </c>
      <c r="O513" s="1">
        <v>64118</v>
      </c>
      <c r="P513" s="1" t="s">
        <v>90</v>
      </c>
      <c r="Q513" s="1" t="s">
        <v>1421</v>
      </c>
      <c r="R513" s="1" t="s">
        <v>64</v>
      </c>
      <c r="S513" s="7">
        <v>38.04</v>
      </c>
      <c r="T513" s="1">
        <v>6</v>
      </c>
      <c r="U513" s="9">
        <v>37.090000000000003</v>
      </c>
      <c r="V513" s="9">
        <v>228.24</v>
      </c>
      <c r="W513" s="9">
        <v>222.54000000000002</v>
      </c>
      <c r="X513" s="12">
        <v>5.6999999999999886</v>
      </c>
      <c r="Y513" s="10">
        <v>2018</v>
      </c>
    </row>
    <row r="514" spans="1:25">
      <c r="A514" s="1" t="s">
        <v>1422</v>
      </c>
      <c r="B514" s="8">
        <v>43028</v>
      </c>
      <c r="C514" s="11" t="s">
        <v>3387</v>
      </c>
      <c r="D514" s="11" t="s">
        <v>3349</v>
      </c>
      <c r="E514" s="5" t="s">
        <v>1423</v>
      </c>
      <c r="F514" s="1" t="s">
        <v>162</v>
      </c>
      <c r="G514" s="1" t="s">
        <v>1154</v>
      </c>
      <c r="H514" s="1" t="s">
        <v>3633</v>
      </c>
      <c r="I514" s="1" t="s">
        <v>3634</v>
      </c>
      <c r="J514" s="1"/>
      <c r="K514" s="1" t="s">
        <v>29</v>
      </c>
      <c r="L514" s="1" t="s">
        <v>30</v>
      </c>
      <c r="M514" s="1" t="s">
        <v>505</v>
      </c>
      <c r="N514" s="1" t="s">
        <v>421</v>
      </c>
      <c r="O514" s="1">
        <v>43055</v>
      </c>
      <c r="P514" s="1" t="s">
        <v>128</v>
      </c>
      <c r="Q514" s="1" t="s">
        <v>311</v>
      </c>
      <c r="R514" s="1" t="s">
        <v>46</v>
      </c>
      <c r="S514" s="7">
        <v>7.1520000000000001</v>
      </c>
      <c r="T514" s="1">
        <v>4</v>
      </c>
      <c r="U514" s="9">
        <v>7.15</v>
      </c>
      <c r="V514" s="9">
        <v>28.608000000000001</v>
      </c>
      <c r="W514" s="9">
        <v>28.6</v>
      </c>
      <c r="X514" s="12">
        <v>7.9999999999991189E-3</v>
      </c>
      <c r="Y514" s="10">
        <v>2017</v>
      </c>
    </row>
    <row r="515" spans="1:25">
      <c r="A515" s="1" t="s">
        <v>1424</v>
      </c>
      <c r="B515" s="8">
        <v>43455</v>
      </c>
      <c r="C515" s="11" t="s">
        <v>3348</v>
      </c>
      <c r="D515" s="11" t="s">
        <v>3349</v>
      </c>
      <c r="E515" s="5" t="s">
        <v>1425</v>
      </c>
      <c r="F515" s="1" t="s">
        <v>49</v>
      </c>
      <c r="G515" s="1" t="s">
        <v>1426</v>
      </c>
      <c r="H515" s="1" t="s">
        <v>3684</v>
      </c>
      <c r="I515" s="1" t="s">
        <v>3393</v>
      </c>
      <c r="J515" s="1"/>
      <c r="K515" s="1" t="s">
        <v>29</v>
      </c>
      <c r="L515" s="1" t="s">
        <v>30</v>
      </c>
      <c r="M515" s="1" t="s">
        <v>42</v>
      </c>
      <c r="N515" s="1" t="s">
        <v>68</v>
      </c>
      <c r="O515" s="1">
        <v>90049</v>
      </c>
      <c r="P515" s="1" t="s">
        <v>44</v>
      </c>
      <c r="Q515" s="1" t="s">
        <v>1428</v>
      </c>
      <c r="R515" s="1" t="s">
        <v>46</v>
      </c>
      <c r="S515" s="7">
        <v>6.63</v>
      </c>
      <c r="T515" s="1">
        <v>9</v>
      </c>
      <c r="U515" s="9">
        <v>6.52</v>
      </c>
      <c r="V515" s="9">
        <v>59.67</v>
      </c>
      <c r="W515" s="9">
        <v>58.679999999999993</v>
      </c>
      <c r="X515" s="12">
        <v>0.99000000000000909</v>
      </c>
      <c r="Y515" s="10">
        <v>2018</v>
      </c>
    </row>
    <row r="516" spans="1:25">
      <c r="A516" s="1" t="s">
        <v>1424</v>
      </c>
      <c r="B516" s="8">
        <v>43455</v>
      </c>
      <c r="C516" s="11" t="s">
        <v>3348</v>
      </c>
      <c r="D516" s="11" t="s">
        <v>3349</v>
      </c>
      <c r="E516" s="5" t="s">
        <v>1425</v>
      </c>
      <c r="F516" s="1" t="s">
        <v>49</v>
      </c>
      <c r="G516" s="1" t="s">
        <v>1426</v>
      </c>
      <c r="H516" s="1" t="s">
        <v>3684</v>
      </c>
      <c r="I516" s="1" t="s">
        <v>3393</v>
      </c>
      <c r="J516" s="1"/>
      <c r="K516" s="1" t="s">
        <v>29</v>
      </c>
      <c r="L516" s="1" t="s">
        <v>30</v>
      </c>
      <c r="M516" s="1" t="s">
        <v>42</v>
      </c>
      <c r="N516" s="1" t="s">
        <v>68</v>
      </c>
      <c r="O516" s="1">
        <v>90049</v>
      </c>
      <c r="P516" s="1" t="s">
        <v>44</v>
      </c>
      <c r="Q516" s="1" t="s">
        <v>1429</v>
      </c>
      <c r="R516" s="1" t="s">
        <v>46</v>
      </c>
      <c r="S516" s="7">
        <v>5.88</v>
      </c>
      <c r="T516" s="1">
        <v>9</v>
      </c>
      <c r="U516" s="9">
        <v>5.42</v>
      </c>
      <c r="V516" s="9">
        <v>52.92</v>
      </c>
      <c r="W516" s="9">
        <v>48.78</v>
      </c>
      <c r="X516" s="12">
        <v>4.1400000000000006</v>
      </c>
      <c r="Y516" s="10">
        <v>2018</v>
      </c>
    </row>
    <row r="517" spans="1:25">
      <c r="A517" s="1" t="s">
        <v>1430</v>
      </c>
      <c r="B517" s="8">
        <v>43122</v>
      </c>
      <c r="C517" s="11" t="s">
        <v>3381</v>
      </c>
      <c r="D517" s="11" t="s">
        <v>3382</v>
      </c>
      <c r="E517" s="5" t="s">
        <v>1431</v>
      </c>
      <c r="F517" s="1" t="s">
        <v>49</v>
      </c>
      <c r="G517" s="1" t="s">
        <v>445</v>
      </c>
      <c r="H517" s="1" t="s">
        <v>3468</v>
      </c>
      <c r="I517" s="1" t="s">
        <v>3469</v>
      </c>
      <c r="J517" s="1"/>
      <c r="K517" s="1" t="s">
        <v>87</v>
      </c>
      <c r="L517" s="1" t="s">
        <v>30</v>
      </c>
      <c r="M517" s="1" t="s">
        <v>1432</v>
      </c>
      <c r="N517" s="1" t="s">
        <v>1433</v>
      </c>
      <c r="O517" s="1">
        <v>59405</v>
      </c>
      <c r="P517" s="1" t="s">
        <v>44</v>
      </c>
      <c r="Q517" s="1" t="s">
        <v>1434</v>
      </c>
      <c r="R517" s="1" t="s">
        <v>64</v>
      </c>
      <c r="S517" s="7">
        <v>2999.95</v>
      </c>
      <c r="T517" s="1">
        <v>5</v>
      </c>
      <c r="U517" s="9">
        <v>2998.96</v>
      </c>
      <c r="V517" s="9">
        <v>14999.75</v>
      </c>
      <c r="W517" s="9">
        <v>14994.8</v>
      </c>
      <c r="X517" s="12">
        <v>4.9500000000007276</v>
      </c>
      <c r="Y517" s="10">
        <v>2018</v>
      </c>
    </row>
    <row r="518" spans="1:25">
      <c r="A518" s="1" t="s">
        <v>1430</v>
      </c>
      <c r="B518" s="8">
        <v>43122</v>
      </c>
      <c r="C518" s="11" t="s">
        <v>3381</v>
      </c>
      <c r="D518" s="11" t="s">
        <v>3382</v>
      </c>
      <c r="E518" s="5" t="s">
        <v>1431</v>
      </c>
      <c r="F518" s="1" t="s">
        <v>49</v>
      </c>
      <c r="G518" s="1" t="s">
        <v>445</v>
      </c>
      <c r="H518" s="1" t="s">
        <v>3468</v>
      </c>
      <c r="I518" s="1" t="s">
        <v>3469</v>
      </c>
      <c r="J518" s="1"/>
      <c r="K518" s="1" t="s">
        <v>87</v>
      </c>
      <c r="L518" s="1" t="s">
        <v>30</v>
      </c>
      <c r="M518" s="1" t="s">
        <v>1432</v>
      </c>
      <c r="N518" s="1" t="s">
        <v>1433</v>
      </c>
      <c r="O518" s="1">
        <v>59405</v>
      </c>
      <c r="P518" s="1" t="s">
        <v>44</v>
      </c>
      <c r="Q518" s="1" t="s">
        <v>1435</v>
      </c>
      <c r="R518" s="1" t="s">
        <v>46</v>
      </c>
      <c r="S518" s="7">
        <v>51.45</v>
      </c>
      <c r="T518" s="1">
        <v>5</v>
      </c>
      <c r="U518" s="9">
        <v>50.93</v>
      </c>
      <c r="V518" s="9">
        <v>257.25</v>
      </c>
      <c r="W518" s="9">
        <v>254.65</v>
      </c>
      <c r="X518" s="12">
        <v>2.5999999999999943</v>
      </c>
      <c r="Y518" s="10">
        <v>2018</v>
      </c>
    </row>
    <row r="519" spans="1:25">
      <c r="A519" s="1" t="s">
        <v>1430</v>
      </c>
      <c r="B519" s="8">
        <v>43122</v>
      </c>
      <c r="C519" s="11" t="s">
        <v>3381</v>
      </c>
      <c r="D519" s="11" t="s">
        <v>3382</v>
      </c>
      <c r="E519" s="5" t="s">
        <v>1431</v>
      </c>
      <c r="F519" s="1" t="s">
        <v>49</v>
      </c>
      <c r="G519" s="1" t="s">
        <v>445</v>
      </c>
      <c r="H519" s="1" t="s">
        <v>3468</v>
      </c>
      <c r="I519" s="1" t="s">
        <v>3469</v>
      </c>
      <c r="J519" s="1"/>
      <c r="K519" s="1" t="s">
        <v>87</v>
      </c>
      <c r="L519" s="1" t="s">
        <v>30</v>
      </c>
      <c r="M519" s="1" t="s">
        <v>1432</v>
      </c>
      <c r="N519" s="1" t="s">
        <v>1433</v>
      </c>
      <c r="O519" s="1">
        <v>59405</v>
      </c>
      <c r="P519" s="1" t="s">
        <v>44</v>
      </c>
      <c r="Q519" s="1" t="s">
        <v>1436</v>
      </c>
      <c r="R519" s="1" t="s">
        <v>46</v>
      </c>
      <c r="S519" s="7">
        <v>11.96</v>
      </c>
      <c r="T519" s="1">
        <v>5</v>
      </c>
      <c r="U519" s="9">
        <v>11.16</v>
      </c>
      <c r="V519" s="9">
        <v>59.800000000000004</v>
      </c>
      <c r="W519" s="9">
        <v>55.8</v>
      </c>
      <c r="X519" s="12">
        <v>4.0000000000000071</v>
      </c>
      <c r="Y519" s="10">
        <v>2018</v>
      </c>
    </row>
    <row r="520" spans="1:25">
      <c r="A520" s="1" t="s">
        <v>1430</v>
      </c>
      <c r="B520" s="8">
        <v>43122</v>
      </c>
      <c r="C520" s="11" t="s">
        <v>3381</v>
      </c>
      <c r="D520" s="11" t="s">
        <v>3382</v>
      </c>
      <c r="E520" s="5" t="s">
        <v>1431</v>
      </c>
      <c r="F520" s="1" t="s">
        <v>49</v>
      </c>
      <c r="G520" s="1" t="s">
        <v>445</v>
      </c>
      <c r="H520" s="1" t="s">
        <v>3468</v>
      </c>
      <c r="I520" s="1" t="s">
        <v>3469</v>
      </c>
      <c r="J520" s="1"/>
      <c r="K520" s="1" t="s">
        <v>87</v>
      </c>
      <c r="L520" s="1" t="s">
        <v>30</v>
      </c>
      <c r="M520" s="1" t="s">
        <v>1432</v>
      </c>
      <c r="N520" s="1" t="s">
        <v>1433</v>
      </c>
      <c r="O520" s="1">
        <v>59405</v>
      </c>
      <c r="P520" s="1" t="s">
        <v>44</v>
      </c>
      <c r="Q520" s="1" t="s">
        <v>1437</v>
      </c>
      <c r="R520" s="1" t="s">
        <v>46</v>
      </c>
      <c r="S520" s="7">
        <v>1126.02</v>
      </c>
      <c r="T520" s="1">
        <v>5</v>
      </c>
      <c r="U520" s="9">
        <v>1125.5899999999999</v>
      </c>
      <c r="V520" s="9">
        <v>5630.1</v>
      </c>
      <c r="W520" s="9">
        <v>5627.95</v>
      </c>
      <c r="X520" s="12">
        <v>2.1500000000005457</v>
      </c>
      <c r="Y520" s="10">
        <v>2018</v>
      </c>
    </row>
    <row r="521" spans="1:25">
      <c r="A521" s="1" t="s">
        <v>1438</v>
      </c>
      <c r="B521" s="8">
        <v>42451</v>
      </c>
      <c r="C521" s="11" t="s">
        <v>3429</v>
      </c>
      <c r="D521" s="11" t="s">
        <v>3382</v>
      </c>
      <c r="E521" s="5" t="s">
        <v>1439</v>
      </c>
      <c r="F521" s="1" t="s">
        <v>49</v>
      </c>
      <c r="G521" s="1" t="s">
        <v>1440</v>
      </c>
      <c r="H521" s="1" t="s">
        <v>3618</v>
      </c>
      <c r="I521" s="1" t="s">
        <v>3685</v>
      </c>
      <c r="J521" s="1"/>
      <c r="K521" s="1" t="s">
        <v>29</v>
      </c>
      <c r="L521" s="1" t="s">
        <v>30</v>
      </c>
      <c r="M521" s="1" t="s">
        <v>172</v>
      </c>
      <c r="N521" s="1" t="s">
        <v>89</v>
      </c>
      <c r="O521" s="1">
        <v>77041</v>
      </c>
      <c r="P521" s="1" t="s">
        <v>90</v>
      </c>
      <c r="Q521" s="1" t="s">
        <v>202</v>
      </c>
      <c r="R521" s="1" t="s">
        <v>64</v>
      </c>
      <c r="S521" s="7">
        <v>18.391999999999999</v>
      </c>
      <c r="T521" s="1">
        <v>7</v>
      </c>
      <c r="U521" s="9">
        <v>18.12</v>
      </c>
      <c r="V521" s="9">
        <v>128.744</v>
      </c>
      <c r="W521" s="9">
        <v>126.84</v>
      </c>
      <c r="X521" s="12">
        <v>1.9039999999999964</v>
      </c>
      <c r="Y521" s="10">
        <v>2016</v>
      </c>
    </row>
    <row r="522" spans="1:25">
      <c r="A522" s="1" t="s">
        <v>1438</v>
      </c>
      <c r="B522" s="8">
        <v>42451</v>
      </c>
      <c r="C522" s="11" t="s">
        <v>3429</v>
      </c>
      <c r="D522" s="11" t="s">
        <v>3382</v>
      </c>
      <c r="E522" s="5" t="s">
        <v>1439</v>
      </c>
      <c r="F522" s="1" t="s">
        <v>49</v>
      </c>
      <c r="G522" s="1" t="s">
        <v>1440</v>
      </c>
      <c r="H522" s="1" t="s">
        <v>3618</v>
      </c>
      <c r="I522" s="1" t="s">
        <v>3685</v>
      </c>
      <c r="J522" s="1"/>
      <c r="K522" s="1" t="s">
        <v>29</v>
      </c>
      <c r="L522" s="1" t="s">
        <v>30</v>
      </c>
      <c r="M522" s="1" t="s">
        <v>172</v>
      </c>
      <c r="N522" s="1" t="s">
        <v>89</v>
      </c>
      <c r="O522" s="1">
        <v>77041</v>
      </c>
      <c r="P522" s="1" t="s">
        <v>90</v>
      </c>
      <c r="Q522" s="1" t="s">
        <v>1442</v>
      </c>
      <c r="R522" s="1" t="s">
        <v>46</v>
      </c>
      <c r="S522" s="7">
        <v>129.56800000000001</v>
      </c>
      <c r="T522" s="1">
        <v>7</v>
      </c>
      <c r="U522" s="9">
        <v>129.1</v>
      </c>
      <c r="V522" s="9">
        <v>906.97600000000011</v>
      </c>
      <c r="W522" s="9">
        <v>903.69999999999993</v>
      </c>
      <c r="X522" s="12">
        <v>3.276000000000181</v>
      </c>
      <c r="Y522" s="10">
        <v>2016</v>
      </c>
    </row>
    <row r="523" spans="1:25">
      <c r="A523" s="1" t="s">
        <v>1438</v>
      </c>
      <c r="B523" s="8">
        <v>42451</v>
      </c>
      <c r="C523" s="11" t="s">
        <v>3429</v>
      </c>
      <c r="D523" s="11" t="s">
        <v>3382</v>
      </c>
      <c r="E523" s="5" t="s">
        <v>1439</v>
      </c>
      <c r="F523" s="1" t="s">
        <v>49</v>
      </c>
      <c r="G523" s="1" t="s">
        <v>1440</v>
      </c>
      <c r="H523" s="1" t="s">
        <v>3618</v>
      </c>
      <c r="I523" s="1" t="s">
        <v>3685</v>
      </c>
      <c r="J523" s="1"/>
      <c r="K523" s="1" t="s">
        <v>29</v>
      </c>
      <c r="L523" s="1" t="s">
        <v>30</v>
      </c>
      <c r="M523" s="1" t="s">
        <v>172</v>
      </c>
      <c r="N523" s="1" t="s">
        <v>89</v>
      </c>
      <c r="O523" s="1">
        <v>77041</v>
      </c>
      <c r="P523" s="1" t="s">
        <v>90</v>
      </c>
      <c r="Q523" s="1" t="s">
        <v>1443</v>
      </c>
      <c r="R523" s="1" t="s">
        <v>46</v>
      </c>
      <c r="S523" s="7">
        <v>14.112</v>
      </c>
      <c r="T523" s="1">
        <v>7</v>
      </c>
      <c r="U523" s="9">
        <v>13.35</v>
      </c>
      <c r="V523" s="9">
        <v>98.784000000000006</v>
      </c>
      <c r="W523" s="9">
        <v>93.45</v>
      </c>
      <c r="X523" s="12">
        <v>5.3340000000000032</v>
      </c>
      <c r="Y523" s="10">
        <v>2016</v>
      </c>
    </row>
    <row r="524" spans="1:25">
      <c r="A524" s="1" t="s">
        <v>1444</v>
      </c>
      <c r="B524" s="8">
        <v>43123</v>
      </c>
      <c r="C524" s="11" t="s">
        <v>3381</v>
      </c>
      <c r="D524" s="11" t="s">
        <v>3382</v>
      </c>
      <c r="E524" s="5" t="s">
        <v>1445</v>
      </c>
      <c r="F524" s="1" t="s">
        <v>162</v>
      </c>
      <c r="G524" s="1" t="s">
        <v>1446</v>
      </c>
      <c r="H524" s="1" t="s">
        <v>3388</v>
      </c>
      <c r="I524" s="1" t="s">
        <v>3686</v>
      </c>
      <c r="J524" s="1"/>
      <c r="K524" s="1" t="s">
        <v>41</v>
      </c>
      <c r="L524" s="1" t="s">
        <v>30</v>
      </c>
      <c r="M524" s="1" t="s">
        <v>728</v>
      </c>
      <c r="N524" s="1" t="s">
        <v>209</v>
      </c>
      <c r="O524" s="1">
        <v>48234</v>
      </c>
      <c r="P524" s="1" t="s">
        <v>90</v>
      </c>
      <c r="Q524" s="1" t="s">
        <v>1383</v>
      </c>
      <c r="R524" s="1" t="s">
        <v>35</v>
      </c>
      <c r="S524" s="7">
        <v>210.98</v>
      </c>
      <c r="T524" s="1">
        <v>4</v>
      </c>
      <c r="U524" s="9">
        <v>210.23</v>
      </c>
      <c r="V524" s="9">
        <v>843.92</v>
      </c>
      <c r="W524" s="9">
        <v>840.92</v>
      </c>
      <c r="X524" s="12">
        <v>3</v>
      </c>
      <c r="Y524" s="10">
        <v>2018</v>
      </c>
    </row>
    <row r="525" spans="1:25">
      <c r="A525" s="1" t="s">
        <v>1448</v>
      </c>
      <c r="B525" s="8">
        <v>42876</v>
      </c>
      <c r="C525" s="11" t="s">
        <v>3363</v>
      </c>
      <c r="D525" s="11" t="s">
        <v>3360</v>
      </c>
      <c r="E525" s="5" t="s">
        <v>1449</v>
      </c>
      <c r="F525" s="1" t="s">
        <v>162</v>
      </c>
      <c r="G525" s="1" t="s">
        <v>771</v>
      </c>
      <c r="H525" s="1" t="s">
        <v>3529</v>
      </c>
      <c r="I525" s="1" t="s">
        <v>3546</v>
      </c>
      <c r="J525" s="1"/>
      <c r="K525" s="1" t="s">
        <v>29</v>
      </c>
      <c r="L525" s="1" t="s">
        <v>30</v>
      </c>
      <c r="M525" s="1" t="s">
        <v>42</v>
      </c>
      <c r="N525" s="1" t="s">
        <v>68</v>
      </c>
      <c r="O525" s="1">
        <v>90032</v>
      </c>
      <c r="P525" s="1" t="s">
        <v>44</v>
      </c>
      <c r="Q525" s="1" t="s">
        <v>1450</v>
      </c>
      <c r="R525" s="1" t="s">
        <v>64</v>
      </c>
      <c r="S525" s="7">
        <v>55.176000000000002</v>
      </c>
      <c r="T525" s="1">
        <v>9</v>
      </c>
      <c r="U525" s="9">
        <v>54.96</v>
      </c>
      <c r="V525" s="9">
        <v>496.584</v>
      </c>
      <c r="W525" s="9">
        <v>494.64</v>
      </c>
      <c r="X525" s="12">
        <v>1.9440000000000168</v>
      </c>
      <c r="Y525" s="10">
        <v>2017</v>
      </c>
    </row>
    <row r="526" spans="1:25">
      <c r="A526" s="1" t="s">
        <v>1448</v>
      </c>
      <c r="B526" s="8">
        <v>42876</v>
      </c>
      <c r="C526" s="11" t="s">
        <v>3363</v>
      </c>
      <c r="D526" s="11" t="s">
        <v>3360</v>
      </c>
      <c r="E526" s="5" t="s">
        <v>1449</v>
      </c>
      <c r="F526" s="1" t="s">
        <v>162</v>
      </c>
      <c r="G526" s="1" t="s">
        <v>771</v>
      </c>
      <c r="H526" s="1" t="s">
        <v>3529</v>
      </c>
      <c r="I526" s="1" t="s">
        <v>3546</v>
      </c>
      <c r="J526" s="1"/>
      <c r="K526" s="1" t="s">
        <v>29</v>
      </c>
      <c r="L526" s="1" t="s">
        <v>30</v>
      </c>
      <c r="M526" s="1" t="s">
        <v>42</v>
      </c>
      <c r="N526" s="1" t="s">
        <v>68</v>
      </c>
      <c r="O526" s="1">
        <v>90032</v>
      </c>
      <c r="P526" s="1" t="s">
        <v>44</v>
      </c>
      <c r="Q526" s="1" t="s">
        <v>747</v>
      </c>
      <c r="R526" s="1" t="s">
        <v>64</v>
      </c>
      <c r="S526" s="7">
        <v>66.260000000000005</v>
      </c>
      <c r="T526" s="1">
        <v>9</v>
      </c>
      <c r="U526" s="9">
        <v>66.069999999999993</v>
      </c>
      <c r="V526" s="9">
        <v>596.34</v>
      </c>
      <c r="W526" s="9">
        <v>594.62999999999988</v>
      </c>
      <c r="X526" s="12">
        <v>1.7100000000001501</v>
      </c>
      <c r="Y526" s="10">
        <v>2017</v>
      </c>
    </row>
    <row r="527" spans="1:25">
      <c r="A527" s="1" t="s">
        <v>1451</v>
      </c>
      <c r="B527" s="8">
        <v>42730</v>
      </c>
      <c r="C527" s="11" t="s">
        <v>3348</v>
      </c>
      <c r="D527" s="11" t="s">
        <v>3349</v>
      </c>
      <c r="E527" s="5">
        <v>42767</v>
      </c>
      <c r="F527" s="1" t="s">
        <v>49</v>
      </c>
      <c r="G527" s="1" t="s">
        <v>1452</v>
      </c>
      <c r="H527" s="1" t="s">
        <v>3687</v>
      </c>
      <c r="I527" s="1" t="s">
        <v>3596</v>
      </c>
      <c r="J527" s="1"/>
      <c r="K527" s="1" t="s">
        <v>29</v>
      </c>
      <c r="L527" s="1" t="s">
        <v>30</v>
      </c>
      <c r="M527" s="1" t="s">
        <v>1204</v>
      </c>
      <c r="N527" s="1" t="s">
        <v>1014</v>
      </c>
      <c r="O527" s="1">
        <v>1841</v>
      </c>
      <c r="P527" s="1" t="s">
        <v>128</v>
      </c>
      <c r="Q527" s="1" t="s">
        <v>1454</v>
      </c>
      <c r="R527" s="1" t="s">
        <v>46</v>
      </c>
      <c r="S527" s="7">
        <v>22.2</v>
      </c>
      <c r="T527" s="1">
        <v>1</v>
      </c>
      <c r="U527" s="9">
        <v>22.09</v>
      </c>
      <c r="V527" s="9">
        <v>22.2</v>
      </c>
      <c r="W527" s="9">
        <v>22.09</v>
      </c>
      <c r="X527" s="12">
        <v>0.10999999999999943</v>
      </c>
      <c r="Y527" s="10">
        <v>2016</v>
      </c>
    </row>
    <row r="528" spans="1:25">
      <c r="A528" s="1" t="s">
        <v>1455</v>
      </c>
      <c r="B528" s="8">
        <v>43394</v>
      </c>
      <c r="C528" s="11" t="s">
        <v>3387</v>
      </c>
      <c r="D528" s="11" t="s">
        <v>3349</v>
      </c>
      <c r="E528" s="5" t="s">
        <v>1456</v>
      </c>
      <c r="F528" s="1" t="s">
        <v>49</v>
      </c>
      <c r="G528" s="1" t="s">
        <v>1457</v>
      </c>
      <c r="H528" s="1" t="s">
        <v>3688</v>
      </c>
      <c r="I528" s="1" t="s">
        <v>3689</v>
      </c>
      <c r="J528" s="1"/>
      <c r="K528" s="1" t="s">
        <v>87</v>
      </c>
      <c r="L528" s="1" t="s">
        <v>30</v>
      </c>
      <c r="M528" s="1" t="s">
        <v>1459</v>
      </c>
      <c r="N528" s="1" t="s">
        <v>194</v>
      </c>
      <c r="O528" s="1">
        <v>33801</v>
      </c>
      <c r="P528" s="1" t="s">
        <v>33</v>
      </c>
      <c r="Q528" s="1" t="s">
        <v>1460</v>
      </c>
      <c r="R528" s="1" t="s">
        <v>35</v>
      </c>
      <c r="S528" s="7">
        <v>683.952</v>
      </c>
      <c r="T528" s="1">
        <v>3</v>
      </c>
      <c r="U528" s="9">
        <v>683.38</v>
      </c>
      <c r="V528" s="9">
        <v>2051.8559999999998</v>
      </c>
      <c r="W528" s="9">
        <v>2050.14</v>
      </c>
      <c r="X528" s="12">
        <v>1.7159999999998945</v>
      </c>
      <c r="Y528" s="10">
        <v>2018</v>
      </c>
    </row>
    <row r="529" spans="1:25">
      <c r="A529" s="1" t="s">
        <v>1455</v>
      </c>
      <c r="B529" s="8">
        <v>43394</v>
      </c>
      <c r="C529" s="11" t="s">
        <v>3387</v>
      </c>
      <c r="D529" s="11" t="s">
        <v>3349</v>
      </c>
      <c r="E529" s="5" t="s">
        <v>1456</v>
      </c>
      <c r="F529" s="1" t="s">
        <v>49</v>
      </c>
      <c r="G529" s="1" t="s">
        <v>1457</v>
      </c>
      <c r="H529" s="1" t="s">
        <v>3688</v>
      </c>
      <c r="I529" s="1" t="s">
        <v>3689</v>
      </c>
      <c r="J529" s="1"/>
      <c r="K529" s="1" t="s">
        <v>87</v>
      </c>
      <c r="L529" s="1" t="s">
        <v>30</v>
      </c>
      <c r="M529" s="1" t="s">
        <v>1459</v>
      </c>
      <c r="N529" s="1" t="s">
        <v>194</v>
      </c>
      <c r="O529" s="1">
        <v>33801</v>
      </c>
      <c r="P529" s="1" t="s">
        <v>33</v>
      </c>
      <c r="Q529" s="1" t="s">
        <v>926</v>
      </c>
      <c r="R529" s="1" t="s">
        <v>35</v>
      </c>
      <c r="S529" s="7">
        <v>45.695999999999998</v>
      </c>
      <c r="T529" s="1">
        <v>3</v>
      </c>
      <c r="U529" s="9">
        <v>44.75</v>
      </c>
      <c r="V529" s="9">
        <v>137.08799999999999</v>
      </c>
      <c r="W529" s="9">
        <v>134.25</v>
      </c>
      <c r="X529" s="12">
        <v>2.8379999999999939</v>
      </c>
      <c r="Y529" s="10">
        <v>2018</v>
      </c>
    </row>
    <row r="530" spans="1:25">
      <c r="A530" s="1" t="s">
        <v>1461</v>
      </c>
      <c r="B530" s="8">
        <v>42438</v>
      </c>
      <c r="C530" s="11" t="s">
        <v>3429</v>
      </c>
      <c r="D530" s="11" t="s">
        <v>3382</v>
      </c>
      <c r="E530" s="5">
        <v>42560</v>
      </c>
      <c r="F530" s="1" t="s">
        <v>49</v>
      </c>
      <c r="G530" s="1" t="s">
        <v>1462</v>
      </c>
      <c r="H530" s="1" t="s">
        <v>3621</v>
      </c>
      <c r="I530" s="1" t="s">
        <v>3690</v>
      </c>
      <c r="J530" s="1"/>
      <c r="K530" s="1" t="s">
        <v>29</v>
      </c>
      <c r="L530" s="1" t="s">
        <v>30</v>
      </c>
      <c r="M530" s="1" t="s">
        <v>126</v>
      </c>
      <c r="N530" s="1" t="s">
        <v>127</v>
      </c>
      <c r="O530" s="1">
        <v>19134</v>
      </c>
      <c r="P530" s="1" t="s">
        <v>128</v>
      </c>
      <c r="Q530" s="1" t="s">
        <v>1464</v>
      </c>
      <c r="R530" s="1" t="s">
        <v>46</v>
      </c>
      <c r="S530" s="7">
        <v>36.335999999999999</v>
      </c>
      <c r="T530" s="1">
        <v>1</v>
      </c>
      <c r="U530" s="9">
        <v>35.79</v>
      </c>
      <c r="V530" s="9">
        <v>36.335999999999999</v>
      </c>
      <c r="W530" s="9">
        <v>35.79</v>
      </c>
      <c r="X530" s="12">
        <v>0.54599999999999937</v>
      </c>
      <c r="Y530" s="10">
        <v>2016</v>
      </c>
    </row>
    <row r="531" spans="1:25">
      <c r="A531" s="1" t="s">
        <v>1461</v>
      </c>
      <c r="B531" s="8">
        <v>42438</v>
      </c>
      <c r="C531" s="11" t="s">
        <v>3429</v>
      </c>
      <c r="D531" s="11" t="s">
        <v>3382</v>
      </c>
      <c r="E531" s="5">
        <v>42560</v>
      </c>
      <c r="F531" s="1" t="s">
        <v>49</v>
      </c>
      <c r="G531" s="1" t="s">
        <v>1462</v>
      </c>
      <c r="H531" s="1" t="s">
        <v>3621</v>
      </c>
      <c r="I531" s="1" t="s">
        <v>3690</v>
      </c>
      <c r="J531" s="1"/>
      <c r="K531" s="1" t="s">
        <v>29</v>
      </c>
      <c r="L531" s="1" t="s">
        <v>30</v>
      </c>
      <c r="M531" s="1" t="s">
        <v>126</v>
      </c>
      <c r="N531" s="1" t="s">
        <v>127</v>
      </c>
      <c r="O531" s="1">
        <v>19134</v>
      </c>
      <c r="P531" s="1" t="s">
        <v>128</v>
      </c>
      <c r="Q531" s="1" t="s">
        <v>1465</v>
      </c>
      <c r="R531" s="1" t="s">
        <v>46</v>
      </c>
      <c r="S531" s="7">
        <v>666.24800000000005</v>
      </c>
      <c r="T531" s="1">
        <v>1</v>
      </c>
      <c r="U531" s="9">
        <v>665.42</v>
      </c>
      <c r="V531" s="9">
        <v>666.24800000000005</v>
      </c>
      <c r="W531" s="9">
        <v>665.42</v>
      </c>
      <c r="X531" s="12">
        <v>0.82800000000008822</v>
      </c>
      <c r="Y531" s="10">
        <v>2016</v>
      </c>
    </row>
    <row r="532" spans="1:25">
      <c r="A532" s="1" t="s">
        <v>1461</v>
      </c>
      <c r="B532" s="8">
        <v>42438</v>
      </c>
      <c r="C532" s="11" t="s">
        <v>3429</v>
      </c>
      <c r="D532" s="11" t="s">
        <v>3382</v>
      </c>
      <c r="E532" s="5">
        <v>42560</v>
      </c>
      <c r="F532" s="1" t="s">
        <v>49</v>
      </c>
      <c r="G532" s="1" t="s">
        <v>1462</v>
      </c>
      <c r="H532" s="1" t="s">
        <v>3621</v>
      </c>
      <c r="I532" s="1" t="s">
        <v>3690</v>
      </c>
      <c r="J532" s="1"/>
      <c r="K532" s="1" t="s">
        <v>29</v>
      </c>
      <c r="L532" s="1" t="s">
        <v>30</v>
      </c>
      <c r="M532" s="1" t="s">
        <v>126</v>
      </c>
      <c r="N532" s="1" t="s">
        <v>127</v>
      </c>
      <c r="O532" s="1">
        <v>19134</v>
      </c>
      <c r="P532" s="1" t="s">
        <v>128</v>
      </c>
      <c r="Q532" s="1" t="s">
        <v>1466</v>
      </c>
      <c r="R532" s="1" t="s">
        <v>46</v>
      </c>
      <c r="S532" s="7">
        <v>52.512</v>
      </c>
      <c r="T532" s="1">
        <v>1</v>
      </c>
      <c r="U532" s="9">
        <v>51.96</v>
      </c>
      <c r="V532" s="9">
        <v>52.512</v>
      </c>
      <c r="W532" s="9">
        <v>51.96</v>
      </c>
      <c r="X532" s="12">
        <v>0.5519999999999996</v>
      </c>
      <c r="Y532" s="10">
        <v>2016</v>
      </c>
    </row>
    <row r="533" spans="1:25">
      <c r="A533" s="1" t="s">
        <v>1467</v>
      </c>
      <c r="B533" s="8">
        <v>42562</v>
      </c>
      <c r="C533" s="11" t="s">
        <v>3376</v>
      </c>
      <c r="D533" s="11" t="s">
        <v>3345</v>
      </c>
      <c r="E533" s="5">
        <v>42624</v>
      </c>
      <c r="F533" s="1" t="s">
        <v>26</v>
      </c>
      <c r="G533" s="1" t="s">
        <v>1468</v>
      </c>
      <c r="H533" s="1" t="s">
        <v>3418</v>
      </c>
      <c r="I533" s="1" t="s">
        <v>3691</v>
      </c>
      <c r="J533" s="1"/>
      <c r="K533" s="1" t="s">
        <v>41</v>
      </c>
      <c r="L533" s="1" t="s">
        <v>30</v>
      </c>
      <c r="M533" s="1" t="s">
        <v>42</v>
      </c>
      <c r="N533" s="1" t="s">
        <v>68</v>
      </c>
      <c r="O533" s="1">
        <v>90036</v>
      </c>
      <c r="P533" s="1" t="s">
        <v>44</v>
      </c>
      <c r="Q533" s="1" t="s">
        <v>1470</v>
      </c>
      <c r="R533" s="1" t="s">
        <v>35</v>
      </c>
      <c r="S533" s="7">
        <v>190.72</v>
      </c>
      <c r="T533" s="1">
        <v>9</v>
      </c>
      <c r="U533" s="9">
        <v>190.15</v>
      </c>
      <c r="V533" s="9">
        <v>1716.48</v>
      </c>
      <c r="W533" s="9">
        <v>1711.3500000000001</v>
      </c>
      <c r="X533" s="12">
        <v>5.1299999999998818</v>
      </c>
      <c r="Y533" s="10">
        <v>2016</v>
      </c>
    </row>
    <row r="534" spans="1:25">
      <c r="A534" s="1" t="s">
        <v>1471</v>
      </c>
      <c r="B534" s="8">
        <v>43290</v>
      </c>
      <c r="C534" s="11" t="s">
        <v>3376</v>
      </c>
      <c r="D534" s="11" t="s">
        <v>3345</v>
      </c>
      <c r="E534" s="5">
        <v>43413</v>
      </c>
      <c r="F534" s="1" t="s">
        <v>49</v>
      </c>
      <c r="G534" s="1" t="s">
        <v>1472</v>
      </c>
      <c r="H534" s="1" t="s">
        <v>3692</v>
      </c>
      <c r="I534" s="1" t="s">
        <v>3452</v>
      </c>
      <c r="J534" s="1"/>
      <c r="K534" s="1" t="s">
        <v>29</v>
      </c>
      <c r="L534" s="1" t="s">
        <v>30</v>
      </c>
      <c r="M534" s="1" t="s">
        <v>42</v>
      </c>
      <c r="N534" s="1" t="s">
        <v>68</v>
      </c>
      <c r="O534" s="1">
        <v>90032</v>
      </c>
      <c r="P534" s="1" t="s">
        <v>44</v>
      </c>
      <c r="Q534" s="1" t="s">
        <v>1474</v>
      </c>
      <c r="R534" s="1" t="s">
        <v>35</v>
      </c>
      <c r="S534" s="7">
        <v>47.94</v>
      </c>
      <c r="T534" s="1">
        <v>9</v>
      </c>
      <c r="U534" s="9">
        <v>47.47</v>
      </c>
      <c r="V534" s="9">
        <v>431.46</v>
      </c>
      <c r="W534" s="9">
        <v>427.23</v>
      </c>
      <c r="X534" s="12">
        <v>4.2299999999999613</v>
      </c>
      <c r="Y534" s="10">
        <v>2018</v>
      </c>
    </row>
    <row r="535" spans="1:25">
      <c r="A535" s="1" t="s">
        <v>1475</v>
      </c>
      <c r="B535" s="8">
        <v>42884</v>
      </c>
      <c r="C535" s="11" t="s">
        <v>3363</v>
      </c>
      <c r="D535" s="11" t="s">
        <v>3360</v>
      </c>
      <c r="E535" s="5">
        <v>42741</v>
      </c>
      <c r="F535" s="1" t="s">
        <v>26</v>
      </c>
      <c r="G535" s="1" t="s">
        <v>1476</v>
      </c>
      <c r="H535" s="1" t="s">
        <v>3693</v>
      </c>
      <c r="I535" s="1" t="s">
        <v>3590</v>
      </c>
      <c r="J535" s="1"/>
      <c r="K535" s="1" t="s">
        <v>29</v>
      </c>
      <c r="L535" s="1" t="s">
        <v>30</v>
      </c>
      <c r="M535" s="1" t="s">
        <v>1478</v>
      </c>
      <c r="N535" s="1" t="s">
        <v>304</v>
      </c>
      <c r="O535" s="1">
        <v>36116</v>
      </c>
      <c r="P535" s="1" t="s">
        <v>33</v>
      </c>
      <c r="Q535" s="1" t="s">
        <v>1479</v>
      </c>
      <c r="R535" s="1" t="s">
        <v>64</v>
      </c>
      <c r="S535" s="7">
        <v>979.95</v>
      </c>
      <c r="T535" s="1">
        <v>3</v>
      </c>
      <c r="U535" s="9">
        <v>979.35</v>
      </c>
      <c r="V535" s="9">
        <v>2939.8500000000004</v>
      </c>
      <c r="W535" s="9">
        <v>2938.05</v>
      </c>
      <c r="X535" s="12">
        <v>1.8000000000001819</v>
      </c>
      <c r="Y535" s="10">
        <v>2017</v>
      </c>
    </row>
    <row r="536" spans="1:25">
      <c r="A536" s="1" t="s">
        <v>1475</v>
      </c>
      <c r="B536" s="8">
        <v>42884</v>
      </c>
      <c r="C536" s="11" t="s">
        <v>3363</v>
      </c>
      <c r="D536" s="11" t="s">
        <v>3360</v>
      </c>
      <c r="E536" s="5">
        <v>42741</v>
      </c>
      <c r="F536" s="1" t="s">
        <v>26</v>
      </c>
      <c r="G536" s="1" t="s">
        <v>1476</v>
      </c>
      <c r="H536" s="1" t="s">
        <v>3693</v>
      </c>
      <c r="I536" s="1" t="s">
        <v>3590</v>
      </c>
      <c r="J536" s="1"/>
      <c r="K536" s="1" t="s">
        <v>29</v>
      </c>
      <c r="L536" s="1" t="s">
        <v>30</v>
      </c>
      <c r="M536" s="1" t="s">
        <v>1478</v>
      </c>
      <c r="N536" s="1" t="s">
        <v>304</v>
      </c>
      <c r="O536" s="1">
        <v>36116</v>
      </c>
      <c r="P536" s="1" t="s">
        <v>33</v>
      </c>
      <c r="Q536" s="1" t="s">
        <v>840</v>
      </c>
      <c r="R536" s="1" t="s">
        <v>46</v>
      </c>
      <c r="S536" s="7">
        <v>22.75</v>
      </c>
      <c r="T536" s="1">
        <v>3</v>
      </c>
      <c r="U536" s="9">
        <v>22.51</v>
      </c>
      <c r="V536" s="9">
        <v>68.25</v>
      </c>
      <c r="W536" s="9">
        <v>67.53</v>
      </c>
      <c r="X536" s="12">
        <v>0.71999999999999886</v>
      </c>
      <c r="Y536" s="10">
        <v>2017</v>
      </c>
    </row>
    <row r="537" spans="1:25">
      <c r="A537" s="1" t="s">
        <v>1480</v>
      </c>
      <c r="B537" s="8">
        <v>43015</v>
      </c>
      <c r="C537" s="11" t="s">
        <v>3387</v>
      </c>
      <c r="D537" s="11" t="s">
        <v>3349</v>
      </c>
      <c r="E537" s="5" t="s">
        <v>1481</v>
      </c>
      <c r="F537" s="1" t="s">
        <v>49</v>
      </c>
      <c r="G537" s="1" t="s">
        <v>1482</v>
      </c>
      <c r="H537" s="1" t="s">
        <v>3362</v>
      </c>
      <c r="I537" s="1" t="s">
        <v>3694</v>
      </c>
      <c r="J537" s="1"/>
      <c r="K537" s="1" t="s">
        <v>29</v>
      </c>
      <c r="L537" s="1" t="s">
        <v>30</v>
      </c>
      <c r="M537" s="1" t="s">
        <v>1484</v>
      </c>
      <c r="N537" s="1" t="s">
        <v>265</v>
      </c>
      <c r="O537" s="1">
        <v>85204</v>
      </c>
      <c r="P537" s="1" t="s">
        <v>44</v>
      </c>
      <c r="Q537" s="1" t="s">
        <v>1485</v>
      </c>
      <c r="R537" s="1" t="s">
        <v>46</v>
      </c>
      <c r="S537" s="7">
        <v>16.768000000000001</v>
      </c>
      <c r="T537" s="1">
        <v>8</v>
      </c>
      <c r="U537" s="9">
        <v>16.100000000000001</v>
      </c>
      <c r="V537" s="9">
        <v>134.14400000000001</v>
      </c>
      <c r="W537" s="9">
        <v>128.80000000000001</v>
      </c>
      <c r="X537" s="12">
        <v>5.3439999999999941</v>
      </c>
      <c r="Y537" s="10">
        <v>2017</v>
      </c>
    </row>
    <row r="538" spans="1:25">
      <c r="A538" s="1" t="s">
        <v>1486</v>
      </c>
      <c r="B538" s="8">
        <v>43168</v>
      </c>
      <c r="C538" s="11" t="s">
        <v>3429</v>
      </c>
      <c r="D538" s="11" t="s">
        <v>3382</v>
      </c>
      <c r="E538" s="5">
        <v>43321</v>
      </c>
      <c r="F538" s="1" t="s">
        <v>26</v>
      </c>
      <c r="G538" s="1" t="s">
        <v>1487</v>
      </c>
      <c r="H538" s="1" t="s">
        <v>3379</v>
      </c>
      <c r="I538" s="1" t="s">
        <v>3695</v>
      </c>
      <c r="J538" s="1"/>
      <c r="K538" s="1" t="s">
        <v>29</v>
      </c>
      <c r="L538" s="1" t="s">
        <v>30</v>
      </c>
      <c r="M538" s="1" t="s">
        <v>259</v>
      </c>
      <c r="N538" s="1" t="s">
        <v>182</v>
      </c>
      <c r="O538" s="1">
        <v>60653</v>
      </c>
      <c r="P538" s="1" t="s">
        <v>90</v>
      </c>
      <c r="Q538" s="1" t="s">
        <v>1489</v>
      </c>
      <c r="R538" s="1" t="s">
        <v>46</v>
      </c>
      <c r="S538" s="7">
        <v>42.616</v>
      </c>
      <c r="T538" s="1">
        <v>6</v>
      </c>
      <c r="U538" s="9">
        <v>41.78</v>
      </c>
      <c r="V538" s="9">
        <v>255.696</v>
      </c>
      <c r="W538" s="9">
        <v>250.68</v>
      </c>
      <c r="X538" s="12">
        <v>5.0159999999999911</v>
      </c>
      <c r="Y538" s="10">
        <v>2018</v>
      </c>
    </row>
    <row r="539" spans="1:25">
      <c r="A539" s="1" t="s">
        <v>1490</v>
      </c>
      <c r="B539" s="8">
        <v>42441</v>
      </c>
      <c r="C539" s="11" t="s">
        <v>3429</v>
      </c>
      <c r="D539" s="11" t="s">
        <v>3382</v>
      </c>
      <c r="E539" s="5">
        <v>42594</v>
      </c>
      <c r="F539" s="1" t="s">
        <v>49</v>
      </c>
      <c r="G539" s="1" t="s">
        <v>631</v>
      </c>
      <c r="H539" s="1" t="s">
        <v>3517</v>
      </c>
      <c r="I539" s="1" t="s">
        <v>3518</v>
      </c>
      <c r="J539" s="1"/>
      <c r="K539" s="1" t="s">
        <v>87</v>
      </c>
      <c r="L539" s="1" t="s">
        <v>30</v>
      </c>
      <c r="M539" s="1" t="s">
        <v>233</v>
      </c>
      <c r="N539" s="1" t="s">
        <v>234</v>
      </c>
      <c r="O539" s="1">
        <v>10009</v>
      </c>
      <c r="P539" s="1" t="s">
        <v>128</v>
      </c>
      <c r="Q539" s="1" t="s">
        <v>1491</v>
      </c>
      <c r="R539" s="1" t="s">
        <v>46</v>
      </c>
      <c r="S539" s="7">
        <v>10.752000000000001</v>
      </c>
      <c r="T539" s="1">
        <v>1</v>
      </c>
      <c r="U539" s="9">
        <v>10.57</v>
      </c>
      <c r="V539" s="9">
        <v>10.752000000000001</v>
      </c>
      <c r="W539" s="9">
        <v>10.57</v>
      </c>
      <c r="X539" s="12">
        <v>0.18200000000000038</v>
      </c>
      <c r="Y539" s="10">
        <v>2016</v>
      </c>
    </row>
    <row r="540" spans="1:25">
      <c r="A540" s="1" t="s">
        <v>1492</v>
      </c>
      <c r="B540" s="8">
        <v>42563</v>
      </c>
      <c r="C540" s="11" t="s">
        <v>3376</v>
      </c>
      <c r="D540" s="11" t="s">
        <v>3345</v>
      </c>
      <c r="E540" s="5">
        <v>42686</v>
      </c>
      <c r="F540" s="1" t="s">
        <v>49</v>
      </c>
      <c r="G540" s="1" t="s">
        <v>1493</v>
      </c>
      <c r="H540" s="1" t="s">
        <v>3406</v>
      </c>
      <c r="I540" s="1" t="s">
        <v>3696</v>
      </c>
      <c r="J540" s="1"/>
      <c r="K540" s="1" t="s">
        <v>29</v>
      </c>
      <c r="L540" s="1" t="s">
        <v>30</v>
      </c>
      <c r="M540" s="1" t="s">
        <v>31</v>
      </c>
      <c r="N540" s="1" t="s">
        <v>32</v>
      </c>
      <c r="O540" s="1">
        <v>42420</v>
      </c>
      <c r="P540" s="1" t="s">
        <v>33</v>
      </c>
      <c r="Q540" s="1" t="s">
        <v>1495</v>
      </c>
      <c r="R540" s="1" t="s">
        <v>46</v>
      </c>
      <c r="S540" s="7">
        <v>152.94</v>
      </c>
      <c r="T540" s="1">
        <v>4</v>
      </c>
      <c r="U540" s="9">
        <v>152.58000000000001</v>
      </c>
      <c r="V540" s="9">
        <v>611.76</v>
      </c>
      <c r="W540" s="9">
        <v>610.32000000000005</v>
      </c>
      <c r="X540" s="12">
        <v>1.4399999999999409</v>
      </c>
      <c r="Y540" s="10">
        <v>2016</v>
      </c>
    </row>
    <row r="541" spans="1:25">
      <c r="A541" s="1" t="s">
        <v>1492</v>
      </c>
      <c r="B541" s="8">
        <v>42563</v>
      </c>
      <c r="C541" s="11" t="s">
        <v>3376</v>
      </c>
      <c r="D541" s="11" t="s">
        <v>3345</v>
      </c>
      <c r="E541" s="5">
        <v>42686</v>
      </c>
      <c r="F541" s="1" t="s">
        <v>49</v>
      </c>
      <c r="G541" s="1" t="s">
        <v>1493</v>
      </c>
      <c r="H541" s="1" t="s">
        <v>3406</v>
      </c>
      <c r="I541" s="1" t="s">
        <v>3696</v>
      </c>
      <c r="J541" s="1"/>
      <c r="K541" s="1" t="s">
        <v>29</v>
      </c>
      <c r="L541" s="1" t="s">
        <v>30</v>
      </c>
      <c r="M541" s="1" t="s">
        <v>31</v>
      </c>
      <c r="N541" s="1" t="s">
        <v>32</v>
      </c>
      <c r="O541" s="1">
        <v>42420</v>
      </c>
      <c r="P541" s="1" t="s">
        <v>33</v>
      </c>
      <c r="Q541" s="1" t="s">
        <v>1496</v>
      </c>
      <c r="R541" s="1" t="s">
        <v>35</v>
      </c>
      <c r="S541" s="7">
        <v>283.92</v>
      </c>
      <c r="T541" s="1">
        <v>4</v>
      </c>
      <c r="U541" s="9">
        <v>282.95</v>
      </c>
      <c r="V541" s="9">
        <v>1135.68</v>
      </c>
      <c r="W541" s="9">
        <v>1131.8</v>
      </c>
      <c r="X541" s="12">
        <v>3.8800000000001091</v>
      </c>
      <c r="Y541" s="10">
        <v>2016</v>
      </c>
    </row>
    <row r="542" spans="1:25">
      <c r="A542" s="1" t="s">
        <v>1497</v>
      </c>
      <c r="B542" s="8">
        <v>42006</v>
      </c>
      <c r="C542" s="11" t="s">
        <v>3381</v>
      </c>
      <c r="D542" s="11" t="s">
        <v>3382</v>
      </c>
      <c r="E542" s="5">
        <v>42065</v>
      </c>
      <c r="F542" s="1" t="s">
        <v>162</v>
      </c>
      <c r="G542" s="1" t="s">
        <v>1498</v>
      </c>
      <c r="H542" s="1" t="s">
        <v>3684</v>
      </c>
      <c r="I542" s="1" t="s">
        <v>3697</v>
      </c>
      <c r="J542" s="1"/>
      <c r="K542" s="1" t="s">
        <v>29</v>
      </c>
      <c r="L542" s="1" t="s">
        <v>30</v>
      </c>
      <c r="M542" s="1" t="s">
        <v>1500</v>
      </c>
      <c r="N542" s="1" t="s">
        <v>98</v>
      </c>
      <c r="O542" s="1">
        <v>54302</v>
      </c>
      <c r="P542" s="1" t="s">
        <v>90</v>
      </c>
      <c r="Q542" s="1" t="s">
        <v>1501</v>
      </c>
      <c r="R542" s="1" t="s">
        <v>64</v>
      </c>
      <c r="S542" s="7">
        <v>468.9</v>
      </c>
      <c r="T542" s="1">
        <v>5</v>
      </c>
      <c r="U542" s="9">
        <v>467.96</v>
      </c>
      <c r="V542" s="9">
        <v>2344.5</v>
      </c>
      <c r="W542" s="9">
        <v>2339.7999999999997</v>
      </c>
      <c r="X542" s="12">
        <v>4.7000000000002728</v>
      </c>
      <c r="Y542" s="10">
        <v>2015</v>
      </c>
    </row>
    <row r="543" spans="1:25">
      <c r="A543" s="1" t="s">
        <v>1502</v>
      </c>
      <c r="B543" s="8">
        <v>42930</v>
      </c>
      <c r="C543" s="11" t="s">
        <v>3376</v>
      </c>
      <c r="D543" s="11" t="s">
        <v>3345</v>
      </c>
      <c r="E543" s="5" t="s">
        <v>1503</v>
      </c>
      <c r="F543" s="1" t="s">
        <v>162</v>
      </c>
      <c r="G543" s="1" t="s">
        <v>191</v>
      </c>
      <c r="H543" s="1" t="s">
        <v>3398</v>
      </c>
      <c r="I543" s="1" t="s">
        <v>3399</v>
      </c>
      <c r="J543" s="1"/>
      <c r="K543" s="1" t="s">
        <v>41</v>
      </c>
      <c r="L543" s="1" t="s">
        <v>30</v>
      </c>
      <c r="M543" s="1" t="s">
        <v>1067</v>
      </c>
      <c r="N543" s="1" t="s">
        <v>265</v>
      </c>
      <c r="O543" s="1">
        <v>85705</v>
      </c>
      <c r="P543" s="1" t="s">
        <v>44</v>
      </c>
      <c r="Q543" s="1" t="s">
        <v>1504</v>
      </c>
      <c r="R543" s="1" t="s">
        <v>64</v>
      </c>
      <c r="S543" s="7">
        <v>380.86399999999998</v>
      </c>
      <c r="T543" s="1">
        <v>8</v>
      </c>
      <c r="U543" s="9">
        <v>380.6</v>
      </c>
      <c r="V543" s="9">
        <v>3046.9119999999998</v>
      </c>
      <c r="W543" s="9">
        <v>3044.8</v>
      </c>
      <c r="X543" s="12">
        <v>2.1119999999996253</v>
      </c>
      <c r="Y543" s="10">
        <v>2017</v>
      </c>
    </row>
    <row r="544" spans="1:25">
      <c r="A544" s="1" t="s">
        <v>1505</v>
      </c>
      <c r="B544" s="8">
        <v>42722</v>
      </c>
      <c r="C544" s="11" t="s">
        <v>3348</v>
      </c>
      <c r="D544" s="11" t="s">
        <v>3349</v>
      </c>
      <c r="E544" s="5" t="s">
        <v>1506</v>
      </c>
      <c r="F544" s="1" t="s">
        <v>49</v>
      </c>
      <c r="G544" s="1" t="s">
        <v>1507</v>
      </c>
      <c r="H544" s="1" t="s">
        <v>3698</v>
      </c>
      <c r="I544" s="1" t="s">
        <v>3699</v>
      </c>
      <c r="J544" s="1"/>
      <c r="K544" s="1" t="s">
        <v>29</v>
      </c>
      <c r="L544" s="1" t="s">
        <v>30</v>
      </c>
      <c r="M544" s="1" t="s">
        <v>271</v>
      </c>
      <c r="N544" s="1" t="s">
        <v>421</v>
      </c>
      <c r="O544" s="1">
        <v>45503</v>
      </c>
      <c r="P544" s="1" t="s">
        <v>128</v>
      </c>
      <c r="Q544" s="1" t="s">
        <v>1372</v>
      </c>
      <c r="R544" s="1" t="s">
        <v>46</v>
      </c>
      <c r="S544" s="7">
        <v>646.77599999999995</v>
      </c>
      <c r="T544" s="1">
        <v>4</v>
      </c>
      <c r="U544" s="9">
        <v>646.66</v>
      </c>
      <c r="V544" s="9">
        <v>2587.1039999999998</v>
      </c>
      <c r="W544" s="9">
        <v>2586.64</v>
      </c>
      <c r="X544" s="12">
        <v>0.46399999999994179</v>
      </c>
      <c r="Y544" s="10">
        <v>2016</v>
      </c>
    </row>
    <row r="545" spans="1:25">
      <c r="A545" s="1" t="s">
        <v>1509</v>
      </c>
      <c r="B545" s="8">
        <v>42313</v>
      </c>
      <c r="C545" s="11" t="s">
        <v>3353</v>
      </c>
      <c r="D545" s="11" t="s">
        <v>3349</v>
      </c>
      <c r="E545" s="5" t="s">
        <v>1510</v>
      </c>
      <c r="F545" s="1" t="s">
        <v>49</v>
      </c>
      <c r="G545" s="1" t="s">
        <v>329</v>
      </c>
      <c r="H545" s="1" t="s">
        <v>3414</v>
      </c>
      <c r="I545" s="1" t="s">
        <v>3434</v>
      </c>
      <c r="J545" s="1"/>
      <c r="K545" s="1" t="s">
        <v>29</v>
      </c>
      <c r="L545" s="1" t="s">
        <v>30</v>
      </c>
      <c r="M545" s="1" t="s">
        <v>88</v>
      </c>
      <c r="N545" s="1" t="s">
        <v>89</v>
      </c>
      <c r="O545" s="1">
        <v>76106</v>
      </c>
      <c r="P545" s="1" t="s">
        <v>90</v>
      </c>
      <c r="Q545" s="1" t="s">
        <v>1511</v>
      </c>
      <c r="R545" s="1" t="s">
        <v>64</v>
      </c>
      <c r="S545" s="7">
        <v>58.112000000000002</v>
      </c>
      <c r="T545" s="1">
        <v>7</v>
      </c>
      <c r="U545" s="9">
        <v>57.94</v>
      </c>
      <c r="V545" s="9">
        <v>406.78399999999999</v>
      </c>
      <c r="W545" s="9">
        <v>405.58</v>
      </c>
      <c r="X545" s="12">
        <v>1.2040000000000077</v>
      </c>
      <c r="Y545" s="10">
        <v>2015</v>
      </c>
    </row>
    <row r="546" spans="1:25">
      <c r="A546" s="1" t="s">
        <v>1509</v>
      </c>
      <c r="B546" s="8">
        <v>42313</v>
      </c>
      <c r="C546" s="11" t="s">
        <v>3353</v>
      </c>
      <c r="D546" s="11" t="s">
        <v>3349</v>
      </c>
      <c r="E546" s="5" t="s">
        <v>1510</v>
      </c>
      <c r="F546" s="1" t="s">
        <v>49</v>
      </c>
      <c r="G546" s="1" t="s">
        <v>329</v>
      </c>
      <c r="H546" s="1" t="s">
        <v>3414</v>
      </c>
      <c r="I546" s="1" t="s">
        <v>3434</v>
      </c>
      <c r="J546" s="1"/>
      <c r="K546" s="1" t="s">
        <v>29</v>
      </c>
      <c r="L546" s="1" t="s">
        <v>30</v>
      </c>
      <c r="M546" s="1" t="s">
        <v>88</v>
      </c>
      <c r="N546" s="1" t="s">
        <v>89</v>
      </c>
      <c r="O546" s="1">
        <v>76106</v>
      </c>
      <c r="P546" s="1" t="s">
        <v>90</v>
      </c>
      <c r="Q546" s="1" t="s">
        <v>1512</v>
      </c>
      <c r="R546" s="1" t="s">
        <v>64</v>
      </c>
      <c r="S546" s="7">
        <v>100.792</v>
      </c>
      <c r="T546" s="1">
        <v>7</v>
      </c>
      <c r="U546" s="9">
        <v>100.58</v>
      </c>
      <c r="V546" s="9">
        <v>705.54399999999998</v>
      </c>
      <c r="W546" s="9">
        <v>704.06</v>
      </c>
      <c r="X546" s="12">
        <v>1.4840000000000373</v>
      </c>
      <c r="Y546" s="10">
        <v>2015</v>
      </c>
    </row>
    <row r="547" spans="1:25">
      <c r="A547" s="1" t="s">
        <v>1509</v>
      </c>
      <c r="B547" s="8">
        <v>42313</v>
      </c>
      <c r="C547" s="11" t="s">
        <v>3353</v>
      </c>
      <c r="D547" s="11" t="s">
        <v>3349</v>
      </c>
      <c r="E547" s="5" t="s">
        <v>1510</v>
      </c>
      <c r="F547" s="1" t="s">
        <v>49</v>
      </c>
      <c r="G547" s="1" t="s">
        <v>329</v>
      </c>
      <c r="H547" s="1" t="s">
        <v>3414</v>
      </c>
      <c r="I547" s="1" t="s">
        <v>3434</v>
      </c>
      <c r="J547" s="1"/>
      <c r="K547" s="1" t="s">
        <v>29</v>
      </c>
      <c r="L547" s="1" t="s">
        <v>30</v>
      </c>
      <c r="M547" s="1" t="s">
        <v>88</v>
      </c>
      <c r="N547" s="1" t="s">
        <v>89</v>
      </c>
      <c r="O547" s="1">
        <v>76106</v>
      </c>
      <c r="P547" s="1" t="s">
        <v>90</v>
      </c>
      <c r="Q547" s="1" t="s">
        <v>1513</v>
      </c>
      <c r="R547" s="1" t="s">
        <v>35</v>
      </c>
      <c r="S547" s="7">
        <v>66.111999999999995</v>
      </c>
      <c r="T547" s="1">
        <v>7</v>
      </c>
      <c r="U547" s="9">
        <v>65.650000000000006</v>
      </c>
      <c r="V547" s="9">
        <v>462.78399999999999</v>
      </c>
      <c r="W547" s="9">
        <v>459.55000000000007</v>
      </c>
      <c r="X547" s="12">
        <v>3.2339999999999236</v>
      </c>
      <c r="Y547" s="10">
        <v>2015</v>
      </c>
    </row>
    <row r="548" spans="1:25">
      <c r="A548" s="1" t="s">
        <v>1514</v>
      </c>
      <c r="B548" s="8">
        <v>43423</v>
      </c>
      <c r="C548" s="11" t="s">
        <v>3353</v>
      </c>
      <c r="D548" s="11" t="s">
        <v>3349</v>
      </c>
      <c r="E548" s="5" t="s">
        <v>1515</v>
      </c>
      <c r="F548" s="1" t="s">
        <v>162</v>
      </c>
      <c r="G548" s="1" t="s">
        <v>1516</v>
      </c>
      <c r="H548" s="1" t="s">
        <v>3700</v>
      </c>
      <c r="I548" s="1" t="s">
        <v>3701</v>
      </c>
      <c r="J548" s="1"/>
      <c r="K548" s="1" t="s">
        <v>87</v>
      </c>
      <c r="L548" s="1" t="s">
        <v>30</v>
      </c>
      <c r="M548" s="1" t="s">
        <v>233</v>
      </c>
      <c r="N548" s="1" t="s">
        <v>234</v>
      </c>
      <c r="O548" s="1">
        <v>10035</v>
      </c>
      <c r="P548" s="1" t="s">
        <v>128</v>
      </c>
      <c r="Q548" s="1" t="s">
        <v>1518</v>
      </c>
      <c r="R548" s="1" t="s">
        <v>46</v>
      </c>
      <c r="S548" s="7">
        <v>41.28</v>
      </c>
      <c r="T548" s="1">
        <v>1</v>
      </c>
      <c r="U548" s="9">
        <v>40.590000000000003</v>
      </c>
      <c r="V548" s="9">
        <v>41.28</v>
      </c>
      <c r="W548" s="9">
        <v>40.590000000000003</v>
      </c>
      <c r="X548" s="12">
        <v>0.68999999999999773</v>
      </c>
      <c r="Y548" s="10">
        <v>2018</v>
      </c>
    </row>
    <row r="549" spans="1:25">
      <c r="A549" s="1" t="s">
        <v>1514</v>
      </c>
      <c r="B549" s="8">
        <v>43423</v>
      </c>
      <c r="C549" s="11" t="s">
        <v>3353</v>
      </c>
      <c r="D549" s="11" t="s">
        <v>3349</v>
      </c>
      <c r="E549" s="5" t="s">
        <v>1515</v>
      </c>
      <c r="F549" s="1" t="s">
        <v>162</v>
      </c>
      <c r="G549" s="1" t="s">
        <v>1516</v>
      </c>
      <c r="H549" s="1" t="s">
        <v>3700</v>
      </c>
      <c r="I549" s="1" t="s">
        <v>3701</v>
      </c>
      <c r="J549" s="1"/>
      <c r="K549" s="1" t="s">
        <v>87</v>
      </c>
      <c r="L549" s="1" t="s">
        <v>30</v>
      </c>
      <c r="M549" s="1" t="s">
        <v>233</v>
      </c>
      <c r="N549" s="1" t="s">
        <v>234</v>
      </c>
      <c r="O549" s="1">
        <v>10035</v>
      </c>
      <c r="P549" s="1" t="s">
        <v>128</v>
      </c>
      <c r="Q549" s="1" t="s">
        <v>1519</v>
      </c>
      <c r="R549" s="1" t="s">
        <v>46</v>
      </c>
      <c r="S549" s="7">
        <v>13.36</v>
      </c>
      <c r="T549" s="1">
        <v>1</v>
      </c>
      <c r="U549" s="9">
        <v>12.82</v>
      </c>
      <c r="V549" s="9">
        <v>13.36</v>
      </c>
      <c r="W549" s="9">
        <v>12.82</v>
      </c>
      <c r="X549" s="12">
        <v>0.53999999999999915</v>
      </c>
      <c r="Y549" s="10">
        <v>2018</v>
      </c>
    </row>
    <row r="550" spans="1:25">
      <c r="A550" s="1" t="s">
        <v>1520</v>
      </c>
      <c r="B550" s="8">
        <v>42689</v>
      </c>
      <c r="C550" s="11" t="s">
        <v>3353</v>
      </c>
      <c r="D550" s="11" t="s">
        <v>3349</v>
      </c>
      <c r="E550" s="5" t="s">
        <v>382</v>
      </c>
      <c r="F550" s="1" t="s">
        <v>26</v>
      </c>
      <c r="G550" s="1" t="s">
        <v>1104</v>
      </c>
      <c r="H550" s="1" t="s">
        <v>3618</v>
      </c>
      <c r="I550" s="1" t="s">
        <v>3619</v>
      </c>
      <c r="J550" s="1"/>
      <c r="K550" s="1" t="s">
        <v>41</v>
      </c>
      <c r="L550" s="1" t="s">
        <v>30</v>
      </c>
      <c r="M550" s="1" t="s">
        <v>259</v>
      </c>
      <c r="N550" s="1" t="s">
        <v>182</v>
      </c>
      <c r="O550" s="1">
        <v>60653</v>
      </c>
      <c r="P550" s="1" t="s">
        <v>90</v>
      </c>
      <c r="Q550" s="1" t="s">
        <v>242</v>
      </c>
      <c r="R550" s="1" t="s">
        <v>46</v>
      </c>
      <c r="S550" s="7">
        <v>250.27199999999999</v>
      </c>
      <c r="T550" s="1">
        <v>6</v>
      </c>
      <c r="U550" s="9">
        <v>249.83</v>
      </c>
      <c r="V550" s="9">
        <v>1501.6320000000001</v>
      </c>
      <c r="W550" s="9">
        <v>1498.98</v>
      </c>
      <c r="X550" s="12">
        <v>2.6520000000000437</v>
      </c>
      <c r="Y550" s="10">
        <v>2016</v>
      </c>
    </row>
    <row r="551" spans="1:25">
      <c r="A551" s="1" t="s">
        <v>1520</v>
      </c>
      <c r="B551" s="8">
        <v>42689</v>
      </c>
      <c r="C551" s="11" t="s">
        <v>3353</v>
      </c>
      <c r="D551" s="11" t="s">
        <v>3349</v>
      </c>
      <c r="E551" s="5" t="s">
        <v>382</v>
      </c>
      <c r="F551" s="1" t="s">
        <v>26</v>
      </c>
      <c r="G551" s="1" t="s">
        <v>1104</v>
      </c>
      <c r="H551" s="1" t="s">
        <v>3618</v>
      </c>
      <c r="I551" s="1" t="s">
        <v>3619</v>
      </c>
      <c r="J551" s="1"/>
      <c r="K551" s="1" t="s">
        <v>41</v>
      </c>
      <c r="L551" s="1" t="s">
        <v>30</v>
      </c>
      <c r="M551" s="1" t="s">
        <v>259</v>
      </c>
      <c r="N551" s="1" t="s">
        <v>182</v>
      </c>
      <c r="O551" s="1">
        <v>60653</v>
      </c>
      <c r="P551" s="1" t="s">
        <v>90</v>
      </c>
      <c r="Q551" s="1" t="s">
        <v>356</v>
      </c>
      <c r="R551" s="1" t="s">
        <v>46</v>
      </c>
      <c r="S551" s="7">
        <v>11.364000000000001</v>
      </c>
      <c r="T551" s="1">
        <v>6</v>
      </c>
      <c r="U551" s="9">
        <v>10.83</v>
      </c>
      <c r="V551" s="9">
        <v>68.183999999999997</v>
      </c>
      <c r="W551" s="9">
        <v>64.98</v>
      </c>
      <c r="X551" s="12">
        <v>3.2039999999999935</v>
      </c>
      <c r="Y551" s="10">
        <v>2016</v>
      </c>
    </row>
    <row r="552" spans="1:25">
      <c r="A552" s="1" t="s">
        <v>1520</v>
      </c>
      <c r="B552" s="8">
        <v>42689</v>
      </c>
      <c r="C552" s="11" t="s">
        <v>3353</v>
      </c>
      <c r="D552" s="11" t="s">
        <v>3349</v>
      </c>
      <c r="E552" s="5" t="s">
        <v>382</v>
      </c>
      <c r="F552" s="1" t="s">
        <v>26</v>
      </c>
      <c r="G552" s="1" t="s">
        <v>1104</v>
      </c>
      <c r="H552" s="1" t="s">
        <v>3618</v>
      </c>
      <c r="I552" s="1" t="s">
        <v>3619</v>
      </c>
      <c r="J552" s="1"/>
      <c r="K552" s="1" t="s">
        <v>41</v>
      </c>
      <c r="L552" s="1" t="s">
        <v>30</v>
      </c>
      <c r="M552" s="1" t="s">
        <v>259</v>
      </c>
      <c r="N552" s="1" t="s">
        <v>182</v>
      </c>
      <c r="O552" s="1">
        <v>60653</v>
      </c>
      <c r="P552" s="1" t="s">
        <v>90</v>
      </c>
      <c r="Q552" s="1" t="s">
        <v>1521</v>
      </c>
      <c r="R552" s="1" t="s">
        <v>46</v>
      </c>
      <c r="S552" s="7">
        <v>8.7200000000000006</v>
      </c>
      <c r="T552" s="1">
        <v>6</v>
      </c>
      <c r="U552" s="9">
        <v>7.76</v>
      </c>
      <c r="V552" s="9">
        <v>52.320000000000007</v>
      </c>
      <c r="W552" s="9">
        <v>46.56</v>
      </c>
      <c r="X552" s="12">
        <v>5.7600000000000051</v>
      </c>
      <c r="Y552" s="10">
        <v>2016</v>
      </c>
    </row>
    <row r="553" spans="1:25">
      <c r="A553" s="1" t="s">
        <v>1522</v>
      </c>
      <c r="B553" s="8">
        <v>42840</v>
      </c>
      <c r="C553" s="11" t="s">
        <v>3359</v>
      </c>
      <c r="D553" s="11" t="s">
        <v>3360</v>
      </c>
      <c r="E553" s="5" t="s">
        <v>1523</v>
      </c>
      <c r="F553" s="1" t="s">
        <v>26</v>
      </c>
      <c r="G553" s="1" t="s">
        <v>1524</v>
      </c>
      <c r="H553" s="1" t="s">
        <v>3702</v>
      </c>
      <c r="I553" s="1" t="s">
        <v>3373</v>
      </c>
      <c r="J553" s="1"/>
      <c r="K553" s="1" t="s">
        <v>29</v>
      </c>
      <c r="L553" s="1" t="s">
        <v>30</v>
      </c>
      <c r="M553" s="1" t="s">
        <v>110</v>
      </c>
      <c r="N553" s="1" t="s">
        <v>68</v>
      </c>
      <c r="O553" s="1">
        <v>94110</v>
      </c>
      <c r="P553" s="1" t="s">
        <v>44</v>
      </c>
      <c r="Q553" s="1" t="s">
        <v>1526</v>
      </c>
      <c r="R553" s="1" t="s">
        <v>35</v>
      </c>
      <c r="S553" s="7">
        <v>1121.568</v>
      </c>
      <c r="T553" s="1">
        <v>9</v>
      </c>
      <c r="U553" s="9">
        <v>1120.83</v>
      </c>
      <c r="V553" s="9">
        <v>10094.111999999999</v>
      </c>
      <c r="W553" s="9">
        <v>10087.469999999999</v>
      </c>
      <c r="X553" s="12">
        <v>6.6419999999998254</v>
      </c>
      <c r="Y553" s="10">
        <v>2017</v>
      </c>
    </row>
    <row r="554" spans="1:25">
      <c r="A554" s="1" t="s">
        <v>1527</v>
      </c>
      <c r="B554" s="8">
        <v>43413</v>
      </c>
      <c r="C554" s="11" t="s">
        <v>3353</v>
      </c>
      <c r="D554" s="11" t="s">
        <v>3349</v>
      </c>
      <c r="E554" s="5">
        <v>43443</v>
      </c>
      <c r="F554" s="1" t="s">
        <v>162</v>
      </c>
      <c r="G554" s="1" t="s">
        <v>418</v>
      </c>
      <c r="H554" s="1" t="s">
        <v>3459</v>
      </c>
      <c r="I554" s="1" t="s">
        <v>3460</v>
      </c>
      <c r="J554" s="1"/>
      <c r="K554" s="1" t="s">
        <v>29</v>
      </c>
      <c r="L554" s="1" t="s">
        <v>30</v>
      </c>
      <c r="M554" s="1" t="s">
        <v>1241</v>
      </c>
      <c r="N554" s="1" t="s">
        <v>194</v>
      </c>
      <c r="O554" s="1">
        <v>32216</v>
      </c>
      <c r="P554" s="1" t="s">
        <v>33</v>
      </c>
      <c r="Q554" s="1" t="s">
        <v>1528</v>
      </c>
      <c r="R554" s="1" t="s">
        <v>35</v>
      </c>
      <c r="S554" s="7">
        <v>34.503999999999998</v>
      </c>
      <c r="T554" s="1">
        <v>3</v>
      </c>
      <c r="U554" s="9">
        <v>33.799999999999997</v>
      </c>
      <c r="V554" s="9">
        <v>103.512</v>
      </c>
      <c r="W554" s="9">
        <v>101.39999999999999</v>
      </c>
      <c r="X554" s="12">
        <v>2.112000000000009</v>
      </c>
      <c r="Y554" s="10">
        <v>2018</v>
      </c>
    </row>
    <row r="555" spans="1:25">
      <c r="A555" s="1" t="s">
        <v>1529</v>
      </c>
      <c r="B555" s="8">
        <v>43428</v>
      </c>
      <c r="C555" s="11" t="s">
        <v>3353</v>
      </c>
      <c r="D555" s="11" t="s">
        <v>3349</v>
      </c>
      <c r="E555" s="5" t="s">
        <v>391</v>
      </c>
      <c r="F555" s="1" t="s">
        <v>49</v>
      </c>
      <c r="G555" s="1" t="s">
        <v>1530</v>
      </c>
      <c r="H555" s="1" t="s">
        <v>3464</v>
      </c>
      <c r="I555" s="1" t="s">
        <v>3668</v>
      </c>
      <c r="J555" s="1"/>
      <c r="K555" s="1" t="s">
        <v>29</v>
      </c>
      <c r="L555" s="1" t="s">
        <v>30</v>
      </c>
      <c r="M555" s="1" t="s">
        <v>172</v>
      </c>
      <c r="N555" s="1" t="s">
        <v>89</v>
      </c>
      <c r="O555" s="1">
        <v>77070</v>
      </c>
      <c r="P555" s="1" t="s">
        <v>90</v>
      </c>
      <c r="Q555" s="1" t="s">
        <v>1532</v>
      </c>
      <c r="R555" s="1" t="s">
        <v>46</v>
      </c>
      <c r="S555" s="7">
        <v>10.824</v>
      </c>
      <c r="T555" s="1">
        <v>7</v>
      </c>
      <c r="U555" s="9">
        <v>10.039999999999999</v>
      </c>
      <c r="V555" s="9">
        <v>75.768000000000001</v>
      </c>
      <c r="W555" s="9">
        <v>70.28</v>
      </c>
      <c r="X555" s="12">
        <v>5.4879999999999995</v>
      </c>
      <c r="Y555" s="10">
        <v>2018</v>
      </c>
    </row>
    <row r="556" spans="1:25">
      <c r="A556" s="1" t="s">
        <v>1533</v>
      </c>
      <c r="B556" s="8">
        <v>43280</v>
      </c>
      <c r="C556" s="11" t="s">
        <v>3403</v>
      </c>
      <c r="D556" s="11" t="s">
        <v>3360</v>
      </c>
      <c r="E556" s="5">
        <v>43166</v>
      </c>
      <c r="F556" s="1" t="s">
        <v>26</v>
      </c>
      <c r="G556" s="1" t="s">
        <v>1104</v>
      </c>
      <c r="H556" s="1" t="s">
        <v>3618</v>
      </c>
      <c r="I556" s="1" t="s">
        <v>3619</v>
      </c>
      <c r="J556" s="1"/>
      <c r="K556" s="1" t="s">
        <v>41</v>
      </c>
      <c r="L556" s="1" t="s">
        <v>30</v>
      </c>
      <c r="M556" s="1" t="s">
        <v>1534</v>
      </c>
      <c r="N556" s="1" t="s">
        <v>68</v>
      </c>
      <c r="O556" s="1">
        <v>92804</v>
      </c>
      <c r="P556" s="1" t="s">
        <v>44</v>
      </c>
      <c r="Q556" s="1" t="s">
        <v>1535</v>
      </c>
      <c r="R556" s="1" t="s">
        <v>46</v>
      </c>
      <c r="S556" s="7">
        <v>1295.78</v>
      </c>
      <c r="T556" s="1">
        <v>9</v>
      </c>
      <c r="U556" s="9">
        <v>1295.24</v>
      </c>
      <c r="V556" s="9">
        <v>11662.02</v>
      </c>
      <c r="W556" s="9">
        <v>11657.16</v>
      </c>
      <c r="X556" s="12">
        <v>4.8600000000005821</v>
      </c>
      <c r="Y556" s="10">
        <v>2018</v>
      </c>
    </row>
    <row r="557" spans="1:25">
      <c r="A557" s="1" t="s">
        <v>1536</v>
      </c>
      <c r="B557" s="8">
        <v>42066</v>
      </c>
      <c r="C557" s="11" t="s">
        <v>3429</v>
      </c>
      <c r="D557" s="11" t="s">
        <v>3382</v>
      </c>
      <c r="E557" s="5">
        <v>42188</v>
      </c>
      <c r="F557" s="1" t="s">
        <v>26</v>
      </c>
      <c r="G557" s="1" t="s">
        <v>1537</v>
      </c>
      <c r="H557" s="1" t="s">
        <v>3703</v>
      </c>
      <c r="I557" s="1" t="s">
        <v>3704</v>
      </c>
      <c r="J557" s="1"/>
      <c r="K557" s="1" t="s">
        <v>29</v>
      </c>
      <c r="L557" s="1" t="s">
        <v>30</v>
      </c>
      <c r="M557" s="1" t="s">
        <v>438</v>
      </c>
      <c r="N557" s="1" t="s">
        <v>75</v>
      </c>
      <c r="O557" s="1">
        <v>28403</v>
      </c>
      <c r="P557" s="1" t="s">
        <v>33</v>
      </c>
      <c r="Q557" s="1" t="s">
        <v>1539</v>
      </c>
      <c r="R557" s="1" t="s">
        <v>46</v>
      </c>
      <c r="S557" s="7">
        <v>19.456</v>
      </c>
      <c r="T557" s="1">
        <v>2</v>
      </c>
      <c r="U557" s="9">
        <v>18.87</v>
      </c>
      <c r="V557" s="9">
        <v>38.911999999999999</v>
      </c>
      <c r="W557" s="9">
        <v>37.74</v>
      </c>
      <c r="X557" s="12">
        <v>1.171999999999997</v>
      </c>
      <c r="Y557" s="10">
        <v>2015</v>
      </c>
    </row>
    <row r="558" spans="1:25">
      <c r="A558" s="1" t="s">
        <v>1540</v>
      </c>
      <c r="B558" s="8">
        <v>43014</v>
      </c>
      <c r="C558" s="11" t="s">
        <v>3387</v>
      </c>
      <c r="D558" s="11" t="s">
        <v>3349</v>
      </c>
      <c r="E558" s="5" t="s">
        <v>300</v>
      </c>
      <c r="F558" s="1" t="s">
        <v>49</v>
      </c>
      <c r="G558" s="1" t="s">
        <v>1541</v>
      </c>
      <c r="H558" s="1" t="s">
        <v>3705</v>
      </c>
      <c r="I558" s="1" t="s">
        <v>3706</v>
      </c>
      <c r="J558" s="1"/>
      <c r="K558" s="1" t="s">
        <v>29</v>
      </c>
      <c r="L558" s="1" t="s">
        <v>30</v>
      </c>
      <c r="M558" s="1" t="s">
        <v>42</v>
      </c>
      <c r="N558" s="1" t="s">
        <v>68</v>
      </c>
      <c r="O558" s="1">
        <v>90045</v>
      </c>
      <c r="P558" s="1" t="s">
        <v>44</v>
      </c>
      <c r="Q558" s="1" t="s">
        <v>1543</v>
      </c>
      <c r="R558" s="1" t="s">
        <v>46</v>
      </c>
      <c r="S558" s="7">
        <v>20.7</v>
      </c>
      <c r="T558" s="1">
        <v>9</v>
      </c>
      <c r="U558" s="9">
        <v>20.46</v>
      </c>
      <c r="V558" s="9">
        <v>186.29999999999998</v>
      </c>
      <c r="W558" s="9">
        <v>184.14000000000001</v>
      </c>
      <c r="X558" s="12">
        <v>2.1599999999999682</v>
      </c>
      <c r="Y558" s="10">
        <v>2017</v>
      </c>
    </row>
    <row r="559" spans="1:25">
      <c r="A559" s="1" t="s">
        <v>1540</v>
      </c>
      <c r="B559" s="8">
        <v>43014</v>
      </c>
      <c r="C559" s="11" t="s">
        <v>3387</v>
      </c>
      <c r="D559" s="11" t="s">
        <v>3349</v>
      </c>
      <c r="E559" s="5" t="s">
        <v>300</v>
      </c>
      <c r="F559" s="1" t="s">
        <v>49</v>
      </c>
      <c r="G559" s="1" t="s">
        <v>1541</v>
      </c>
      <c r="H559" s="1" t="s">
        <v>3705</v>
      </c>
      <c r="I559" s="1" t="s">
        <v>3706</v>
      </c>
      <c r="J559" s="1"/>
      <c r="K559" s="1" t="s">
        <v>29</v>
      </c>
      <c r="L559" s="1" t="s">
        <v>30</v>
      </c>
      <c r="M559" s="1" t="s">
        <v>42</v>
      </c>
      <c r="N559" s="1" t="s">
        <v>68</v>
      </c>
      <c r="O559" s="1">
        <v>90045</v>
      </c>
      <c r="P559" s="1" t="s">
        <v>44</v>
      </c>
      <c r="Q559" s="1" t="s">
        <v>1544</v>
      </c>
      <c r="R559" s="1" t="s">
        <v>35</v>
      </c>
      <c r="S559" s="7">
        <v>1335.68</v>
      </c>
      <c r="T559" s="1">
        <v>9</v>
      </c>
      <c r="U559" s="9">
        <v>1335.12</v>
      </c>
      <c r="V559" s="9">
        <v>12021.12</v>
      </c>
      <c r="W559" s="9">
        <v>12016.079999999998</v>
      </c>
      <c r="X559" s="12">
        <v>5.0400000000026921</v>
      </c>
      <c r="Y559" s="10">
        <v>2017</v>
      </c>
    </row>
    <row r="560" spans="1:25">
      <c r="A560" s="1" t="s">
        <v>1540</v>
      </c>
      <c r="B560" s="8">
        <v>43014</v>
      </c>
      <c r="C560" s="11" t="s">
        <v>3387</v>
      </c>
      <c r="D560" s="11" t="s">
        <v>3349</v>
      </c>
      <c r="E560" s="5" t="s">
        <v>300</v>
      </c>
      <c r="F560" s="1" t="s">
        <v>49</v>
      </c>
      <c r="G560" s="1" t="s">
        <v>1541</v>
      </c>
      <c r="H560" s="1" t="s">
        <v>3705</v>
      </c>
      <c r="I560" s="1" t="s">
        <v>3706</v>
      </c>
      <c r="J560" s="1"/>
      <c r="K560" s="1" t="s">
        <v>29</v>
      </c>
      <c r="L560" s="1" t="s">
        <v>30</v>
      </c>
      <c r="M560" s="1" t="s">
        <v>42</v>
      </c>
      <c r="N560" s="1" t="s">
        <v>68</v>
      </c>
      <c r="O560" s="1">
        <v>90045</v>
      </c>
      <c r="P560" s="1" t="s">
        <v>44</v>
      </c>
      <c r="Q560" s="1" t="s">
        <v>1545</v>
      </c>
      <c r="R560" s="1" t="s">
        <v>46</v>
      </c>
      <c r="S560" s="7">
        <v>32.4</v>
      </c>
      <c r="T560" s="1">
        <v>9</v>
      </c>
      <c r="U560" s="9">
        <v>31.82</v>
      </c>
      <c r="V560" s="9">
        <v>291.59999999999997</v>
      </c>
      <c r="W560" s="9">
        <v>286.38</v>
      </c>
      <c r="X560" s="12">
        <v>5.2199999999999704</v>
      </c>
      <c r="Y560" s="10">
        <v>2017</v>
      </c>
    </row>
    <row r="561" spans="1:25">
      <c r="A561" s="1" t="s">
        <v>1546</v>
      </c>
      <c r="B561" s="8">
        <v>43424</v>
      </c>
      <c r="C561" s="11" t="s">
        <v>3353</v>
      </c>
      <c r="D561" s="11" t="s">
        <v>3349</v>
      </c>
      <c r="E561" s="5" t="s">
        <v>1515</v>
      </c>
      <c r="F561" s="1" t="s">
        <v>26</v>
      </c>
      <c r="G561" s="1" t="s">
        <v>1547</v>
      </c>
      <c r="H561" s="1" t="s">
        <v>3698</v>
      </c>
      <c r="I561" s="1" t="s">
        <v>3707</v>
      </c>
      <c r="J561" s="1"/>
      <c r="K561" s="1" t="s">
        <v>29</v>
      </c>
      <c r="L561" s="1" t="s">
        <v>30</v>
      </c>
      <c r="M561" s="1" t="s">
        <v>110</v>
      </c>
      <c r="N561" s="1" t="s">
        <v>68</v>
      </c>
      <c r="O561" s="1">
        <v>94110</v>
      </c>
      <c r="P561" s="1" t="s">
        <v>44</v>
      </c>
      <c r="Q561" s="1" t="s">
        <v>1216</v>
      </c>
      <c r="R561" s="1" t="s">
        <v>35</v>
      </c>
      <c r="S561" s="7">
        <v>42.6</v>
      </c>
      <c r="T561" s="1">
        <v>9</v>
      </c>
      <c r="U561" s="9">
        <v>41.71</v>
      </c>
      <c r="V561" s="9">
        <v>383.40000000000003</v>
      </c>
      <c r="W561" s="9">
        <v>375.39</v>
      </c>
      <c r="X561" s="12">
        <v>8.0100000000000477</v>
      </c>
      <c r="Y561" s="10">
        <v>2018</v>
      </c>
    </row>
    <row r="562" spans="1:25">
      <c r="A562" s="1" t="s">
        <v>1546</v>
      </c>
      <c r="B562" s="8">
        <v>43424</v>
      </c>
      <c r="C562" s="11" t="s">
        <v>3353</v>
      </c>
      <c r="D562" s="11" t="s">
        <v>3349</v>
      </c>
      <c r="E562" s="5" t="s">
        <v>1515</v>
      </c>
      <c r="F562" s="1" t="s">
        <v>26</v>
      </c>
      <c r="G562" s="1" t="s">
        <v>1547</v>
      </c>
      <c r="H562" s="1" t="s">
        <v>3698</v>
      </c>
      <c r="I562" s="1" t="s">
        <v>3707</v>
      </c>
      <c r="J562" s="1"/>
      <c r="K562" s="1" t="s">
        <v>29</v>
      </c>
      <c r="L562" s="1" t="s">
        <v>30</v>
      </c>
      <c r="M562" s="1" t="s">
        <v>110</v>
      </c>
      <c r="N562" s="1" t="s">
        <v>68</v>
      </c>
      <c r="O562" s="1">
        <v>94110</v>
      </c>
      <c r="P562" s="1" t="s">
        <v>44</v>
      </c>
      <c r="Q562" s="1" t="s">
        <v>1549</v>
      </c>
      <c r="R562" s="1" t="s">
        <v>46</v>
      </c>
      <c r="S562" s="7">
        <v>84.055999999999997</v>
      </c>
      <c r="T562" s="1">
        <v>9</v>
      </c>
      <c r="U562" s="9">
        <v>83.54</v>
      </c>
      <c r="V562" s="9">
        <v>756.50400000000002</v>
      </c>
      <c r="W562" s="9">
        <v>751.86</v>
      </c>
      <c r="X562" s="12">
        <v>4.6440000000000055</v>
      </c>
      <c r="Y562" s="10">
        <v>2018</v>
      </c>
    </row>
    <row r="563" spans="1:25">
      <c r="A563" s="1" t="s">
        <v>1550</v>
      </c>
      <c r="B563" s="8">
        <v>42261</v>
      </c>
      <c r="C563" s="11" t="s">
        <v>3356</v>
      </c>
      <c r="D563" s="11" t="s">
        <v>3345</v>
      </c>
      <c r="E563" s="5" t="s">
        <v>1551</v>
      </c>
      <c r="F563" s="1" t="s">
        <v>26</v>
      </c>
      <c r="G563" s="1" t="s">
        <v>1552</v>
      </c>
      <c r="H563" s="1" t="s">
        <v>3455</v>
      </c>
      <c r="I563" s="1" t="s">
        <v>3708</v>
      </c>
      <c r="J563" s="1"/>
      <c r="K563" s="1" t="s">
        <v>29</v>
      </c>
      <c r="L563" s="1" t="s">
        <v>30</v>
      </c>
      <c r="M563" s="1" t="s">
        <v>743</v>
      </c>
      <c r="N563" s="1" t="s">
        <v>194</v>
      </c>
      <c r="O563" s="1">
        <v>33614</v>
      </c>
      <c r="P563" s="1" t="s">
        <v>33</v>
      </c>
      <c r="Q563" s="1" t="s">
        <v>1554</v>
      </c>
      <c r="R563" s="1" t="s">
        <v>46</v>
      </c>
      <c r="S563" s="7">
        <v>13</v>
      </c>
      <c r="T563" s="1">
        <v>3</v>
      </c>
      <c r="U563" s="9">
        <v>12.2</v>
      </c>
      <c r="V563" s="9">
        <v>39</v>
      </c>
      <c r="W563" s="9">
        <v>36.599999999999994</v>
      </c>
      <c r="X563" s="12">
        <v>2.4000000000000057</v>
      </c>
      <c r="Y563" s="10">
        <v>2015</v>
      </c>
    </row>
    <row r="564" spans="1:25">
      <c r="A564" s="1" t="s">
        <v>1550</v>
      </c>
      <c r="B564" s="8">
        <v>42261</v>
      </c>
      <c r="C564" s="11" t="s">
        <v>3356</v>
      </c>
      <c r="D564" s="11" t="s">
        <v>3345</v>
      </c>
      <c r="E564" s="5" t="s">
        <v>1551</v>
      </c>
      <c r="F564" s="1" t="s">
        <v>26</v>
      </c>
      <c r="G564" s="1" t="s">
        <v>1552</v>
      </c>
      <c r="H564" s="1" t="s">
        <v>3455</v>
      </c>
      <c r="I564" s="1" t="s">
        <v>3708</v>
      </c>
      <c r="J564" s="1"/>
      <c r="K564" s="1" t="s">
        <v>29</v>
      </c>
      <c r="L564" s="1" t="s">
        <v>30</v>
      </c>
      <c r="M564" s="1" t="s">
        <v>743</v>
      </c>
      <c r="N564" s="1" t="s">
        <v>194</v>
      </c>
      <c r="O564" s="1">
        <v>33614</v>
      </c>
      <c r="P564" s="1" t="s">
        <v>33</v>
      </c>
      <c r="Q564" s="1" t="s">
        <v>1555</v>
      </c>
      <c r="R564" s="1" t="s">
        <v>35</v>
      </c>
      <c r="S564" s="7">
        <v>13.128</v>
      </c>
      <c r="T564" s="1">
        <v>3</v>
      </c>
      <c r="U564" s="9">
        <v>13.05</v>
      </c>
      <c r="V564" s="9">
        <v>39.384</v>
      </c>
      <c r="W564" s="9">
        <v>39.150000000000006</v>
      </c>
      <c r="X564" s="12">
        <v>0.23399999999999466</v>
      </c>
      <c r="Y564" s="10">
        <v>2015</v>
      </c>
    </row>
    <row r="565" spans="1:25">
      <c r="A565" s="1" t="s">
        <v>1556</v>
      </c>
      <c r="B565" s="8">
        <v>42563</v>
      </c>
      <c r="C565" s="11" t="s">
        <v>3376</v>
      </c>
      <c r="D565" s="11" t="s">
        <v>3345</v>
      </c>
      <c r="E565" s="5">
        <v>42625</v>
      </c>
      <c r="F565" s="1" t="s">
        <v>162</v>
      </c>
      <c r="G565" s="1" t="s">
        <v>1557</v>
      </c>
      <c r="H565" s="1" t="s">
        <v>3599</v>
      </c>
      <c r="I565" s="1" t="s">
        <v>3709</v>
      </c>
      <c r="J565" s="1"/>
      <c r="K565" s="1" t="s">
        <v>29</v>
      </c>
      <c r="L565" s="1" t="s">
        <v>30</v>
      </c>
      <c r="M565" s="1" t="s">
        <v>80</v>
      </c>
      <c r="N565" s="1" t="s">
        <v>81</v>
      </c>
      <c r="O565" s="1">
        <v>98105</v>
      </c>
      <c r="P565" s="1" t="s">
        <v>44</v>
      </c>
      <c r="Q565" s="1" t="s">
        <v>1559</v>
      </c>
      <c r="R565" s="1" t="s">
        <v>46</v>
      </c>
      <c r="S565" s="7">
        <v>3.96</v>
      </c>
      <c r="T565" s="1">
        <v>9</v>
      </c>
      <c r="U565" s="9">
        <v>3.3</v>
      </c>
      <c r="V565" s="9">
        <v>35.64</v>
      </c>
      <c r="W565" s="9">
        <v>29.7</v>
      </c>
      <c r="X565" s="12">
        <v>5.9400000000000013</v>
      </c>
      <c r="Y565" s="10">
        <v>2016</v>
      </c>
    </row>
    <row r="566" spans="1:25">
      <c r="A566" s="1" t="s">
        <v>1556</v>
      </c>
      <c r="B566" s="8">
        <v>42563</v>
      </c>
      <c r="C566" s="11" t="s">
        <v>3376</v>
      </c>
      <c r="D566" s="11" t="s">
        <v>3345</v>
      </c>
      <c r="E566" s="5">
        <v>42625</v>
      </c>
      <c r="F566" s="1" t="s">
        <v>162</v>
      </c>
      <c r="G566" s="1" t="s">
        <v>1557</v>
      </c>
      <c r="H566" s="1" t="s">
        <v>3599</v>
      </c>
      <c r="I566" s="1" t="s">
        <v>3709</v>
      </c>
      <c r="J566" s="1"/>
      <c r="K566" s="1" t="s">
        <v>29</v>
      </c>
      <c r="L566" s="1" t="s">
        <v>30</v>
      </c>
      <c r="M566" s="1" t="s">
        <v>80</v>
      </c>
      <c r="N566" s="1" t="s">
        <v>81</v>
      </c>
      <c r="O566" s="1">
        <v>98105</v>
      </c>
      <c r="P566" s="1" t="s">
        <v>44</v>
      </c>
      <c r="Q566" s="1" t="s">
        <v>927</v>
      </c>
      <c r="R566" s="1" t="s">
        <v>46</v>
      </c>
      <c r="S566" s="7">
        <v>2.61</v>
      </c>
      <c r="T566" s="1">
        <v>9</v>
      </c>
      <c r="U566" s="9">
        <v>2.36</v>
      </c>
      <c r="V566" s="9">
        <v>23.49</v>
      </c>
      <c r="W566" s="9">
        <v>21.24</v>
      </c>
      <c r="X566" s="12">
        <v>2.25</v>
      </c>
      <c r="Y566" s="10">
        <v>2016</v>
      </c>
    </row>
    <row r="567" spans="1:25">
      <c r="A567" s="1" t="s">
        <v>1560</v>
      </c>
      <c r="B567" s="8">
        <v>43293</v>
      </c>
      <c r="C567" s="11" t="s">
        <v>3376</v>
      </c>
      <c r="D567" s="11" t="s">
        <v>3345</v>
      </c>
      <c r="E567" s="5">
        <v>43385</v>
      </c>
      <c r="F567" s="1" t="s">
        <v>162</v>
      </c>
      <c r="G567" s="1" t="s">
        <v>1561</v>
      </c>
      <c r="H567" s="1" t="s">
        <v>3513</v>
      </c>
      <c r="I567" s="1" t="s">
        <v>3628</v>
      </c>
      <c r="J567" s="1"/>
      <c r="K567" s="1" t="s">
        <v>29</v>
      </c>
      <c r="L567" s="1" t="s">
        <v>30</v>
      </c>
      <c r="M567" s="1" t="s">
        <v>42</v>
      </c>
      <c r="N567" s="1" t="s">
        <v>68</v>
      </c>
      <c r="O567" s="1">
        <v>90008</v>
      </c>
      <c r="P567" s="1" t="s">
        <v>44</v>
      </c>
      <c r="Q567" s="1" t="s">
        <v>1563</v>
      </c>
      <c r="R567" s="1" t="s">
        <v>64</v>
      </c>
      <c r="S567" s="7">
        <v>374.37599999999998</v>
      </c>
      <c r="T567" s="1">
        <v>9</v>
      </c>
      <c r="U567" s="9">
        <v>373.52</v>
      </c>
      <c r="V567" s="9">
        <v>3369.384</v>
      </c>
      <c r="W567" s="9">
        <v>3361.68</v>
      </c>
      <c r="X567" s="12">
        <v>7.7040000000001783</v>
      </c>
      <c r="Y567" s="10">
        <v>2018</v>
      </c>
    </row>
    <row r="568" spans="1:25">
      <c r="A568" s="1" t="s">
        <v>1564</v>
      </c>
      <c r="B568" s="8">
        <v>43110</v>
      </c>
      <c r="C568" s="11" t="s">
        <v>3381</v>
      </c>
      <c r="D568" s="11" t="s">
        <v>3382</v>
      </c>
      <c r="E568" s="5">
        <v>43322</v>
      </c>
      <c r="F568" s="1" t="s">
        <v>49</v>
      </c>
      <c r="G568" s="1" t="s">
        <v>1565</v>
      </c>
      <c r="H568" s="1" t="s">
        <v>3710</v>
      </c>
      <c r="I568" s="1" t="s">
        <v>3711</v>
      </c>
      <c r="J568" s="1"/>
      <c r="K568" s="1" t="s">
        <v>41</v>
      </c>
      <c r="L568" s="1" t="s">
        <v>30</v>
      </c>
      <c r="M568" s="1" t="s">
        <v>80</v>
      </c>
      <c r="N568" s="1" t="s">
        <v>81</v>
      </c>
      <c r="O568" s="1">
        <v>98105</v>
      </c>
      <c r="P568" s="1" t="s">
        <v>44</v>
      </c>
      <c r="Q568" s="1" t="s">
        <v>1567</v>
      </c>
      <c r="R568" s="1" t="s">
        <v>46</v>
      </c>
      <c r="S568" s="7">
        <v>91.84</v>
      </c>
      <c r="T568" s="1">
        <v>9</v>
      </c>
      <c r="U568" s="9">
        <v>91.28</v>
      </c>
      <c r="V568" s="9">
        <v>826.56000000000006</v>
      </c>
      <c r="W568" s="9">
        <v>821.52</v>
      </c>
      <c r="X568" s="12">
        <v>5.0400000000000773</v>
      </c>
      <c r="Y568" s="10">
        <v>2018</v>
      </c>
    </row>
    <row r="569" spans="1:25">
      <c r="A569" s="1" t="s">
        <v>1564</v>
      </c>
      <c r="B569" s="8">
        <v>43110</v>
      </c>
      <c r="C569" s="11" t="s">
        <v>3381</v>
      </c>
      <c r="D569" s="11" t="s">
        <v>3382</v>
      </c>
      <c r="E569" s="5">
        <v>43322</v>
      </c>
      <c r="F569" s="1" t="s">
        <v>49</v>
      </c>
      <c r="G569" s="1" t="s">
        <v>1565</v>
      </c>
      <c r="H569" s="1" t="s">
        <v>3710</v>
      </c>
      <c r="I569" s="1" t="s">
        <v>3711</v>
      </c>
      <c r="J569" s="1"/>
      <c r="K569" s="1" t="s">
        <v>41</v>
      </c>
      <c r="L569" s="1" t="s">
        <v>30</v>
      </c>
      <c r="M569" s="1" t="s">
        <v>80</v>
      </c>
      <c r="N569" s="1" t="s">
        <v>81</v>
      </c>
      <c r="O569" s="1">
        <v>98105</v>
      </c>
      <c r="P569" s="1" t="s">
        <v>44</v>
      </c>
      <c r="Q569" s="1" t="s">
        <v>1568</v>
      </c>
      <c r="R569" s="1" t="s">
        <v>46</v>
      </c>
      <c r="S569" s="7">
        <v>81.087999999999994</v>
      </c>
      <c r="T569" s="1">
        <v>9</v>
      </c>
      <c r="U569" s="9">
        <v>80.34</v>
      </c>
      <c r="V569" s="9">
        <v>729.79199999999992</v>
      </c>
      <c r="W569" s="9">
        <v>723.06000000000006</v>
      </c>
      <c r="X569" s="12">
        <v>6.7319999999998572</v>
      </c>
      <c r="Y569" s="10">
        <v>2018</v>
      </c>
    </row>
    <row r="570" spans="1:25">
      <c r="A570" s="1" t="s">
        <v>1564</v>
      </c>
      <c r="B570" s="8">
        <v>43110</v>
      </c>
      <c r="C570" s="11" t="s">
        <v>3381</v>
      </c>
      <c r="D570" s="11" t="s">
        <v>3382</v>
      </c>
      <c r="E570" s="5">
        <v>43322</v>
      </c>
      <c r="F570" s="1" t="s">
        <v>49</v>
      </c>
      <c r="G570" s="1" t="s">
        <v>1565</v>
      </c>
      <c r="H570" s="1" t="s">
        <v>3710</v>
      </c>
      <c r="I570" s="1" t="s">
        <v>3711</v>
      </c>
      <c r="J570" s="1"/>
      <c r="K570" s="1" t="s">
        <v>41</v>
      </c>
      <c r="L570" s="1" t="s">
        <v>30</v>
      </c>
      <c r="M570" s="1" t="s">
        <v>80</v>
      </c>
      <c r="N570" s="1" t="s">
        <v>81</v>
      </c>
      <c r="O570" s="1">
        <v>98105</v>
      </c>
      <c r="P570" s="1" t="s">
        <v>44</v>
      </c>
      <c r="Q570" s="1" t="s">
        <v>1569</v>
      </c>
      <c r="R570" s="1" t="s">
        <v>46</v>
      </c>
      <c r="S570" s="7">
        <v>19.440000000000001</v>
      </c>
      <c r="T570" s="1">
        <v>9</v>
      </c>
      <c r="U570" s="9">
        <v>19.239999999999998</v>
      </c>
      <c r="V570" s="9">
        <v>174.96</v>
      </c>
      <c r="W570" s="9">
        <v>173.16</v>
      </c>
      <c r="X570" s="12">
        <v>1.8000000000000114</v>
      </c>
      <c r="Y570" s="10">
        <v>2018</v>
      </c>
    </row>
    <row r="571" spans="1:25">
      <c r="A571" s="1" t="s">
        <v>1564</v>
      </c>
      <c r="B571" s="8">
        <v>43110</v>
      </c>
      <c r="C571" s="11" t="s">
        <v>3381</v>
      </c>
      <c r="D571" s="11" t="s">
        <v>3382</v>
      </c>
      <c r="E571" s="5">
        <v>43322</v>
      </c>
      <c r="F571" s="1" t="s">
        <v>49</v>
      </c>
      <c r="G571" s="1" t="s">
        <v>1565</v>
      </c>
      <c r="H571" s="1" t="s">
        <v>3710</v>
      </c>
      <c r="I571" s="1" t="s">
        <v>3711</v>
      </c>
      <c r="J571" s="1"/>
      <c r="K571" s="1" t="s">
        <v>41</v>
      </c>
      <c r="L571" s="1" t="s">
        <v>30</v>
      </c>
      <c r="M571" s="1" t="s">
        <v>80</v>
      </c>
      <c r="N571" s="1" t="s">
        <v>81</v>
      </c>
      <c r="O571" s="1">
        <v>98105</v>
      </c>
      <c r="P571" s="1" t="s">
        <v>44</v>
      </c>
      <c r="Q571" s="1" t="s">
        <v>1570</v>
      </c>
      <c r="R571" s="1" t="s">
        <v>35</v>
      </c>
      <c r="S571" s="7">
        <v>451.15199999999999</v>
      </c>
      <c r="T571" s="1">
        <v>9</v>
      </c>
      <c r="U571" s="9">
        <v>450.79</v>
      </c>
      <c r="V571" s="9">
        <v>4060.3679999999999</v>
      </c>
      <c r="W571" s="9">
        <v>4057.11</v>
      </c>
      <c r="X571" s="12">
        <v>3.2579999999998108</v>
      </c>
      <c r="Y571" s="10">
        <v>2018</v>
      </c>
    </row>
    <row r="572" spans="1:25">
      <c r="A572" s="1" t="s">
        <v>1571</v>
      </c>
      <c r="B572" s="8">
        <v>43462</v>
      </c>
      <c r="C572" s="11" t="s">
        <v>3348</v>
      </c>
      <c r="D572" s="11" t="s">
        <v>3349</v>
      </c>
      <c r="E572" s="5">
        <v>43556</v>
      </c>
      <c r="F572" s="1" t="s">
        <v>49</v>
      </c>
      <c r="G572" s="1" t="s">
        <v>1572</v>
      </c>
      <c r="H572" s="1" t="s">
        <v>3505</v>
      </c>
      <c r="I572" s="1" t="s">
        <v>3712</v>
      </c>
      <c r="J572" s="1"/>
      <c r="K572" s="1" t="s">
        <v>29</v>
      </c>
      <c r="L572" s="1" t="s">
        <v>30</v>
      </c>
      <c r="M572" s="1" t="s">
        <v>233</v>
      </c>
      <c r="N572" s="1" t="s">
        <v>234</v>
      </c>
      <c r="O572" s="1">
        <v>10024</v>
      </c>
      <c r="P572" s="1" t="s">
        <v>128</v>
      </c>
      <c r="Q572" s="1" t="s">
        <v>1543</v>
      </c>
      <c r="R572" s="1" t="s">
        <v>46</v>
      </c>
      <c r="S572" s="7">
        <v>72.45</v>
      </c>
      <c r="T572" s="1">
        <v>1</v>
      </c>
      <c r="U572" s="9">
        <v>71.959999999999994</v>
      </c>
      <c r="V572" s="9">
        <v>72.45</v>
      </c>
      <c r="W572" s="9">
        <v>71.959999999999994</v>
      </c>
      <c r="X572" s="12">
        <v>0.49000000000000909</v>
      </c>
      <c r="Y572" s="10">
        <v>2018</v>
      </c>
    </row>
    <row r="573" spans="1:25">
      <c r="A573" s="1" t="s">
        <v>1571</v>
      </c>
      <c r="B573" s="8">
        <v>43462</v>
      </c>
      <c r="C573" s="11" t="s">
        <v>3348</v>
      </c>
      <c r="D573" s="11" t="s">
        <v>3349</v>
      </c>
      <c r="E573" s="5">
        <v>43556</v>
      </c>
      <c r="F573" s="1" t="s">
        <v>49</v>
      </c>
      <c r="G573" s="1" t="s">
        <v>1572</v>
      </c>
      <c r="H573" s="1" t="s">
        <v>3505</v>
      </c>
      <c r="I573" s="1" t="s">
        <v>3712</v>
      </c>
      <c r="J573" s="1"/>
      <c r="K573" s="1" t="s">
        <v>29</v>
      </c>
      <c r="L573" s="1" t="s">
        <v>30</v>
      </c>
      <c r="M573" s="1" t="s">
        <v>233</v>
      </c>
      <c r="N573" s="1" t="s">
        <v>234</v>
      </c>
      <c r="O573" s="1">
        <v>10024</v>
      </c>
      <c r="P573" s="1" t="s">
        <v>128</v>
      </c>
      <c r="Q573" s="1" t="s">
        <v>719</v>
      </c>
      <c r="R573" s="1" t="s">
        <v>46</v>
      </c>
      <c r="S573" s="7">
        <v>13.96</v>
      </c>
      <c r="T573" s="1">
        <v>1</v>
      </c>
      <c r="U573" s="9">
        <v>13.67</v>
      </c>
      <c r="V573" s="9">
        <v>13.96</v>
      </c>
      <c r="W573" s="9">
        <v>13.67</v>
      </c>
      <c r="X573" s="12">
        <v>0.29000000000000092</v>
      </c>
      <c r="Y573" s="10">
        <v>2018</v>
      </c>
    </row>
    <row r="574" spans="1:25">
      <c r="A574" s="1" t="s">
        <v>1571</v>
      </c>
      <c r="B574" s="8">
        <v>43462</v>
      </c>
      <c r="C574" s="11" t="s">
        <v>3348</v>
      </c>
      <c r="D574" s="11" t="s">
        <v>3349</v>
      </c>
      <c r="E574" s="5">
        <v>43556</v>
      </c>
      <c r="F574" s="1" t="s">
        <v>49</v>
      </c>
      <c r="G574" s="1" t="s">
        <v>1572</v>
      </c>
      <c r="H574" s="1" t="s">
        <v>3505</v>
      </c>
      <c r="I574" s="1" t="s">
        <v>3712</v>
      </c>
      <c r="J574" s="1"/>
      <c r="K574" s="1" t="s">
        <v>29</v>
      </c>
      <c r="L574" s="1" t="s">
        <v>30</v>
      </c>
      <c r="M574" s="1" t="s">
        <v>233</v>
      </c>
      <c r="N574" s="1" t="s">
        <v>234</v>
      </c>
      <c r="O574" s="1">
        <v>10024</v>
      </c>
      <c r="P574" s="1" t="s">
        <v>128</v>
      </c>
      <c r="Q574" s="1" t="s">
        <v>986</v>
      </c>
      <c r="R574" s="1" t="s">
        <v>46</v>
      </c>
      <c r="S574" s="7">
        <v>33.264000000000003</v>
      </c>
      <c r="T574" s="1">
        <v>1</v>
      </c>
      <c r="U574" s="9">
        <v>32.56</v>
      </c>
      <c r="V574" s="9">
        <v>33.264000000000003</v>
      </c>
      <c r="W574" s="9">
        <v>32.56</v>
      </c>
      <c r="X574" s="12">
        <v>0.70400000000000063</v>
      </c>
      <c r="Y574" s="10">
        <v>2018</v>
      </c>
    </row>
    <row r="575" spans="1:25">
      <c r="A575" s="1" t="s">
        <v>1571</v>
      </c>
      <c r="B575" s="8">
        <v>43462</v>
      </c>
      <c r="C575" s="11" t="s">
        <v>3348</v>
      </c>
      <c r="D575" s="11" t="s">
        <v>3349</v>
      </c>
      <c r="E575" s="5">
        <v>43556</v>
      </c>
      <c r="F575" s="1" t="s">
        <v>49</v>
      </c>
      <c r="G575" s="1" t="s">
        <v>1572</v>
      </c>
      <c r="H575" s="1" t="s">
        <v>3505</v>
      </c>
      <c r="I575" s="1" t="s">
        <v>3712</v>
      </c>
      <c r="J575" s="1"/>
      <c r="K575" s="1" t="s">
        <v>29</v>
      </c>
      <c r="L575" s="1" t="s">
        <v>30</v>
      </c>
      <c r="M575" s="1" t="s">
        <v>233</v>
      </c>
      <c r="N575" s="1" t="s">
        <v>234</v>
      </c>
      <c r="O575" s="1">
        <v>10024</v>
      </c>
      <c r="P575" s="1" t="s">
        <v>128</v>
      </c>
      <c r="Q575" s="1" t="s">
        <v>1574</v>
      </c>
      <c r="R575" s="1" t="s">
        <v>64</v>
      </c>
      <c r="S575" s="7">
        <v>14.85</v>
      </c>
      <c r="T575" s="1">
        <v>1</v>
      </c>
      <c r="U575" s="9">
        <v>14.03</v>
      </c>
      <c r="V575" s="9">
        <v>14.85</v>
      </c>
      <c r="W575" s="9">
        <v>14.03</v>
      </c>
      <c r="X575" s="12">
        <v>0.82000000000000028</v>
      </c>
      <c r="Y575" s="10">
        <v>2018</v>
      </c>
    </row>
    <row r="576" spans="1:25">
      <c r="A576" s="1" t="s">
        <v>1575</v>
      </c>
      <c r="B576" s="8">
        <v>42805</v>
      </c>
      <c r="C576" s="11" t="s">
        <v>3429</v>
      </c>
      <c r="D576" s="11" t="s">
        <v>3382</v>
      </c>
      <c r="E576" s="5">
        <v>42927</v>
      </c>
      <c r="F576" s="1" t="s">
        <v>49</v>
      </c>
      <c r="G576" s="1" t="s">
        <v>1576</v>
      </c>
      <c r="H576" s="1" t="s">
        <v>3713</v>
      </c>
      <c r="I576" s="1" t="s">
        <v>3634</v>
      </c>
      <c r="J576" s="1"/>
      <c r="K576" s="1" t="s">
        <v>29</v>
      </c>
      <c r="L576" s="1" t="s">
        <v>30</v>
      </c>
      <c r="M576" s="1" t="s">
        <v>1578</v>
      </c>
      <c r="N576" s="1" t="s">
        <v>81</v>
      </c>
      <c r="O576" s="1">
        <v>98270</v>
      </c>
      <c r="P576" s="1" t="s">
        <v>44</v>
      </c>
      <c r="Q576" s="1" t="s">
        <v>1579</v>
      </c>
      <c r="R576" s="1" t="s">
        <v>46</v>
      </c>
      <c r="S576" s="7">
        <v>8.82</v>
      </c>
      <c r="T576" s="1">
        <v>9</v>
      </c>
      <c r="U576" s="9">
        <v>7.93</v>
      </c>
      <c r="V576" s="9">
        <v>79.38</v>
      </c>
      <c r="W576" s="9">
        <v>71.37</v>
      </c>
      <c r="X576" s="12">
        <v>8.0099999999999909</v>
      </c>
      <c r="Y576" s="10">
        <v>2017</v>
      </c>
    </row>
    <row r="577" spans="1:25">
      <c r="A577" s="1" t="s">
        <v>1580</v>
      </c>
      <c r="B577" s="8">
        <v>42631</v>
      </c>
      <c r="C577" s="11" t="s">
        <v>3356</v>
      </c>
      <c r="D577" s="11" t="s">
        <v>3345</v>
      </c>
      <c r="E577" s="5" t="s">
        <v>1581</v>
      </c>
      <c r="F577" s="1" t="s">
        <v>26</v>
      </c>
      <c r="G577" s="1" t="s">
        <v>1582</v>
      </c>
      <c r="H577" s="1" t="s">
        <v>3714</v>
      </c>
      <c r="I577" s="1" t="s">
        <v>3715</v>
      </c>
      <c r="J577" s="1"/>
      <c r="K577" s="1" t="s">
        <v>29</v>
      </c>
      <c r="L577" s="1" t="s">
        <v>30</v>
      </c>
      <c r="M577" s="1" t="s">
        <v>955</v>
      </c>
      <c r="N577" s="1" t="s">
        <v>68</v>
      </c>
      <c r="O577" s="1">
        <v>90805</v>
      </c>
      <c r="P577" s="1" t="s">
        <v>44</v>
      </c>
      <c r="Q577" s="1" t="s">
        <v>1567</v>
      </c>
      <c r="R577" s="1" t="s">
        <v>46</v>
      </c>
      <c r="S577" s="7">
        <v>160.72</v>
      </c>
      <c r="T577" s="1">
        <v>9</v>
      </c>
      <c r="U577" s="9">
        <v>160.1</v>
      </c>
      <c r="V577" s="9">
        <v>1446.48</v>
      </c>
      <c r="W577" s="9">
        <v>1440.8999999999999</v>
      </c>
      <c r="X577" s="12">
        <v>5.5800000000001546</v>
      </c>
      <c r="Y577" s="10">
        <v>2016</v>
      </c>
    </row>
    <row r="578" spans="1:25">
      <c r="A578" s="1" t="s">
        <v>1580</v>
      </c>
      <c r="B578" s="8">
        <v>42631</v>
      </c>
      <c r="C578" s="11" t="s">
        <v>3356</v>
      </c>
      <c r="D578" s="11" t="s">
        <v>3345</v>
      </c>
      <c r="E578" s="5" t="s">
        <v>1581</v>
      </c>
      <c r="F578" s="1" t="s">
        <v>26</v>
      </c>
      <c r="G578" s="1" t="s">
        <v>1582</v>
      </c>
      <c r="H578" s="1" t="s">
        <v>3714</v>
      </c>
      <c r="I578" s="1" t="s">
        <v>3715</v>
      </c>
      <c r="J578" s="1"/>
      <c r="K578" s="1" t="s">
        <v>29</v>
      </c>
      <c r="L578" s="1" t="s">
        <v>30</v>
      </c>
      <c r="M578" s="1" t="s">
        <v>955</v>
      </c>
      <c r="N578" s="1" t="s">
        <v>68</v>
      </c>
      <c r="O578" s="1">
        <v>90805</v>
      </c>
      <c r="P578" s="1" t="s">
        <v>44</v>
      </c>
      <c r="Q578" s="1" t="s">
        <v>1584</v>
      </c>
      <c r="R578" s="1" t="s">
        <v>46</v>
      </c>
      <c r="S578" s="7">
        <v>19.920000000000002</v>
      </c>
      <c r="T578" s="1">
        <v>9</v>
      </c>
      <c r="U578" s="9">
        <v>19.399999999999999</v>
      </c>
      <c r="V578" s="9">
        <v>179.28000000000003</v>
      </c>
      <c r="W578" s="9">
        <v>174.6</v>
      </c>
      <c r="X578" s="12">
        <v>4.6800000000000352</v>
      </c>
      <c r="Y578" s="10">
        <v>2016</v>
      </c>
    </row>
    <row r="579" spans="1:25">
      <c r="A579" s="1" t="s">
        <v>1580</v>
      </c>
      <c r="B579" s="8">
        <v>42631</v>
      </c>
      <c r="C579" s="11" t="s">
        <v>3356</v>
      </c>
      <c r="D579" s="11" t="s">
        <v>3345</v>
      </c>
      <c r="E579" s="5" t="s">
        <v>1581</v>
      </c>
      <c r="F579" s="1" t="s">
        <v>26</v>
      </c>
      <c r="G579" s="1" t="s">
        <v>1582</v>
      </c>
      <c r="H579" s="1" t="s">
        <v>3714</v>
      </c>
      <c r="I579" s="1" t="s">
        <v>3715</v>
      </c>
      <c r="J579" s="1"/>
      <c r="K579" s="1" t="s">
        <v>29</v>
      </c>
      <c r="L579" s="1" t="s">
        <v>30</v>
      </c>
      <c r="M579" s="1" t="s">
        <v>955</v>
      </c>
      <c r="N579" s="1" t="s">
        <v>68</v>
      </c>
      <c r="O579" s="1">
        <v>90805</v>
      </c>
      <c r="P579" s="1" t="s">
        <v>44</v>
      </c>
      <c r="Q579" s="1" t="s">
        <v>1585</v>
      </c>
      <c r="R579" s="1" t="s">
        <v>46</v>
      </c>
      <c r="S579" s="7">
        <v>7.3</v>
      </c>
      <c r="T579" s="1">
        <v>9</v>
      </c>
      <c r="U579" s="9">
        <v>6.4</v>
      </c>
      <c r="V579" s="9">
        <v>65.7</v>
      </c>
      <c r="W579" s="9">
        <v>57.6</v>
      </c>
      <c r="X579" s="12">
        <v>8.1000000000000014</v>
      </c>
      <c r="Y579" s="10">
        <v>2016</v>
      </c>
    </row>
    <row r="580" spans="1:25">
      <c r="A580" s="1" t="s">
        <v>1586</v>
      </c>
      <c r="B580" s="8">
        <v>43301</v>
      </c>
      <c r="C580" s="11" t="s">
        <v>3376</v>
      </c>
      <c r="D580" s="11" t="s">
        <v>3345</v>
      </c>
      <c r="E580" s="5" t="s">
        <v>1587</v>
      </c>
      <c r="F580" s="1" t="s">
        <v>49</v>
      </c>
      <c r="G580" s="1" t="s">
        <v>1588</v>
      </c>
      <c r="H580" s="1" t="s">
        <v>3716</v>
      </c>
      <c r="I580" s="1" t="s">
        <v>3717</v>
      </c>
      <c r="J580" s="1"/>
      <c r="K580" s="1" t="s">
        <v>29</v>
      </c>
      <c r="L580" s="1" t="s">
        <v>30</v>
      </c>
      <c r="M580" s="1" t="s">
        <v>259</v>
      </c>
      <c r="N580" s="1" t="s">
        <v>182</v>
      </c>
      <c r="O580" s="1">
        <v>60610</v>
      </c>
      <c r="P580" s="1" t="s">
        <v>90</v>
      </c>
      <c r="Q580" s="1" t="s">
        <v>459</v>
      </c>
      <c r="R580" s="1" t="s">
        <v>46</v>
      </c>
      <c r="S580" s="7">
        <v>69.712000000000003</v>
      </c>
      <c r="T580" s="1">
        <v>6</v>
      </c>
      <c r="U580" s="9">
        <v>69.08</v>
      </c>
      <c r="V580" s="9">
        <v>418.27200000000005</v>
      </c>
      <c r="W580" s="9">
        <v>414.48</v>
      </c>
      <c r="X580" s="12">
        <v>3.79200000000003</v>
      </c>
      <c r="Y580" s="10">
        <v>2018</v>
      </c>
    </row>
    <row r="581" spans="1:25">
      <c r="A581" s="1" t="s">
        <v>1586</v>
      </c>
      <c r="B581" s="8">
        <v>43301</v>
      </c>
      <c r="C581" s="11" t="s">
        <v>3376</v>
      </c>
      <c r="D581" s="11" t="s">
        <v>3345</v>
      </c>
      <c r="E581" s="5" t="s">
        <v>1587</v>
      </c>
      <c r="F581" s="1" t="s">
        <v>49</v>
      </c>
      <c r="G581" s="1" t="s">
        <v>1588</v>
      </c>
      <c r="H581" s="1" t="s">
        <v>3716</v>
      </c>
      <c r="I581" s="1" t="s">
        <v>3717</v>
      </c>
      <c r="J581" s="1"/>
      <c r="K581" s="1" t="s">
        <v>29</v>
      </c>
      <c r="L581" s="1" t="s">
        <v>30</v>
      </c>
      <c r="M581" s="1" t="s">
        <v>259</v>
      </c>
      <c r="N581" s="1" t="s">
        <v>182</v>
      </c>
      <c r="O581" s="1">
        <v>60610</v>
      </c>
      <c r="P581" s="1" t="s">
        <v>90</v>
      </c>
      <c r="Q581" s="1" t="s">
        <v>1590</v>
      </c>
      <c r="R581" s="1" t="s">
        <v>35</v>
      </c>
      <c r="S581" s="7">
        <v>8.7919999999999998</v>
      </c>
      <c r="T581" s="1">
        <v>6</v>
      </c>
      <c r="U581" s="9">
        <v>8.0399999999999991</v>
      </c>
      <c r="V581" s="9">
        <v>52.751999999999995</v>
      </c>
      <c r="W581" s="9">
        <v>48.239999999999995</v>
      </c>
      <c r="X581" s="12">
        <v>4.5120000000000005</v>
      </c>
      <c r="Y581" s="10">
        <v>2018</v>
      </c>
    </row>
    <row r="582" spans="1:25">
      <c r="A582" s="1" t="s">
        <v>1591</v>
      </c>
      <c r="B582" s="8">
        <v>42652</v>
      </c>
      <c r="C582" s="11" t="s">
        <v>3387</v>
      </c>
      <c r="D582" s="11" t="s">
        <v>3349</v>
      </c>
      <c r="E582" s="5" t="s">
        <v>1592</v>
      </c>
      <c r="F582" s="1" t="s">
        <v>49</v>
      </c>
      <c r="G582" s="1" t="s">
        <v>1593</v>
      </c>
      <c r="H582" s="1" t="s">
        <v>3718</v>
      </c>
      <c r="I582" s="1" t="s">
        <v>3719</v>
      </c>
      <c r="J582" s="1"/>
      <c r="K582" s="1" t="s">
        <v>29</v>
      </c>
      <c r="L582" s="1" t="s">
        <v>30</v>
      </c>
      <c r="M582" s="1" t="s">
        <v>42</v>
      </c>
      <c r="N582" s="1" t="s">
        <v>68</v>
      </c>
      <c r="O582" s="1">
        <v>90004</v>
      </c>
      <c r="P582" s="1" t="s">
        <v>44</v>
      </c>
      <c r="Q582" s="1" t="s">
        <v>1595</v>
      </c>
      <c r="R582" s="1" t="s">
        <v>46</v>
      </c>
      <c r="S582" s="7">
        <v>51.52</v>
      </c>
      <c r="T582" s="1">
        <v>9</v>
      </c>
      <c r="U582" s="9">
        <v>50.87</v>
      </c>
      <c r="V582" s="9">
        <v>463.68</v>
      </c>
      <c r="W582" s="9">
        <v>457.83</v>
      </c>
      <c r="X582" s="12">
        <v>5.8500000000000227</v>
      </c>
      <c r="Y582" s="10">
        <v>2016</v>
      </c>
    </row>
    <row r="583" spans="1:25">
      <c r="A583" s="1" t="s">
        <v>1596</v>
      </c>
      <c r="B583" s="8">
        <v>43112</v>
      </c>
      <c r="C583" s="11" t="s">
        <v>3381</v>
      </c>
      <c r="D583" s="11" t="s">
        <v>3382</v>
      </c>
      <c r="E583" s="5">
        <v>43232</v>
      </c>
      <c r="F583" s="1" t="s">
        <v>49</v>
      </c>
      <c r="G583" s="1" t="s">
        <v>1597</v>
      </c>
      <c r="H583" s="1" t="s">
        <v>3545</v>
      </c>
      <c r="I583" s="1" t="s">
        <v>3622</v>
      </c>
      <c r="J583" s="1"/>
      <c r="K583" s="1" t="s">
        <v>29</v>
      </c>
      <c r="L583" s="1" t="s">
        <v>30</v>
      </c>
      <c r="M583" s="1" t="s">
        <v>670</v>
      </c>
      <c r="N583" s="1" t="s">
        <v>386</v>
      </c>
      <c r="O583" s="1">
        <v>80219</v>
      </c>
      <c r="P583" s="1" t="s">
        <v>44</v>
      </c>
      <c r="Q583" s="1" t="s">
        <v>166</v>
      </c>
      <c r="R583" s="1" t="s">
        <v>64</v>
      </c>
      <c r="S583" s="7">
        <v>470.37599999999998</v>
      </c>
      <c r="T583" s="1">
        <v>8</v>
      </c>
      <c r="U583" s="9">
        <v>469.87</v>
      </c>
      <c r="V583" s="9">
        <v>3763.0079999999998</v>
      </c>
      <c r="W583" s="9">
        <v>3758.96</v>
      </c>
      <c r="X583" s="12">
        <v>4.0479999999997744</v>
      </c>
      <c r="Y583" s="10">
        <v>2018</v>
      </c>
    </row>
    <row r="584" spans="1:25">
      <c r="A584" s="1" t="s">
        <v>1596</v>
      </c>
      <c r="B584" s="8">
        <v>43112</v>
      </c>
      <c r="C584" s="11" t="s">
        <v>3381</v>
      </c>
      <c r="D584" s="11" t="s">
        <v>3382</v>
      </c>
      <c r="E584" s="5">
        <v>43232</v>
      </c>
      <c r="F584" s="1" t="s">
        <v>49</v>
      </c>
      <c r="G584" s="1" t="s">
        <v>1597</v>
      </c>
      <c r="H584" s="1" t="s">
        <v>3545</v>
      </c>
      <c r="I584" s="1" t="s">
        <v>3622</v>
      </c>
      <c r="J584" s="1"/>
      <c r="K584" s="1" t="s">
        <v>29</v>
      </c>
      <c r="L584" s="1" t="s">
        <v>30</v>
      </c>
      <c r="M584" s="1" t="s">
        <v>670</v>
      </c>
      <c r="N584" s="1" t="s">
        <v>386</v>
      </c>
      <c r="O584" s="1">
        <v>80219</v>
      </c>
      <c r="P584" s="1" t="s">
        <v>44</v>
      </c>
      <c r="Q584" s="1" t="s">
        <v>1599</v>
      </c>
      <c r="R584" s="1" t="s">
        <v>64</v>
      </c>
      <c r="S584" s="7">
        <v>105.584</v>
      </c>
      <c r="T584" s="1">
        <v>8</v>
      </c>
      <c r="U584" s="9">
        <v>104.8</v>
      </c>
      <c r="V584" s="9">
        <v>844.67200000000003</v>
      </c>
      <c r="W584" s="9">
        <v>838.4</v>
      </c>
      <c r="X584" s="12">
        <v>6.2720000000000482</v>
      </c>
      <c r="Y584" s="10">
        <v>2018</v>
      </c>
    </row>
    <row r="585" spans="1:25">
      <c r="A585" s="1" t="s">
        <v>1596</v>
      </c>
      <c r="B585" s="8">
        <v>43112</v>
      </c>
      <c r="C585" s="11" t="s">
        <v>3381</v>
      </c>
      <c r="D585" s="11" t="s">
        <v>3382</v>
      </c>
      <c r="E585" s="5">
        <v>43232</v>
      </c>
      <c r="F585" s="1" t="s">
        <v>49</v>
      </c>
      <c r="G585" s="1" t="s">
        <v>1597</v>
      </c>
      <c r="H585" s="1" t="s">
        <v>3545</v>
      </c>
      <c r="I585" s="1" t="s">
        <v>3622</v>
      </c>
      <c r="J585" s="1"/>
      <c r="K585" s="1" t="s">
        <v>29</v>
      </c>
      <c r="L585" s="1" t="s">
        <v>30</v>
      </c>
      <c r="M585" s="1" t="s">
        <v>670</v>
      </c>
      <c r="N585" s="1" t="s">
        <v>386</v>
      </c>
      <c r="O585" s="1">
        <v>80219</v>
      </c>
      <c r="P585" s="1" t="s">
        <v>44</v>
      </c>
      <c r="Q585" s="1" t="s">
        <v>370</v>
      </c>
      <c r="R585" s="1" t="s">
        <v>46</v>
      </c>
      <c r="S585" s="7">
        <v>31.152000000000001</v>
      </c>
      <c r="T585" s="1">
        <v>8</v>
      </c>
      <c r="U585" s="9">
        <v>30.52</v>
      </c>
      <c r="V585" s="9">
        <v>249.21600000000001</v>
      </c>
      <c r="W585" s="9">
        <v>244.16</v>
      </c>
      <c r="X585" s="12">
        <v>5.0560000000000116</v>
      </c>
      <c r="Y585" s="10">
        <v>2018</v>
      </c>
    </row>
    <row r="586" spans="1:25">
      <c r="A586" s="1" t="s">
        <v>1596</v>
      </c>
      <c r="B586" s="8">
        <v>43112</v>
      </c>
      <c r="C586" s="11" t="s">
        <v>3381</v>
      </c>
      <c r="D586" s="11" t="s">
        <v>3382</v>
      </c>
      <c r="E586" s="5">
        <v>43232</v>
      </c>
      <c r="F586" s="1" t="s">
        <v>49</v>
      </c>
      <c r="G586" s="1" t="s">
        <v>1597</v>
      </c>
      <c r="H586" s="1" t="s">
        <v>3545</v>
      </c>
      <c r="I586" s="1" t="s">
        <v>3622</v>
      </c>
      <c r="J586" s="1"/>
      <c r="K586" s="1" t="s">
        <v>29</v>
      </c>
      <c r="L586" s="1" t="s">
        <v>30</v>
      </c>
      <c r="M586" s="1" t="s">
        <v>670</v>
      </c>
      <c r="N586" s="1" t="s">
        <v>386</v>
      </c>
      <c r="O586" s="1">
        <v>80219</v>
      </c>
      <c r="P586" s="1" t="s">
        <v>44</v>
      </c>
      <c r="Q586" s="1" t="s">
        <v>1600</v>
      </c>
      <c r="R586" s="1" t="s">
        <v>46</v>
      </c>
      <c r="S586" s="7">
        <v>6.7830000000000004</v>
      </c>
      <c r="T586" s="1">
        <v>8</v>
      </c>
      <c r="U586" s="9">
        <v>6.77</v>
      </c>
      <c r="V586" s="9">
        <v>54.264000000000003</v>
      </c>
      <c r="W586" s="9">
        <v>54.16</v>
      </c>
      <c r="X586" s="12">
        <v>0.10400000000000631</v>
      </c>
      <c r="Y586" s="10">
        <v>2018</v>
      </c>
    </row>
    <row r="587" spans="1:25">
      <c r="A587" s="1" t="s">
        <v>1596</v>
      </c>
      <c r="B587" s="8">
        <v>43112</v>
      </c>
      <c r="C587" s="11" t="s">
        <v>3381</v>
      </c>
      <c r="D587" s="11" t="s">
        <v>3382</v>
      </c>
      <c r="E587" s="5">
        <v>43232</v>
      </c>
      <c r="F587" s="1" t="s">
        <v>49</v>
      </c>
      <c r="G587" s="1" t="s">
        <v>1597</v>
      </c>
      <c r="H587" s="1" t="s">
        <v>3545</v>
      </c>
      <c r="I587" s="1" t="s">
        <v>3622</v>
      </c>
      <c r="J587" s="1"/>
      <c r="K587" s="1" t="s">
        <v>29</v>
      </c>
      <c r="L587" s="1" t="s">
        <v>30</v>
      </c>
      <c r="M587" s="1" t="s">
        <v>670</v>
      </c>
      <c r="N587" s="1" t="s">
        <v>386</v>
      </c>
      <c r="O587" s="1">
        <v>80219</v>
      </c>
      <c r="P587" s="1" t="s">
        <v>44</v>
      </c>
      <c r="Q587" s="1" t="s">
        <v>520</v>
      </c>
      <c r="R587" s="1" t="s">
        <v>64</v>
      </c>
      <c r="S587" s="7">
        <v>406.36799999999999</v>
      </c>
      <c r="T587" s="1">
        <v>8</v>
      </c>
      <c r="U587" s="9">
        <v>406.22</v>
      </c>
      <c r="V587" s="9">
        <v>3250.944</v>
      </c>
      <c r="W587" s="9">
        <v>3249.76</v>
      </c>
      <c r="X587" s="12">
        <v>1.1839999999997417</v>
      </c>
      <c r="Y587" s="10">
        <v>2018</v>
      </c>
    </row>
    <row r="588" spans="1:25">
      <c r="A588" s="1" t="s">
        <v>1601</v>
      </c>
      <c r="B588" s="8">
        <v>42436</v>
      </c>
      <c r="C588" s="11" t="s">
        <v>3429</v>
      </c>
      <c r="D588" s="11" t="s">
        <v>3382</v>
      </c>
      <c r="E588" s="5">
        <v>42620</v>
      </c>
      <c r="F588" s="1" t="s">
        <v>49</v>
      </c>
      <c r="G588" s="1" t="s">
        <v>1602</v>
      </c>
      <c r="H588" s="1" t="s">
        <v>3528</v>
      </c>
      <c r="I588" s="1" t="s">
        <v>3720</v>
      </c>
      <c r="J588" s="1"/>
      <c r="K588" s="1" t="s">
        <v>29</v>
      </c>
      <c r="L588" s="1" t="s">
        <v>30</v>
      </c>
      <c r="M588" s="1" t="s">
        <v>1192</v>
      </c>
      <c r="N588" s="1" t="s">
        <v>32</v>
      </c>
      <c r="O588" s="1">
        <v>40475</v>
      </c>
      <c r="P588" s="1" t="s">
        <v>33</v>
      </c>
      <c r="Q588" s="1" t="s">
        <v>1175</v>
      </c>
      <c r="R588" s="1" t="s">
        <v>35</v>
      </c>
      <c r="S588" s="7">
        <v>70.98</v>
      </c>
      <c r="T588" s="1">
        <v>4</v>
      </c>
      <c r="U588" s="9">
        <v>70.650000000000006</v>
      </c>
      <c r="V588" s="9">
        <v>283.92</v>
      </c>
      <c r="W588" s="9">
        <v>282.60000000000002</v>
      </c>
      <c r="X588" s="12">
        <v>1.3199999999999932</v>
      </c>
      <c r="Y588" s="10">
        <v>2016</v>
      </c>
    </row>
    <row r="589" spans="1:25">
      <c r="A589" s="1" t="s">
        <v>1601</v>
      </c>
      <c r="B589" s="8">
        <v>42436</v>
      </c>
      <c r="C589" s="11" t="s">
        <v>3429</v>
      </c>
      <c r="D589" s="11" t="s">
        <v>3382</v>
      </c>
      <c r="E589" s="5">
        <v>42620</v>
      </c>
      <c r="F589" s="1" t="s">
        <v>49</v>
      </c>
      <c r="G589" s="1" t="s">
        <v>1602</v>
      </c>
      <c r="H589" s="1" t="s">
        <v>3528</v>
      </c>
      <c r="I589" s="1" t="s">
        <v>3720</v>
      </c>
      <c r="J589" s="1"/>
      <c r="K589" s="1" t="s">
        <v>29</v>
      </c>
      <c r="L589" s="1" t="s">
        <v>30</v>
      </c>
      <c r="M589" s="1" t="s">
        <v>1192</v>
      </c>
      <c r="N589" s="1" t="s">
        <v>32</v>
      </c>
      <c r="O589" s="1">
        <v>40475</v>
      </c>
      <c r="P589" s="1" t="s">
        <v>33</v>
      </c>
      <c r="Q589" s="1" t="s">
        <v>1604</v>
      </c>
      <c r="R589" s="1" t="s">
        <v>46</v>
      </c>
      <c r="S589" s="7">
        <v>294.93</v>
      </c>
      <c r="T589" s="1">
        <v>4</v>
      </c>
      <c r="U589" s="9">
        <v>294.81</v>
      </c>
      <c r="V589" s="9">
        <v>1179.72</v>
      </c>
      <c r="W589" s="9">
        <v>1179.24</v>
      </c>
      <c r="X589" s="12">
        <v>0.48000000000001819</v>
      </c>
      <c r="Y589" s="10">
        <v>2016</v>
      </c>
    </row>
    <row r="590" spans="1:25">
      <c r="A590" s="1" t="s">
        <v>1605</v>
      </c>
      <c r="B590" s="8">
        <v>42814</v>
      </c>
      <c r="C590" s="11" t="s">
        <v>3429</v>
      </c>
      <c r="D590" s="11" t="s">
        <v>3382</v>
      </c>
      <c r="E590" s="5" t="s">
        <v>1606</v>
      </c>
      <c r="F590" s="1" t="s">
        <v>49</v>
      </c>
      <c r="G590" s="1" t="s">
        <v>1607</v>
      </c>
      <c r="H590" s="1" t="s">
        <v>3372</v>
      </c>
      <c r="I590" s="1" t="s">
        <v>3721</v>
      </c>
      <c r="J590" s="1"/>
      <c r="K590" s="1" t="s">
        <v>29</v>
      </c>
      <c r="L590" s="1" t="s">
        <v>30</v>
      </c>
      <c r="M590" s="1" t="s">
        <v>1609</v>
      </c>
      <c r="N590" s="1" t="s">
        <v>355</v>
      </c>
      <c r="O590" s="1">
        <v>97301</v>
      </c>
      <c r="P590" s="1" t="s">
        <v>44</v>
      </c>
      <c r="Q590" s="1" t="s">
        <v>1610</v>
      </c>
      <c r="R590" s="1" t="s">
        <v>64</v>
      </c>
      <c r="S590" s="7">
        <v>84.784000000000006</v>
      </c>
      <c r="T590" s="1">
        <v>9</v>
      </c>
      <c r="U590" s="9">
        <v>84.02</v>
      </c>
      <c r="V590" s="9">
        <v>763.05600000000004</v>
      </c>
      <c r="W590" s="9">
        <v>756.18</v>
      </c>
      <c r="X590" s="12">
        <v>6.87600000000009</v>
      </c>
      <c r="Y590" s="10">
        <v>2017</v>
      </c>
    </row>
    <row r="591" spans="1:25">
      <c r="A591" s="1" t="s">
        <v>1605</v>
      </c>
      <c r="B591" s="8">
        <v>42814</v>
      </c>
      <c r="C591" s="11" t="s">
        <v>3429</v>
      </c>
      <c r="D591" s="11" t="s">
        <v>3382</v>
      </c>
      <c r="E591" s="5" t="s">
        <v>1606</v>
      </c>
      <c r="F591" s="1" t="s">
        <v>49</v>
      </c>
      <c r="G591" s="1" t="s">
        <v>1607</v>
      </c>
      <c r="H591" s="1" t="s">
        <v>3372</v>
      </c>
      <c r="I591" s="1" t="s">
        <v>3721</v>
      </c>
      <c r="J591" s="1"/>
      <c r="K591" s="1" t="s">
        <v>29</v>
      </c>
      <c r="L591" s="1" t="s">
        <v>30</v>
      </c>
      <c r="M591" s="1" t="s">
        <v>1609</v>
      </c>
      <c r="N591" s="1" t="s">
        <v>355</v>
      </c>
      <c r="O591" s="1">
        <v>97301</v>
      </c>
      <c r="P591" s="1" t="s">
        <v>44</v>
      </c>
      <c r="Q591" s="1" t="s">
        <v>1611</v>
      </c>
      <c r="R591" s="1" t="s">
        <v>46</v>
      </c>
      <c r="S591" s="7">
        <v>20.736000000000001</v>
      </c>
      <c r="T591" s="1">
        <v>9</v>
      </c>
      <c r="U591" s="9">
        <v>19.739999999999998</v>
      </c>
      <c r="V591" s="9">
        <v>186.624</v>
      </c>
      <c r="W591" s="9">
        <v>177.66</v>
      </c>
      <c r="X591" s="12">
        <v>8.9639999999999986</v>
      </c>
      <c r="Y591" s="10">
        <v>2017</v>
      </c>
    </row>
    <row r="592" spans="1:25">
      <c r="A592" s="1" t="s">
        <v>1605</v>
      </c>
      <c r="B592" s="8">
        <v>42814</v>
      </c>
      <c r="C592" s="11" t="s">
        <v>3429</v>
      </c>
      <c r="D592" s="11" t="s">
        <v>3382</v>
      </c>
      <c r="E592" s="5" t="s">
        <v>1606</v>
      </c>
      <c r="F592" s="1" t="s">
        <v>49</v>
      </c>
      <c r="G592" s="1" t="s">
        <v>1607</v>
      </c>
      <c r="H592" s="1" t="s">
        <v>3372</v>
      </c>
      <c r="I592" s="1" t="s">
        <v>3721</v>
      </c>
      <c r="J592" s="1"/>
      <c r="K592" s="1" t="s">
        <v>29</v>
      </c>
      <c r="L592" s="1" t="s">
        <v>30</v>
      </c>
      <c r="M592" s="1" t="s">
        <v>1609</v>
      </c>
      <c r="N592" s="1" t="s">
        <v>355</v>
      </c>
      <c r="O592" s="1">
        <v>97301</v>
      </c>
      <c r="P592" s="1" t="s">
        <v>44</v>
      </c>
      <c r="Q592" s="1" t="s">
        <v>1393</v>
      </c>
      <c r="R592" s="1" t="s">
        <v>46</v>
      </c>
      <c r="S592" s="7">
        <v>16.821000000000002</v>
      </c>
      <c r="T592" s="1">
        <v>9</v>
      </c>
      <c r="U592" s="9">
        <v>16.29</v>
      </c>
      <c r="V592" s="9">
        <v>151.38900000000001</v>
      </c>
      <c r="W592" s="9">
        <v>146.60999999999999</v>
      </c>
      <c r="X592" s="12">
        <v>4.7790000000000248</v>
      </c>
      <c r="Y592" s="10">
        <v>2017</v>
      </c>
    </row>
    <row r="593" spans="1:25">
      <c r="A593" s="1" t="s">
        <v>1605</v>
      </c>
      <c r="B593" s="8">
        <v>42814</v>
      </c>
      <c r="C593" s="11" t="s">
        <v>3429</v>
      </c>
      <c r="D593" s="11" t="s">
        <v>3382</v>
      </c>
      <c r="E593" s="5" t="s">
        <v>1606</v>
      </c>
      <c r="F593" s="1" t="s">
        <v>49</v>
      </c>
      <c r="G593" s="1" t="s">
        <v>1607</v>
      </c>
      <c r="H593" s="1" t="s">
        <v>3372</v>
      </c>
      <c r="I593" s="1" t="s">
        <v>3721</v>
      </c>
      <c r="J593" s="1"/>
      <c r="K593" s="1" t="s">
        <v>29</v>
      </c>
      <c r="L593" s="1" t="s">
        <v>30</v>
      </c>
      <c r="M593" s="1" t="s">
        <v>1609</v>
      </c>
      <c r="N593" s="1" t="s">
        <v>355</v>
      </c>
      <c r="O593" s="1">
        <v>97301</v>
      </c>
      <c r="P593" s="1" t="s">
        <v>44</v>
      </c>
      <c r="Q593" s="1" t="s">
        <v>1612</v>
      </c>
      <c r="R593" s="1" t="s">
        <v>46</v>
      </c>
      <c r="S593" s="7">
        <v>10.368</v>
      </c>
      <c r="T593" s="1">
        <v>9</v>
      </c>
      <c r="U593" s="9">
        <v>10.1</v>
      </c>
      <c r="V593" s="9">
        <v>93.311999999999998</v>
      </c>
      <c r="W593" s="9">
        <v>90.899999999999991</v>
      </c>
      <c r="X593" s="12">
        <v>2.4120000000000061</v>
      </c>
      <c r="Y593" s="10">
        <v>2017</v>
      </c>
    </row>
    <row r="594" spans="1:25">
      <c r="A594" s="1" t="s">
        <v>1613</v>
      </c>
      <c r="B594" s="8">
        <v>42248</v>
      </c>
      <c r="C594" s="11" t="s">
        <v>3356</v>
      </c>
      <c r="D594" s="11" t="s">
        <v>3345</v>
      </c>
      <c r="E594" s="5" t="s">
        <v>1614</v>
      </c>
      <c r="F594" s="1" t="s">
        <v>49</v>
      </c>
      <c r="G594" s="1" t="s">
        <v>1615</v>
      </c>
      <c r="H594" s="1" t="s">
        <v>3722</v>
      </c>
      <c r="I594" s="1" t="s">
        <v>3723</v>
      </c>
      <c r="J594" s="1"/>
      <c r="K594" s="1" t="s">
        <v>29</v>
      </c>
      <c r="L594" s="1" t="s">
        <v>30</v>
      </c>
      <c r="M594" s="1" t="s">
        <v>1617</v>
      </c>
      <c r="N594" s="1" t="s">
        <v>89</v>
      </c>
      <c r="O594" s="1">
        <v>78041</v>
      </c>
      <c r="P594" s="1" t="s">
        <v>90</v>
      </c>
      <c r="Q594" s="1" t="s">
        <v>1618</v>
      </c>
      <c r="R594" s="1" t="s">
        <v>46</v>
      </c>
      <c r="S594" s="7">
        <v>9.3439999999999994</v>
      </c>
      <c r="T594" s="1">
        <v>7</v>
      </c>
      <c r="U594" s="9">
        <v>8.59</v>
      </c>
      <c r="V594" s="9">
        <v>65.408000000000001</v>
      </c>
      <c r="W594" s="9">
        <v>60.129999999999995</v>
      </c>
      <c r="X594" s="12">
        <v>5.2780000000000058</v>
      </c>
      <c r="Y594" s="10">
        <v>2015</v>
      </c>
    </row>
    <row r="595" spans="1:25">
      <c r="A595" s="1" t="s">
        <v>1613</v>
      </c>
      <c r="B595" s="8">
        <v>42248</v>
      </c>
      <c r="C595" s="11" t="s">
        <v>3356</v>
      </c>
      <c r="D595" s="11" t="s">
        <v>3345</v>
      </c>
      <c r="E595" s="5" t="s">
        <v>1614</v>
      </c>
      <c r="F595" s="1" t="s">
        <v>49</v>
      </c>
      <c r="G595" s="1" t="s">
        <v>1615</v>
      </c>
      <c r="H595" s="1" t="s">
        <v>3722</v>
      </c>
      <c r="I595" s="1" t="s">
        <v>3723</v>
      </c>
      <c r="J595" s="1"/>
      <c r="K595" s="1" t="s">
        <v>29</v>
      </c>
      <c r="L595" s="1" t="s">
        <v>30</v>
      </c>
      <c r="M595" s="1" t="s">
        <v>1617</v>
      </c>
      <c r="N595" s="1" t="s">
        <v>89</v>
      </c>
      <c r="O595" s="1">
        <v>78041</v>
      </c>
      <c r="P595" s="1" t="s">
        <v>90</v>
      </c>
      <c r="Q595" s="1" t="s">
        <v>701</v>
      </c>
      <c r="R595" s="1" t="s">
        <v>64</v>
      </c>
      <c r="S595" s="7">
        <v>31.2</v>
      </c>
      <c r="T595" s="1">
        <v>7</v>
      </c>
      <c r="U595" s="9">
        <v>30.73</v>
      </c>
      <c r="V595" s="9">
        <v>218.4</v>
      </c>
      <c r="W595" s="9">
        <v>215.11</v>
      </c>
      <c r="X595" s="12">
        <v>3.289999999999992</v>
      </c>
      <c r="Y595" s="10">
        <v>2015</v>
      </c>
    </row>
    <row r="596" spans="1:25">
      <c r="A596" s="1" t="s">
        <v>1619</v>
      </c>
      <c r="B596" s="8">
        <v>42224</v>
      </c>
      <c r="C596" s="11" t="s">
        <v>3344</v>
      </c>
      <c r="D596" s="11" t="s">
        <v>3345</v>
      </c>
      <c r="E596" s="5" t="s">
        <v>1620</v>
      </c>
      <c r="F596" s="1" t="s">
        <v>49</v>
      </c>
      <c r="G596" s="1" t="s">
        <v>1621</v>
      </c>
      <c r="H596" s="1" t="s">
        <v>3404</v>
      </c>
      <c r="I596" s="1" t="s">
        <v>3724</v>
      </c>
      <c r="J596" s="1"/>
      <c r="K596" s="1" t="s">
        <v>29</v>
      </c>
      <c r="L596" s="1" t="s">
        <v>30</v>
      </c>
      <c r="M596" s="1" t="s">
        <v>778</v>
      </c>
      <c r="N596" s="1" t="s">
        <v>68</v>
      </c>
      <c r="O596" s="1">
        <v>92024</v>
      </c>
      <c r="P596" s="1" t="s">
        <v>44</v>
      </c>
      <c r="Q596" s="1" t="s">
        <v>1623</v>
      </c>
      <c r="R596" s="1" t="s">
        <v>46</v>
      </c>
      <c r="S596" s="7">
        <v>76.12</v>
      </c>
      <c r="T596" s="1">
        <v>9</v>
      </c>
      <c r="U596" s="9">
        <v>75.459999999999994</v>
      </c>
      <c r="V596" s="9">
        <v>685.08</v>
      </c>
      <c r="W596" s="9">
        <v>679.14</v>
      </c>
      <c r="X596" s="12">
        <v>5.9400000000000546</v>
      </c>
      <c r="Y596" s="10">
        <v>2015</v>
      </c>
    </row>
    <row r="597" spans="1:25">
      <c r="A597" s="1" t="s">
        <v>1619</v>
      </c>
      <c r="B597" s="8">
        <v>42224</v>
      </c>
      <c r="C597" s="11" t="s">
        <v>3344</v>
      </c>
      <c r="D597" s="11" t="s">
        <v>3345</v>
      </c>
      <c r="E597" s="5" t="s">
        <v>1620</v>
      </c>
      <c r="F597" s="1" t="s">
        <v>49</v>
      </c>
      <c r="G597" s="1" t="s">
        <v>1621</v>
      </c>
      <c r="H597" s="1" t="s">
        <v>3404</v>
      </c>
      <c r="I597" s="1" t="s">
        <v>3724</v>
      </c>
      <c r="J597" s="1"/>
      <c r="K597" s="1" t="s">
        <v>29</v>
      </c>
      <c r="L597" s="1" t="s">
        <v>30</v>
      </c>
      <c r="M597" s="1" t="s">
        <v>778</v>
      </c>
      <c r="N597" s="1" t="s">
        <v>68</v>
      </c>
      <c r="O597" s="1">
        <v>92024</v>
      </c>
      <c r="P597" s="1" t="s">
        <v>44</v>
      </c>
      <c r="Q597" s="1" t="s">
        <v>1169</v>
      </c>
      <c r="R597" s="1" t="s">
        <v>64</v>
      </c>
      <c r="S597" s="7">
        <v>1199.9760000000001</v>
      </c>
      <c r="T597" s="1">
        <v>9</v>
      </c>
      <c r="U597" s="9">
        <v>1199.23</v>
      </c>
      <c r="V597" s="9">
        <v>10799.784000000001</v>
      </c>
      <c r="W597" s="9">
        <v>10793.07</v>
      </c>
      <c r="X597" s="12">
        <v>6.7140000000017608</v>
      </c>
      <c r="Y597" s="10">
        <v>2015</v>
      </c>
    </row>
    <row r="598" spans="1:25">
      <c r="A598" s="1" t="s">
        <v>1619</v>
      </c>
      <c r="B598" s="8">
        <v>42224</v>
      </c>
      <c r="C598" s="11" t="s">
        <v>3344</v>
      </c>
      <c r="D598" s="11" t="s">
        <v>3345</v>
      </c>
      <c r="E598" s="5" t="s">
        <v>1620</v>
      </c>
      <c r="F598" s="1" t="s">
        <v>49</v>
      </c>
      <c r="G598" s="1" t="s">
        <v>1621</v>
      </c>
      <c r="H598" s="1" t="s">
        <v>3404</v>
      </c>
      <c r="I598" s="1" t="s">
        <v>3724</v>
      </c>
      <c r="J598" s="1"/>
      <c r="K598" s="1" t="s">
        <v>29</v>
      </c>
      <c r="L598" s="1" t="s">
        <v>30</v>
      </c>
      <c r="M598" s="1" t="s">
        <v>778</v>
      </c>
      <c r="N598" s="1" t="s">
        <v>68</v>
      </c>
      <c r="O598" s="1">
        <v>92024</v>
      </c>
      <c r="P598" s="1" t="s">
        <v>44</v>
      </c>
      <c r="Q598" s="1" t="s">
        <v>938</v>
      </c>
      <c r="R598" s="1" t="s">
        <v>64</v>
      </c>
      <c r="S598" s="7">
        <v>445.96</v>
      </c>
      <c r="T598" s="1">
        <v>9</v>
      </c>
      <c r="U598" s="9">
        <v>445.38</v>
      </c>
      <c r="V598" s="9">
        <v>4013.64</v>
      </c>
      <c r="W598" s="9">
        <v>4008.42</v>
      </c>
      <c r="X598" s="12">
        <v>5.2199999999997999</v>
      </c>
      <c r="Y598" s="10">
        <v>2015</v>
      </c>
    </row>
    <row r="599" spans="1:25">
      <c r="A599" s="1" t="s">
        <v>1619</v>
      </c>
      <c r="B599" s="8">
        <v>42224</v>
      </c>
      <c r="C599" s="11" t="s">
        <v>3344</v>
      </c>
      <c r="D599" s="11" t="s">
        <v>3345</v>
      </c>
      <c r="E599" s="5" t="s">
        <v>1620</v>
      </c>
      <c r="F599" s="1" t="s">
        <v>49</v>
      </c>
      <c r="G599" s="1" t="s">
        <v>1621</v>
      </c>
      <c r="H599" s="1" t="s">
        <v>3404</v>
      </c>
      <c r="I599" s="1" t="s">
        <v>3724</v>
      </c>
      <c r="J599" s="1"/>
      <c r="K599" s="1" t="s">
        <v>29</v>
      </c>
      <c r="L599" s="1" t="s">
        <v>30</v>
      </c>
      <c r="M599" s="1" t="s">
        <v>778</v>
      </c>
      <c r="N599" s="1" t="s">
        <v>68</v>
      </c>
      <c r="O599" s="1">
        <v>92024</v>
      </c>
      <c r="P599" s="1" t="s">
        <v>44</v>
      </c>
      <c r="Q599" s="1" t="s">
        <v>1624</v>
      </c>
      <c r="R599" s="1" t="s">
        <v>35</v>
      </c>
      <c r="S599" s="7">
        <v>327.76</v>
      </c>
      <c r="T599" s="1">
        <v>9</v>
      </c>
      <c r="U599" s="9">
        <v>327.51</v>
      </c>
      <c r="V599" s="9">
        <v>2949.84</v>
      </c>
      <c r="W599" s="9">
        <v>2947.59</v>
      </c>
      <c r="X599" s="12">
        <v>2.25</v>
      </c>
      <c r="Y599" s="10">
        <v>2015</v>
      </c>
    </row>
    <row r="600" spans="1:25">
      <c r="A600" s="1" t="s">
        <v>1625</v>
      </c>
      <c r="B600" s="8">
        <v>42930</v>
      </c>
      <c r="C600" s="11" t="s">
        <v>3376</v>
      </c>
      <c r="D600" s="11" t="s">
        <v>3345</v>
      </c>
      <c r="E600" s="5" t="s">
        <v>1481</v>
      </c>
      <c r="F600" s="1" t="s">
        <v>162</v>
      </c>
      <c r="G600" s="1" t="s">
        <v>1626</v>
      </c>
      <c r="H600" s="1" t="s">
        <v>3725</v>
      </c>
      <c r="I600" s="1" t="s">
        <v>3726</v>
      </c>
      <c r="J600" s="1"/>
      <c r="K600" s="1" t="s">
        <v>29</v>
      </c>
      <c r="L600" s="1" t="s">
        <v>30</v>
      </c>
      <c r="M600" s="1" t="s">
        <v>126</v>
      </c>
      <c r="N600" s="1" t="s">
        <v>127</v>
      </c>
      <c r="O600" s="1">
        <v>19134</v>
      </c>
      <c r="P600" s="1" t="s">
        <v>128</v>
      </c>
      <c r="Q600" s="1" t="s">
        <v>1628</v>
      </c>
      <c r="R600" s="1" t="s">
        <v>46</v>
      </c>
      <c r="S600" s="7">
        <v>11.632</v>
      </c>
      <c r="T600" s="1">
        <v>1</v>
      </c>
      <c r="U600" s="9">
        <v>11.38</v>
      </c>
      <c r="V600" s="9">
        <v>11.632</v>
      </c>
      <c r="W600" s="9">
        <v>11.38</v>
      </c>
      <c r="X600" s="12">
        <v>0.25199999999999889</v>
      </c>
      <c r="Y600" s="10">
        <v>2017</v>
      </c>
    </row>
    <row r="601" spans="1:25">
      <c r="A601" s="1" t="s">
        <v>1629</v>
      </c>
      <c r="B601" s="8">
        <v>42932</v>
      </c>
      <c r="C601" s="11" t="s">
        <v>3376</v>
      </c>
      <c r="D601" s="11" t="s">
        <v>3345</v>
      </c>
      <c r="E601" s="5" t="s">
        <v>1630</v>
      </c>
      <c r="F601" s="1" t="s">
        <v>49</v>
      </c>
      <c r="G601" s="1" t="s">
        <v>1631</v>
      </c>
      <c r="H601" s="1" t="s">
        <v>3727</v>
      </c>
      <c r="I601" s="1" t="s">
        <v>3728</v>
      </c>
      <c r="J601" s="1"/>
      <c r="K601" s="1" t="s">
        <v>29</v>
      </c>
      <c r="L601" s="1" t="s">
        <v>30</v>
      </c>
      <c r="M601" s="1" t="s">
        <v>126</v>
      </c>
      <c r="N601" s="1" t="s">
        <v>127</v>
      </c>
      <c r="O601" s="1">
        <v>19120</v>
      </c>
      <c r="P601" s="1" t="s">
        <v>128</v>
      </c>
      <c r="Q601" s="1" t="s">
        <v>1633</v>
      </c>
      <c r="R601" s="1" t="s">
        <v>64</v>
      </c>
      <c r="S601" s="7">
        <v>143.982</v>
      </c>
      <c r="T601" s="1">
        <v>1</v>
      </c>
      <c r="U601" s="9">
        <v>143.97999999999999</v>
      </c>
      <c r="V601" s="9">
        <v>143.982</v>
      </c>
      <c r="W601" s="9">
        <v>143.97999999999999</v>
      </c>
      <c r="X601" s="12">
        <v>2.0000000000095497E-3</v>
      </c>
      <c r="Y601" s="10">
        <v>2017</v>
      </c>
    </row>
    <row r="602" spans="1:25">
      <c r="A602" s="1" t="s">
        <v>1629</v>
      </c>
      <c r="B602" s="8">
        <v>42932</v>
      </c>
      <c r="C602" s="11" t="s">
        <v>3376</v>
      </c>
      <c r="D602" s="11" t="s">
        <v>3345</v>
      </c>
      <c r="E602" s="5" t="s">
        <v>1630</v>
      </c>
      <c r="F602" s="1" t="s">
        <v>49</v>
      </c>
      <c r="G602" s="1" t="s">
        <v>1631</v>
      </c>
      <c r="H602" s="1" t="s">
        <v>3727</v>
      </c>
      <c r="I602" s="1" t="s">
        <v>3728</v>
      </c>
      <c r="J602" s="1"/>
      <c r="K602" s="1" t="s">
        <v>29</v>
      </c>
      <c r="L602" s="1" t="s">
        <v>30</v>
      </c>
      <c r="M602" s="1" t="s">
        <v>126</v>
      </c>
      <c r="N602" s="1" t="s">
        <v>127</v>
      </c>
      <c r="O602" s="1">
        <v>19120</v>
      </c>
      <c r="P602" s="1" t="s">
        <v>128</v>
      </c>
      <c r="Q602" s="1" t="s">
        <v>1634</v>
      </c>
      <c r="R602" s="1" t="s">
        <v>64</v>
      </c>
      <c r="S602" s="7">
        <v>494.37599999999998</v>
      </c>
      <c r="T602" s="1">
        <v>1</v>
      </c>
      <c r="U602" s="9">
        <v>493.7</v>
      </c>
      <c r="V602" s="9">
        <v>494.37599999999998</v>
      </c>
      <c r="W602" s="9">
        <v>493.7</v>
      </c>
      <c r="X602" s="12">
        <v>0.67599999999998772</v>
      </c>
      <c r="Y602" s="10">
        <v>2017</v>
      </c>
    </row>
    <row r="603" spans="1:25">
      <c r="A603" s="1" t="s">
        <v>1629</v>
      </c>
      <c r="B603" s="8">
        <v>42932</v>
      </c>
      <c r="C603" s="11" t="s">
        <v>3376</v>
      </c>
      <c r="D603" s="11" t="s">
        <v>3345</v>
      </c>
      <c r="E603" s="5" t="s">
        <v>1630</v>
      </c>
      <c r="F603" s="1" t="s">
        <v>49</v>
      </c>
      <c r="G603" s="1" t="s">
        <v>1631</v>
      </c>
      <c r="H603" s="1" t="s">
        <v>3727</v>
      </c>
      <c r="I603" s="1" t="s">
        <v>3728</v>
      </c>
      <c r="J603" s="1"/>
      <c r="K603" s="1" t="s">
        <v>29</v>
      </c>
      <c r="L603" s="1" t="s">
        <v>30</v>
      </c>
      <c r="M603" s="1" t="s">
        <v>126</v>
      </c>
      <c r="N603" s="1" t="s">
        <v>127</v>
      </c>
      <c r="O603" s="1">
        <v>19120</v>
      </c>
      <c r="P603" s="1" t="s">
        <v>128</v>
      </c>
      <c r="Q603" s="1" t="s">
        <v>1585</v>
      </c>
      <c r="R603" s="1" t="s">
        <v>46</v>
      </c>
      <c r="S603" s="7">
        <v>5.84</v>
      </c>
      <c r="T603" s="1">
        <v>1</v>
      </c>
      <c r="U603" s="9">
        <v>4.88</v>
      </c>
      <c r="V603" s="9">
        <v>5.84</v>
      </c>
      <c r="W603" s="9">
        <v>4.88</v>
      </c>
      <c r="X603" s="12">
        <v>0.96</v>
      </c>
      <c r="Y603" s="10">
        <v>2017</v>
      </c>
    </row>
    <row r="604" spans="1:25">
      <c r="A604" s="1" t="s">
        <v>1635</v>
      </c>
      <c r="B604" s="8">
        <v>42078</v>
      </c>
      <c r="C604" s="11" t="s">
        <v>3429</v>
      </c>
      <c r="D604" s="11" t="s">
        <v>3382</v>
      </c>
      <c r="E604" s="5" t="s">
        <v>1636</v>
      </c>
      <c r="F604" s="1" t="s">
        <v>49</v>
      </c>
      <c r="G604" s="1" t="s">
        <v>1637</v>
      </c>
      <c r="H604" s="1" t="s">
        <v>3468</v>
      </c>
      <c r="I604" s="1" t="s">
        <v>3729</v>
      </c>
      <c r="J604" s="1"/>
      <c r="K604" s="1" t="s">
        <v>29</v>
      </c>
      <c r="L604" s="1" t="s">
        <v>30</v>
      </c>
      <c r="M604" s="1" t="s">
        <v>743</v>
      </c>
      <c r="N604" s="1" t="s">
        <v>194</v>
      </c>
      <c r="O604" s="1">
        <v>33614</v>
      </c>
      <c r="P604" s="1" t="s">
        <v>33</v>
      </c>
      <c r="Q604" s="1" t="s">
        <v>1639</v>
      </c>
      <c r="R604" s="1" t="s">
        <v>46</v>
      </c>
      <c r="S604" s="7">
        <v>142.77600000000001</v>
      </c>
      <c r="T604" s="1">
        <v>3</v>
      </c>
      <c r="U604" s="9">
        <v>142.63999999999999</v>
      </c>
      <c r="V604" s="9">
        <v>428.32800000000003</v>
      </c>
      <c r="W604" s="9">
        <v>427.91999999999996</v>
      </c>
      <c r="X604" s="12">
        <v>0.4080000000000723</v>
      </c>
      <c r="Y604" s="10">
        <v>2015</v>
      </c>
    </row>
    <row r="605" spans="1:25">
      <c r="A605" s="1" t="s">
        <v>1635</v>
      </c>
      <c r="B605" s="8">
        <v>42078</v>
      </c>
      <c r="C605" s="11" t="s">
        <v>3429</v>
      </c>
      <c r="D605" s="11" t="s">
        <v>3382</v>
      </c>
      <c r="E605" s="5" t="s">
        <v>1636</v>
      </c>
      <c r="F605" s="1" t="s">
        <v>49</v>
      </c>
      <c r="G605" s="1" t="s">
        <v>1637</v>
      </c>
      <c r="H605" s="1" t="s">
        <v>3468</v>
      </c>
      <c r="I605" s="1" t="s">
        <v>3729</v>
      </c>
      <c r="J605" s="1"/>
      <c r="K605" s="1" t="s">
        <v>29</v>
      </c>
      <c r="L605" s="1" t="s">
        <v>30</v>
      </c>
      <c r="M605" s="1" t="s">
        <v>743</v>
      </c>
      <c r="N605" s="1" t="s">
        <v>194</v>
      </c>
      <c r="O605" s="1">
        <v>33614</v>
      </c>
      <c r="P605" s="1" t="s">
        <v>33</v>
      </c>
      <c r="Q605" s="1" t="s">
        <v>926</v>
      </c>
      <c r="R605" s="1" t="s">
        <v>35</v>
      </c>
      <c r="S605" s="7">
        <v>45.695999999999998</v>
      </c>
      <c r="T605" s="1">
        <v>3</v>
      </c>
      <c r="U605" s="9">
        <v>45.65</v>
      </c>
      <c r="V605" s="9">
        <v>137.08799999999999</v>
      </c>
      <c r="W605" s="9">
        <v>136.94999999999999</v>
      </c>
      <c r="X605" s="12">
        <v>0.13800000000000523</v>
      </c>
      <c r="Y605" s="10">
        <v>2015</v>
      </c>
    </row>
    <row r="606" spans="1:25">
      <c r="A606" s="1" t="s">
        <v>1635</v>
      </c>
      <c r="B606" s="8">
        <v>42078</v>
      </c>
      <c r="C606" s="11" t="s">
        <v>3429</v>
      </c>
      <c r="D606" s="11" t="s">
        <v>3382</v>
      </c>
      <c r="E606" s="5" t="s">
        <v>1636</v>
      </c>
      <c r="F606" s="1" t="s">
        <v>49</v>
      </c>
      <c r="G606" s="1" t="s">
        <v>1637</v>
      </c>
      <c r="H606" s="1" t="s">
        <v>3468</v>
      </c>
      <c r="I606" s="1" t="s">
        <v>3729</v>
      </c>
      <c r="J606" s="1"/>
      <c r="K606" s="1" t="s">
        <v>29</v>
      </c>
      <c r="L606" s="1" t="s">
        <v>30</v>
      </c>
      <c r="M606" s="1" t="s">
        <v>743</v>
      </c>
      <c r="N606" s="1" t="s">
        <v>194</v>
      </c>
      <c r="O606" s="1">
        <v>33614</v>
      </c>
      <c r="P606" s="1" t="s">
        <v>33</v>
      </c>
      <c r="Q606" s="1" t="s">
        <v>1242</v>
      </c>
      <c r="R606" s="1" t="s">
        <v>46</v>
      </c>
      <c r="S606" s="7">
        <v>7.218</v>
      </c>
      <c r="T606" s="1">
        <v>3</v>
      </c>
      <c r="U606" s="9">
        <v>6.25</v>
      </c>
      <c r="V606" s="9">
        <v>21.654</v>
      </c>
      <c r="W606" s="9">
        <v>18.75</v>
      </c>
      <c r="X606" s="12">
        <v>2.9039999999999999</v>
      </c>
      <c r="Y606" s="10">
        <v>2015</v>
      </c>
    </row>
    <row r="607" spans="1:25">
      <c r="A607" s="1" t="s">
        <v>1635</v>
      </c>
      <c r="B607" s="8">
        <v>42078</v>
      </c>
      <c r="C607" s="11" t="s">
        <v>3429</v>
      </c>
      <c r="D607" s="11" t="s">
        <v>3382</v>
      </c>
      <c r="E607" s="5" t="s">
        <v>1636</v>
      </c>
      <c r="F607" s="1" t="s">
        <v>49</v>
      </c>
      <c r="G607" s="1" t="s">
        <v>1637</v>
      </c>
      <c r="H607" s="1" t="s">
        <v>3468</v>
      </c>
      <c r="I607" s="1" t="s">
        <v>3729</v>
      </c>
      <c r="J607" s="1"/>
      <c r="K607" s="1" t="s">
        <v>29</v>
      </c>
      <c r="L607" s="1" t="s">
        <v>30</v>
      </c>
      <c r="M607" s="1" t="s">
        <v>743</v>
      </c>
      <c r="N607" s="1" t="s">
        <v>194</v>
      </c>
      <c r="O607" s="1">
        <v>33614</v>
      </c>
      <c r="P607" s="1" t="s">
        <v>33</v>
      </c>
      <c r="Q607" s="1" t="s">
        <v>1217</v>
      </c>
      <c r="R607" s="1" t="s">
        <v>46</v>
      </c>
      <c r="S607" s="7">
        <v>43.188000000000002</v>
      </c>
      <c r="T607" s="1">
        <v>3</v>
      </c>
      <c r="U607" s="9">
        <v>42.61</v>
      </c>
      <c r="V607" s="9">
        <v>129.56400000000002</v>
      </c>
      <c r="W607" s="9">
        <v>127.83</v>
      </c>
      <c r="X607" s="12">
        <v>1.7340000000000231</v>
      </c>
      <c r="Y607" s="10">
        <v>2015</v>
      </c>
    </row>
    <row r="608" spans="1:25">
      <c r="A608" s="1" t="s">
        <v>1635</v>
      </c>
      <c r="B608" s="8">
        <v>42078</v>
      </c>
      <c r="C608" s="11" t="s">
        <v>3429</v>
      </c>
      <c r="D608" s="11" t="s">
        <v>3382</v>
      </c>
      <c r="E608" s="5" t="s">
        <v>1636</v>
      </c>
      <c r="F608" s="1" t="s">
        <v>49</v>
      </c>
      <c r="G608" s="1" t="s">
        <v>1637</v>
      </c>
      <c r="H608" s="1" t="s">
        <v>3468</v>
      </c>
      <c r="I608" s="1" t="s">
        <v>3729</v>
      </c>
      <c r="J608" s="1"/>
      <c r="K608" s="1" t="s">
        <v>29</v>
      </c>
      <c r="L608" s="1" t="s">
        <v>30</v>
      </c>
      <c r="M608" s="1" t="s">
        <v>743</v>
      </c>
      <c r="N608" s="1" t="s">
        <v>194</v>
      </c>
      <c r="O608" s="1">
        <v>33614</v>
      </c>
      <c r="P608" s="1" t="s">
        <v>33</v>
      </c>
      <c r="Q608" s="1" t="s">
        <v>1640</v>
      </c>
      <c r="R608" s="1" t="s">
        <v>46</v>
      </c>
      <c r="S608" s="7">
        <v>131.904</v>
      </c>
      <c r="T608" s="1">
        <v>3</v>
      </c>
      <c r="U608" s="9">
        <v>131.07</v>
      </c>
      <c r="V608" s="9">
        <v>395.71199999999999</v>
      </c>
      <c r="W608" s="9">
        <v>393.21</v>
      </c>
      <c r="X608" s="12">
        <v>2.5020000000000095</v>
      </c>
      <c r="Y608" s="10">
        <v>2015</v>
      </c>
    </row>
    <row r="609" spans="1:25">
      <c r="A609" s="1" t="s">
        <v>1641</v>
      </c>
      <c r="B609" s="8">
        <v>42147</v>
      </c>
      <c r="C609" s="11" t="s">
        <v>3363</v>
      </c>
      <c r="D609" s="11" t="s">
        <v>3360</v>
      </c>
      <c r="E609" s="5" t="s">
        <v>1642</v>
      </c>
      <c r="F609" s="1" t="s">
        <v>49</v>
      </c>
      <c r="G609" s="1" t="s">
        <v>1643</v>
      </c>
      <c r="H609" s="1" t="s">
        <v>3361</v>
      </c>
      <c r="I609" s="1" t="s">
        <v>3730</v>
      </c>
      <c r="J609" s="1"/>
      <c r="K609" s="1" t="s">
        <v>29</v>
      </c>
      <c r="L609" s="1" t="s">
        <v>30</v>
      </c>
      <c r="M609" s="1" t="s">
        <v>126</v>
      </c>
      <c r="N609" s="1" t="s">
        <v>127</v>
      </c>
      <c r="O609" s="1">
        <v>19134</v>
      </c>
      <c r="P609" s="1" t="s">
        <v>128</v>
      </c>
      <c r="Q609" s="1" t="s">
        <v>1645</v>
      </c>
      <c r="R609" s="1" t="s">
        <v>46</v>
      </c>
      <c r="S609" s="7">
        <v>3.282</v>
      </c>
      <c r="T609" s="1">
        <v>1</v>
      </c>
      <c r="U609" s="9">
        <v>2.64</v>
      </c>
      <c r="V609" s="9">
        <v>3.282</v>
      </c>
      <c r="W609" s="9">
        <v>2.64</v>
      </c>
      <c r="X609" s="12">
        <v>0.6419999999999999</v>
      </c>
      <c r="Y609" s="10">
        <v>2015</v>
      </c>
    </row>
    <row r="610" spans="1:25">
      <c r="A610" s="1" t="s">
        <v>1641</v>
      </c>
      <c r="B610" s="8">
        <v>42147</v>
      </c>
      <c r="C610" s="11" t="s">
        <v>3363</v>
      </c>
      <c r="D610" s="11" t="s">
        <v>3360</v>
      </c>
      <c r="E610" s="5" t="s">
        <v>1642</v>
      </c>
      <c r="F610" s="1" t="s">
        <v>49</v>
      </c>
      <c r="G610" s="1" t="s">
        <v>1643</v>
      </c>
      <c r="H610" s="1" t="s">
        <v>3361</v>
      </c>
      <c r="I610" s="1" t="s">
        <v>3730</v>
      </c>
      <c r="J610" s="1"/>
      <c r="K610" s="1" t="s">
        <v>29</v>
      </c>
      <c r="L610" s="1" t="s">
        <v>30</v>
      </c>
      <c r="M610" s="1" t="s">
        <v>126</v>
      </c>
      <c r="N610" s="1" t="s">
        <v>127</v>
      </c>
      <c r="O610" s="1">
        <v>19134</v>
      </c>
      <c r="P610" s="1" t="s">
        <v>128</v>
      </c>
      <c r="Q610" s="1" t="s">
        <v>1429</v>
      </c>
      <c r="R610" s="1" t="s">
        <v>46</v>
      </c>
      <c r="S610" s="7">
        <v>21.167999999999999</v>
      </c>
      <c r="T610" s="1">
        <v>1</v>
      </c>
      <c r="U610" s="9">
        <v>20.68</v>
      </c>
      <c r="V610" s="9">
        <v>21.167999999999999</v>
      </c>
      <c r="W610" s="9">
        <v>20.68</v>
      </c>
      <c r="X610" s="12">
        <v>0.48799999999999955</v>
      </c>
      <c r="Y610" s="10">
        <v>2015</v>
      </c>
    </row>
    <row r="611" spans="1:25">
      <c r="A611" s="1" t="s">
        <v>1641</v>
      </c>
      <c r="B611" s="8">
        <v>42147</v>
      </c>
      <c r="C611" s="11" t="s">
        <v>3363</v>
      </c>
      <c r="D611" s="11" t="s">
        <v>3360</v>
      </c>
      <c r="E611" s="5" t="s">
        <v>1642</v>
      </c>
      <c r="F611" s="1" t="s">
        <v>49</v>
      </c>
      <c r="G611" s="1" t="s">
        <v>1643</v>
      </c>
      <c r="H611" s="1" t="s">
        <v>3361</v>
      </c>
      <c r="I611" s="1" t="s">
        <v>3730</v>
      </c>
      <c r="J611" s="1"/>
      <c r="K611" s="1" t="s">
        <v>29</v>
      </c>
      <c r="L611" s="1" t="s">
        <v>30</v>
      </c>
      <c r="M611" s="1" t="s">
        <v>126</v>
      </c>
      <c r="N611" s="1" t="s">
        <v>127</v>
      </c>
      <c r="O611" s="1">
        <v>19134</v>
      </c>
      <c r="P611" s="1" t="s">
        <v>128</v>
      </c>
      <c r="Q611" s="1" t="s">
        <v>1646</v>
      </c>
      <c r="R611" s="1" t="s">
        <v>64</v>
      </c>
      <c r="S611" s="7">
        <v>55.188000000000002</v>
      </c>
      <c r="T611" s="1">
        <v>1</v>
      </c>
      <c r="U611" s="9">
        <v>54.68</v>
      </c>
      <c r="V611" s="9">
        <v>55.188000000000002</v>
      </c>
      <c r="W611" s="9">
        <v>54.68</v>
      </c>
      <c r="X611" s="12">
        <v>0.50800000000000267</v>
      </c>
      <c r="Y611" s="10">
        <v>2015</v>
      </c>
    </row>
    <row r="612" spans="1:25">
      <c r="A612" s="1" t="s">
        <v>1647</v>
      </c>
      <c r="B612" s="8">
        <v>42853</v>
      </c>
      <c r="C612" s="11" t="s">
        <v>3359</v>
      </c>
      <c r="D612" s="11" t="s">
        <v>3360</v>
      </c>
      <c r="E612" s="5">
        <v>42740</v>
      </c>
      <c r="F612" s="1" t="s">
        <v>162</v>
      </c>
      <c r="G612" s="1" t="s">
        <v>1648</v>
      </c>
      <c r="H612" s="1" t="s">
        <v>3731</v>
      </c>
      <c r="I612" s="1" t="s">
        <v>3732</v>
      </c>
      <c r="J612" s="1"/>
      <c r="K612" s="1" t="s">
        <v>41</v>
      </c>
      <c r="L612" s="1" t="s">
        <v>30</v>
      </c>
      <c r="M612" s="1" t="s">
        <v>677</v>
      </c>
      <c r="N612" s="1" t="s">
        <v>89</v>
      </c>
      <c r="O612" s="1">
        <v>75217</v>
      </c>
      <c r="P612" s="1" t="s">
        <v>90</v>
      </c>
      <c r="Q612" s="1" t="s">
        <v>1123</v>
      </c>
      <c r="R612" s="1" t="s">
        <v>64</v>
      </c>
      <c r="S612" s="7">
        <v>369.57600000000002</v>
      </c>
      <c r="T612" s="1">
        <v>7</v>
      </c>
      <c r="U612" s="9">
        <v>369.43</v>
      </c>
      <c r="V612" s="9">
        <v>2587.0320000000002</v>
      </c>
      <c r="W612" s="9">
        <v>2586.0100000000002</v>
      </c>
      <c r="X612" s="12">
        <v>1.0219999999999345</v>
      </c>
      <c r="Y612" s="10">
        <v>2017</v>
      </c>
    </row>
    <row r="613" spans="1:25">
      <c r="A613" s="1" t="s">
        <v>1647</v>
      </c>
      <c r="B613" s="8">
        <v>42853</v>
      </c>
      <c r="C613" s="11" t="s">
        <v>3359</v>
      </c>
      <c r="D613" s="11" t="s">
        <v>3360</v>
      </c>
      <c r="E613" s="5">
        <v>42740</v>
      </c>
      <c r="F613" s="1" t="s">
        <v>162</v>
      </c>
      <c r="G613" s="1" t="s">
        <v>1648</v>
      </c>
      <c r="H613" s="1" t="s">
        <v>3731</v>
      </c>
      <c r="I613" s="1" t="s">
        <v>3732</v>
      </c>
      <c r="J613" s="1"/>
      <c r="K613" s="1" t="s">
        <v>41</v>
      </c>
      <c r="L613" s="1" t="s">
        <v>30</v>
      </c>
      <c r="M613" s="1" t="s">
        <v>677</v>
      </c>
      <c r="N613" s="1" t="s">
        <v>89</v>
      </c>
      <c r="O613" s="1">
        <v>75217</v>
      </c>
      <c r="P613" s="1" t="s">
        <v>90</v>
      </c>
      <c r="Q613" s="1" t="s">
        <v>1650</v>
      </c>
      <c r="R613" s="1" t="s">
        <v>46</v>
      </c>
      <c r="S613" s="7">
        <v>15.712</v>
      </c>
      <c r="T613" s="1">
        <v>7</v>
      </c>
      <c r="U613" s="9">
        <v>15.41</v>
      </c>
      <c r="V613" s="9">
        <v>109.98399999999999</v>
      </c>
      <c r="W613" s="9">
        <v>107.87</v>
      </c>
      <c r="X613" s="12">
        <v>2.1139999999999901</v>
      </c>
      <c r="Y613" s="10">
        <v>2017</v>
      </c>
    </row>
    <row r="614" spans="1:25">
      <c r="A614" s="1" t="s">
        <v>1651</v>
      </c>
      <c r="B614" s="8">
        <v>43048</v>
      </c>
      <c r="C614" s="11" t="s">
        <v>3353</v>
      </c>
      <c r="D614" s="11" t="s">
        <v>3349</v>
      </c>
      <c r="E614" s="5" t="s">
        <v>1652</v>
      </c>
      <c r="F614" s="1" t="s">
        <v>26</v>
      </c>
      <c r="G614" s="1" t="s">
        <v>1653</v>
      </c>
      <c r="H614" s="1" t="s">
        <v>3733</v>
      </c>
      <c r="I614" s="1" t="s">
        <v>3734</v>
      </c>
      <c r="J614" s="1"/>
      <c r="K614" s="1" t="s">
        <v>41</v>
      </c>
      <c r="L614" s="1" t="s">
        <v>30</v>
      </c>
      <c r="M614" s="1" t="s">
        <v>126</v>
      </c>
      <c r="N614" s="1" t="s">
        <v>127</v>
      </c>
      <c r="O614" s="1">
        <v>19143</v>
      </c>
      <c r="P614" s="1" t="s">
        <v>128</v>
      </c>
      <c r="Q614" s="1" t="s">
        <v>1655</v>
      </c>
      <c r="R614" s="1" t="s">
        <v>46</v>
      </c>
      <c r="S614" s="7">
        <v>8.4480000000000004</v>
      </c>
      <c r="T614" s="1">
        <v>1</v>
      </c>
      <c r="U614" s="9">
        <v>7.49</v>
      </c>
      <c r="V614" s="9">
        <v>8.4480000000000004</v>
      </c>
      <c r="W614" s="9">
        <v>7.49</v>
      </c>
      <c r="X614" s="12">
        <v>0.95800000000000018</v>
      </c>
      <c r="Y614" s="10">
        <v>2017</v>
      </c>
    </row>
    <row r="615" spans="1:25">
      <c r="A615" s="1" t="s">
        <v>1651</v>
      </c>
      <c r="B615" s="8">
        <v>43048</v>
      </c>
      <c r="C615" s="11" t="s">
        <v>3353</v>
      </c>
      <c r="D615" s="11" t="s">
        <v>3349</v>
      </c>
      <c r="E615" s="5" t="s">
        <v>1652</v>
      </c>
      <c r="F615" s="1" t="s">
        <v>26</v>
      </c>
      <c r="G615" s="1" t="s">
        <v>1653</v>
      </c>
      <c r="H615" s="1" t="s">
        <v>3733</v>
      </c>
      <c r="I615" s="1" t="s">
        <v>3734</v>
      </c>
      <c r="J615" s="1"/>
      <c r="K615" s="1" t="s">
        <v>41</v>
      </c>
      <c r="L615" s="1" t="s">
        <v>30</v>
      </c>
      <c r="M615" s="1" t="s">
        <v>126</v>
      </c>
      <c r="N615" s="1" t="s">
        <v>127</v>
      </c>
      <c r="O615" s="1">
        <v>19143</v>
      </c>
      <c r="P615" s="1" t="s">
        <v>128</v>
      </c>
      <c r="Q615" s="1" t="s">
        <v>1656</v>
      </c>
      <c r="R615" s="1" t="s">
        <v>64</v>
      </c>
      <c r="S615" s="7">
        <v>728.94600000000003</v>
      </c>
      <c r="T615" s="1">
        <v>1</v>
      </c>
      <c r="U615" s="9">
        <v>727.99</v>
      </c>
      <c r="V615" s="9">
        <v>728.94600000000003</v>
      </c>
      <c r="W615" s="9">
        <v>727.99</v>
      </c>
      <c r="X615" s="12">
        <v>0.95600000000001728</v>
      </c>
      <c r="Y615" s="10">
        <v>2017</v>
      </c>
    </row>
    <row r="616" spans="1:25">
      <c r="A616" s="1" t="s">
        <v>1657</v>
      </c>
      <c r="B616" s="8">
        <v>43418</v>
      </c>
      <c r="C616" s="11" t="s">
        <v>3353</v>
      </c>
      <c r="D616" s="11" t="s">
        <v>3349</v>
      </c>
      <c r="E616" s="5" t="s">
        <v>1658</v>
      </c>
      <c r="F616" s="1" t="s">
        <v>26</v>
      </c>
      <c r="G616" s="1" t="s">
        <v>1659</v>
      </c>
      <c r="H616" s="1" t="s">
        <v>3735</v>
      </c>
      <c r="I616" s="1" t="s">
        <v>3736</v>
      </c>
      <c r="J616" s="1"/>
      <c r="K616" s="1" t="s">
        <v>29</v>
      </c>
      <c r="L616" s="1" t="s">
        <v>30</v>
      </c>
      <c r="M616" s="1" t="s">
        <v>1661</v>
      </c>
      <c r="N616" s="1" t="s">
        <v>421</v>
      </c>
      <c r="O616" s="1">
        <v>43123</v>
      </c>
      <c r="P616" s="1" t="s">
        <v>128</v>
      </c>
      <c r="Q616" s="1" t="s">
        <v>759</v>
      </c>
      <c r="R616" s="1" t="s">
        <v>64</v>
      </c>
      <c r="S616" s="7">
        <v>119.94</v>
      </c>
      <c r="T616" s="1">
        <v>4</v>
      </c>
      <c r="U616" s="9">
        <v>119.72</v>
      </c>
      <c r="V616" s="9">
        <v>479.76</v>
      </c>
      <c r="W616" s="9">
        <v>478.88</v>
      </c>
      <c r="X616" s="12">
        <v>0.87999999999999545</v>
      </c>
      <c r="Y616" s="10">
        <v>2018</v>
      </c>
    </row>
    <row r="617" spans="1:25">
      <c r="A617" s="1" t="s">
        <v>1657</v>
      </c>
      <c r="B617" s="8">
        <v>43418</v>
      </c>
      <c r="C617" s="11" t="s">
        <v>3353</v>
      </c>
      <c r="D617" s="11" t="s">
        <v>3349</v>
      </c>
      <c r="E617" s="5" t="s">
        <v>1658</v>
      </c>
      <c r="F617" s="1" t="s">
        <v>26</v>
      </c>
      <c r="G617" s="1" t="s">
        <v>1659</v>
      </c>
      <c r="H617" s="1" t="s">
        <v>3735</v>
      </c>
      <c r="I617" s="1" t="s">
        <v>3736</v>
      </c>
      <c r="J617" s="1"/>
      <c r="K617" s="1" t="s">
        <v>29</v>
      </c>
      <c r="L617" s="1" t="s">
        <v>30</v>
      </c>
      <c r="M617" s="1" t="s">
        <v>1661</v>
      </c>
      <c r="N617" s="1" t="s">
        <v>421</v>
      </c>
      <c r="O617" s="1">
        <v>43123</v>
      </c>
      <c r="P617" s="1" t="s">
        <v>128</v>
      </c>
      <c r="Q617" s="1" t="s">
        <v>1662</v>
      </c>
      <c r="R617" s="1" t="s">
        <v>46</v>
      </c>
      <c r="S617" s="7">
        <v>3.6480000000000001</v>
      </c>
      <c r="T617" s="1">
        <v>4</v>
      </c>
      <c r="U617" s="9">
        <v>2.81</v>
      </c>
      <c r="V617" s="9">
        <v>14.592000000000001</v>
      </c>
      <c r="W617" s="9">
        <v>11.24</v>
      </c>
      <c r="X617" s="12">
        <v>3.3520000000000003</v>
      </c>
      <c r="Y617" s="10">
        <v>2018</v>
      </c>
    </row>
    <row r="618" spans="1:25">
      <c r="A618" s="1" t="s">
        <v>1663</v>
      </c>
      <c r="B618" s="8">
        <v>43330</v>
      </c>
      <c r="C618" s="11" t="s">
        <v>3344</v>
      </c>
      <c r="D618" s="11" t="s">
        <v>3345</v>
      </c>
      <c r="E618" s="5" t="s">
        <v>1208</v>
      </c>
      <c r="F618" s="1" t="s">
        <v>26</v>
      </c>
      <c r="G618" s="1" t="s">
        <v>1664</v>
      </c>
      <c r="H618" s="1" t="s">
        <v>3737</v>
      </c>
      <c r="I618" s="1" t="s">
        <v>3738</v>
      </c>
      <c r="J618" s="1"/>
      <c r="K618" s="1" t="s">
        <v>41</v>
      </c>
      <c r="L618" s="1" t="s">
        <v>30</v>
      </c>
      <c r="M618" s="1" t="s">
        <v>233</v>
      </c>
      <c r="N618" s="1" t="s">
        <v>234</v>
      </c>
      <c r="O618" s="1">
        <v>10011</v>
      </c>
      <c r="P618" s="1" t="s">
        <v>128</v>
      </c>
      <c r="Q618" s="1" t="s">
        <v>1666</v>
      </c>
      <c r="R618" s="1" t="s">
        <v>35</v>
      </c>
      <c r="S618" s="7">
        <v>40.479999999999997</v>
      </c>
      <c r="T618" s="1">
        <v>1</v>
      </c>
      <c r="U618" s="9">
        <v>40.35</v>
      </c>
      <c r="V618" s="9">
        <v>40.479999999999997</v>
      </c>
      <c r="W618" s="9">
        <v>40.35</v>
      </c>
      <c r="X618" s="12">
        <v>0.12999999999999545</v>
      </c>
      <c r="Y618" s="10">
        <v>2018</v>
      </c>
    </row>
    <row r="619" spans="1:25">
      <c r="A619" s="1" t="s">
        <v>1663</v>
      </c>
      <c r="B619" s="8">
        <v>43330</v>
      </c>
      <c r="C619" s="11" t="s">
        <v>3344</v>
      </c>
      <c r="D619" s="11" t="s">
        <v>3345</v>
      </c>
      <c r="E619" s="5" t="s">
        <v>1208</v>
      </c>
      <c r="F619" s="1" t="s">
        <v>26</v>
      </c>
      <c r="G619" s="1" t="s">
        <v>1664</v>
      </c>
      <c r="H619" s="1" t="s">
        <v>3737</v>
      </c>
      <c r="I619" s="1" t="s">
        <v>3738</v>
      </c>
      <c r="J619" s="1"/>
      <c r="K619" s="1" t="s">
        <v>41</v>
      </c>
      <c r="L619" s="1" t="s">
        <v>30</v>
      </c>
      <c r="M619" s="1" t="s">
        <v>233</v>
      </c>
      <c r="N619" s="1" t="s">
        <v>234</v>
      </c>
      <c r="O619" s="1">
        <v>10011</v>
      </c>
      <c r="P619" s="1" t="s">
        <v>128</v>
      </c>
      <c r="Q619" s="1" t="s">
        <v>1667</v>
      </c>
      <c r="R619" s="1" t="s">
        <v>35</v>
      </c>
      <c r="S619" s="7">
        <v>9.94</v>
      </c>
      <c r="T619" s="1">
        <v>1</v>
      </c>
      <c r="U619" s="9">
        <v>9.42</v>
      </c>
      <c r="V619" s="9">
        <v>9.94</v>
      </c>
      <c r="W619" s="9">
        <v>9.42</v>
      </c>
      <c r="X619" s="12">
        <v>0.51999999999999957</v>
      </c>
      <c r="Y619" s="10">
        <v>2018</v>
      </c>
    </row>
    <row r="620" spans="1:25">
      <c r="A620" s="1" t="s">
        <v>1663</v>
      </c>
      <c r="B620" s="8">
        <v>43330</v>
      </c>
      <c r="C620" s="11" t="s">
        <v>3344</v>
      </c>
      <c r="D620" s="11" t="s">
        <v>3345</v>
      </c>
      <c r="E620" s="5" t="s">
        <v>1208</v>
      </c>
      <c r="F620" s="1" t="s">
        <v>26</v>
      </c>
      <c r="G620" s="1" t="s">
        <v>1664</v>
      </c>
      <c r="H620" s="1" t="s">
        <v>3737</v>
      </c>
      <c r="I620" s="1" t="s">
        <v>3738</v>
      </c>
      <c r="J620" s="1"/>
      <c r="K620" s="1" t="s">
        <v>41</v>
      </c>
      <c r="L620" s="1" t="s">
        <v>30</v>
      </c>
      <c r="M620" s="1" t="s">
        <v>233</v>
      </c>
      <c r="N620" s="1" t="s">
        <v>234</v>
      </c>
      <c r="O620" s="1">
        <v>10011</v>
      </c>
      <c r="P620" s="1" t="s">
        <v>128</v>
      </c>
      <c r="Q620" s="1" t="s">
        <v>1668</v>
      </c>
      <c r="R620" s="1" t="s">
        <v>46</v>
      </c>
      <c r="S620" s="7">
        <v>107.42400000000001</v>
      </c>
      <c r="T620" s="1">
        <v>1</v>
      </c>
      <c r="U620" s="9">
        <v>107.26</v>
      </c>
      <c r="V620" s="9">
        <v>107.42400000000001</v>
      </c>
      <c r="W620" s="9">
        <v>107.26</v>
      </c>
      <c r="X620" s="12">
        <v>0.16400000000000148</v>
      </c>
      <c r="Y620" s="10">
        <v>2018</v>
      </c>
    </row>
    <row r="621" spans="1:25">
      <c r="A621" s="1" t="s">
        <v>1663</v>
      </c>
      <c r="B621" s="8">
        <v>43330</v>
      </c>
      <c r="C621" s="11" t="s">
        <v>3344</v>
      </c>
      <c r="D621" s="11" t="s">
        <v>3345</v>
      </c>
      <c r="E621" s="5" t="s">
        <v>1208</v>
      </c>
      <c r="F621" s="1" t="s">
        <v>26</v>
      </c>
      <c r="G621" s="1" t="s">
        <v>1664</v>
      </c>
      <c r="H621" s="1" t="s">
        <v>3737</v>
      </c>
      <c r="I621" s="1" t="s">
        <v>3738</v>
      </c>
      <c r="J621" s="1"/>
      <c r="K621" s="1" t="s">
        <v>41</v>
      </c>
      <c r="L621" s="1" t="s">
        <v>30</v>
      </c>
      <c r="M621" s="1" t="s">
        <v>233</v>
      </c>
      <c r="N621" s="1" t="s">
        <v>234</v>
      </c>
      <c r="O621" s="1">
        <v>10011</v>
      </c>
      <c r="P621" s="1" t="s">
        <v>128</v>
      </c>
      <c r="Q621" s="1" t="s">
        <v>1669</v>
      </c>
      <c r="R621" s="1" t="s">
        <v>64</v>
      </c>
      <c r="S621" s="7">
        <v>37.909999999999997</v>
      </c>
      <c r="T621" s="1">
        <v>1</v>
      </c>
      <c r="U621" s="9">
        <v>37.76</v>
      </c>
      <c r="V621" s="9">
        <v>37.909999999999997</v>
      </c>
      <c r="W621" s="9">
        <v>37.76</v>
      </c>
      <c r="X621" s="12">
        <v>0.14999999999999858</v>
      </c>
      <c r="Y621" s="10">
        <v>2018</v>
      </c>
    </row>
    <row r="622" spans="1:25">
      <c r="A622" s="1" t="s">
        <v>1663</v>
      </c>
      <c r="B622" s="8">
        <v>43330</v>
      </c>
      <c r="C622" s="11" t="s">
        <v>3344</v>
      </c>
      <c r="D622" s="11" t="s">
        <v>3345</v>
      </c>
      <c r="E622" s="5" t="s">
        <v>1208</v>
      </c>
      <c r="F622" s="1" t="s">
        <v>26</v>
      </c>
      <c r="G622" s="1" t="s">
        <v>1664</v>
      </c>
      <c r="H622" s="1" t="s">
        <v>3737</v>
      </c>
      <c r="I622" s="1" t="s">
        <v>3738</v>
      </c>
      <c r="J622" s="1"/>
      <c r="K622" s="1" t="s">
        <v>41</v>
      </c>
      <c r="L622" s="1" t="s">
        <v>30</v>
      </c>
      <c r="M622" s="1" t="s">
        <v>233</v>
      </c>
      <c r="N622" s="1" t="s">
        <v>234</v>
      </c>
      <c r="O622" s="1">
        <v>10011</v>
      </c>
      <c r="P622" s="1" t="s">
        <v>128</v>
      </c>
      <c r="Q622" s="1" t="s">
        <v>506</v>
      </c>
      <c r="R622" s="1" t="s">
        <v>35</v>
      </c>
      <c r="S622" s="7">
        <v>88.02</v>
      </c>
      <c r="T622" s="1">
        <v>1</v>
      </c>
      <c r="U622" s="9">
        <v>87.89</v>
      </c>
      <c r="V622" s="9">
        <v>88.02</v>
      </c>
      <c r="W622" s="9">
        <v>87.89</v>
      </c>
      <c r="X622" s="12">
        <v>0.12999999999999545</v>
      </c>
      <c r="Y622" s="10">
        <v>2018</v>
      </c>
    </row>
    <row r="623" spans="1:25">
      <c r="A623" s="1" t="s">
        <v>1670</v>
      </c>
      <c r="B623" s="8">
        <v>42364</v>
      </c>
      <c r="C623" s="11" t="s">
        <v>3348</v>
      </c>
      <c r="D623" s="11" t="s">
        <v>3349</v>
      </c>
      <c r="E623" s="5" t="s">
        <v>1671</v>
      </c>
      <c r="F623" s="1" t="s">
        <v>49</v>
      </c>
      <c r="G623" s="1" t="s">
        <v>1672</v>
      </c>
      <c r="H623" s="1" t="s">
        <v>3739</v>
      </c>
      <c r="I623" s="1" t="s">
        <v>3740</v>
      </c>
      <c r="J623" s="1"/>
      <c r="K623" s="1" t="s">
        <v>29</v>
      </c>
      <c r="L623" s="1" t="s">
        <v>30</v>
      </c>
      <c r="M623" s="1" t="s">
        <v>259</v>
      </c>
      <c r="N623" s="1" t="s">
        <v>182</v>
      </c>
      <c r="O623" s="1">
        <v>60610</v>
      </c>
      <c r="P623" s="1" t="s">
        <v>90</v>
      </c>
      <c r="Q623" s="1" t="s">
        <v>1674</v>
      </c>
      <c r="R623" s="1" t="s">
        <v>46</v>
      </c>
      <c r="S623" s="7">
        <v>8.69</v>
      </c>
      <c r="T623" s="1">
        <v>6</v>
      </c>
      <c r="U623" s="9">
        <v>8.16</v>
      </c>
      <c r="V623" s="9">
        <v>52.14</v>
      </c>
      <c r="W623" s="9">
        <v>48.96</v>
      </c>
      <c r="X623" s="12">
        <v>3.1799999999999997</v>
      </c>
      <c r="Y623" s="10">
        <v>2015</v>
      </c>
    </row>
    <row r="624" spans="1:25">
      <c r="A624" s="1" t="s">
        <v>1675</v>
      </c>
      <c r="B624" s="8">
        <v>42703</v>
      </c>
      <c r="C624" s="11" t="s">
        <v>3353</v>
      </c>
      <c r="D624" s="11" t="s">
        <v>3349</v>
      </c>
      <c r="E624" s="5">
        <v>42441</v>
      </c>
      <c r="F624" s="1" t="s">
        <v>49</v>
      </c>
      <c r="G624" s="1" t="s">
        <v>1676</v>
      </c>
      <c r="H624" s="1" t="s">
        <v>3741</v>
      </c>
      <c r="I624" s="1" t="s">
        <v>3742</v>
      </c>
      <c r="J624" s="1"/>
      <c r="K624" s="1" t="s">
        <v>41</v>
      </c>
      <c r="L624" s="1" t="s">
        <v>30</v>
      </c>
      <c r="M624" s="1" t="s">
        <v>1678</v>
      </c>
      <c r="N624" s="1" t="s">
        <v>209</v>
      </c>
      <c r="O624" s="1">
        <v>48126</v>
      </c>
      <c r="P624" s="1" t="s">
        <v>90</v>
      </c>
      <c r="Q624" s="1" t="s">
        <v>1679</v>
      </c>
      <c r="R624" s="1" t="s">
        <v>35</v>
      </c>
      <c r="S624" s="7">
        <v>301.95999999999998</v>
      </c>
      <c r="T624" s="1">
        <v>4</v>
      </c>
      <c r="U624" s="9">
        <v>301.62</v>
      </c>
      <c r="V624" s="9">
        <v>1207.8399999999999</v>
      </c>
      <c r="W624" s="9">
        <v>1206.48</v>
      </c>
      <c r="X624" s="12">
        <v>1.3599999999999</v>
      </c>
      <c r="Y624" s="10">
        <v>2016</v>
      </c>
    </row>
    <row r="625" spans="1:25">
      <c r="A625" s="1" t="s">
        <v>1675</v>
      </c>
      <c r="B625" s="8">
        <v>42703</v>
      </c>
      <c r="C625" s="11" t="s">
        <v>3353</v>
      </c>
      <c r="D625" s="11" t="s">
        <v>3349</v>
      </c>
      <c r="E625" s="5">
        <v>42441</v>
      </c>
      <c r="F625" s="1" t="s">
        <v>49</v>
      </c>
      <c r="G625" s="1" t="s">
        <v>1676</v>
      </c>
      <c r="H625" s="1" t="s">
        <v>3741</v>
      </c>
      <c r="I625" s="1" t="s">
        <v>3742</v>
      </c>
      <c r="J625" s="1"/>
      <c r="K625" s="1" t="s">
        <v>41</v>
      </c>
      <c r="L625" s="1" t="s">
        <v>30</v>
      </c>
      <c r="M625" s="1" t="s">
        <v>1678</v>
      </c>
      <c r="N625" s="1" t="s">
        <v>209</v>
      </c>
      <c r="O625" s="1">
        <v>48126</v>
      </c>
      <c r="P625" s="1" t="s">
        <v>90</v>
      </c>
      <c r="Q625" s="1" t="s">
        <v>1680</v>
      </c>
      <c r="R625" s="1" t="s">
        <v>46</v>
      </c>
      <c r="S625" s="7">
        <v>555.21</v>
      </c>
      <c r="T625" s="1">
        <v>4</v>
      </c>
      <c r="U625" s="9">
        <v>554.84</v>
      </c>
      <c r="V625" s="9">
        <v>2220.84</v>
      </c>
      <c r="W625" s="9">
        <v>2219.36</v>
      </c>
      <c r="X625" s="12">
        <v>1.4800000000000182</v>
      </c>
      <c r="Y625" s="10">
        <v>2016</v>
      </c>
    </row>
    <row r="626" spans="1:25">
      <c r="A626" s="1" t="s">
        <v>1675</v>
      </c>
      <c r="B626" s="8">
        <v>42703</v>
      </c>
      <c r="C626" s="11" t="s">
        <v>3353</v>
      </c>
      <c r="D626" s="11" t="s">
        <v>3349</v>
      </c>
      <c r="E626" s="5">
        <v>42441</v>
      </c>
      <c r="F626" s="1" t="s">
        <v>49</v>
      </c>
      <c r="G626" s="1" t="s">
        <v>1676</v>
      </c>
      <c r="H626" s="1" t="s">
        <v>3741</v>
      </c>
      <c r="I626" s="1" t="s">
        <v>3742</v>
      </c>
      <c r="J626" s="1"/>
      <c r="K626" s="1" t="s">
        <v>41</v>
      </c>
      <c r="L626" s="1" t="s">
        <v>30</v>
      </c>
      <c r="M626" s="1" t="s">
        <v>1678</v>
      </c>
      <c r="N626" s="1" t="s">
        <v>209</v>
      </c>
      <c r="O626" s="1">
        <v>48126</v>
      </c>
      <c r="P626" s="1" t="s">
        <v>90</v>
      </c>
      <c r="Q626" s="1" t="s">
        <v>1681</v>
      </c>
      <c r="R626" s="1" t="s">
        <v>46</v>
      </c>
      <c r="S626" s="7">
        <v>523.48</v>
      </c>
      <c r="T626" s="1">
        <v>4</v>
      </c>
      <c r="U626" s="9">
        <v>522.95000000000005</v>
      </c>
      <c r="V626" s="9">
        <v>2093.92</v>
      </c>
      <c r="W626" s="9">
        <v>2091.8000000000002</v>
      </c>
      <c r="X626" s="12">
        <v>2.1199999999998909</v>
      </c>
      <c r="Y626" s="10">
        <v>2016</v>
      </c>
    </row>
    <row r="627" spans="1:25">
      <c r="A627" s="1" t="s">
        <v>1675</v>
      </c>
      <c r="B627" s="8">
        <v>42703</v>
      </c>
      <c r="C627" s="11" t="s">
        <v>3353</v>
      </c>
      <c r="D627" s="11" t="s">
        <v>3349</v>
      </c>
      <c r="E627" s="5">
        <v>42441</v>
      </c>
      <c r="F627" s="1" t="s">
        <v>49</v>
      </c>
      <c r="G627" s="1" t="s">
        <v>1676</v>
      </c>
      <c r="H627" s="1" t="s">
        <v>3741</v>
      </c>
      <c r="I627" s="1" t="s">
        <v>3742</v>
      </c>
      <c r="J627" s="1"/>
      <c r="K627" s="1" t="s">
        <v>41</v>
      </c>
      <c r="L627" s="1" t="s">
        <v>30</v>
      </c>
      <c r="M627" s="1" t="s">
        <v>1678</v>
      </c>
      <c r="N627" s="1" t="s">
        <v>209</v>
      </c>
      <c r="O627" s="1">
        <v>48126</v>
      </c>
      <c r="P627" s="1" t="s">
        <v>90</v>
      </c>
      <c r="Q627" s="1" t="s">
        <v>152</v>
      </c>
      <c r="R627" s="1" t="s">
        <v>46</v>
      </c>
      <c r="S627" s="7">
        <v>161.82</v>
      </c>
      <c r="T627" s="1">
        <v>4</v>
      </c>
      <c r="U627" s="9">
        <v>161.05000000000001</v>
      </c>
      <c r="V627" s="9">
        <v>647.28</v>
      </c>
      <c r="W627" s="9">
        <v>644.20000000000005</v>
      </c>
      <c r="X627" s="12">
        <v>3.0799999999999272</v>
      </c>
      <c r="Y627" s="10">
        <v>2016</v>
      </c>
    </row>
    <row r="628" spans="1:25">
      <c r="A628" s="1" t="s">
        <v>1682</v>
      </c>
      <c r="B628" s="8">
        <v>43358</v>
      </c>
      <c r="C628" s="11" t="s">
        <v>3356</v>
      </c>
      <c r="D628" s="11" t="s">
        <v>3345</v>
      </c>
      <c r="E628" s="5" t="s">
        <v>1250</v>
      </c>
      <c r="F628" s="1" t="s">
        <v>49</v>
      </c>
      <c r="G628" s="1" t="s">
        <v>1683</v>
      </c>
      <c r="H628" s="1" t="s">
        <v>3743</v>
      </c>
      <c r="I628" s="1" t="s">
        <v>3744</v>
      </c>
      <c r="J628" s="1"/>
      <c r="K628" s="1" t="s">
        <v>87</v>
      </c>
      <c r="L628" s="1" t="s">
        <v>30</v>
      </c>
      <c r="M628" s="1" t="s">
        <v>233</v>
      </c>
      <c r="N628" s="1" t="s">
        <v>234</v>
      </c>
      <c r="O628" s="1">
        <v>10009</v>
      </c>
      <c r="P628" s="1" t="s">
        <v>128</v>
      </c>
      <c r="Q628" s="1" t="s">
        <v>1685</v>
      </c>
      <c r="R628" s="1" t="s">
        <v>35</v>
      </c>
      <c r="S628" s="7">
        <v>35.56</v>
      </c>
      <c r="T628" s="1">
        <v>1</v>
      </c>
      <c r="U628" s="9">
        <v>35.04</v>
      </c>
      <c r="V628" s="9">
        <v>35.56</v>
      </c>
      <c r="W628" s="9">
        <v>35.04</v>
      </c>
      <c r="X628" s="12">
        <v>0.52000000000000313</v>
      </c>
      <c r="Y628" s="10">
        <v>2018</v>
      </c>
    </row>
    <row r="629" spans="1:25">
      <c r="A629" s="1" t="s">
        <v>1686</v>
      </c>
      <c r="B629" s="8">
        <v>43239</v>
      </c>
      <c r="C629" s="11" t="s">
        <v>3363</v>
      </c>
      <c r="D629" s="11" t="s">
        <v>3360</v>
      </c>
      <c r="E629" s="5" t="s">
        <v>1687</v>
      </c>
      <c r="F629" s="1" t="s">
        <v>49</v>
      </c>
      <c r="G629" s="1" t="s">
        <v>1688</v>
      </c>
      <c r="H629" s="1" t="s">
        <v>3745</v>
      </c>
      <c r="I629" s="1" t="s">
        <v>3746</v>
      </c>
      <c r="J629" s="1"/>
      <c r="K629" s="1" t="s">
        <v>29</v>
      </c>
      <c r="L629" s="1" t="s">
        <v>30</v>
      </c>
      <c r="M629" s="1" t="s">
        <v>80</v>
      </c>
      <c r="N629" s="1" t="s">
        <v>81</v>
      </c>
      <c r="O629" s="1">
        <v>98115</v>
      </c>
      <c r="P629" s="1" t="s">
        <v>44</v>
      </c>
      <c r="Q629" s="1" t="s">
        <v>1690</v>
      </c>
      <c r="R629" s="1" t="s">
        <v>46</v>
      </c>
      <c r="S629" s="7">
        <v>97.16</v>
      </c>
      <c r="T629" s="1">
        <v>9</v>
      </c>
      <c r="U629" s="9">
        <v>97.09</v>
      </c>
      <c r="V629" s="9">
        <v>874.43999999999994</v>
      </c>
      <c r="W629" s="9">
        <v>873.81000000000006</v>
      </c>
      <c r="X629" s="12">
        <v>0.62999999999988177</v>
      </c>
      <c r="Y629" s="10">
        <v>2018</v>
      </c>
    </row>
    <row r="630" spans="1:25">
      <c r="A630" s="1" t="s">
        <v>1691</v>
      </c>
      <c r="B630" s="8">
        <v>43451</v>
      </c>
      <c r="C630" s="11" t="s">
        <v>3348</v>
      </c>
      <c r="D630" s="11" t="s">
        <v>3349</v>
      </c>
      <c r="E630" s="5" t="s">
        <v>674</v>
      </c>
      <c r="F630" s="1" t="s">
        <v>49</v>
      </c>
      <c r="G630" s="1" t="s">
        <v>675</v>
      </c>
      <c r="H630" s="1" t="s">
        <v>3529</v>
      </c>
      <c r="I630" s="1" t="s">
        <v>3530</v>
      </c>
      <c r="J630" s="1"/>
      <c r="K630" s="1" t="s">
        <v>29</v>
      </c>
      <c r="L630" s="1" t="s">
        <v>30</v>
      </c>
      <c r="M630" s="1" t="s">
        <v>110</v>
      </c>
      <c r="N630" s="1" t="s">
        <v>68</v>
      </c>
      <c r="O630" s="1">
        <v>94122</v>
      </c>
      <c r="P630" s="1" t="s">
        <v>44</v>
      </c>
      <c r="Q630" s="1" t="s">
        <v>1692</v>
      </c>
      <c r="R630" s="1" t="s">
        <v>46</v>
      </c>
      <c r="S630" s="7">
        <v>15.24</v>
      </c>
      <c r="T630" s="1">
        <v>9</v>
      </c>
      <c r="U630" s="9">
        <v>14.45</v>
      </c>
      <c r="V630" s="9">
        <v>137.16</v>
      </c>
      <c r="W630" s="9">
        <v>130.04999999999998</v>
      </c>
      <c r="X630" s="12">
        <v>7.1100000000000136</v>
      </c>
      <c r="Y630" s="10">
        <v>2018</v>
      </c>
    </row>
    <row r="631" spans="1:25">
      <c r="A631" s="1" t="s">
        <v>1691</v>
      </c>
      <c r="B631" s="8">
        <v>43451</v>
      </c>
      <c r="C631" s="11" t="s">
        <v>3348</v>
      </c>
      <c r="D631" s="11" t="s">
        <v>3349</v>
      </c>
      <c r="E631" s="5" t="s">
        <v>674</v>
      </c>
      <c r="F631" s="1" t="s">
        <v>49</v>
      </c>
      <c r="G631" s="1" t="s">
        <v>675</v>
      </c>
      <c r="H631" s="1" t="s">
        <v>3529</v>
      </c>
      <c r="I631" s="1" t="s">
        <v>3530</v>
      </c>
      <c r="J631" s="1"/>
      <c r="K631" s="1" t="s">
        <v>29</v>
      </c>
      <c r="L631" s="1" t="s">
        <v>30</v>
      </c>
      <c r="M631" s="1" t="s">
        <v>110</v>
      </c>
      <c r="N631" s="1" t="s">
        <v>68</v>
      </c>
      <c r="O631" s="1">
        <v>94122</v>
      </c>
      <c r="P631" s="1" t="s">
        <v>44</v>
      </c>
      <c r="Q631" s="1" t="s">
        <v>845</v>
      </c>
      <c r="R631" s="1" t="s">
        <v>46</v>
      </c>
      <c r="S631" s="7">
        <v>13.23</v>
      </c>
      <c r="T631" s="1">
        <v>9</v>
      </c>
      <c r="U631" s="9">
        <v>12.83</v>
      </c>
      <c r="V631" s="9">
        <v>119.07000000000001</v>
      </c>
      <c r="W631" s="9">
        <v>115.47</v>
      </c>
      <c r="X631" s="12">
        <v>3.6000000000000085</v>
      </c>
      <c r="Y631" s="10">
        <v>2018</v>
      </c>
    </row>
    <row r="632" spans="1:25">
      <c r="A632" s="1" t="s">
        <v>1693</v>
      </c>
      <c r="B632" s="8">
        <v>43051</v>
      </c>
      <c r="C632" s="11" t="s">
        <v>3353</v>
      </c>
      <c r="D632" s="11" t="s">
        <v>3349</v>
      </c>
      <c r="E632" s="5" t="s">
        <v>115</v>
      </c>
      <c r="F632" s="1" t="s">
        <v>26</v>
      </c>
      <c r="G632" s="1" t="s">
        <v>1694</v>
      </c>
      <c r="H632" s="1" t="s">
        <v>3524</v>
      </c>
      <c r="I632" s="1" t="s">
        <v>3747</v>
      </c>
      <c r="J632" s="1"/>
      <c r="K632" s="1" t="s">
        <v>29</v>
      </c>
      <c r="L632" s="1" t="s">
        <v>30</v>
      </c>
      <c r="M632" s="1" t="s">
        <v>385</v>
      </c>
      <c r="N632" s="1" t="s">
        <v>386</v>
      </c>
      <c r="O632" s="1">
        <v>80013</v>
      </c>
      <c r="P632" s="1" t="s">
        <v>44</v>
      </c>
      <c r="Q632" s="1" t="s">
        <v>1696</v>
      </c>
      <c r="R632" s="1" t="s">
        <v>46</v>
      </c>
      <c r="S632" s="7">
        <v>243.38399999999999</v>
      </c>
      <c r="T632" s="1">
        <v>8</v>
      </c>
      <c r="U632" s="9">
        <v>242.8</v>
      </c>
      <c r="V632" s="9">
        <v>1947.0719999999999</v>
      </c>
      <c r="W632" s="9">
        <v>1942.4</v>
      </c>
      <c r="X632" s="12">
        <v>4.6719999999997981</v>
      </c>
      <c r="Y632" s="10">
        <v>2017</v>
      </c>
    </row>
    <row r="633" spans="1:25">
      <c r="A633" s="1" t="s">
        <v>1693</v>
      </c>
      <c r="B633" s="8">
        <v>43051</v>
      </c>
      <c r="C633" s="11" t="s">
        <v>3353</v>
      </c>
      <c r="D633" s="11" t="s">
        <v>3349</v>
      </c>
      <c r="E633" s="5" t="s">
        <v>115</v>
      </c>
      <c r="F633" s="1" t="s">
        <v>26</v>
      </c>
      <c r="G633" s="1" t="s">
        <v>1694</v>
      </c>
      <c r="H633" s="1" t="s">
        <v>3524</v>
      </c>
      <c r="I633" s="1" t="s">
        <v>3747</v>
      </c>
      <c r="J633" s="1"/>
      <c r="K633" s="1" t="s">
        <v>29</v>
      </c>
      <c r="L633" s="1" t="s">
        <v>30</v>
      </c>
      <c r="M633" s="1" t="s">
        <v>385</v>
      </c>
      <c r="N633" s="1" t="s">
        <v>386</v>
      </c>
      <c r="O633" s="1">
        <v>80013</v>
      </c>
      <c r="P633" s="1" t="s">
        <v>44</v>
      </c>
      <c r="Q633" s="1" t="s">
        <v>1697</v>
      </c>
      <c r="R633" s="1" t="s">
        <v>64</v>
      </c>
      <c r="S633" s="7">
        <v>119.8</v>
      </c>
      <c r="T633" s="1">
        <v>8</v>
      </c>
      <c r="U633" s="9">
        <v>119.49</v>
      </c>
      <c r="V633" s="9">
        <v>958.4</v>
      </c>
      <c r="W633" s="9">
        <v>955.92</v>
      </c>
      <c r="X633" s="12">
        <v>2.4800000000000182</v>
      </c>
      <c r="Y633" s="10">
        <v>2017</v>
      </c>
    </row>
    <row r="634" spans="1:25">
      <c r="A634" s="1" t="s">
        <v>1693</v>
      </c>
      <c r="B634" s="8">
        <v>43051</v>
      </c>
      <c r="C634" s="11" t="s">
        <v>3353</v>
      </c>
      <c r="D634" s="11" t="s">
        <v>3349</v>
      </c>
      <c r="E634" s="5" t="s">
        <v>115</v>
      </c>
      <c r="F634" s="1" t="s">
        <v>26</v>
      </c>
      <c r="G634" s="1" t="s">
        <v>1694</v>
      </c>
      <c r="H634" s="1" t="s">
        <v>3524</v>
      </c>
      <c r="I634" s="1" t="s">
        <v>3747</v>
      </c>
      <c r="J634" s="1"/>
      <c r="K634" s="1" t="s">
        <v>29</v>
      </c>
      <c r="L634" s="1" t="s">
        <v>30</v>
      </c>
      <c r="M634" s="1" t="s">
        <v>385</v>
      </c>
      <c r="N634" s="1" t="s">
        <v>386</v>
      </c>
      <c r="O634" s="1">
        <v>80013</v>
      </c>
      <c r="P634" s="1" t="s">
        <v>44</v>
      </c>
      <c r="Q634" s="1" t="s">
        <v>1698</v>
      </c>
      <c r="R634" s="1" t="s">
        <v>64</v>
      </c>
      <c r="S634" s="7">
        <v>300.76799999999997</v>
      </c>
      <c r="T634" s="1">
        <v>8</v>
      </c>
      <c r="U634" s="9">
        <v>300.08999999999997</v>
      </c>
      <c r="V634" s="9">
        <v>2406.1439999999998</v>
      </c>
      <c r="W634" s="9">
        <v>2400.7199999999998</v>
      </c>
      <c r="X634" s="12">
        <v>5.4239999999999782</v>
      </c>
      <c r="Y634" s="10">
        <v>2017</v>
      </c>
    </row>
    <row r="635" spans="1:25">
      <c r="A635" s="1" t="s">
        <v>1699</v>
      </c>
      <c r="B635" s="8">
        <v>43367</v>
      </c>
      <c r="C635" s="11" t="s">
        <v>3356</v>
      </c>
      <c r="D635" s="11" t="s">
        <v>3345</v>
      </c>
      <c r="E635" s="5" t="s">
        <v>1700</v>
      </c>
      <c r="F635" s="1" t="s">
        <v>26</v>
      </c>
      <c r="G635" s="1" t="s">
        <v>1452</v>
      </c>
      <c r="H635" s="1" t="s">
        <v>3687</v>
      </c>
      <c r="I635" s="1" t="s">
        <v>3596</v>
      </c>
      <c r="J635" s="1"/>
      <c r="K635" s="1" t="s">
        <v>29</v>
      </c>
      <c r="L635" s="1" t="s">
        <v>30</v>
      </c>
      <c r="M635" s="1" t="s">
        <v>1156</v>
      </c>
      <c r="N635" s="1" t="s">
        <v>194</v>
      </c>
      <c r="O635" s="1">
        <v>33180</v>
      </c>
      <c r="P635" s="1" t="s">
        <v>33</v>
      </c>
      <c r="Q635" s="1" t="s">
        <v>1701</v>
      </c>
      <c r="R635" s="1" t="s">
        <v>64</v>
      </c>
      <c r="S635" s="7">
        <v>17.88</v>
      </c>
      <c r="T635" s="1">
        <v>3</v>
      </c>
      <c r="U635" s="9">
        <v>16.89</v>
      </c>
      <c r="V635" s="9">
        <v>53.64</v>
      </c>
      <c r="W635" s="9">
        <v>50.67</v>
      </c>
      <c r="X635" s="12">
        <v>2.9699999999999989</v>
      </c>
      <c r="Y635" s="10">
        <v>2018</v>
      </c>
    </row>
    <row r="636" spans="1:25">
      <c r="A636" s="1" t="s">
        <v>1699</v>
      </c>
      <c r="B636" s="8">
        <v>43367</v>
      </c>
      <c r="C636" s="11" t="s">
        <v>3356</v>
      </c>
      <c r="D636" s="11" t="s">
        <v>3345</v>
      </c>
      <c r="E636" s="5" t="s">
        <v>1700</v>
      </c>
      <c r="F636" s="1" t="s">
        <v>26</v>
      </c>
      <c r="G636" s="1" t="s">
        <v>1452</v>
      </c>
      <c r="H636" s="1" t="s">
        <v>3687</v>
      </c>
      <c r="I636" s="1" t="s">
        <v>3596</v>
      </c>
      <c r="J636" s="1"/>
      <c r="K636" s="1" t="s">
        <v>29</v>
      </c>
      <c r="L636" s="1" t="s">
        <v>30</v>
      </c>
      <c r="M636" s="1" t="s">
        <v>1156</v>
      </c>
      <c r="N636" s="1" t="s">
        <v>194</v>
      </c>
      <c r="O636" s="1">
        <v>33180</v>
      </c>
      <c r="P636" s="1" t="s">
        <v>33</v>
      </c>
      <c r="Q636" s="1" t="s">
        <v>1604</v>
      </c>
      <c r="R636" s="1" t="s">
        <v>46</v>
      </c>
      <c r="S636" s="7">
        <v>235.94399999999999</v>
      </c>
      <c r="T636" s="1">
        <v>3</v>
      </c>
      <c r="U636" s="9">
        <v>235.05</v>
      </c>
      <c r="V636" s="9">
        <v>707.83199999999999</v>
      </c>
      <c r="W636" s="9">
        <v>705.15000000000009</v>
      </c>
      <c r="X636" s="12">
        <v>2.6819999999999027</v>
      </c>
      <c r="Y636" s="10">
        <v>2018</v>
      </c>
    </row>
    <row r="637" spans="1:25">
      <c r="A637" s="1" t="s">
        <v>1702</v>
      </c>
      <c r="B637" s="8">
        <v>42470</v>
      </c>
      <c r="C637" s="11" t="s">
        <v>3359</v>
      </c>
      <c r="D637" s="11" t="s">
        <v>3360</v>
      </c>
      <c r="E637" s="5">
        <v>42623</v>
      </c>
      <c r="F637" s="1" t="s">
        <v>26</v>
      </c>
      <c r="G637" s="1" t="s">
        <v>1703</v>
      </c>
      <c r="H637" s="1" t="s">
        <v>3616</v>
      </c>
      <c r="I637" s="1" t="s">
        <v>3748</v>
      </c>
      <c r="J637" s="1"/>
      <c r="K637" s="1" t="s">
        <v>41</v>
      </c>
      <c r="L637" s="1" t="s">
        <v>30</v>
      </c>
      <c r="M637" s="1" t="s">
        <v>1705</v>
      </c>
      <c r="N637" s="1" t="s">
        <v>1035</v>
      </c>
      <c r="O637" s="1">
        <v>31088</v>
      </c>
      <c r="P637" s="1" t="s">
        <v>33</v>
      </c>
      <c r="Q637" s="1" t="s">
        <v>1706</v>
      </c>
      <c r="R637" s="1" t="s">
        <v>35</v>
      </c>
      <c r="S637" s="7">
        <v>392.94</v>
      </c>
      <c r="T637" s="1">
        <v>3</v>
      </c>
      <c r="U637" s="9">
        <v>392.3</v>
      </c>
      <c r="V637" s="9">
        <v>1178.82</v>
      </c>
      <c r="W637" s="9">
        <v>1176.9000000000001</v>
      </c>
      <c r="X637" s="12">
        <v>1.9199999999998454</v>
      </c>
      <c r="Y637" s="10">
        <v>2016</v>
      </c>
    </row>
    <row r="638" spans="1:25">
      <c r="A638" s="1" t="s">
        <v>1707</v>
      </c>
      <c r="B638" s="8">
        <v>42962</v>
      </c>
      <c r="C638" s="11" t="s">
        <v>3344</v>
      </c>
      <c r="D638" s="11" t="s">
        <v>3345</v>
      </c>
      <c r="E638" s="5" t="s">
        <v>1708</v>
      </c>
      <c r="F638" s="1" t="s">
        <v>49</v>
      </c>
      <c r="G638" s="1" t="s">
        <v>1709</v>
      </c>
      <c r="H638" s="1" t="s">
        <v>3500</v>
      </c>
      <c r="I638" s="1" t="s">
        <v>3749</v>
      </c>
      <c r="J638" s="1"/>
      <c r="K638" s="1" t="s">
        <v>29</v>
      </c>
      <c r="L638" s="1" t="s">
        <v>30</v>
      </c>
      <c r="M638" s="1" t="s">
        <v>385</v>
      </c>
      <c r="N638" s="1" t="s">
        <v>386</v>
      </c>
      <c r="O638" s="1">
        <v>80013</v>
      </c>
      <c r="P638" s="1" t="s">
        <v>44</v>
      </c>
      <c r="Q638" s="1" t="s">
        <v>1711</v>
      </c>
      <c r="R638" s="1" t="s">
        <v>46</v>
      </c>
      <c r="S638" s="7">
        <v>18.882000000000001</v>
      </c>
      <c r="T638" s="1">
        <v>8</v>
      </c>
      <c r="U638" s="9">
        <v>18.82</v>
      </c>
      <c r="V638" s="9">
        <v>151.05600000000001</v>
      </c>
      <c r="W638" s="9">
        <v>150.56</v>
      </c>
      <c r="X638" s="12">
        <v>0.49600000000000932</v>
      </c>
      <c r="Y638" s="10">
        <v>2017</v>
      </c>
    </row>
    <row r="639" spans="1:25">
      <c r="A639" s="1" t="s">
        <v>1707</v>
      </c>
      <c r="B639" s="8">
        <v>42962</v>
      </c>
      <c r="C639" s="11" t="s">
        <v>3344</v>
      </c>
      <c r="D639" s="11" t="s">
        <v>3345</v>
      </c>
      <c r="E639" s="5" t="s">
        <v>1708</v>
      </c>
      <c r="F639" s="1" t="s">
        <v>49</v>
      </c>
      <c r="G639" s="1" t="s">
        <v>1709</v>
      </c>
      <c r="H639" s="1" t="s">
        <v>3500</v>
      </c>
      <c r="I639" s="1" t="s">
        <v>3749</v>
      </c>
      <c r="J639" s="1"/>
      <c r="K639" s="1" t="s">
        <v>29</v>
      </c>
      <c r="L639" s="1" t="s">
        <v>30</v>
      </c>
      <c r="M639" s="1" t="s">
        <v>385</v>
      </c>
      <c r="N639" s="1" t="s">
        <v>386</v>
      </c>
      <c r="O639" s="1">
        <v>80013</v>
      </c>
      <c r="P639" s="1" t="s">
        <v>44</v>
      </c>
      <c r="Q639" s="1" t="s">
        <v>1712</v>
      </c>
      <c r="R639" s="1" t="s">
        <v>46</v>
      </c>
      <c r="S639" s="7">
        <v>122.328</v>
      </c>
      <c r="T639" s="1">
        <v>8</v>
      </c>
      <c r="U639" s="9">
        <v>121.96</v>
      </c>
      <c r="V639" s="9">
        <v>978.62400000000002</v>
      </c>
      <c r="W639" s="9">
        <v>975.68</v>
      </c>
      <c r="X639" s="12">
        <v>2.9440000000000737</v>
      </c>
      <c r="Y639" s="10">
        <v>2017</v>
      </c>
    </row>
    <row r="640" spans="1:25">
      <c r="A640" s="1" t="s">
        <v>1713</v>
      </c>
      <c r="B640" s="8">
        <v>42875</v>
      </c>
      <c r="C640" s="11" t="s">
        <v>3363</v>
      </c>
      <c r="D640" s="11" t="s">
        <v>3360</v>
      </c>
      <c r="E640" s="5" t="s">
        <v>1714</v>
      </c>
      <c r="F640" s="1" t="s">
        <v>49</v>
      </c>
      <c r="G640" s="1" t="s">
        <v>372</v>
      </c>
      <c r="H640" s="1" t="s">
        <v>3449</v>
      </c>
      <c r="I640" s="1" t="s">
        <v>3450</v>
      </c>
      <c r="J640" s="1"/>
      <c r="K640" s="1" t="s">
        <v>87</v>
      </c>
      <c r="L640" s="1" t="s">
        <v>30</v>
      </c>
      <c r="M640" s="1" t="s">
        <v>1715</v>
      </c>
      <c r="N640" s="1" t="s">
        <v>68</v>
      </c>
      <c r="O640" s="1">
        <v>94591</v>
      </c>
      <c r="P640" s="1" t="s">
        <v>44</v>
      </c>
      <c r="Q640" s="1" t="s">
        <v>757</v>
      </c>
      <c r="R640" s="1" t="s">
        <v>35</v>
      </c>
      <c r="S640" s="7">
        <v>1049.2</v>
      </c>
      <c r="T640" s="1">
        <v>9</v>
      </c>
      <c r="U640" s="9">
        <v>1048.97</v>
      </c>
      <c r="V640" s="9">
        <v>9442.8000000000011</v>
      </c>
      <c r="W640" s="9">
        <v>9440.73</v>
      </c>
      <c r="X640" s="12">
        <v>2.070000000001528</v>
      </c>
      <c r="Y640" s="10">
        <v>2017</v>
      </c>
    </row>
    <row r="641" spans="1:25">
      <c r="A641" s="1" t="s">
        <v>1713</v>
      </c>
      <c r="B641" s="8">
        <v>42875</v>
      </c>
      <c r="C641" s="11" t="s">
        <v>3363</v>
      </c>
      <c r="D641" s="11" t="s">
        <v>3360</v>
      </c>
      <c r="E641" s="5" t="s">
        <v>1714</v>
      </c>
      <c r="F641" s="1" t="s">
        <v>49</v>
      </c>
      <c r="G641" s="1" t="s">
        <v>372</v>
      </c>
      <c r="H641" s="1" t="s">
        <v>3449</v>
      </c>
      <c r="I641" s="1" t="s">
        <v>3450</v>
      </c>
      <c r="J641" s="1"/>
      <c r="K641" s="1" t="s">
        <v>87</v>
      </c>
      <c r="L641" s="1" t="s">
        <v>30</v>
      </c>
      <c r="M641" s="1" t="s">
        <v>1715</v>
      </c>
      <c r="N641" s="1" t="s">
        <v>68</v>
      </c>
      <c r="O641" s="1">
        <v>94591</v>
      </c>
      <c r="P641" s="1" t="s">
        <v>44</v>
      </c>
      <c r="Q641" s="1" t="s">
        <v>1716</v>
      </c>
      <c r="R641" s="1" t="s">
        <v>46</v>
      </c>
      <c r="S641" s="7">
        <v>15.423999999999999</v>
      </c>
      <c r="T641" s="1">
        <v>9</v>
      </c>
      <c r="U641" s="9">
        <v>14.88</v>
      </c>
      <c r="V641" s="9">
        <v>138.816</v>
      </c>
      <c r="W641" s="9">
        <v>133.92000000000002</v>
      </c>
      <c r="X641" s="12">
        <v>4.8959999999999866</v>
      </c>
      <c r="Y641" s="10">
        <v>2017</v>
      </c>
    </row>
    <row r="642" spans="1:25">
      <c r="A642" s="1" t="s">
        <v>1717</v>
      </c>
      <c r="B642" s="8">
        <v>43087</v>
      </c>
      <c r="C642" s="11" t="s">
        <v>3348</v>
      </c>
      <c r="D642" s="11" t="s">
        <v>3349</v>
      </c>
      <c r="E642" s="5" t="s">
        <v>1718</v>
      </c>
      <c r="F642" s="1" t="s">
        <v>49</v>
      </c>
      <c r="G642" s="1" t="s">
        <v>1719</v>
      </c>
      <c r="H642" s="1" t="s">
        <v>3486</v>
      </c>
      <c r="I642" s="1" t="s">
        <v>3750</v>
      </c>
      <c r="J642" s="1"/>
      <c r="K642" s="1" t="s">
        <v>41</v>
      </c>
      <c r="L642" s="1" t="s">
        <v>30</v>
      </c>
      <c r="M642" s="1" t="s">
        <v>347</v>
      </c>
      <c r="N642" s="1" t="s">
        <v>201</v>
      </c>
      <c r="O642" s="1">
        <v>55407</v>
      </c>
      <c r="P642" s="1" t="s">
        <v>90</v>
      </c>
      <c r="Q642" s="1" t="s">
        <v>1721</v>
      </c>
      <c r="R642" s="1" t="s">
        <v>35</v>
      </c>
      <c r="S642" s="7">
        <v>18.84</v>
      </c>
      <c r="T642" s="1">
        <v>5</v>
      </c>
      <c r="U642" s="9">
        <v>18.04</v>
      </c>
      <c r="V642" s="9">
        <v>94.2</v>
      </c>
      <c r="W642" s="9">
        <v>90.199999999999989</v>
      </c>
      <c r="X642" s="12">
        <v>4.0000000000000142</v>
      </c>
      <c r="Y642" s="10">
        <v>2017</v>
      </c>
    </row>
    <row r="643" spans="1:25">
      <c r="A643" s="1" t="s">
        <v>1722</v>
      </c>
      <c r="B643" s="8">
        <v>43311</v>
      </c>
      <c r="C643" s="11" t="s">
        <v>3376</v>
      </c>
      <c r="D643" s="11" t="s">
        <v>3345</v>
      </c>
      <c r="E643" s="5">
        <v>43167</v>
      </c>
      <c r="F643" s="1" t="s">
        <v>26</v>
      </c>
      <c r="G643" s="1" t="s">
        <v>1723</v>
      </c>
      <c r="H643" s="1" t="s">
        <v>3589</v>
      </c>
      <c r="I643" s="1" t="s">
        <v>3751</v>
      </c>
      <c r="J643" s="1"/>
      <c r="K643" s="1" t="s">
        <v>29</v>
      </c>
      <c r="L643" s="1" t="s">
        <v>30</v>
      </c>
      <c r="M643" s="1" t="s">
        <v>1725</v>
      </c>
      <c r="N643" s="1" t="s">
        <v>68</v>
      </c>
      <c r="O643" s="1">
        <v>92691</v>
      </c>
      <c r="P643" s="1" t="s">
        <v>44</v>
      </c>
      <c r="Q643" s="1" t="s">
        <v>1726</v>
      </c>
      <c r="R643" s="1" t="s">
        <v>46</v>
      </c>
      <c r="S643" s="7">
        <v>330.4</v>
      </c>
      <c r="T643" s="1">
        <v>9</v>
      </c>
      <c r="U643" s="9">
        <v>330.19</v>
      </c>
      <c r="V643" s="9">
        <v>2973.6</v>
      </c>
      <c r="W643" s="9">
        <v>2971.71</v>
      </c>
      <c r="X643" s="12">
        <v>1.8899999999998727</v>
      </c>
      <c r="Y643" s="10">
        <v>2018</v>
      </c>
    </row>
    <row r="644" spans="1:25">
      <c r="A644" s="1" t="s">
        <v>1722</v>
      </c>
      <c r="B644" s="8">
        <v>43311</v>
      </c>
      <c r="C644" s="11" t="s">
        <v>3376</v>
      </c>
      <c r="D644" s="11" t="s">
        <v>3345</v>
      </c>
      <c r="E644" s="5">
        <v>43167</v>
      </c>
      <c r="F644" s="1" t="s">
        <v>26</v>
      </c>
      <c r="G644" s="1" t="s">
        <v>1723</v>
      </c>
      <c r="H644" s="1" t="s">
        <v>3589</v>
      </c>
      <c r="I644" s="1" t="s">
        <v>3751</v>
      </c>
      <c r="J644" s="1"/>
      <c r="K644" s="1" t="s">
        <v>29</v>
      </c>
      <c r="L644" s="1" t="s">
        <v>30</v>
      </c>
      <c r="M644" s="1" t="s">
        <v>1725</v>
      </c>
      <c r="N644" s="1" t="s">
        <v>68</v>
      </c>
      <c r="O644" s="1">
        <v>92691</v>
      </c>
      <c r="P644" s="1" t="s">
        <v>44</v>
      </c>
      <c r="Q644" s="1" t="s">
        <v>1727</v>
      </c>
      <c r="R644" s="1" t="s">
        <v>46</v>
      </c>
      <c r="S644" s="7">
        <v>26.25</v>
      </c>
      <c r="T644" s="1">
        <v>9</v>
      </c>
      <c r="U644" s="9">
        <v>25.55</v>
      </c>
      <c r="V644" s="9">
        <v>236.25</v>
      </c>
      <c r="W644" s="9">
        <v>229.95000000000002</v>
      </c>
      <c r="X644" s="12">
        <v>6.2999999999999829</v>
      </c>
      <c r="Y644" s="10">
        <v>2018</v>
      </c>
    </row>
    <row r="645" spans="1:25">
      <c r="A645" s="1" t="s">
        <v>1728</v>
      </c>
      <c r="B645" s="8">
        <v>43379</v>
      </c>
      <c r="C645" s="11" t="s">
        <v>3387</v>
      </c>
      <c r="D645" s="11" t="s">
        <v>3349</v>
      </c>
      <c r="E645" s="5" t="s">
        <v>1729</v>
      </c>
      <c r="F645" s="1" t="s">
        <v>49</v>
      </c>
      <c r="G645" s="1" t="s">
        <v>1730</v>
      </c>
      <c r="H645" s="1" t="s">
        <v>3354</v>
      </c>
      <c r="I645" s="1" t="s">
        <v>3752</v>
      </c>
      <c r="J645" s="1"/>
      <c r="K645" s="1" t="s">
        <v>29</v>
      </c>
      <c r="L645" s="1" t="s">
        <v>30</v>
      </c>
      <c r="M645" s="1" t="s">
        <v>1732</v>
      </c>
      <c r="N645" s="1" t="s">
        <v>209</v>
      </c>
      <c r="O645" s="1">
        <v>48307</v>
      </c>
      <c r="P645" s="1" t="s">
        <v>90</v>
      </c>
      <c r="Q645" s="1" t="s">
        <v>747</v>
      </c>
      <c r="R645" s="1" t="s">
        <v>64</v>
      </c>
      <c r="S645" s="7">
        <v>132.52000000000001</v>
      </c>
      <c r="T645" s="1">
        <v>4</v>
      </c>
      <c r="U645" s="9">
        <v>132.09</v>
      </c>
      <c r="V645" s="9">
        <v>530.08000000000004</v>
      </c>
      <c r="W645" s="9">
        <v>528.36</v>
      </c>
      <c r="X645" s="12">
        <v>1.7200000000000273</v>
      </c>
      <c r="Y645" s="10">
        <v>2018</v>
      </c>
    </row>
    <row r="646" spans="1:25">
      <c r="A646" s="1" t="s">
        <v>1733</v>
      </c>
      <c r="B646" s="8">
        <v>43302</v>
      </c>
      <c r="C646" s="11" t="s">
        <v>3376</v>
      </c>
      <c r="D646" s="11" t="s">
        <v>3345</v>
      </c>
      <c r="E646" s="5" t="s">
        <v>1734</v>
      </c>
      <c r="F646" s="1" t="s">
        <v>49</v>
      </c>
      <c r="G646" s="1" t="s">
        <v>516</v>
      </c>
      <c r="H646" s="1" t="s">
        <v>3488</v>
      </c>
      <c r="I646" s="1" t="s">
        <v>3489</v>
      </c>
      <c r="J646" s="1"/>
      <c r="K646" s="1" t="s">
        <v>87</v>
      </c>
      <c r="L646" s="1" t="s">
        <v>30</v>
      </c>
      <c r="M646" s="1" t="s">
        <v>1735</v>
      </c>
      <c r="N646" s="1" t="s">
        <v>653</v>
      </c>
      <c r="O646" s="1">
        <v>7060</v>
      </c>
      <c r="P646" s="1" t="s">
        <v>128</v>
      </c>
      <c r="Q646" s="1" t="s">
        <v>1736</v>
      </c>
      <c r="R646" s="1" t="s">
        <v>46</v>
      </c>
      <c r="S646" s="7">
        <v>6.48</v>
      </c>
      <c r="T646" s="1">
        <v>7</v>
      </c>
      <c r="U646" s="9">
        <v>5.96</v>
      </c>
      <c r="V646" s="9">
        <v>45.36</v>
      </c>
      <c r="W646" s="9">
        <v>41.72</v>
      </c>
      <c r="X646" s="12">
        <v>3.6400000000000006</v>
      </c>
      <c r="Y646" s="10">
        <v>2018</v>
      </c>
    </row>
    <row r="647" spans="1:25">
      <c r="A647" s="1" t="s">
        <v>1737</v>
      </c>
      <c r="B647" s="8">
        <v>43464</v>
      </c>
      <c r="C647" s="11" t="s">
        <v>3348</v>
      </c>
      <c r="D647" s="11" t="s">
        <v>3349</v>
      </c>
      <c r="E647" s="5">
        <v>43586</v>
      </c>
      <c r="F647" s="1" t="s">
        <v>49</v>
      </c>
      <c r="G647" s="1" t="s">
        <v>1738</v>
      </c>
      <c r="H647" s="1" t="s">
        <v>3753</v>
      </c>
      <c r="I647" s="1" t="s">
        <v>3754</v>
      </c>
      <c r="J647" s="1"/>
      <c r="K647" s="1" t="s">
        <v>87</v>
      </c>
      <c r="L647" s="1" t="s">
        <v>30</v>
      </c>
      <c r="M647" s="1" t="s">
        <v>420</v>
      </c>
      <c r="N647" s="1" t="s">
        <v>224</v>
      </c>
      <c r="O647" s="1">
        <v>47201</v>
      </c>
      <c r="P647" s="1" t="s">
        <v>90</v>
      </c>
      <c r="Q647" s="1" t="s">
        <v>1740</v>
      </c>
      <c r="R647" s="1" t="s">
        <v>46</v>
      </c>
      <c r="S647" s="7">
        <v>209.3</v>
      </c>
      <c r="T647" s="1">
        <v>4</v>
      </c>
      <c r="U647" s="9">
        <v>209.04</v>
      </c>
      <c r="V647" s="9">
        <v>837.2</v>
      </c>
      <c r="W647" s="9">
        <v>836.16</v>
      </c>
      <c r="X647" s="12">
        <v>1.0400000000000773</v>
      </c>
      <c r="Y647" s="10">
        <v>2018</v>
      </c>
    </row>
    <row r="648" spans="1:25">
      <c r="A648" s="1" t="s">
        <v>1741</v>
      </c>
      <c r="B648" s="8">
        <v>42739</v>
      </c>
      <c r="C648" s="11" t="s">
        <v>3381</v>
      </c>
      <c r="D648" s="11" t="s">
        <v>3382</v>
      </c>
      <c r="E648" s="5">
        <v>42951</v>
      </c>
      <c r="F648" s="1" t="s">
        <v>49</v>
      </c>
      <c r="G648" s="1" t="s">
        <v>842</v>
      </c>
      <c r="H648" s="1" t="s">
        <v>3565</v>
      </c>
      <c r="I648" s="1" t="s">
        <v>3386</v>
      </c>
      <c r="J648" s="1"/>
      <c r="K648" s="1" t="s">
        <v>41</v>
      </c>
      <c r="L648" s="1" t="s">
        <v>30</v>
      </c>
      <c r="M648" s="1" t="s">
        <v>1742</v>
      </c>
      <c r="N648" s="1" t="s">
        <v>265</v>
      </c>
      <c r="O648" s="1">
        <v>85635</v>
      </c>
      <c r="P648" s="1" t="s">
        <v>44</v>
      </c>
      <c r="Q648" s="1" t="s">
        <v>1743</v>
      </c>
      <c r="R648" s="1" t="s">
        <v>46</v>
      </c>
      <c r="S648" s="7">
        <v>31.56</v>
      </c>
      <c r="T648" s="1">
        <v>8</v>
      </c>
      <c r="U648" s="9">
        <v>31.05</v>
      </c>
      <c r="V648" s="9">
        <v>252.48</v>
      </c>
      <c r="W648" s="9">
        <v>248.4</v>
      </c>
      <c r="X648" s="12">
        <v>4.0799999999999841</v>
      </c>
      <c r="Y648" s="10">
        <v>2017</v>
      </c>
    </row>
    <row r="649" spans="1:25">
      <c r="A649" s="1" t="s">
        <v>1741</v>
      </c>
      <c r="B649" s="8">
        <v>42739</v>
      </c>
      <c r="C649" s="11" t="s">
        <v>3381</v>
      </c>
      <c r="D649" s="11" t="s">
        <v>3382</v>
      </c>
      <c r="E649" s="5">
        <v>42951</v>
      </c>
      <c r="F649" s="1" t="s">
        <v>49</v>
      </c>
      <c r="G649" s="1" t="s">
        <v>842</v>
      </c>
      <c r="H649" s="1" t="s">
        <v>3565</v>
      </c>
      <c r="I649" s="1" t="s">
        <v>3386</v>
      </c>
      <c r="J649" s="1"/>
      <c r="K649" s="1" t="s">
        <v>41</v>
      </c>
      <c r="L649" s="1" t="s">
        <v>30</v>
      </c>
      <c r="M649" s="1" t="s">
        <v>1742</v>
      </c>
      <c r="N649" s="1" t="s">
        <v>265</v>
      </c>
      <c r="O649" s="1">
        <v>85635</v>
      </c>
      <c r="P649" s="1" t="s">
        <v>44</v>
      </c>
      <c r="Q649" s="1" t="s">
        <v>1744</v>
      </c>
      <c r="R649" s="1" t="s">
        <v>46</v>
      </c>
      <c r="S649" s="7">
        <v>30.143999999999998</v>
      </c>
      <c r="T649" s="1">
        <v>8</v>
      </c>
      <c r="U649" s="9">
        <v>30.06</v>
      </c>
      <c r="V649" s="9">
        <v>241.15199999999999</v>
      </c>
      <c r="W649" s="9">
        <v>240.48</v>
      </c>
      <c r="X649" s="12">
        <v>0.67199999999999704</v>
      </c>
      <c r="Y649" s="10">
        <v>2017</v>
      </c>
    </row>
    <row r="650" spans="1:25">
      <c r="A650" s="1" t="s">
        <v>1745</v>
      </c>
      <c r="B650" s="8">
        <v>43051</v>
      </c>
      <c r="C650" s="11" t="s">
        <v>3353</v>
      </c>
      <c r="D650" s="11" t="s">
        <v>3349</v>
      </c>
      <c r="E650" s="5" t="s">
        <v>1746</v>
      </c>
      <c r="F650" s="1" t="s">
        <v>26</v>
      </c>
      <c r="G650" s="1" t="s">
        <v>1747</v>
      </c>
      <c r="H650" s="1" t="s">
        <v>3755</v>
      </c>
      <c r="I650" s="1" t="s">
        <v>3756</v>
      </c>
      <c r="J650" s="1"/>
      <c r="K650" s="1" t="s">
        <v>41</v>
      </c>
      <c r="L650" s="1" t="s">
        <v>30</v>
      </c>
      <c r="M650" s="1" t="s">
        <v>1749</v>
      </c>
      <c r="N650" s="1" t="s">
        <v>81</v>
      </c>
      <c r="O650" s="1">
        <v>98661</v>
      </c>
      <c r="P650" s="1" t="s">
        <v>44</v>
      </c>
      <c r="Q650" s="1" t="s">
        <v>1107</v>
      </c>
      <c r="R650" s="1" t="s">
        <v>35</v>
      </c>
      <c r="S650" s="7">
        <v>14.8</v>
      </c>
      <c r="T650" s="1">
        <v>9</v>
      </c>
      <c r="U650" s="9">
        <v>14.73</v>
      </c>
      <c r="V650" s="9">
        <v>133.20000000000002</v>
      </c>
      <c r="W650" s="9">
        <v>132.57</v>
      </c>
      <c r="X650" s="12">
        <v>0.63000000000002387</v>
      </c>
      <c r="Y650" s="10">
        <v>2017</v>
      </c>
    </row>
    <row r="651" spans="1:25">
      <c r="A651" s="1" t="s">
        <v>1745</v>
      </c>
      <c r="B651" s="8">
        <v>43051</v>
      </c>
      <c r="C651" s="11" t="s">
        <v>3353</v>
      </c>
      <c r="D651" s="11" t="s">
        <v>3349</v>
      </c>
      <c r="E651" s="5" t="s">
        <v>1746</v>
      </c>
      <c r="F651" s="1" t="s">
        <v>26</v>
      </c>
      <c r="G651" s="1" t="s">
        <v>1747</v>
      </c>
      <c r="H651" s="1" t="s">
        <v>3755</v>
      </c>
      <c r="I651" s="1" t="s">
        <v>3756</v>
      </c>
      <c r="J651" s="1"/>
      <c r="K651" s="1" t="s">
        <v>41</v>
      </c>
      <c r="L651" s="1" t="s">
        <v>30</v>
      </c>
      <c r="M651" s="1" t="s">
        <v>1749</v>
      </c>
      <c r="N651" s="1" t="s">
        <v>81</v>
      </c>
      <c r="O651" s="1">
        <v>98661</v>
      </c>
      <c r="P651" s="1" t="s">
        <v>44</v>
      </c>
      <c r="Q651" s="1" t="s">
        <v>610</v>
      </c>
      <c r="R651" s="1" t="s">
        <v>64</v>
      </c>
      <c r="S651" s="7">
        <v>302.37599999999998</v>
      </c>
      <c r="T651" s="1">
        <v>9</v>
      </c>
      <c r="U651" s="9">
        <v>301.45</v>
      </c>
      <c r="V651" s="9">
        <v>2721.384</v>
      </c>
      <c r="W651" s="9">
        <v>2713.0499999999997</v>
      </c>
      <c r="X651" s="12">
        <v>8.3340000000002874</v>
      </c>
      <c r="Y651" s="10">
        <v>2017</v>
      </c>
    </row>
    <row r="652" spans="1:25">
      <c r="A652" s="1" t="s">
        <v>1745</v>
      </c>
      <c r="B652" s="8">
        <v>43051</v>
      </c>
      <c r="C652" s="11" t="s">
        <v>3353</v>
      </c>
      <c r="D652" s="11" t="s">
        <v>3349</v>
      </c>
      <c r="E652" s="5" t="s">
        <v>1746</v>
      </c>
      <c r="F652" s="1" t="s">
        <v>26</v>
      </c>
      <c r="G652" s="1" t="s">
        <v>1747</v>
      </c>
      <c r="H652" s="1" t="s">
        <v>3755</v>
      </c>
      <c r="I652" s="1" t="s">
        <v>3756</v>
      </c>
      <c r="J652" s="1"/>
      <c r="K652" s="1" t="s">
        <v>41</v>
      </c>
      <c r="L652" s="1" t="s">
        <v>30</v>
      </c>
      <c r="M652" s="1" t="s">
        <v>1749</v>
      </c>
      <c r="N652" s="1" t="s">
        <v>81</v>
      </c>
      <c r="O652" s="1">
        <v>98661</v>
      </c>
      <c r="P652" s="1" t="s">
        <v>44</v>
      </c>
      <c r="Q652" s="1" t="s">
        <v>1750</v>
      </c>
      <c r="R652" s="1" t="s">
        <v>64</v>
      </c>
      <c r="S652" s="7">
        <v>316</v>
      </c>
      <c r="T652" s="1">
        <v>9</v>
      </c>
      <c r="U652" s="9">
        <v>315</v>
      </c>
      <c r="V652" s="9">
        <v>2844</v>
      </c>
      <c r="W652" s="9">
        <v>2835</v>
      </c>
      <c r="X652" s="12">
        <v>9</v>
      </c>
      <c r="Y652" s="10">
        <v>2017</v>
      </c>
    </row>
    <row r="653" spans="1:25">
      <c r="A653" s="1" t="s">
        <v>1751</v>
      </c>
      <c r="B653" s="8">
        <v>43031</v>
      </c>
      <c r="C653" s="11" t="s">
        <v>3387</v>
      </c>
      <c r="D653" s="11" t="s">
        <v>3349</v>
      </c>
      <c r="E653" s="5" t="s">
        <v>1087</v>
      </c>
      <c r="F653" s="1" t="s">
        <v>49</v>
      </c>
      <c r="G653" s="1" t="s">
        <v>1752</v>
      </c>
      <c r="H653" s="1" t="s">
        <v>3466</v>
      </c>
      <c r="I653" s="1" t="s">
        <v>3757</v>
      </c>
      <c r="J653" s="1"/>
      <c r="K653" s="1" t="s">
        <v>87</v>
      </c>
      <c r="L653" s="1" t="s">
        <v>30</v>
      </c>
      <c r="M653" s="1" t="s">
        <v>233</v>
      </c>
      <c r="N653" s="1" t="s">
        <v>234</v>
      </c>
      <c r="O653" s="1">
        <v>10024</v>
      </c>
      <c r="P653" s="1" t="s">
        <v>128</v>
      </c>
      <c r="Q653" s="1" t="s">
        <v>273</v>
      </c>
      <c r="R653" s="1" t="s">
        <v>46</v>
      </c>
      <c r="S653" s="7">
        <v>379.4</v>
      </c>
      <c r="T653" s="1">
        <v>1</v>
      </c>
      <c r="U653" s="9">
        <v>378.46</v>
      </c>
      <c r="V653" s="9">
        <v>379.4</v>
      </c>
      <c r="W653" s="9">
        <v>378.46</v>
      </c>
      <c r="X653" s="12">
        <v>0.93999999999999773</v>
      </c>
      <c r="Y653" s="10">
        <v>2017</v>
      </c>
    </row>
    <row r="654" spans="1:25">
      <c r="A654" s="1" t="s">
        <v>1754</v>
      </c>
      <c r="B654" s="8">
        <v>43270</v>
      </c>
      <c r="C654" s="11" t="s">
        <v>3403</v>
      </c>
      <c r="D654" s="11" t="s">
        <v>3360</v>
      </c>
      <c r="E654" s="5" t="s">
        <v>1755</v>
      </c>
      <c r="F654" s="1" t="s">
        <v>49</v>
      </c>
      <c r="G654" s="1" t="s">
        <v>1077</v>
      </c>
      <c r="H654" s="1" t="s">
        <v>3362</v>
      </c>
      <c r="I654" s="1" t="s">
        <v>3611</v>
      </c>
      <c r="J654" s="1"/>
      <c r="K654" s="1" t="s">
        <v>41</v>
      </c>
      <c r="L654" s="1" t="s">
        <v>30</v>
      </c>
      <c r="M654" s="1" t="s">
        <v>233</v>
      </c>
      <c r="N654" s="1" t="s">
        <v>234</v>
      </c>
      <c r="O654" s="1">
        <v>10035</v>
      </c>
      <c r="P654" s="1" t="s">
        <v>128</v>
      </c>
      <c r="Q654" s="1" t="s">
        <v>254</v>
      </c>
      <c r="R654" s="1" t="s">
        <v>46</v>
      </c>
      <c r="S654" s="7">
        <v>97.82</v>
      </c>
      <c r="T654" s="1">
        <v>1</v>
      </c>
      <c r="U654" s="9">
        <v>97.7</v>
      </c>
      <c r="V654" s="9">
        <v>97.82</v>
      </c>
      <c r="W654" s="9">
        <v>97.7</v>
      </c>
      <c r="X654" s="12">
        <v>0.11999999999999034</v>
      </c>
      <c r="Y654" s="10">
        <v>2018</v>
      </c>
    </row>
    <row r="655" spans="1:25">
      <c r="A655" s="1" t="s">
        <v>1754</v>
      </c>
      <c r="B655" s="8">
        <v>43270</v>
      </c>
      <c r="C655" s="11" t="s">
        <v>3403</v>
      </c>
      <c r="D655" s="11" t="s">
        <v>3360</v>
      </c>
      <c r="E655" s="5" t="s">
        <v>1755</v>
      </c>
      <c r="F655" s="1" t="s">
        <v>49</v>
      </c>
      <c r="G655" s="1" t="s">
        <v>1077</v>
      </c>
      <c r="H655" s="1" t="s">
        <v>3362</v>
      </c>
      <c r="I655" s="1" t="s">
        <v>3611</v>
      </c>
      <c r="J655" s="1"/>
      <c r="K655" s="1" t="s">
        <v>41</v>
      </c>
      <c r="L655" s="1" t="s">
        <v>30</v>
      </c>
      <c r="M655" s="1" t="s">
        <v>233</v>
      </c>
      <c r="N655" s="1" t="s">
        <v>234</v>
      </c>
      <c r="O655" s="1">
        <v>10035</v>
      </c>
      <c r="P655" s="1" t="s">
        <v>128</v>
      </c>
      <c r="Q655" s="1" t="s">
        <v>1756</v>
      </c>
      <c r="R655" s="1" t="s">
        <v>64</v>
      </c>
      <c r="S655" s="7">
        <v>103.12</v>
      </c>
      <c r="T655" s="1">
        <v>1</v>
      </c>
      <c r="U655" s="9">
        <v>102.24</v>
      </c>
      <c r="V655" s="9">
        <v>103.12</v>
      </c>
      <c r="W655" s="9">
        <v>102.24</v>
      </c>
      <c r="X655" s="12">
        <v>0.88000000000000966</v>
      </c>
      <c r="Y655" s="10">
        <v>2018</v>
      </c>
    </row>
    <row r="656" spans="1:25">
      <c r="A656" s="1" t="s">
        <v>1757</v>
      </c>
      <c r="B656" s="8">
        <v>42969</v>
      </c>
      <c r="C656" s="11" t="s">
        <v>3344</v>
      </c>
      <c r="D656" s="11" t="s">
        <v>3345</v>
      </c>
      <c r="E656" s="5" t="s">
        <v>1758</v>
      </c>
      <c r="F656" s="1" t="s">
        <v>49</v>
      </c>
      <c r="G656" s="1" t="s">
        <v>1759</v>
      </c>
      <c r="H656" s="1" t="s">
        <v>3553</v>
      </c>
      <c r="I656" s="1" t="s">
        <v>3758</v>
      </c>
      <c r="J656" s="1"/>
      <c r="K656" s="1" t="s">
        <v>29</v>
      </c>
      <c r="L656" s="1" t="s">
        <v>30</v>
      </c>
      <c r="M656" s="1" t="s">
        <v>420</v>
      </c>
      <c r="N656" s="1" t="s">
        <v>421</v>
      </c>
      <c r="O656" s="1">
        <v>43229</v>
      </c>
      <c r="P656" s="1" t="s">
        <v>128</v>
      </c>
      <c r="Q656" s="1" t="s">
        <v>1761</v>
      </c>
      <c r="R656" s="1" t="s">
        <v>46</v>
      </c>
      <c r="S656" s="7">
        <v>113.55200000000001</v>
      </c>
      <c r="T656" s="1">
        <v>4</v>
      </c>
      <c r="U656" s="9">
        <v>112.7</v>
      </c>
      <c r="V656" s="9">
        <v>454.20800000000003</v>
      </c>
      <c r="W656" s="9">
        <v>450.8</v>
      </c>
      <c r="X656" s="12">
        <v>3.4080000000000155</v>
      </c>
      <c r="Y656" s="10">
        <v>2017</v>
      </c>
    </row>
    <row r="657" spans="1:25">
      <c r="A657" s="1" t="s">
        <v>1757</v>
      </c>
      <c r="B657" s="8">
        <v>42969</v>
      </c>
      <c r="C657" s="11" t="s">
        <v>3344</v>
      </c>
      <c r="D657" s="11" t="s">
        <v>3345</v>
      </c>
      <c r="E657" s="5" t="s">
        <v>1758</v>
      </c>
      <c r="F657" s="1" t="s">
        <v>49</v>
      </c>
      <c r="G657" s="1" t="s">
        <v>1759</v>
      </c>
      <c r="H657" s="1" t="s">
        <v>3553</v>
      </c>
      <c r="I657" s="1" t="s">
        <v>3758</v>
      </c>
      <c r="J657" s="1"/>
      <c r="K657" s="1" t="s">
        <v>29</v>
      </c>
      <c r="L657" s="1" t="s">
        <v>30</v>
      </c>
      <c r="M657" s="1" t="s">
        <v>420</v>
      </c>
      <c r="N657" s="1" t="s">
        <v>421</v>
      </c>
      <c r="O657" s="1">
        <v>43229</v>
      </c>
      <c r="P657" s="1" t="s">
        <v>128</v>
      </c>
      <c r="Q657" s="1" t="s">
        <v>1762</v>
      </c>
      <c r="R657" s="1" t="s">
        <v>46</v>
      </c>
      <c r="S657" s="7">
        <v>3.3180000000000001</v>
      </c>
      <c r="T657" s="1">
        <v>4</v>
      </c>
      <c r="U657" s="9">
        <v>3.09</v>
      </c>
      <c r="V657" s="9">
        <v>13.272</v>
      </c>
      <c r="W657" s="9">
        <v>12.36</v>
      </c>
      <c r="X657" s="12">
        <v>0.91200000000000081</v>
      </c>
      <c r="Y657" s="10">
        <v>2017</v>
      </c>
    </row>
    <row r="658" spans="1:25">
      <c r="A658" s="1" t="s">
        <v>1757</v>
      </c>
      <c r="B658" s="8">
        <v>42969</v>
      </c>
      <c r="C658" s="11" t="s">
        <v>3344</v>
      </c>
      <c r="D658" s="11" t="s">
        <v>3345</v>
      </c>
      <c r="E658" s="5" t="s">
        <v>1758</v>
      </c>
      <c r="F658" s="1" t="s">
        <v>49</v>
      </c>
      <c r="G658" s="1" t="s">
        <v>1759</v>
      </c>
      <c r="H658" s="1" t="s">
        <v>3553</v>
      </c>
      <c r="I658" s="1" t="s">
        <v>3758</v>
      </c>
      <c r="J658" s="1"/>
      <c r="K658" s="1" t="s">
        <v>29</v>
      </c>
      <c r="L658" s="1" t="s">
        <v>30</v>
      </c>
      <c r="M658" s="1" t="s">
        <v>420</v>
      </c>
      <c r="N658" s="1" t="s">
        <v>421</v>
      </c>
      <c r="O658" s="1">
        <v>43229</v>
      </c>
      <c r="P658" s="1" t="s">
        <v>128</v>
      </c>
      <c r="Q658" s="1" t="s">
        <v>1763</v>
      </c>
      <c r="R658" s="1" t="s">
        <v>46</v>
      </c>
      <c r="S658" s="7">
        <v>134.28800000000001</v>
      </c>
      <c r="T658" s="1">
        <v>4</v>
      </c>
      <c r="U658" s="9">
        <v>133.72</v>
      </c>
      <c r="V658" s="9">
        <v>537.15200000000004</v>
      </c>
      <c r="W658" s="9">
        <v>534.88</v>
      </c>
      <c r="X658" s="12">
        <v>2.2720000000000482</v>
      </c>
      <c r="Y658" s="10">
        <v>2017</v>
      </c>
    </row>
    <row r="659" spans="1:25">
      <c r="A659" s="1" t="s">
        <v>1764</v>
      </c>
      <c r="B659" s="8">
        <v>42997</v>
      </c>
      <c r="C659" s="11" t="s">
        <v>3356</v>
      </c>
      <c r="D659" s="11" t="s">
        <v>3345</v>
      </c>
      <c r="E659" s="5" t="s">
        <v>1765</v>
      </c>
      <c r="F659" s="1" t="s">
        <v>1050</v>
      </c>
      <c r="G659" s="1" t="s">
        <v>1766</v>
      </c>
      <c r="H659" s="1" t="s">
        <v>3759</v>
      </c>
      <c r="I659" s="1" t="s">
        <v>3760</v>
      </c>
      <c r="J659" s="1"/>
      <c r="K659" s="1" t="s">
        <v>87</v>
      </c>
      <c r="L659" s="1" t="s">
        <v>30</v>
      </c>
      <c r="M659" s="1" t="s">
        <v>385</v>
      </c>
      <c r="N659" s="1" t="s">
        <v>182</v>
      </c>
      <c r="O659" s="1">
        <v>60505</v>
      </c>
      <c r="P659" s="1" t="s">
        <v>90</v>
      </c>
      <c r="Q659" s="1" t="s">
        <v>1402</v>
      </c>
      <c r="R659" s="1" t="s">
        <v>35</v>
      </c>
      <c r="S659" s="7">
        <v>701.37199999999996</v>
      </c>
      <c r="T659" s="1">
        <v>6</v>
      </c>
      <c r="U659" s="9">
        <v>700.42</v>
      </c>
      <c r="V659" s="9">
        <v>4208.232</v>
      </c>
      <c r="W659" s="9">
        <v>4202.5199999999995</v>
      </c>
      <c r="X659" s="12">
        <v>5.7120000000004438</v>
      </c>
      <c r="Y659" s="10">
        <v>2017</v>
      </c>
    </row>
    <row r="660" spans="1:25">
      <c r="A660" s="1" t="s">
        <v>1764</v>
      </c>
      <c r="B660" s="8">
        <v>42997</v>
      </c>
      <c r="C660" s="11" t="s">
        <v>3356</v>
      </c>
      <c r="D660" s="11" t="s">
        <v>3345</v>
      </c>
      <c r="E660" s="5" t="s">
        <v>1765</v>
      </c>
      <c r="F660" s="1" t="s">
        <v>1050</v>
      </c>
      <c r="G660" s="1" t="s">
        <v>1766</v>
      </c>
      <c r="H660" s="1" t="s">
        <v>3759</v>
      </c>
      <c r="I660" s="1" t="s">
        <v>3760</v>
      </c>
      <c r="J660" s="1"/>
      <c r="K660" s="1" t="s">
        <v>87</v>
      </c>
      <c r="L660" s="1" t="s">
        <v>30</v>
      </c>
      <c r="M660" s="1" t="s">
        <v>385</v>
      </c>
      <c r="N660" s="1" t="s">
        <v>182</v>
      </c>
      <c r="O660" s="1">
        <v>60505</v>
      </c>
      <c r="P660" s="1" t="s">
        <v>90</v>
      </c>
      <c r="Q660" s="1" t="s">
        <v>278</v>
      </c>
      <c r="R660" s="1" t="s">
        <v>46</v>
      </c>
      <c r="S660" s="7">
        <v>2.3079999999999998</v>
      </c>
      <c r="T660" s="1">
        <v>6</v>
      </c>
      <c r="U660" s="9">
        <v>1.71</v>
      </c>
      <c r="V660" s="9">
        <v>13.847999999999999</v>
      </c>
      <c r="W660" s="9">
        <v>10.26</v>
      </c>
      <c r="X660" s="12">
        <v>3.5879999999999992</v>
      </c>
      <c r="Y660" s="10">
        <v>2017</v>
      </c>
    </row>
    <row r="661" spans="1:25">
      <c r="A661" s="1" t="s">
        <v>1768</v>
      </c>
      <c r="B661" s="8">
        <v>42606</v>
      </c>
      <c r="C661" s="11" t="s">
        <v>3344</v>
      </c>
      <c r="D661" s="11" t="s">
        <v>3345</v>
      </c>
      <c r="E661" s="5" t="s">
        <v>1769</v>
      </c>
      <c r="F661" s="1" t="s">
        <v>49</v>
      </c>
      <c r="G661" s="1" t="s">
        <v>643</v>
      </c>
      <c r="H661" s="1" t="s">
        <v>3521</v>
      </c>
      <c r="I661" s="1" t="s">
        <v>3522</v>
      </c>
      <c r="J661" s="1"/>
      <c r="K661" s="1" t="s">
        <v>29</v>
      </c>
      <c r="L661" s="1" t="s">
        <v>30</v>
      </c>
      <c r="M661" s="1" t="s">
        <v>917</v>
      </c>
      <c r="N661" s="1" t="s">
        <v>89</v>
      </c>
      <c r="O661" s="1">
        <v>76017</v>
      </c>
      <c r="P661" s="1" t="s">
        <v>90</v>
      </c>
      <c r="Q661" s="1" t="s">
        <v>1639</v>
      </c>
      <c r="R661" s="1" t="s">
        <v>46</v>
      </c>
      <c r="S661" s="7">
        <v>999.43200000000002</v>
      </c>
      <c r="T661" s="1">
        <v>7</v>
      </c>
      <c r="U661" s="9">
        <v>998.53</v>
      </c>
      <c r="V661" s="9">
        <v>6996.0240000000003</v>
      </c>
      <c r="W661" s="9">
        <v>6989.71</v>
      </c>
      <c r="X661" s="12">
        <v>6.3140000000003056</v>
      </c>
      <c r="Y661" s="10">
        <v>2016</v>
      </c>
    </row>
    <row r="662" spans="1:25">
      <c r="A662" s="1" t="s">
        <v>1768</v>
      </c>
      <c r="B662" s="8">
        <v>42606</v>
      </c>
      <c r="C662" s="11" t="s">
        <v>3344</v>
      </c>
      <c r="D662" s="11" t="s">
        <v>3345</v>
      </c>
      <c r="E662" s="5" t="s">
        <v>1769</v>
      </c>
      <c r="F662" s="1" t="s">
        <v>49</v>
      </c>
      <c r="G662" s="1" t="s">
        <v>643</v>
      </c>
      <c r="H662" s="1" t="s">
        <v>3521</v>
      </c>
      <c r="I662" s="1" t="s">
        <v>3522</v>
      </c>
      <c r="J662" s="1"/>
      <c r="K662" s="1" t="s">
        <v>29</v>
      </c>
      <c r="L662" s="1" t="s">
        <v>30</v>
      </c>
      <c r="M662" s="1" t="s">
        <v>917</v>
      </c>
      <c r="N662" s="1" t="s">
        <v>89</v>
      </c>
      <c r="O662" s="1">
        <v>76017</v>
      </c>
      <c r="P662" s="1" t="s">
        <v>90</v>
      </c>
      <c r="Q662" s="1" t="s">
        <v>1770</v>
      </c>
      <c r="R662" s="1" t="s">
        <v>46</v>
      </c>
      <c r="S662" s="7">
        <v>724.08</v>
      </c>
      <c r="T662" s="1">
        <v>7</v>
      </c>
      <c r="U662" s="9">
        <v>723.22</v>
      </c>
      <c r="V662" s="9">
        <v>5068.5600000000004</v>
      </c>
      <c r="W662" s="9">
        <v>5062.54</v>
      </c>
      <c r="X662" s="12">
        <v>6.0200000000004366</v>
      </c>
      <c r="Y662" s="10">
        <v>2016</v>
      </c>
    </row>
    <row r="663" spans="1:25">
      <c r="A663" s="1" t="s">
        <v>1768</v>
      </c>
      <c r="B663" s="8">
        <v>42606</v>
      </c>
      <c r="C663" s="11" t="s">
        <v>3344</v>
      </c>
      <c r="D663" s="11" t="s">
        <v>3345</v>
      </c>
      <c r="E663" s="5" t="s">
        <v>1769</v>
      </c>
      <c r="F663" s="1" t="s">
        <v>49</v>
      </c>
      <c r="G663" s="1" t="s">
        <v>643</v>
      </c>
      <c r="H663" s="1" t="s">
        <v>3521</v>
      </c>
      <c r="I663" s="1" t="s">
        <v>3522</v>
      </c>
      <c r="J663" s="1"/>
      <c r="K663" s="1" t="s">
        <v>29</v>
      </c>
      <c r="L663" s="1" t="s">
        <v>30</v>
      </c>
      <c r="M663" s="1" t="s">
        <v>917</v>
      </c>
      <c r="N663" s="1" t="s">
        <v>89</v>
      </c>
      <c r="O663" s="1">
        <v>76017</v>
      </c>
      <c r="P663" s="1" t="s">
        <v>90</v>
      </c>
      <c r="Q663" s="1" t="s">
        <v>429</v>
      </c>
      <c r="R663" s="1" t="s">
        <v>35</v>
      </c>
      <c r="S663" s="7">
        <v>918.78499999999997</v>
      </c>
      <c r="T663" s="1">
        <v>7</v>
      </c>
      <c r="U663" s="9">
        <v>917.93</v>
      </c>
      <c r="V663" s="9">
        <v>6431.4949999999999</v>
      </c>
      <c r="W663" s="9">
        <v>6425.5099999999993</v>
      </c>
      <c r="X663" s="12">
        <v>5.9850000000005821</v>
      </c>
      <c r="Y663" s="10">
        <v>2016</v>
      </c>
    </row>
    <row r="664" spans="1:25">
      <c r="A664" s="1" t="s">
        <v>1768</v>
      </c>
      <c r="B664" s="8">
        <v>42606</v>
      </c>
      <c r="C664" s="11" t="s">
        <v>3344</v>
      </c>
      <c r="D664" s="11" t="s">
        <v>3345</v>
      </c>
      <c r="E664" s="5" t="s">
        <v>1769</v>
      </c>
      <c r="F664" s="1" t="s">
        <v>49</v>
      </c>
      <c r="G664" s="1" t="s">
        <v>643</v>
      </c>
      <c r="H664" s="1" t="s">
        <v>3521</v>
      </c>
      <c r="I664" s="1" t="s">
        <v>3522</v>
      </c>
      <c r="J664" s="1"/>
      <c r="K664" s="1" t="s">
        <v>29</v>
      </c>
      <c r="L664" s="1" t="s">
        <v>30</v>
      </c>
      <c r="M664" s="1" t="s">
        <v>917</v>
      </c>
      <c r="N664" s="1" t="s">
        <v>89</v>
      </c>
      <c r="O664" s="1">
        <v>76017</v>
      </c>
      <c r="P664" s="1" t="s">
        <v>90</v>
      </c>
      <c r="Q664" s="1" t="s">
        <v>415</v>
      </c>
      <c r="R664" s="1" t="s">
        <v>46</v>
      </c>
      <c r="S664" s="7">
        <v>2.7240000000000002</v>
      </c>
      <c r="T664" s="1">
        <v>7</v>
      </c>
      <c r="U664" s="9">
        <v>2.25</v>
      </c>
      <c r="V664" s="9">
        <v>19.068000000000001</v>
      </c>
      <c r="W664" s="9">
        <v>15.75</v>
      </c>
      <c r="X664" s="12">
        <v>3.3180000000000014</v>
      </c>
      <c r="Y664" s="10">
        <v>2016</v>
      </c>
    </row>
    <row r="665" spans="1:25">
      <c r="A665" s="1" t="s">
        <v>1771</v>
      </c>
      <c r="B665" s="8">
        <v>42820</v>
      </c>
      <c r="C665" s="11" t="s">
        <v>3429</v>
      </c>
      <c r="D665" s="11" t="s">
        <v>3382</v>
      </c>
      <c r="E665" s="5" t="s">
        <v>1772</v>
      </c>
      <c r="F665" s="1" t="s">
        <v>49</v>
      </c>
      <c r="G665" s="1" t="s">
        <v>1773</v>
      </c>
      <c r="H665" s="1" t="s">
        <v>3761</v>
      </c>
      <c r="I665" s="1" t="s">
        <v>3762</v>
      </c>
      <c r="J665" s="1"/>
      <c r="K665" s="1" t="s">
        <v>41</v>
      </c>
      <c r="L665" s="1" t="s">
        <v>30</v>
      </c>
      <c r="M665" s="1" t="s">
        <v>233</v>
      </c>
      <c r="N665" s="1" t="s">
        <v>234</v>
      </c>
      <c r="O665" s="1">
        <v>10011</v>
      </c>
      <c r="P665" s="1" t="s">
        <v>128</v>
      </c>
      <c r="Q665" s="1" t="s">
        <v>696</v>
      </c>
      <c r="R665" s="1" t="s">
        <v>46</v>
      </c>
      <c r="S665" s="7">
        <v>459.95</v>
      </c>
      <c r="T665" s="1">
        <v>1</v>
      </c>
      <c r="U665" s="9">
        <v>459.05</v>
      </c>
      <c r="V665" s="9">
        <v>459.95</v>
      </c>
      <c r="W665" s="9">
        <v>459.05</v>
      </c>
      <c r="X665" s="12">
        <v>0.89999999999997726</v>
      </c>
      <c r="Y665" s="10">
        <v>2017</v>
      </c>
    </row>
    <row r="666" spans="1:25">
      <c r="A666" s="1" t="s">
        <v>1775</v>
      </c>
      <c r="B666" s="8">
        <v>42836</v>
      </c>
      <c r="C666" s="11" t="s">
        <v>3359</v>
      </c>
      <c r="D666" s="11" t="s">
        <v>3360</v>
      </c>
      <c r="E666" s="5">
        <v>42836</v>
      </c>
      <c r="F666" s="1" t="s">
        <v>1050</v>
      </c>
      <c r="G666" s="1" t="s">
        <v>807</v>
      </c>
      <c r="H666" s="1" t="s">
        <v>3557</v>
      </c>
      <c r="I666" s="1" t="s">
        <v>3558</v>
      </c>
      <c r="J666" s="1"/>
      <c r="K666" s="1" t="s">
        <v>29</v>
      </c>
      <c r="L666" s="1" t="s">
        <v>30</v>
      </c>
      <c r="M666" s="1" t="s">
        <v>1199</v>
      </c>
      <c r="N666" s="1" t="s">
        <v>32</v>
      </c>
      <c r="O666" s="1">
        <v>40214</v>
      </c>
      <c r="P666" s="1" t="s">
        <v>33</v>
      </c>
      <c r="Q666" s="1" t="s">
        <v>422</v>
      </c>
      <c r="R666" s="1" t="s">
        <v>46</v>
      </c>
      <c r="S666" s="7">
        <v>10.74</v>
      </c>
      <c r="T666" s="1">
        <v>4</v>
      </c>
      <c r="U666" s="9">
        <v>10.199999999999999</v>
      </c>
      <c r="V666" s="9">
        <v>42.96</v>
      </c>
      <c r="W666" s="9">
        <v>40.799999999999997</v>
      </c>
      <c r="X666" s="12">
        <v>2.1600000000000037</v>
      </c>
      <c r="Y666" s="10">
        <v>2017</v>
      </c>
    </row>
    <row r="667" spans="1:25">
      <c r="A667" s="1" t="s">
        <v>1776</v>
      </c>
      <c r="B667" s="8">
        <v>43318</v>
      </c>
      <c r="C667" s="11" t="s">
        <v>3344</v>
      </c>
      <c r="D667" s="11" t="s">
        <v>3345</v>
      </c>
      <c r="E667" s="5">
        <v>43379</v>
      </c>
      <c r="F667" s="1" t="s">
        <v>26</v>
      </c>
      <c r="G667" s="1" t="s">
        <v>1777</v>
      </c>
      <c r="H667" s="1" t="s">
        <v>3763</v>
      </c>
      <c r="I667" s="1" t="s">
        <v>3764</v>
      </c>
      <c r="J667" s="1"/>
      <c r="K667" s="1" t="s">
        <v>41</v>
      </c>
      <c r="L667" s="1" t="s">
        <v>30</v>
      </c>
      <c r="M667" s="1" t="s">
        <v>677</v>
      </c>
      <c r="N667" s="1" t="s">
        <v>89</v>
      </c>
      <c r="O667" s="1">
        <v>75081</v>
      </c>
      <c r="P667" s="1" t="s">
        <v>90</v>
      </c>
      <c r="Q667" s="1" t="s">
        <v>1779</v>
      </c>
      <c r="R667" s="1" t="s">
        <v>46</v>
      </c>
      <c r="S667" s="7">
        <v>23.76</v>
      </c>
      <c r="T667" s="1">
        <v>7</v>
      </c>
      <c r="U667" s="9">
        <v>23.17</v>
      </c>
      <c r="V667" s="9">
        <v>166.32000000000002</v>
      </c>
      <c r="W667" s="9">
        <v>162.19</v>
      </c>
      <c r="X667" s="12">
        <v>4.1300000000000239</v>
      </c>
      <c r="Y667" s="10">
        <v>2018</v>
      </c>
    </row>
    <row r="668" spans="1:25">
      <c r="A668" s="1" t="s">
        <v>1776</v>
      </c>
      <c r="B668" s="8">
        <v>43318</v>
      </c>
      <c r="C668" s="11" t="s">
        <v>3344</v>
      </c>
      <c r="D668" s="11" t="s">
        <v>3345</v>
      </c>
      <c r="E668" s="5">
        <v>43379</v>
      </c>
      <c r="F668" s="1" t="s">
        <v>26</v>
      </c>
      <c r="G668" s="1" t="s">
        <v>1777</v>
      </c>
      <c r="H668" s="1" t="s">
        <v>3763</v>
      </c>
      <c r="I668" s="1" t="s">
        <v>3764</v>
      </c>
      <c r="J668" s="1"/>
      <c r="K668" s="1" t="s">
        <v>41</v>
      </c>
      <c r="L668" s="1" t="s">
        <v>30</v>
      </c>
      <c r="M668" s="1" t="s">
        <v>677</v>
      </c>
      <c r="N668" s="1" t="s">
        <v>89</v>
      </c>
      <c r="O668" s="1">
        <v>75081</v>
      </c>
      <c r="P668" s="1" t="s">
        <v>90</v>
      </c>
      <c r="Q668" s="1" t="s">
        <v>864</v>
      </c>
      <c r="R668" s="1" t="s">
        <v>46</v>
      </c>
      <c r="S668" s="7">
        <v>85.055999999999997</v>
      </c>
      <c r="T668" s="1">
        <v>7</v>
      </c>
      <c r="U668" s="9">
        <v>84.29</v>
      </c>
      <c r="V668" s="9">
        <v>595.39199999999994</v>
      </c>
      <c r="W668" s="9">
        <v>590.03000000000009</v>
      </c>
      <c r="X668" s="12">
        <v>5.3619999999998527</v>
      </c>
      <c r="Y668" s="10">
        <v>2018</v>
      </c>
    </row>
    <row r="669" spans="1:25">
      <c r="A669" s="1" t="s">
        <v>1776</v>
      </c>
      <c r="B669" s="8">
        <v>43318</v>
      </c>
      <c r="C669" s="11" t="s">
        <v>3344</v>
      </c>
      <c r="D669" s="11" t="s">
        <v>3345</v>
      </c>
      <c r="E669" s="5">
        <v>43379</v>
      </c>
      <c r="F669" s="1" t="s">
        <v>26</v>
      </c>
      <c r="G669" s="1" t="s">
        <v>1777</v>
      </c>
      <c r="H669" s="1" t="s">
        <v>3763</v>
      </c>
      <c r="I669" s="1" t="s">
        <v>3764</v>
      </c>
      <c r="J669" s="1"/>
      <c r="K669" s="1" t="s">
        <v>41</v>
      </c>
      <c r="L669" s="1" t="s">
        <v>30</v>
      </c>
      <c r="M669" s="1" t="s">
        <v>677</v>
      </c>
      <c r="N669" s="1" t="s">
        <v>89</v>
      </c>
      <c r="O669" s="1">
        <v>75081</v>
      </c>
      <c r="P669" s="1" t="s">
        <v>90</v>
      </c>
      <c r="Q669" s="1" t="s">
        <v>1780</v>
      </c>
      <c r="R669" s="1" t="s">
        <v>64</v>
      </c>
      <c r="S669" s="7">
        <v>381.57600000000002</v>
      </c>
      <c r="T669" s="1">
        <v>7</v>
      </c>
      <c r="U669" s="9">
        <v>380.78</v>
      </c>
      <c r="V669" s="9">
        <v>2671.0320000000002</v>
      </c>
      <c r="W669" s="9">
        <v>2665.46</v>
      </c>
      <c r="X669" s="12">
        <v>5.5720000000001164</v>
      </c>
      <c r="Y669" s="10">
        <v>2018</v>
      </c>
    </row>
    <row r="670" spans="1:25">
      <c r="A670" s="1" t="s">
        <v>1781</v>
      </c>
      <c r="B670" s="8">
        <v>42362</v>
      </c>
      <c r="C670" s="11" t="s">
        <v>3348</v>
      </c>
      <c r="D670" s="11" t="s">
        <v>3349</v>
      </c>
      <c r="E670" s="5" t="s">
        <v>1153</v>
      </c>
      <c r="F670" s="1" t="s">
        <v>162</v>
      </c>
      <c r="G670" s="1" t="s">
        <v>1782</v>
      </c>
      <c r="H670" s="1" t="s">
        <v>3765</v>
      </c>
      <c r="I670" s="1" t="s">
        <v>3766</v>
      </c>
      <c r="J670" s="1"/>
      <c r="K670" s="1" t="s">
        <v>29</v>
      </c>
      <c r="L670" s="1" t="s">
        <v>30</v>
      </c>
      <c r="M670" s="1" t="s">
        <v>1784</v>
      </c>
      <c r="N670" s="1" t="s">
        <v>421</v>
      </c>
      <c r="O670" s="1">
        <v>44105</v>
      </c>
      <c r="P670" s="1" t="s">
        <v>128</v>
      </c>
      <c r="Q670" s="1" t="s">
        <v>1785</v>
      </c>
      <c r="R670" s="1" t="s">
        <v>35</v>
      </c>
      <c r="S670" s="7">
        <v>30.36</v>
      </c>
      <c r="T670" s="1">
        <v>4</v>
      </c>
      <c r="U670" s="9">
        <v>29.57</v>
      </c>
      <c r="V670" s="9">
        <v>121.44</v>
      </c>
      <c r="W670" s="9">
        <v>118.28</v>
      </c>
      <c r="X670" s="12">
        <v>3.1599999999999966</v>
      </c>
      <c r="Y670" s="10">
        <v>2015</v>
      </c>
    </row>
    <row r="671" spans="1:25">
      <c r="A671" s="1" t="s">
        <v>1786</v>
      </c>
      <c r="B671" s="8">
        <v>43349</v>
      </c>
      <c r="C671" s="11" t="s">
        <v>3356</v>
      </c>
      <c r="D671" s="11" t="s">
        <v>3345</v>
      </c>
      <c r="E671" s="5" t="s">
        <v>1351</v>
      </c>
      <c r="F671" s="1" t="s">
        <v>49</v>
      </c>
      <c r="G671" s="1" t="s">
        <v>1683</v>
      </c>
      <c r="H671" s="1" t="s">
        <v>3743</v>
      </c>
      <c r="I671" s="1" t="s">
        <v>3744</v>
      </c>
      <c r="J671" s="1"/>
      <c r="K671" s="1" t="s">
        <v>87</v>
      </c>
      <c r="L671" s="1" t="s">
        <v>30</v>
      </c>
      <c r="M671" s="1" t="s">
        <v>259</v>
      </c>
      <c r="N671" s="1" t="s">
        <v>182</v>
      </c>
      <c r="O671" s="1">
        <v>60653</v>
      </c>
      <c r="P671" s="1" t="s">
        <v>90</v>
      </c>
      <c r="Q671" s="1" t="s">
        <v>1787</v>
      </c>
      <c r="R671" s="1" t="s">
        <v>35</v>
      </c>
      <c r="S671" s="7">
        <v>23.975999999999999</v>
      </c>
      <c r="T671" s="1">
        <v>6</v>
      </c>
      <c r="U671" s="9">
        <v>23.68</v>
      </c>
      <c r="V671" s="9">
        <v>143.85599999999999</v>
      </c>
      <c r="W671" s="9">
        <v>142.07999999999998</v>
      </c>
      <c r="X671" s="12">
        <v>1.7760000000000105</v>
      </c>
      <c r="Y671" s="10">
        <v>2018</v>
      </c>
    </row>
    <row r="672" spans="1:25">
      <c r="A672" s="1" t="s">
        <v>1786</v>
      </c>
      <c r="B672" s="8">
        <v>43349</v>
      </c>
      <c r="C672" s="11" t="s">
        <v>3356</v>
      </c>
      <c r="D672" s="11" t="s">
        <v>3345</v>
      </c>
      <c r="E672" s="5" t="s">
        <v>1351</v>
      </c>
      <c r="F672" s="1" t="s">
        <v>49</v>
      </c>
      <c r="G672" s="1" t="s">
        <v>1683</v>
      </c>
      <c r="H672" s="1" t="s">
        <v>3743</v>
      </c>
      <c r="I672" s="1" t="s">
        <v>3744</v>
      </c>
      <c r="J672" s="1"/>
      <c r="K672" s="1" t="s">
        <v>87</v>
      </c>
      <c r="L672" s="1" t="s">
        <v>30</v>
      </c>
      <c r="M672" s="1" t="s">
        <v>259</v>
      </c>
      <c r="N672" s="1" t="s">
        <v>182</v>
      </c>
      <c r="O672" s="1">
        <v>60653</v>
      </c>
      <c r="P672" s="1" t="s">
        <v>90</v>
      </c>
      <c r="Q672" s="1" t="s">
        <v>1788</v>
      </c>
      <c r="R672" s="1" t="s">
        <v>35</v>
      </c>
      <c r="S672" s="7">
        <v>108.925</v>
      </c>
      <c r="T672" s="1">
        <v>6</v>
      </c>
      <c r="U672" s="9">
        <v>108.54</v>
      </c>
      <c r="V672" s="9">
        <v>653.54999999999995</v>
      </c>
      <c r="W672" s="9">
        <v>651.24</v>
      </c>
      <c r="X672" s="12">
        <v>2.3099999999999454</v>
      </c>
      <c r="Y672" s="10">
        <v>2018</v>
      </c>
    </row>
    <row r="673" spans="1:25">
      <c r="A673" s="1" t="s">
        <v>1786</v>
      </c>
      <c r="B673" s="8">
        <v>43349</v>
      </c>
      <c r="C673" s="11" t="s">
        <v>3356</v>
      </c>
      <c r="D673" s="11" t="s">
        <v>3345</v>
      </c>
      <c r="E673" s="5" t="s">
        <v>1351</v>
      </c>
      <c r="F673" s="1" t="s">
        <v>49</v>
      </c>
      <c r="G673" s="1" t="s">
        <v>1683</v>
      </c>
      <c r="H673" s="1" t="s">
        <v>3743</v>
      </c>
      <c r="I673" s="1" t="s">
        <v>3744</v>
      </c>
      <c r="J673" s="1"/>
      <c r="K673" s="1" t="s">
        <v>87</v>
      </c>
      <c r="L673" s="1" t="s">
        <v>30</v>
      </c>
      <c r="M673" s="1" t="s">
        <v>259</v>
      </c>
      <c r="N673" s="1" t="s">
        <v>182</v>
      </c>
      <c r="O673" s="1">
        <v>60653</v>
      </c>
      <c r="P673" s="1" t="s">
        <v>90</v>
      </c>
      <c r="Q673" s="1" t="s">
        <v>468</v>
      </c>
      <c r="R673" s="1" t="s">
        <v>46</v>
      </c>
      <c r="S673" s="7">
        <v>36.351999999999997</v>
      </c>
      <c r="T673" s="1">
        <v>6</v>
      </c>
      <c r="U673" s="9">
        <v>36.08</v>
      </c>
      <c r="V673" s="9">
        <v>218.11199999999997</v>
      </c>
      <c r="W673" s="9">
        <v>216.48</v>
      </c>
      <c r="X673" s="12">
        <v>1.6319999999999766</v>
      </c>
      <c r="Y673" s="10">
        <v>2018</v>
      </c>
    </row>
    <row r="674" spans="1:25">
      <c r="A674" s="1" t="s">
        <v>1789</v>
      </c>
      <c r="B674" s="8">
        <v>43266</v>
      </c>
      <c r="C674" s="11" t="s">
        <v>3403</v>
      </c>
      <c r="D674" s="11" t="s">
        <v>3360</v>
      </c>
      <c r="E674" s="5" t="s">
        <v>1790</v>
      </c>
      <c r="F674" s="1" t="s">
        <v>49</v>
      </c>
      <c r="G674" s="1" t="s">
        <v>1011</v>
      </c>
      <c r="H674" s="1" t="s">
        <v>3488</v>
      </c>
      <c r="I674" s="1" t="s">
        <v>3596</v>
      </c>
      <c r="J674" s="1"/>
      <c r="K674" s="1" t="s">
        <v>29</v>
      </c>
      <c r="L674" s="1" t="s">
        <v>30</v>
      </c>
      <c r="M674" s="1" t="s">
        <v>1074</v>
      </c>
      <c r="N674" s="1" t="s">
        <v>182</v>
      </c>
      <c r="O674" s="1">
        <v>62301</v>
      </c>
      <c r="P674" s="1" t="s">
        <v>90</v>
      </c>
      <c r="Q674" s="1" t="s">
        <v>1791</v>
      </c>
      <c r="R674" s="1" t="s">
        <v>46</v>
      </c>
      <c r="S674" s="7">
        <v>19.559999999999999</v>
      </c>
      <c r="T674" s="1">
        <v>6</v>
      </c>
      <c r="U674" s="9">
        <v>18.66</v>
      </c>
      <c r="V674" s="9">
        <v>117.35999999999999</v>
      </c>
      <c r="W674" s="9">
        <v>111.96000000000001</v>
      </c>
      <c r="X674" s="12">
        <v>5.3999999999999773</v>
      </c>
      <c r="Y674" s="10">
        <v>2018</v>
      </c>
    </row>
    <row r="675" spans="1:25">
      <c r="A675" s="1" t="s">
        <v>1792</v>
      </c>
      <c r="B675" s="8">
        <v>43232</v>
      </c>
      <c r="C675" s="11" t="s">
        <v>3363</v>
      </c>
      <c r="D675" s="11" t="s">
        <v>3360</v>
      </c>
      <c r="E675" s="5">
        <v>43324</v>
      </c>
      <c r="F675" s="1" t="s">
        <v>162</v>
      </c>
      <c r="G675" s="1" t="s">
        <v>1793</v>
      </c>
      <c r="H675" s="1" t="s">
        <v>3693</v>
      </c>
      <c r="I675" s="1" t="s">
        <v>3767</v>
      </c>
      <c r="J675" s="1"/>
      <c r="K675" s="1" t="s">
        <v>29</v>
      </c>
      <c r="L675" s="1" t="s">
        <v>30</v>
      </c>
      <c r="M675" s="1" t="s">
        <v>420</v>
      </c>
      <c r="N675" s="1" t="s">
        <v>224</v>
      </c>
      <c r="O675" s="1">
        <v>47201</v>
      </c>
      <c r="P675" s="1" t="s">
        <v>90</v>
      </c>
      <c r="Q675" s="1" t="s">
        <v>1795</v>
      </c>
      <c r="R675" s="1" t="s">
        <v>46</v>
      </c>
      <c r="S675" s="7">
        <v>61.44</v>
      </c>
      <c r="T675" s="1">
        <v>4</v>
      </c>
      <c r="U675" s="9">
        <v>60.91</v>
      </c>
      <c r="V675" s="9">
        <v>245.76</v>
      </c>
      <c r="W675" s="9">
        <v>243.64</v>
      </c>
      <c r="X675" s="12">
        <v>2.1200000000000045</v>
      </c>
      <c r="Y675" s="10">
        <v>2018</v>
      </c>
    </row>
    <row r="676" spans="1:25">
      <c r="A676" s="1" t="s">
        <v>1792</v>
      </c>
      <c r="B676" s="8">
        <v>43232</v>
      </c>
      <c r="C676" s="11" t="s">
        <v>3363</v>
      </c>
      <c r="D676" s="11" t="s">
        <v>3360</v>
      </c>
      <c r="E676" s="5">
        <v>43324</v>
      </c>
      <c r="F676" s="1" t="s">
        <v>162</v>
      </c>
      <c r="G676" s="1" t="s">
        <v>1793</v>
      </c>
      <c r="H676" s="1" t="s">
        <v>3693</v>
      </c>
      <c r="I676" s="1" t="s">
        <v>3767</v>
      </c>
      <c r="J676" s="1"/>
      <c r="K676" s="1" t="s">
        <v>29</v>
      </c>
      <c r="L676" s="1" t="s">
        <v>30</v>
      </c>
      <c r="M676" s="1" t="s">
        <v>420</v>
      </c>
      <c r="N676" s="1" t="s">
        <v>224</v>
      </c>
      <c r="O676" s="1">
        <v>47201</v>
      </c>
      <c r="P676" s="1" t="s">
        <v>90</v>
      </c>
      <c r="Q676" s="1" t="s">
        <v>1796</v>
      </c>
      <c r="R676" s="1" t="s">
        <v>46</v>
      </c>
      <c r="S676" s="7">
        <v>38.9</v>
      </c>
      <c r="T676" s="1">
        <v>4</v>
      </c>
      <c r="U676" s="9">
        <v>38.1</v>
      </c>
      <c r="V676" s="9">
        <v>155.6</v>
      </c>
      <c r="W676" s="9">
        <v>152.4</v>
      </c>
      <c r="X676" s="12">
        <v>3.1999999999999886</v>
      </c>
      <c r="Y676" s="10">
        <v>2018</v>
      </c>
    </row>
    <row r="677" spans="1:25">
      <c r="A677" s="1" t="s">
        <v>1792</v>
      </c>
      <c r="B677" s="8">
        <v>43232</v>
      </c>
      <c r="C677" s="11" t="s">
        <v>3363</v>
      </c>
      <c r="D677" s="11" t="s">
        <v>3360</v>
      </c>
      <c r="E677" s="5">
        <v>43324</v>
      </c>
      <c r="F677" s="1" t="s">
        <v>162</v>
      </c>
      <c r="G677" s="1" t="s">
        <v>1793</v>
      </c>
      <c r="H677" s="1" t="s">
        <v>3693</v>
      </c>
      <c r="I677" s="1" t="s">
        <v>3767</v>
      </c>
      <c r="J677" s="1"/>
      <c r="K677" s="1" t="s">
        <v>29</v>
      </c>
      <c r="L677" s="1" t="s">
        <v>30</v>
      </c>
      <c r="M677" s="1" t="s">
        <v>420</v>
      </c>
      <c r="N677" s="1" t="s">
        <v>224</v>
      </c>
      <c r="O677" s="1">
        <v>47201</v>
      </c>
      <c r="P677" s="1" t="s">
        <v>90</v>
      </c>
      <c r="Q677" s="1" t="s">
        <v>747</v>
      </c>
      <c r="R677" s="1" t="s">
        <v>64</v>
      </c>
      <c r="S677" s="7">
        <v>99.39</v>
      </c>
      <c r="T677" s="1">
        <v>4</v>
      </c>
      <c r="U677" s="9">
        <v>99.38</v>
      </c>
      <c r="V677" s="9">
        <v>397.56</v>
      </c>
      <c r="W677" s="9">
        <v>397.52</v>
      </c>
      <c r="X677" s="12">
        <v>4.0000000000020464E-2</v>
      </c>
      <c r="Y677" s="10">
        <v>2018</v>
      </c>
    </row>
    <row r="678" spans="1:25">
      <c r="A678" s="1" t="s">
        <v>1797</v>
      </c>
      <c r="B678" s="8">
        <v>43177</v>
      </c>
      <c r="C678" s="11" t="s">
        <v>3429</v>
      </c>
      <c r="D678" s="11" t="s">
        <v>3382</v>
      </c>
      <c r="E678" s="5" t="s">
        <v>1798</v>
      </c>
      <c r="F678" s="1" t="s">
        <v>49</v>
      </c>
      <c r="G678" s="1" t="s">
        <v>1799</v>
      </c>
      <c r="H678" s="1" t="s">
        <v>3768</v>
      </c>
      <c r="I678" s="1" t="s">
        <v>3769</v>
      </c>
      <c r="J678" s="1"/>
      <c r="K678" s="1" t="s">
        <v>29</v>
      </c>
      <c r="L678" s="1" t="s">
        <v>30</v>
      </c>
      <c r="M678" s="1" t="s">
        <v>1801</v>
      </c>
      <c r="N678" s="1" t="s">
        <v>89</v>
      </c>
      <c r="O678" s="1">
        <v>75701</v>
      </c>
      <c r="P678" s="1" t="s">
        <v>90</v>
      </c>
      <c r="Q678" s="1" t="s">
        <v>1802</v>
      </c>
      <c r="R678" s="1" t="s">
        <v>46</v>
      </c>
      <c r="S678" s="7">
        <v>2.6880000000000002</v>
      </c>
      <c r="T678" s="1">
        <v>7</v>
      </c>
      <c r="U678" s="9">
        <v>2.5499999999999998</v>
      </c>
      <c r="V678" s="9">
        <v>18.816000000000003</v>
      </c>
      <c r="W678" s="9">
        <v>17.849999999999998</v>
      </c>
      <c r="X678" s="12">
        <v>0.96600000000000463</v>
      </c>
      <c r="Y678" s="10">
        <v>2018</v>
      </c>
    </row>
    <row r="679" spans="1:25">
      <c r="A679" s="1" t="s">
        <v>1797</v>
      </c>
      <c r="B679" s="8">
        <v>43177</v>
      </c>
      <c r="C679" s="11" t="s">
        <v>3429</v>
      </c>
      <c r="D679" s="11" t="s">
        <v>3382</v>
      </c>
      <c r="E679" s="5" t="s">
        <v>1798</v>
      </c>
      <c r="F679" s="1" t="s">
        <v>49</v>
      </c>
      <c r="G679" s="1" t="s">
        <v>1799</v>
      </c>
      <c r="H679" s="1" t="s">
        <v>3768</v>
      </c>
      <c r="I679" s="1" t="s">
        <v>3769</v>
      </c>
      <c r="J679" s="1"/>
      <c r="K679" s="1" t="s">
        <v>29</v>
      </c>
      <c r="L679" s="1" t="s">
        <v>30</v>
      </c>
      <c r="M679" s="1" t="s">
        <v>1801</v>
      </c>
      <c r="N679" s="1" t="s">
        <v>89</v>
      </c>
      <c r="O679" s="1">
        <v>75701</v>
      </c>
      <c r="P679" s="1" t="s">
        <v>90</v>
      </c>
      <c r="Q679" s="1" t="s">
        <v>1803</v>
      </c>
      <c r="R679" s="1" t="s">
        <v>64</v>
      </c>
      <c r="S679" s="7">
        <v>27.815999999999999</v>
      </c>
      <c r="T679" s="1">
        <v>7</v>
      </c>
      <c r="U679" s="9">
        <v>26.86</v>
      </c>
      <c r="V679" s="9">
        <v>194.71199999999999</v>
      </c>
      <c r="W679" s="9">
        <v>188.01999999999998</v>
      </c>
      <c r="X679" s="12">
        <v>6.6920000000000073</v>
      </c>
      <c r="Y679" s="10">
        <v>2018</v>
      </c>
    </row>
    <row r="680" spans="1:25">
      <c r="A680" s="1" t="s">
        <v>1797</v>
      </c>
      <c r="B680" s="8">
        <v>43177</v>
      </c>
      <c r="C680" s="11" t="s">
        <v>3429</v>
      </c>
      <c r="D680" s="11" t="s">
        <v>3382</v>
      </c>
      <c r="E680" s="5" t="s">
        <v>1798</v>
      </c>
      <c r="F680" s="1" t="s">
        <v>49</v>
      </c>
      <c r="G680" s="1" t="s">
        <v>1799</v>
      </c>
      <c r="H680" s="1" t="s">
        <v>3768</v>
      </c>
      <c r="I680" s="1" t="s">
        <v>3769</v>
      </c>
      <c r="J680" s="1"/>
      <c r="K680" s="1" t="s">
        <v>29</v>
      </c>
      <c r="L680" s="1" t="s">
        <v>30</v>
      </c>
      <c r="M680" s="1" t="s">
        <v>1801</v>
      </c>
      <c r="N680" s="1" t="s">
        <v>89</v>
      </c>
      <c r="O680" s="1">
        <v>75701</v>
      </c>
      <c r="P680" s="1" t="s">
        <v>90</v>
      </c>
      <c r="Q680" s="1" t="s">
        <v>1804</v>
      </c>
      <c r="R680" s="1" t="s">
        <v>35</v>
      </c>
      <c r="S680" s="7">
        <v>82.524000000000001</v>
      </c>
      <c r="T680" s="1">
        <v>7</v>
      </c>
      <c r="U680" s="9">
        <v>82.06</v>
      </c>
      <c r="V680" s="9">
        <v>577.66800000000001</v>
      </c>
      <c r="W680" s="9">
        <v>574.42000000000007</v>
      </c>
      <c r="X680" s="12">
        <v>3.2479999999999336</v>
      </c>
      <c r="Y680" s="10">
        <v>2018</v>
      </c>
    </row>
    <row r="681" spans="1:25">
      <c r="A681" s="1" t="s">
        <v>1797</v>
      </c>
      <c r="B681" s="8">
        <v>43177</v>
      </c>
      <c r="C681" s="11" t="s">
        <v>3429</v>
      </c>
      <c r="D681" s="11" t="s">
        <v>3382</v>
      </c>
      <c r="E681" s="5" t="s">
        <v>1798</v>
      </c>
      <c r="F681" s="1" t="s">
        <v>49</v>
      </c>
      <c r="G681" s="1" t="s">
        <v>1799</v>
      </c>
      <c r="H681" s="1" t="s">
        <v>3768</v>
      </c>
      <c r="I681" s="1" t="s">
        <v>3769</v>
      </c>
      <c r="J681" s="1"/>
      <c r="K681" s="1" t="s">
        <v>29</v>
      </c>
      <c r="L681" s="1" t="s">
        <v>30</v>
      </c>
      <c r="M681" s="1" t="s">
        <v>1801</v>
      </c>
      <c r="N681" s="1" t="s">
        <v>89</v>
      </c>
      <c r="O681" s="1">
        <v>75701</v>
      </c>
      <c r="P681" s="1" t="s">
        <v>90</v>
      </c>
      <c r="Q681" s="1" t="s">
        <v>1805</v>
      </c>
      <c r="R681" s="1" t="s">
        <v>46</v>
      </c>
      <c r="S681" s="7">
        <v>182.994</v>
      </c>
      <c r="T681" s="1">
        <v>7</v>
      </c>
      <c r="U681" s="9">
        <v>182.04</v>
      </c>
      <c r="V681" s="9">
        <v>1280.9580000000001</v>
      </c>
      <c r="W681" s="9">
        <v>1274.28</v>
      </c>
      <c r="X681" s="12">
        <v>6.678000000000111</v>
      </c>
      <c r="Y681" s="10">
        <v>2018</v>
      </c>
    </row>
    <row r="682" spans="1:25">
      <c r="A682" s="1" t="s">
        <v>1806</v>
      </c>
      <c r="B682" s="8">
        <v>43058</v>
      </c>
      <c r="C682" s="11" t="s">
        <v>3353</v>
      </c>
      <c r="D682" s="11" t="s">
        <v>3349</v>
      </c>
      <c r="E682" s="5" t="s">
        <v>536</v>
      </c>
      <c r="F682" s="1" t="s">
        <v>49</v>
      </c>
      <c r="G682" s="1" t="s">
        <v>1807</v>
      </c>
      <c r="H682" s="1" t="s">
        <v>3591</v>
      </c>
      <c r="I682" s="1" t="s">
        <v>3770</v>
      </c>
      <c r="J682" s="1"/>
      <c r="K682" s="1" t="s">
        <v>29</v>
      </c>
      <c r="L682" s="1" t="s">
        <v>30</v>
      </c>
      <c r="M682" s="1" t="s">
        <v>233</v>
      </c>
      <c r="N682" s="1" t="s">
        <v>234</v>
      </c>
      <c r="O682" s="1">
        <v>10024</v>
      </c>
      <c r="P682" s="1" t="s">
        <v>128</v>
      </c>
      <c r="Q682" s="1" t="s">
        <v>1809</v>
      </c>
      <c r="R682" s="1" t="s">
        <v>46</v>
      </c>
      <c r="S682" s="7">
        <v>14.352</v>
      </c>
      <c r="T682" s="1">
        <v>1</v>
      </c>
      <c r="U682" s="9">
        <v>14.01</v>
      </c>
      <c r="V682" s="9">
        <v>14.352</v>
      </c>
      <c r="W682" s="9">
        <v>14.01</v>
      </c>
      <c r="X682" s="12">
        <v>0.34200000000000053</v>
      </c>
      <c r="Y682" s="10">
        <v>2017</v>
      </c>
    </row>
    <row r="683" spans="1:25">
      <c r="A683" s="1" t="s">
        <v>1806</v>
      </c>
      <c r="B683" s="8">
        <v>43058</v>
      </c>
      <c r="C683" s="11" t="s">
        <v>3353</v>
      </c>
      <c r="D683" s="11" t="s">
        <v>3349</v>
      </c>
      <c r="E683" s="5" t="s">
        <v>536</v>
      </c>
      <c r="F683" s="1" t="s">
        <v>49</v>
      </c>
      <c r="G683" s="1" t="s">
        <v>1807</v>
      </c>
      <c r="H683" s="1" t="s">
        <v>3591</v>
      </c>
      <c r="I683" s="1" t="s">
        <v>3770</v>
      </c>
      <c r="J683" s="1"/>
      <c r="K683" s="1" t="s">
        <v>29</v>
      </c>
      <c r="L683" s="1" t="s">
        <v>30</v>
      </c>
      <c r="M683" s="1" t="s">
        <v>233</v>
      </c>
      <c r="N683" s="1" t="s">
        <v>234</v>
      </c>
      <c r="O683" s="1">
        <v>10024</v>
      </c>
      <c r="P683" s="1" t="s">
        <v>128</v>
      </c>
      <c r="Q683" s="1" t="s">
        <v>1810</v>
      </c>
      <c r="R683" s="1" t="s">
        <v>46</v>
      </c>
      <c r="S683" s="7">
        <v>64.959999999999994</v>
      </c>
      <c r="T683" s="1">
        <v>1</v>
      </c>
      <c r="U683" s="9">
        <v>64.55</v>
      </c>
      <c r="V683" s="9">
        <v>64.959999999999994</v>
      </c>
      <c r="W683" s="9">
        <v>64.55</v>
      </c>
      <c r="X683" s="12">
        <v>0.40999999999999659</v>
      </c>
      <c r="Y683" s="10">
        <v>2017</v>
      </c>
    </row>
    <row r="684" spans="1:25">
      <c r="A684" s="1" t="s">
        <v>1806</v>
      </c>
      <c r="B684" s="8">
        <v>43058</v>
      </c>
      <c r="C684" s="11" t="s">
        <v>3353</v>
      </c>
      <c r="D684" s="11" t="s">
        <v>3349</v>
      </c>
      <c r="E684" s="5" t="s">
        <v>536</v>
      </c>
      <c r="F684" s="1" t="s">
        <v>49</v>
      </c>
      <c r="G684" s="1" t="s">
        <v>1807</v>
      </c>
      <c r="H684" s="1" t="s">
        <v>3591</v>
      </c>
      <c r="I684" s="1" t="s">
        <v>3770</v>
      </c>
      <c r="J684" s="1"/>
      <c r="K684" s="1" t="s">
        <v>29</v>
      </c>
      <c r="L684" s="1" t="s">
        <v>30</v>
      </c>
      <c r="M684" s="1" t="s">
        <v>233</v>
      </c>
      <c r="N684" s="1" t="s">
        <v>234</v>
      </c>
      <c r="O684" s="1">
        <v>10024</v>
      </c>
      <c r="P684" s="1" t="s">
        <v>128</v>
      </c>
      <c r="Q684" s="1" t="s">
        <v>1435</v>
      </c>
      <c r="R684" s="1" t="s">
        <v>46</v>
      </c>
      <c r="S684" s="7">
        <v>68.599999999999994</v>
      </c>
      <c r="T684" s="1">
        <v>1</v>
      </c>
      <c r="U684" s="9">
        <v>68.47</v>
      </c>
      <c r="V684" s="9">
        <v>68.599999999999994</v>
      </c>
      <c r="W684" s="9">
        <v>68.47</v>
      </c>
      <c r="X684" s="12">
        <v>0.12999999999999545</v>
      </c>
      <c r="Y684" s="10">
        <v>2017</v>
      </c>
    </row>
    <row r="685" spans="1:25">
      <c r="A685" s="1" t="s">
        <v>1811</v>
      </c>
      <c r="B685" s="8">
        <v>43201</v>
      </c>
      <c r="C685" s="11" t="s">
        <v>3359</v>
      </c>
      <c r="D685" s="11" t="s">
        <v>3360</v>
      </c>
      <c r="E685" s="5">
        <v>43201</v>
      </c>
      <c r="F685" s="1" t="s">
        <v>1050</v>
      </c>
      <c r="G685" s="1" t="s">
        <v>1812</v>
      </c>
      <c r="H685" s="1" t="s">
        <v>3771</v>
      </c>
      <c r="I685" s="1" t="s">
        <v>3606</v>
      </c>
      <c r="J685" s="1"/>
      <c r="K685" s="1" t="s">
        <v>41</v>
      </c>
      <c r="L685" s="1" t="s">
        <v>30</v>
      </c>
      <c r="M685" s="1" t="s">
        <v>1814</v>
      </c>
      <c r="N685" s="1" t="s">
        <v>75</v>
      </c>
      <c r="O685" s="1">
        <v>27217</v>
      </c>
      <c r="P685" s="1" t="s">
        <v>33</v>
      </c>
      <c r="Q685" s="1" t="s">
        <v>1815</v>
      </c>
      <c r="R685" s="1" t="s">
        <v>64</v>
      </c>
      <c r="S685" s="7">
        <v>7999.98</v>
      </c>
      <c r="T685" s="1">
        <v>2</v>
      </c>
      <c r="U685" s="9">
        <v>7999.04</v>
      </c>
      <c r="V685" s="9">
        <v>15999.96</v>
      </c>
      <c r="W685" s="9">
        <v>15998.08</v>
      </c>
      <c r="X685" s="12">
        <v>1.8799999999991996</v>
      </c>
      <c r="Y685" s="10">
        <v>2018</v>
      </c>
    </row>
    <row r="686" spans="1:25">
      <c r="A686" s="1" t="s">
        <v>1811</v>
      </c>
      <c r="B686" s="8">
        <v>43201</v>
      </c>
      <c r="C686" s="11" t="s">
        <v>3359</v>
      </c>
      <c r="D686" s="11" t="s">
        <v>3360</v>
      </c>
      <c r="E686" s="5">
        <v>43201</v>
      </c>
      <c r="F686" s="1" t="s">
        <v>1050</v>
      </c>
      <c r="G686" s="1" t="s">
        <v>1812</v>
      </c>
      <c r="H686" s="1" t="s">
        <v>3771</v>
      </c>
      <c r="I686" s="1" t="s">
        <v>3606</v>
      </c>
      <c r="J686" s="1"/>
      <c r="K686" s="1" t="s">
        <v>41</v>
      </c>
      <c r="L686" s="1" t="s">
        <v>30</v>
      </c>
      <c r="M686" s="1" t="s">
        <v>1814</v>
      </c>
      <c r="N686" s="1" t="s">
        <v>75</v>
      </c>
      <c r="O686" s="1">
        <v>27217</v>
      </c>
      <c r="P686" s="1" t="s">
        <v>33</v>
      </c>
      <c r="Q686" s="1" t="s">
        <v>1740</v>
      </c>
      <c r="R686" s="1" t="s">
        <v>46</v>
      </c>
      <c r="S686" s="7">
        <v>167.44</v>
      </c>
      <c r="T686" s="1">
        <v>2</v>
      </c>
      <c r="U686" s="9">
        <v>167.12</v>
      </c>
      <c r="V686" s="9">
        <v>334.88</v>
      </c>
      <c r="W686" s="9">
        <v>334.24</v>
      </c>
      <c r="X686" s="12">
        <v>0.63999999999998636</v>
      </c>
      <c r="Y686" s="10">
        <v>2018</v>
      </c>
    </row>
    <row r="687" spans="1:25">
      <c r="A687" s="1" t="s">
        <v>1816</v>
      </c>
      <c r="B687" s="8">
        <v>42131</v>
      </c>
      <c r="C687" s="11" t="s">
        <v>3363</v>
      </c>
      <c r="D687" s="11" t="s">
        <v>3360</v>
      </c>
      <c r="E687" s="5">
        <v>42223</v>
      </c>
      <c r="F687" s="1" t="s">
        <v>162</v>
      </c>
      <c r="G687" s="1" t="s">
        <v>1817</v>
      </c>
      <c r="H687" s="1" t="s">
        <v>3537</v>
      </c>
      <c r="I687" s="1" t="s">
        <v>3772</v>
      </c>
      <c r="J687" s="1"/>
      <c r="K687" s="1" t="s">
        <v>29</v>
      </c>
      <c r="L687" s="1" t="s">
        <v>30</v>
      </c>
      <c r="M687" s="1" t="s">
        <v>281</v>
      </c>
      <c r="N687" s="1" t="s">
        <v>1211</v>
      </c>
      <c r="O687" s="1">
        <v>39212</v>
      </c>
      <c r="P687" s="1" t="s">
        <v>33</v>
      </c>
      <c r="Q687" s="1" t="s">
        <v>1068</v>
      </c>
      <c r="R687" s="1" t="s">
        <v>64</v>
      </c>
      <c r="S687" s="7">
        <v>479.97</v>
      </c>
      <c r="T687" s="1">
        <v>3</v>
      </c>
      <c r="U687" s="9">
        <v>479.4</v>
      </c>
      <c r="V687" s="9">
        <v>1439.91</v>
      </c>
      <c r="W687" s="9">
        <v>1438.1999999999998</v>
      </c>
      <c r="X687" s="12">
        <v>1.7100000000002638</v>
      </c>
      <c r="Y687" s="10">
        <v>2015</v>
      </c>
    </row>
    <row r="688" spans="1:25">
      <c r="A688" s="1" t="s">
        <v>1816</v>
      </c>
      <c r="B688" s="8">
        <v>42131</v>
      </c>
      <c r="C688" s="11" t="s">
        <v>3363</v>
      </c>
      <c r="D688" s="11" t="s">
        <v>3360</v>
      </c>
      <c r="E688" s="5">
        <v>42223</v>
      </c>
      <c r="F688" s="1" t="s">
        <v>162</v>
      </c>
      <c r="G688" s="1" t="s">
        <v>1817</v>
      </c>
      <c r="H688" s="1" t="s">
        <v>3537</v>
      </c>
      <c r="I688" s="1" t="s">
        <v>3772</v>
      </c>
      <c r="J688" s="1"/>
      <c r="K688" s="1" t="s">
        <v>29</v>
      </c>
      <c r="L688" s="1" t="s">
        <v>30</v>
      </c>
      <c r="M688" s="1" t="s">
        <v>281</v>
      </c>
      <c r="N688" s="1" t="s">
        <v>1211</v>
      </c>
      <c r="O688" s="1">
        <v>39212</v>
      </c>
      <c r="P688" s="1" t="s">
        <v>33</v>
      </c>
      <c r="Q688" s="1" t="s">
        <v>1819</v>
      </c>
      <c r="R688" s="1" t="s">
        <v>46</v>
      </c>
      <c r="S688" s="7">
        <v>14.62</v>
      </c>
      <c r="T688" s="1">
        <v>3</v>
      </c>
      <c r="U688" s="9">
        <v>13.95</v>
      </c>
      <c r="V688" s="9">
        <v>43.86</v>
      </c>
      <c r="W688" s="9">
        <v>41.849999999999994</v>
      </c>
      <c r="X688" s="12">
        <v>2.0100000000000051</v>
      </c>
      <c r="Y688" s="10">
        <v>2015</v>
      </c>
    </row>
    <row r="689" spans="1:25">
      <c r="A689" s="1" t="s">
        <v>1816</v>
      </c>
      <c r="B689" s="8">
        <v>42131</v>
      </c>
      <c r="C689" s="11" t="s">
        <v>3363</v>
      </c>
      <c r="D689" s="11" t="s">
        <v>3360</v>
      </c>
      <c r="E689" s="5">
        <v>42223</v>
      </c>
      <c r="F689" s="1" t="s">
        <v>162</v>
      </c>
      <c r="G689" s="1" t="s">
        <v>1817</v>
      </c>
      <c r="H689" s="1" t="s">
        <v>3537</v>
      </c>
      <c r="I689" s="1" t="s">
        <v>3772</v>
      </c>
      <c r="J689" s="1"/>
      <c r="K689" s="1" t="s">
        <v>29</v>
      </c>
      <c r="L689" s="1" t="s">
        <v>30</v>
      </c>
      <c r="M689" s="1" t="s">
        <v>281</v>
      </c>
      <c r="N689" s="1" t="s">
        <v>1211</v>
      </c>
      <c r="O689" s="1">
        <v>39212</v>
      </c>
      <c r="P689" s="1" t="s">
        <v>33</v>
      </c>
      <c r="Q689" s="1" t="s">
        <v>343</v>
      </c>
      <c r="R689" s="1" t="s">
        <v>46</v>
      </c>
      <c r="S689" s="7">
        <v>19.440000000000001</v>
      </c>
      <c r="T689" s="1">
        <v>3</v>
      </c>
      <c r="U689" s="9">
        <v>19.38</v>
      </c>
      <c r="V689" s="9">
        <v>58.320000000000007</v>
      </c>
      <c r="W689" s="9">
        <v>58.14</v>
      </c>
      <c r="X689" s="12">
        <v>0.18000000000000682</v>
      </c>
      <c r="Y689" s="10">
        <v>2015</v>
      </c>
    </row>
    <row r="690" spans="1:25">
      <c r="A690" s="1" t="s">
        <v>1820</v>
      </c>
      <c r="B690" s="8">
        <v>43459</v>
      </c>
      <c r="C690" s="11" t="s">
        <v>3348</v>
      </c>
      <c r="D690" s="11" t="s">
        <v>3349</v>
      </c>
      <c r="E690" s="5" t="s">
        <v>1162</v>
      </c>
      <c r="F690" s="1" t="s">
        <v>49</v>
      </c>
      <c r="G690" s="1" t="s">
        <v>1821</v>
      </c>
      <c r="H690" s="1" t="s">
        <v>3773</v>
      </c>
      <c r="I690" s="1" t="s">
        <v>3774</v>
      </c>
      <c r="J690" s="1"/>
      <c r="K690" s="1" t="s">
        <v>29</v>
      </c>
      <c r="L690" s="1" t="s">
        <v>30</v>
      </c>
      <c r="M690" s="1" t="s">
        <v>233</v>
      </c>
      <c r="N690" s="1" t="s">
        <v>234</v>
      </c>
      <c r="O690" s="1">
        <v>10035</v>
      </c>
      <c r="P690" s="1" t="s">
        <v>128</v>
      </c>
      <c r="Q690" s="1" t="s">
        <v>1823</v>
      </c>
      <c r="R690" s="1" t="s">
        <v>35</v>
      </c>
      <c r="S690" s="7">
        <v>191.98400000000001</v>
      </c>
      <c r="T690" s="1">
        <v>1</v>
      </c>
      <c r="U690" s="9">
        <v>191.73</v>
      </c>
      <c r="V690" s="9">
        <v>191.98400000000001</v>
      </c>
      <c r="W690" s="9">
        <v>191.73</v>
      </c>
      <c r="X690" s="12">
        <v>0.2540000000000191</v>
      </c>
      <c r="Y690" s="10">
        <v>2018</v>
      </c>
    </row>
    <row r="691" spans="1:25">
      <c r="A691" s="1" t="s">
        <v>1824</v>
      </c>
      <c r="B691" s="8">
        <v>42176</v>
      </c>
      <c r="C691" s="11" t="s">
        <v>3403</v>
      </c>
      <c r="D691" s="11" t="s">
        <v>3360</v>
      </c>
      <c r="E691" s="5" t="s">
        <v>1825</v>
      </c>
      <c r="F691" s="1" t="s">
        <v>26</v>
      </c>
      <c r="G691" s="1" t="s">
        <v>1826</v>
      </c>
      <c r="H691" s="1" t="s">
        <v>3775</v>
      </c>
      <c r="I691" s="1" t="s">
        <v>3776</v>
      </c>
      <c r="J691" s="1"/>
      <c r="K691" s="1" t="s">
        <v>29</v>
      </c>
      <c r="L691" s="1" t="s">
        <v>30</v>
      </c>
      <c r="M691" s="1" t="s">
        <v>1828</v>
      </c>
      <c r="N691" s="1" t="s">
        <v>272</v>
      </c>
      <c r="O691" s="1">
        <v>22980</v>
      </c>
      <c r="P691" s="1" t="s">
        <v>33</v>
      </c>
      <c r="Q691" s="1" t="s">
        <v>1829</v>
      </c>
      <c r="R691" s="1" t="s">
        <v>35</v>
      </c>
      <c r="S691" s="7">
        <v>104.01</v>
      </c>
      <c r="T691" s="1">
        <v>2</v>
      </c>
      <c r="U691" s="9">
        <v>103.23</v>
      </c>
      <c r="V691" s="9">
        <v>208.02</v>
      </c>
      <c r="W691" s="9">
        <v>206.46</v>
      </c>
      <c r="X691" s="12">
        <v>1.5600000000000023</v>
      </c>
      <c r="Y691" s="10">
        <v>2015</v>
      </c>
    </row>
    <row r="692" spans="1:25">
      <c r="A692" s="1" t="s">
        <v>1824</v>
      </c>
      <c r="B692" s="8">
        <v>42176</v>
      </c>
      <c r="C692" s="11" t="s">
        <v>3403</v>
      </c>
      <c r="D692" s="11" t="s">
        <v>3360</v>
      </c>
      <c r="E692" s="5" t="s">
        <v>1825</v>
      </c>
      <c r="F692" s="1" t="s">
        <v>26</v>
      </c>
      <c r="G692" s="1" t="s">
        <v>1826</v>
      </c>
      <c r="H692" s="1" t="s">
        <v>3775</v>
      </c>
      <c r="I692" s="1" t="s">
        <v>3776</v>
      </c>
      <c r="J692" s="1"/>
      <c r="K692" s="1" t="s">
        <v>29</v>
      </c>
      <c r="L692" s="1" t="s">
        <v>30</v>
      </c>
      <c r="M692" s="1" t="s">
        <v>1828</v>
      </c>
      <c r="N692" s="1" t="s">
        <v>272</v>
      </c>
      <c r="O692" s="1">
        <v>22980</v>
      </c>
      <c r="P692" s="1" t="s">
        <v>33</v>
      </c>
      <c r="Q692" s="1" t="s">
        <v>69</v>
      </c>
      <c r="R692" s="1" t="s">
        <v>64</v>
      </c>
      <c r="S692" s="7">
        <v>284.82</v>
      </c>
      <c r="T692" s="1">
        <v>2</v>
      </c>
      <c r="U692" s="9">
        <v>284.3</v>
      </c>
      <c r="V692" s="9">
        <v>569.64</v>
      </c>
      <c r="W692" s="9">
        <v>568.6</v>
      </c>
      <c r="X692" s="12">
        <v>1.0399999999999636</v>
      </c>
      <c r="Y692" s="10">
        <v>2015</v>
      </c>
    </row>
    <row r="693" spans="1:25">
      <c r="A693" s="1" t="s">
        <v>1824</v>
      </c>
      <c r="B693" s="8">
        <v>42176</v>
      </c>
      <c r="C693" s="11" t="s">
        <v>3403</v>
      </c>
      <c r="D693" s="11" t="s">
        <v>3360</v>
      </c>
      <c r="E693" s="5" t="s">
        <v>1825</v>
      </c>
      <c r="F693" s="1" t="s">
        <v>26</v>
      </c>
      <c r="G693" s="1" t="s">
        <v>1826</v>
      </c>
      <c r="H693" s="1" t="s">
        <v>3775</v>
      </c>
      <c r="I693" s="1" t="s">
        <v>3776</v>
      </c>
      <c r="J693" s="1"/>
      <c r="K693" s="1" t="s">
        <v>29</v>
      </c>
      <c r="L693" s="1" t="s">
        <v>30</v>
      </c>
      <c r="M693" s="1" t="s">
        <v>1828</v>
      </c>
      <c r="N693" s="1" t="s">
        <v>272</v>
      </c>
      <c r="O693" s="1">
        <v>22980</v>
      </c>
      <c r="P693" s="1" t="s">
        <v>33</v>
      </c>
      <c r="Q693" s="1" t="s">
        <v>1830</v>
      </c>
      <c r="R693" s="1" t="s">
        <v>46</v>
      </c>
      <c r="S693" s="7">
        <v>36.840000000000003</v>
      </c>
      <c r="T693" s="1">
        <v>2</v>
      </c>
      <c r="U693" s="9">
        <v>35.94</v>
      </c>
      <c r="V693" s="9">
        <v>73.680000000000007</v>
      </c>
      <c r="W693" s="9">
        <v>71.88</v>
      </c>
      <c r="X693" s="12">
        <v>1.8000000000000114</v>
      </c>
      <c r="Y693" s="10">
        <v>2015</v>
      </c>
    </row>
    <row r="694" spans="1:25">
      <c r="A694" s="1" t="s">
        <v>1831</v>
      </c>
      <c r="B694" s="8">
        <v>42457</v>
      </c>
      <c r="C694" s="11" t="s">
        <v>3429</v>
      </c>
      <c r="D694" s="11" t="s">
        <v>3382</v>
      </c>
      <c r="E694" s="5">
        <v>42404</v>
      </c>
      <c r="F694" s="1" t="s">
        <v>49</v>
      </c>
      <c r="G694" s="1" t="s">
        <v>1832</v>
      </c>
      <c r="H694" s="1" t="s">
        <v>3468</v>
      </c>
      <c r="I694" s="1" t="s">
        <v>3777</v>
      </c>
      <c r="J694" s="1"/>
      <c r="K694" s="1" t="s">
        <v>29</v>
      </c>
      <c r="L694" s="1" t="s">
        <v>30</v>
      </c>
      <c r="M694" s="1" t="s">
        <v>42</v>
      </c>
      <c r="N694" s="1" t="s">
        <v>68</v>
      </c>
      <c r="O694" s="1">
        <v>90036</v>
      </c>
      <c r="P694" s="1" t="s">
        <v>44</v>
      </c>
      <c r="Q694" s="1" t="s">
        <v>1834</v>
      </c>
      <c r="R694" s="1" t="s">
        <v>64</v>
      </c>
      <c r="S694" s="7">
        <v>166.24</v>
      </c>
      <c r="T694" s="1">
        <v>9</v>
      </c>
      <c r="U694" s="9">
        <v>166.08</v>
      </c>
      <c r="V694" s="9">
        <v>1496.16</v>
      </c>
      <c r="W694" s="9">
        <v>1494.72</v>
      </c>
      <c r="X694" s="12">
        <v>1.4400000000000546</v>
      </c>
      <c r="Y694" s="10">
        <v>2016</v>
      </c>
    </row>
    <row r="695" spans="1:25">
      <c r="A695" s="1" t="s">
        <v>1831</v>
      </c>
      <c r="B695" s="8">
        <v>42457</v>
      </c>
      <c r="C695" s="11" t="s">
        <v>3429</v>
      </c>
      <c r="D695" s="11" t="s">
        <v>3382</v>
      </c>
      <c r="E695" s="5">
        <v>42404</v>
      </c>
      <c r="F695" s="1" t="s">
        <v>49</v>
      </c>
      <c r="G695" s="1" t="s">
        <v>1832</v>
      </c>
      <c r="H695" s="1" t="s">
        <v>3468</v>
      </c>
      <c r="I695" s="1" t="s">
        <v>3777</v>
      </c>
      <c r="J695" s="1"/>
      <c r="K695" s="1" t="s">
        <v>29</v>
      </c>
      <c r="L695" s="1" t="s">
        <v>30</v>
      </c>
      <c r="M695" s="1" t="s">
        <v>42</v>
      </c>
      <c r="N695" s="1" t="s">
        <v>68</v>
      </c>
      <c r="O695" s="1">
        <v>90036</v>
      </c>
      <c r="P695" s="1" t="s">
        <v>44</v>
      </c>
      <c r="Q695" s="1" t="s">
        <v>1835</v>
      </c>
      <c r="R695" s="1" t="s">
        <v>46</v>
      </c>
      <c r="S695" s="7">
        <v>33.4</v>
      </c>
      <c r="T695" s="1">
        <v>9</v>
      </c>
      <c r="U695" s="9">
        <v>33.380000000000003</v>
      </c>
      <c r="V695" s="9">
        <v>300.59999999999997</v>
      </c>
      <c r="W695" s="9">
        <v>300.42</v>
      </c>
      <c r="X695" s="12">
        <v>0.17999999999994998</v>
      </c>
      <c r="Y695" s="10">
        <v>2016</v>
      </c>
    </row>
    <row r="696" spans="1:25">
      <c r="A696" s="1" t="s">
        <v>1836</v>
      </c>
      <c r="B696" s="8">
        <v>42504</v>
      </c>
      <c r="C696" s="11" t="s">
        <v>3363</v>
      </c>
      <c r="D696" s="11" t="s">
        <v>3360</v>
      </c>
      <c r="E696" s="5" t="s">
        <v>1837</v>
      </c>
      <c r="F696" s="1" t="s">
        <v>162</v>
      </c>
      <c r="G696" s="1" t="s">
        <v>1838</v>
      </c>
      <c r="H696" s="1" t="s">
        <v>3778</v>
      </c>
      <c r="I696" s="1" t="s">
        <v>3779</v>
      </c>
      <c r="J696" s="1"/>
      <c r="K696" s="1" t="s">
        <v>87</v>
      </c>
      <c r="L696" s="1" t="s">
        <v>30</v>
      </c>
      <c r="M696" s="1" t="s">
        <v>1840</v>
      </c>
      <c r="N696" s="1" t="s">
        <v>127</v>
      </c>
      <c r="O696" s="1">
        <v>19013</v>
      </c>
      <c r="P696" s="1" t="s">
        <v>128</v>
      </c>
      <c r="Q696" s="1" t="s">
        <v>944</v>
      </c>
      <c r="R696" s="1" t="s">
        <v>46</v>
      </c>
      <c r="S696" s="7">
        <v>198.27199999999999</v>
      </c>
      <c r="T696" s="1">
        <v>1</v>
      </c>
      <c r="U696" s="9">
        <v>197.32</v>
      </c>
      <c r="V696" s="9">
        <v>198.27199999999999</v>
      </c>
      <c r="W696" s="9">
        <v>197.32</v>
      </c>
      <c r="X696" s="12">
        <v>0.95199999999999818</v>
      </c>
      <c r="Y696" s="10">
        <v>2016</v>
      </c>
    </row>
    <row r="697" spans="1:25">
      <c r="A697" s="1" t="s">
        <v>1836</v>
      </c>
      <c r="B697" s="8">
        <v>42504</v>
      </c>
      <c r="C697" s="11" t="s">
        <v>3363</v>
      </c>
      <c r="D697" s="11" t="s">
        <v>3360</v>
      </c>
      <c r="E697" s="5" t="s">
        <v>1837</v>
      </c>
      <c r="F697" s="1" t="s">
        <v>162</v>
      </c>
      <c r="G697" s="1" t="s">
        <v>1838</v>
      </c>
      <c r="H697" s="1" t="s">
        <v>3778</v>
      </c>
      <c r="I697" s="1" t="s">
        <v>3779</v>
      </c>
      <c r="J697" s="1"/>
      <c r="K697" s="1" t="s">
        <v>87</v>
      </c>
      <c r="L697" s="1" t="s">
        <v>30</v>
      </c>
      <c r="M697" s="1" t="s">
        <v>1840</v>
      </c>
      <c r="N697" s="1" t="s">
        <v>127</v>
      </c>
      <c r="O697" s="1">
        <v>19013</v>
      </c>
      <c r="P697" s="1" t="s">
        <v>128</v>
      </c>
      <c r="Q697" s="1" t="s">
        <v>1841</v>
      </c>
      <c r="R697" s="1" t="s">
        <v>46</v>
      </c>
      <c r="S697" s="7">
        <v>47.36</v>
      </c>
      <c r="T697" s="1">
        <v>1</v>
      </c>
      <c r="U697" s="9">
        <v>47.31</v>
      </c>
      <c r="V697" s="9">
        <v>47.36</v>
      </c>
      <c r="W697" s="9">
        <v>47.31</v>
      </c>
      <c r="X697" s="12">
        <v>4.9999999999997158E-2</v>
      </c>
      <c r="Y697" s="10">
        <v>2016</v>
      </c>
    </row>
    <row r="698" spans="1:25">
      <c r="A698" s="1" t="s">
        <v>1836</v>
      </c>
      <c r="B698" s="8">
        <v>42504</v>
      </c>
      <c r="C698" s="11" t="s">
        <v>3363</v>
      </c>
      <c r="D698" s="11" t="s">
        <v>3360</v>
      </c>
      <c r="E698" s="5" t="s">
        <v>1837</v>
      </c>
      <c r="F698" s="1" t="s">
        <v>162</v>
      </c>
      <c r="G698" s="1" t="s">
        <v>1838</v>
      </c>
      <c r="H698" s="1" t="s">
        <v>3778</v>
      </c>
      <c r="I698" s="1" t="s">
        <v>3779</v>
      </c>
      <c r="J698" s="1"/>
      <c r="K698" s="1" t="s">
        <v>87</v>
      </c>
      <c r="L698" s="1" t="s">
        <v>30</v>
      </c>
      <c r="M698" s="1" t="s">
        <v>1840</v>
      </c>
      <c r="N698" s="1" t="s">
        <v>127</v>
      </c>
      <c r="O698" s="1">
        <v>19013</v>
      </c>
      <c r="P698" s="1" t="s">
        <v>128</v>
      </c>
      <c r="Q698" s="1" t="s">
        <v>317</v>
      </c>
      <c r="R698" s="1" t="s">
        <v>46</v>
      </c>
      <c r="S698" s="7">
        <v>200.98400000000001</v>
      </c>
      <c r="T698" s="1">
        <v>1</v>
      </c>
      <c r="U698" s="9">
        <v>200.57</v>
      </c>
      <c r="V698" s="9">
        <v>200.98400000000001</v>
      </c>
      <c r="W698" s="9">
        <v>200.57</v>
      </c>
      <c r="X698" s="12">
        <v>0.41400000000001569</v>
      </c>
      <c r="Y698" s="10">
        <v>2016</v>
      </c>
    </row>
    <row r="699" spans="1:25">
      <c r="A699" s="1" t="s">
        <v>1836</v>
      </c>
      <c r="B699" s="8">
        <v>42504</v>
      </c>
      <c r="C699" s="11" t="s">
        <v>3363</v>
      </c>
      <c r="D699" s="11" t="s">
        <v>3360</v>
      </c>
      <c r="E699" s="5" t="s">
        <v>1837</v>
      </c>
      <c r="F699" s="1" t="s">
        <v>162</v>
      </c>
      <c r="G699" s="1" t="s">
        <v>1838</v>
      </c>
      <c r="H699" s="1" t="s">
        <v>3778</v>
      </c>
      <c r="I699" s="1" t="s">
        <v>3779</v>
      </c>
      <c r="J699" s="1"/>
      <c r="K699" s="1" t="s">
        <v>87</v>
      </c>
      <c r="L699" s="1" t="s">
        <v>30</v>
      </c>
      <c r="M699" s="1" t="s">
        <v>1840</v>
      </c>
      <c r="N699" s="1" t="s">
        <v>127</v>
      </c>
      <c r="O699" s="1">
        <v>19013</v>
      </c>
      <c r="P699" s="1" t="s">
        <v>128</v>
      </c>
      <c r="Q699" s="1" t="s">
        <v>1842</v>
      </c>
      <c r="R699" s="1" t="s">
        <v>46</v>
      </c>
      <c r="S699" s="7">
        <v>97.695999999999998</v>
      </c>
      <c r="T699" s="1">
        <v>1</v>
      </c>
      <c r="U699" s="9">
        <v>97.58</v>
      </c>
      <c r="V699" s="9">
        <v>97.695999999999998</v>
      </c>
      <c r="W699" s="9">
        <v>97.58</v>
      </c>
      <c r="X699" s="12">
        <v>0.11599999999999966</v>
      </c>
      <c r="Y699" s="10">
        <v>2016</v>
      </c>
    </row>
    <row r="700" spans="1:25">
      <c r="A700" s="1" t="s">
        <v>1836</v>
      </c>
      <c r="B700" s="8">
        <v>42504</v>
      </c>
      <c r="C700" s="11" t="s">
        <v>3363</v>
      </c>
      <c r="D700" s="11" t="s">
        <v>3360</v>
      </c>
      <c r="E700" s="5" t="s">
        <v>1837</v>
      </c>
      <c r="F700" s="1" t="s">
        <v>162</v>
      </c>
      <c r="G700" s="1" t="s">
        <v>1838</v>
      </c>
      <c r="H700" s="1" t="s">
        <v>3778</v>
      </c>
      <c r="I700" s="1" t="s">
        <v>3779</v>
      </c>
      <c r="J700" s="1"/>
      <c r="K700" s="1" t="s">
        <v>87</v>
      </c>
      <c r="L700" s="1" t="s">
        <v>30</v>
      </c>
      <c r="M700" s="1" t="s">
        <v>1840</v>
      </c>
      <c r="N700" s="1" t="s">
        <v>127</v>
      </c>
      <c r="O700" s="1">
        <v>19013</v>
      </c>
      <c r="P700" s="1" t="s">
        <v>128</v>
      </c>
      <c r="Q700" s="1" t="s">
        <v>1843</v>
      </c>
      <c r="R700" s="1" t="s">
        <v>46</v>
      </c>
      <c r="S700" s="7">
        <v>2.6960000000000002</v>
      </c>
      <c r="T700" s="1">
        <v>1</v>
      </c>
      <c r="U700" s="9">
        <v>2.67</v>
      </c>
      <c r="V700" s="9">
        <v>2.6960000000000002</v>
      </c>
      <c r="W700" s="9">
        <v>2.67</v>
      </c>
      <c r="X700" s="12">
        <v>2.6000000000000245E-2</v>
      </c>
      <c r="Y700" s="10">
        <v>2016</v>
      </c>
    </row>
    <row r="701" spans="1:25">
      <c r="A701" s="1" t="s">
        <v>1836</v>
      </c>
      <c r="B701" s="8">
        <v>42504</v>
      </c>
      <c r="C701" s="11" t="s">
        <v>3363</v>
      </c>
      <c r="D701" s="11" t="s">
        <v>3360</v>
      </c>
      <c r="E701" s="5" t="s">
        <v>1837</v>
      </c>
      <c r="F701" s="1" t="s">
        <v>162</v>
      </c>
      <c r="G701" s="1" t="s">
        <v>1838</v>
      </c>
      <c r="H701" s="1" t="s">
        <v>3778</v>
      </c>
      <c r="I701" s="1" t="s">
        <v>3779</v>
      </c>
      <c r="J701" s="1"/>
      <c r="K701" s="1" t="s">
        <v>87</v>
      </c>
      <c r="L701" s="1" t="s">
        <v>30</v>
      </c>
      <c r="M701" s="1" t="s">
        <v>1840</v>
      </c>
      <c r="N701" s="1" t="s">
        <v>127</v>
      </c>
      <c r="O701" s="1">
        <v>19013</v>
      </c>
      <c r="P701" s="1" t="s">
        <v>128</v>
      </c>
      <c r="Q701" s="1" t="s">
        <v>1844</v>
      </c>
      <c r="R701" s="1" t="s">
        <v>46</v>
      </c>
      <c r="S701" s="7">
        <v>18.588000000000001</v>
      </c>
      <c r="T701" s="1">
        <v>1</v>
      </c>
      <c r="U701" s="9">
        <v>18</v>
      </c>
      <c r="V701" s="9">
        <v>18.588000000000001</v>
      </c>
      <c r="W701" s="9">
        <v>18</v>
      </c>
      <c r="X701" s="12">
        <v>0.58800000000000097</v>
      </c>
      <c r="Y701" s="10">
        <v>2016</v>
      </c>
    </row>
    <row r="702" spans="1:25">
      <c r="A702" s="1" t="s">
        <v>1836</v>
      </c>
      <c r="B702" s="8">
        <v>42504</v>
      </c>
      <c r="C702" s="11" t="s">
        <v>3363</v>
      </c>
      <c r="D702" s="11" t="s">
        <v>3360</v>
      </c>
      <c r="E702" s="5" t="s">
        <v>1837</v>
      </c>
      <c r="F702" s="1" t="s">
        <v>162</v>
      </c>
      <c r="G702" s="1" t="s">
        <v>1838</v>
      </c>
      <c r="H702" s="1" t="s">
        <v>3778</v>
      </c>
      <c r="I702" s="1" t="s">
        <v>3779</v>
      </c>
      <c r="J702" s="1"/>
      <c r="K702" s="1" t="s">
        <v>87</v>
      </c>
      <c r="L702" s="1" t="s">
        <v>30</v>
      </c>
      <c r="M702" s="1" t="s">
        <v>1840</v>
      </c>
      <c r="N702" s="1" t="s">
        <v>127</v>
      </c>
      <c r="O702" s="1">
        <v>19013</v>
      </c>
      <c r="P702" s="1" t="s">
        <v>128</v>
      </c>
      <c r="Q702" s="1" t="s">
        <v>982</v>
      </c>
      <c r="R702" s="1" t="s">
        <v>46</v>
      </c>
      <c r="S702" s="7">
        <v>4.8959999999999999</v>
      </c>
      <c r="T702" s="1">
        <v>1</v>
      </c>
      <c r="U702" s="9">
        <v>4.29</v>
      </c>
      <c r="V702" s="9">
        <v>4.8959999999999999</v>
      </c>
      <c r="W702" s="9">
        <v>4.29</v>
      </c>
      <c r="X702" s="12">
        <v>0.60599999999999987</v>
      </c>
      <c r="Y702" s="10">
        <v>2016</v>
      </c>
    </row>
    <row r="703" spans="1:25">
      <c r="A703" s="1" t="s">
        <v>1845</v>
      </c>
      <c r="B703" s="8">
        <v>43140</v>
      </c>
      <c r="C703" s="11" t="s">
        <v>3461</v>
      </c>
      <c r="D703" s="11" t="s">
        <v>3382</v>
      </c>
      <c r="E703" s="5">
        <v>43321</v>
      </c>
      <c r="F703" s="1" t="s">
        <v>49</v>
      </c>
      <c r="G703" s="1" t="s">
        <v>797</v>
      </c>
      <c r="H703" s="1" t="s">
        <v>3555</v>
      </c>
      <c r="I703" s="1" t="s">
        <v>3556</v>
      </c>
      <c r="J703" s="1"/>
      <c r="K703" s="1" t="s">
        <v>41</v>
      </c>
      <c r="L703" s="1" t="s">
        <v>30</v>
      </c>
      <c r="M703" s="1" t="s">
        <v>1784</v>
      </c>
      <c r="N703" s="1" t="s">
        <v>421</v>
      </c>
      <c r="O703" s="1">
        <v>44105</v>
      </c>
      <c r="P703" s="1" t="s">
        <v>128</v>
      </c>
      <c r="Q703" s="1" t="s">
        <v>682</v>
      </c>
      <c r="R703" s="1" t="s">
        <v>35</v>
      </c>
      <c r="S703" s="7">
        <v>15.071999999999999</v>
      </c>
      <c r="T703" s="1">
        <v>4</v>
      </c>
      <c r="U703" s="9">
        <v>15.04</v>
      </c>
      <c r="V703" s="9">
        <v>60.287999999999997</v>
      </c>
      <c r="W703" s="9">
        <v>60.16</v>
      </c>
      <c r="X703" s="12">
        <v>0.12800000000000011</v>
      </c>
      <c r="Y703" s="10">
        <v>2018</v>
      </c>
    </row>
    <row r="704" spans="1:25">
      <c r="A704" s="1" t="s">
        <v>1846</v>
      </c>
      <c r="B704" s="8">
        <v>42836</v>
      </c>
      <c r="C704" s="11" t="s">
        <v>3359</v>
      </c>
      <c r="D704" s="11" t="s">
        <v>3360</v>
      </c>
      <c r="E704" s="5">
        <v>42958</v>
      </c>
      <c r="F704" s="1" t="s">
        <v>26</v>
      </c>
      <c r="G704" s="1" t="s">
        <v>1088</v>
      </c>
      <c r="H704" s="1" t="s">
        <v>3370</v>
      </c>
      <c r="I704" s="1" t="s">
        <v>3614</v>
      </c>
      <c r="J704" s="1"/>
      <c r="K704" s="1" t="s">
        <v>41</v>
      </c>
      <c r="L704" s="1" t="s">
        <v>30</v>
      </c>
      <c r="M704" s="1" t="s">
        <v>80</v>
      </c>
      <c r="N704" s="1" t="s">
        <v>81</v>
      </c>
      <c r="O704" s="1">
        <v>98103</v>
      </c>
      <c r="P704" s="1" t="s">
        <v>44</v>
      </c>
      <c r="Q704" s="1" t="s">
        <v>1847</v>
      </c>
      <c r="R704" s="1" t="s">
        <v>35</v>
      </c>
      <c r="S704" s="7">
        <v>209.88</v>
      </c>
      <c r="T704" s="1">
        <v>9</v>
      </c>
      <c r="U704" s="9">
        <v>209.67</v>
      </c>
      <c r="V704" s="9">
        <v>1888.92</v>
      </c>
      <c r="W704" s="9">
        <v>1887.03</v>
      </c>
      <c r="X704" s="12">
        <v>1.8900000000001</v>
      </c>
      <c r="Y704" s="10">
        <v>2017</v>
      </c>
    </row>
    <row r="705" spans="1:25">
      <c r="A705" s="1" t="s">
        <v>1848</v>
      </c>
      <c r="B705" s="8">
        <v>42617</v>
      </c>
      <c r="C705" s="11" t="s">
        <v>3356</v>
      </c>
      <c r="D705" s="11" t="s">
        <v>3345</v>
      </c>
      <c r="E705" s="5" t="s">
        <v>1849</v>
      </c>
      <c r="F705" s="1" t="s">
        <v>49</v>
      </c>
      <c r="G705" s="1" t="s">
        <v>1850</v>
      </c>
      <c r="H705" s="1" t="s">
        <v>3780</v>
      </c>
      <c r="I705" s="1" t="s">
        <v>3781</v>
      </c>
      <c r="J705" s="1"/>
      <c r="K705" s="1" t="s">
        <v>29</v>
      </c>
      <c r="L705" s="1" t="s">
        <v>30</v>
      </c>
      <c r="M705" s="1" t="s">
        <v>955</v>
      </c>
      <c r="N705" s="1" t="s">
        <v>68</v>
      </c>
      <c r="O705" s="1">
        <v>90805</v>
      </c>
      <c r="P705" s="1" t="s">
        <v>44</v>
      </c>
      <c r="Q705" s="1" t="s">
        <v>1852</v>
      </c>
      <c r="R705" s="1" t="s">
        <v>35</v>
      </c>
      <c r="S705" s="7">
        <v>369.91199999999998</v>
      </c>
      <c r="T705" s="1">
        <v>9</v>
      </c>
      <c r="U705" s="9">
        <v>369.25</v>
      </c>
      <c r="V705" s="9">
        <v>3329.2079999999996</v>
      </c>
      <c r="W705" s="9">
        <v>3323.25</v>
      </c>
      <c r="X705" s="12">
        <v>5.9579999999996289</v>
      </c>
      <c r="Y705" s="10">
        <v>2016</v>
      </c>
    </row>
    <row r="706" spans="1:25">
      <c r="A706" s="1" t="s">
        <v>1853</v>
      </c>
      <c r="B706" s="8">
        <v>42347</v>
      </c>
      <c r="C706" s="11" t="s">
        <v>3348</v>
      </c>
      <c r="D706" s="11" t="s">
        <v>3349</v>
      </c>
      <c r="E706" s="5" t="s">
        <v>738</v>
      </c>
      <c r="F706" s="1" t="s">
        <v>49</v>
      </c>
      <c r="G706" s="1" t="s">
        <v>1854</v>
      </c>
      <c r="H706" s="1" t="s">
        <v>3782</v>
      </c>
      <c r="I706" s="1" t="s">
        <v>3659</v>
      </c>
      <c r="J706" s="1"/>
      <c r="K706" s="1" t="s">
        <v>41</v>
      </c>
      <c r="L706" s="1" t="s">
        <v>30</v>
      </c>
      <c r="M706" s="1" t="s">
        <v>1856</v>
      </c>
      <c r="N706" s="1" t="s">
        <v>75</v>
      </c>
      <c r="O706" s="1">
        <v>27511</v>
      </c>
      <c r="P706" s="1" t="s">
        <v>33</v>
      </c>
      <c r="Q706" s="1" t="s">
        <v>1857</v>
      </c>
      <c r="R706" s="1" t="s">
        <v>46</v>
      </c>
      <c r="S706" s="7">
        <v>10.368</v>
      </c>
      <c r="T706" s="1">
        <v>2</v>
      </c>
      <c r="U706" s="9">
        <v>10.130000000000001</v>
      </c>
      <c r="V706" s="9">
        <v>20.736000000000001</v>
      </c>
      <c r="W706" s="9">
        <v>20.260000000000002</v>
      </c>
      <c r="X706" s="12">
        <v>0.47599999999999909</v>
      </c>
      <c r="Y706" s="10">
        <v>2015</v>
      </c>
    </row>
    <row r="707" spans="1:25">
      <c r="A707" s="1" t="s">
        <v>1853</v>
      </c>
      <c r="B707" s="8">
        <v>42347</v>
      </c>
      <c r="C707" s="11" t="s">
        <v>3348</v>
      </c>
      <c r="D707" s="11" t="s">
        <v>3349</v>
      </c>
      <c r="E707" s="5" t="s">
        <v>738</v>
      </c>
      <c r="F707" s="1" t="s">
        <v>49</v>
      </c>
      <c r="G707" s="1" t="s">
        <v>1854</v>
      </c>
      <c r="H707" s="1" t="s">
        <v>3782</v>
      </c>
      <c r="I707" s="1" t="s">
        <v>3659</v>
      </c>
      <c r="J707" s="1"/>
      <c r="K707" s="1" t="s">
        <v>41</v>
      </c>
      <c r="L707" s="1" t="s">
        <v>30</v>
      </c>
      <c r="M707" s="1" t="s">
        <v>1856</v>
      </c>
      <c r="N707" s="1" t="s">
        <v>75</v>
      </c>
      <c r="O707" s="1">
        <v>27511</v>
      </c>
      <c r="P707" s="1" t="s">
        <v>33</v>
      </c>
      <c r="Q707" s="1" t="s">
        <v>1858</v>
      </c>
      <c r="R707" s="1" t="s">
        <v>46</v>
      </c>
      <c r="S707" s="7">
        <v>166.84</v>
      </c>
      <c r="T707" s="1">
        <v>2</v>
      </c>
      <c r="U707" s="9">
        <v>166.37</v>
      </c>
      <c r="V707" s="9">
        <v>333.68</v>
      </c>
      <c r="W707" s="9">
        <v>332.74</v>
      </c>
      <c r="X707" s="12">
        <v>0.93999999999999773</v>
      </c>
      <c r="Y707" s="10">
        <v>2015</v>
      </c>
    </row>
    <row r="708" spans="1:25">
      <c r="A708" s="1" t="s">
        <v>1853</v>
      </c>
      <c r="B708" s="8">
        <v>42347</v>
      </c>
      <c r="C708" s="11" t="s">
        <v>3348</v>
      </c>
      <c r="D708" s="11" t="s">
        <v>3349</v>
      </c>
      <c r="E708" s="5" t="s">
        <v>738</v>
      </c>
      <c r="F708" s="1" t="s">
        <v>49</v>
      </c>
      <c r="G708" s="1" t="s">
        <v>1854</v>
      </c>
      <c r="H708" s="1" t="s">
        <v>3782</v>
      </c>
      <c r="I708" s="1" t="s">
        <v>3659</v>
      </c>
      <c r="J708" s="1"/>
      <c r="K708" s="1" t="s">
        <v>41</v>
      </c>
      <c r="L708" s="1" t="s">
        <v>30</v>
      </c>
      <c r="M708" s="1" t="s">
        <v>1856</v>
      </c>
      <c r="N708" s="1" t="s">
        <v>75</v>
      </c>
      <c r="O708" s="1">
        <v>27511</v>
      </c>
      <c r="P708" s="1" t="s">
        <v>33</v>
      </c>
      <c r="Q708" s="1" t="s">
        <v>1421</v>
      </c>
      <c r="R708" s="1" t="s">
        <v>64</v>
      </c>
      <c r="S708" s="7">
        <v>15.215999999999999</v>
      </c>
      <c r="T708" s="1">
        <v>2</v>
      </c>
      <c r="U708" s="9">
        <v>14.91</v>
      </c>
      <c r="V708" s="9">
        <v>30.431999999999999</v>
      </c>
      <c r="W708" s="9">
        <v>29.82</v>
      </c>
      <c r="X708" s="12">
        <v>0.61199999999999832</v>
      </c>
      <c r="Y708" s="10">
        <v>2015</v>
      </c>
    </row>
    <row r="709" spans="1:25">
      <c r="A709" s="1" t="s">
        <v>1859</v>
      </c>
      <c r="B709" s="8">
        <v>42047</v>
      </c>
      <c r="C709" s="11" t="s">
        <v>3461</v>
      </c>
      <c r="D709" s="11" t="s">
        <v>3382</v>
      </c>
      <c r="E709" s="5">
        <v>42106</v>
      </c>
      <c r="F709" s="1" t="s">
        <v>162</v>
      </c>
      <c r="G709" s="1" t="s">
        <v>1860</v>
      </c>
      <c r="H709" s="1" t="s">
        <v>3508</v>
      </c>
      <c r="I709" s="1" t="s">
        <v>3783</v>
      </c>
      <c r="J709" s="1"/>
      <c r="K709" s="1" t="s">
        <v>29</v>
      </c>
      <c r="L709" s="1" t="s">
        <v>30</v>
      </c>
      <c r="M709" s="1" t="s">
        <v>233</v>
      </c>
      <c r="N709" s="1" t="s">
        <v>234</v>
      </c>
      <c r="O709" s="1">
        <v>10035</v>
      </c>
      <c r="P709" s="1" t="s">
        <v>128</v>
      </c>
      <c r="Q709" s="1" t="s">
        <v>838</v>
      </c>
      <c r="R709" s="1" t="s">
        <v>64</v>
      </c>
      <c r="S709" s="7">
        <v>119.96</v>
      </c>
      <c r="T709" s="1">
        <v>1</v>
      </c>
      <c r="U709" s="9">
        <v>119.88</v>
      </c>
      <c r="V709" s="9">
        <v>119.96</v>
      </c>
      <c r="W709" s="9">
        <v>119.88</v>
      </c>
      <c r="X709" s="12">
        <v>7.9999999999998295E-2</v>
      </c>
      <c r="Y709" s="10">
        <v>2015</v>
      </c>
    </row>
    <row r="710" spans="1:25">
      <c r="A710" s="1" t="s">
        <v>1859</v>
      </c>
      <c r="B710" s="8">
        <v>42047</v>
      </c>
      <c r="C710" s="11" t="s">
        <v>3461</v>
      </c>
      <c r="D710" s="11" t="s">
        <v>3382</v>
      </c>
      <c r="E710" s="5">
        <v>42106</v>
      </c>
      <c r="F710" s="1" t="s">
        <v>162</v>
      </c>
      <c r="G710" s="1" t="s">
        <v>1860</v>
      </c>
      <c r="H710" s="1" t="s">
        <v>3508</v>
      </c>
      <c r="I710" s="1" t="s">
        <v>3783</v>
      </c>
      <c r="J710" s="1"/>
      <c r="K710" s="1" t="s">
        <v>29</v>
      </c>
      <c r="L710" s="1" t="s">
        <v>30</v>
      </c>
      <c r="M710" s="1" t="s">
        <v>233</v>
      </c>
      <c r="N710" s="1" t="s">
        <v>234</v>
      </c>
      <c r="O710" s="1">
        <v>10035</v>
      </c>
      <c r="P710" s="1" t="s">
        <v>128</v>
      </c>
      <c r="Q710" s="1" t="s">
        <v>1862</v>
      </c>
      <c r="R710" s="1" t="s">
        <v>35</v>
      </c>
      <c r="S710" s="7">
        <v>883.92</v>
      </c>
      <c r="T710" s="1">
        <v>1</v>
      </c>
      <c r="U710" s="9">
        <v>883.73</v>
      </c>
      <c r="V710" s="9">
        <v>883.92</v>
      </c>
      <c r="W710" s="9">
        <v>883.73</v>
      </c>
      <c r="X710" s="12">
        <v>0.18999999999994088</v>
      </c>
      <c r="Y710" s="10">
        <v>2015</v>
      </c>
    </row>
    <row r="711" spans="1:25">
      <c r="A711" s="1" t="s">
        <v>1859</v>
      </c>
      <c r="B711" s="8">
        <v>42047</v>
      </c>
      <c r="C711" s="11" t="s">
        <v>3461</v>
      </c>
      <c r="D711" s="11" t="s">
        <v>3382</v>
      </c>
      <c r="E711" s="5">
        <v>42106</v>
      </c>
      <c r="F711" s="1" t="s">
        <v>162</v>
      </c>
      <c r="G711" s="1" t="s">
        <v>1860</v>
      </c>
      <c r="H711" s="1" t="s">
        <v>3508</v>
      </c>
      <c r="I711" s="1" t="s">
        <v>3783</v>
      </c>
      <c r="J711" s="1"/>
      <c r="K711" s="1" t="s">
        <v>29</v>
      </c>
      <c r="L711" s="1" t="s">
        <v>30</v>
      </c>
      <c r="M711" s="1" t="s">
        <v>233</v>
      </c>
      <c r="N711" s="1" t="s">
        <v>234</v>
      </c>
      <c r="O711" s="1">
        <v>10035</v>
      </c>
      <c r="P711" s="1" t="s">
        <v>128</v>
      </c>
      <c r="Q711" s="1" t="s">
        <v>1117</v>
      </c>
      <c r="R711" s="1" t="s">
        <v>46</v>
      </c>
      <c r="S711" s="7">
        <v>46.72</v>
      </c>
      <c r="T711" s="1">
        <v>1</v>
      </c>
      <c r="U711" s="9">
        <v>46.15</v>
      </c>
      <c r="V711" s="9">
        <v>46.72</v>
      </c>
      <c r="W711" s="9">
        <v>46.15</v>
      </c>
      <c r="X711" s="12">
        <v>0.57000000000000028</v>
      </c>
      <c r="Y711" s="10">
        <v>2015</v>
      </c>
    </row>
    <row r="712" spans="1:25">
      <c r="A712" s="1" t="s">
        <v>1863</v>
      </c>
      <c r="B712" s="8">
        <v>42128</v>
      </c>
      <c r="C712" s="11" t="s">
        <v>3363</v>
      </c>
      <c r="D712" s="11" t="s">
        <v>3360</v>
      </c>
      <c r="E712" s="5">
        <v>42189</v>
      </c>
      <c r="F712" s="1" t="s">
        <v>162</v>
      </c>
      <c r="G712" s="1" t="s">
        <v>1864</v>
      </c>
      <c r="H712" s="1" t="s">
        <v>3385</v>
      </c>
      <c r="I712" s="1" t="s">
        <v>3525</v>
      </c>
      <c r="J712" s="1"/>
      <c r="K712" s="1" t="s">
        <v>87</v>
      </c>
      <c r="L712" s="1" t="s">
        <v>30</v>
      </c>
      <c r="M712" s="1" t="s">
        <v>233</v>
      </c>
      <c r="N712" s="1" t="s">
        <v>234</v>
      </c>
      <c r="O712" s="1">
        <v>10035</v>
      </c>
      <c r="P712" s="1" t="s">
        <v>128</v>
      </c>
      <c r="Q712" s="1" t="s">
        <v>1321</v>
      </c>
      <c r="R712" s="1" t="s">
        <v>46</v>
      </c>
      <c r="S712" s="7">
        <v>55.48</v>
      </c>
      <c r="T712" s="1">
        <v>1</v>
      </c>
      <c r="U712" s="9">
        <v>55.03</v>
      </c>
      <c r="V712" s="9">
        <v>55.48</v>
      </c>
      <c r="W712" s="9">
        <v>55.03</v>
      </c>
      <c r="X712" s="12">
        <v>0.44999999999999574</v>
      </c>
      <c r="Y712" s="10">
        <v>2015</v>
      </c>
    </row>
    <row r="713" spans="1:25">
      <c r="A713" s="1" t="s">
        <v>1866</v>
      </c>
      <c r="B713" s="8">
        <v>43168</v>
      </c>
      <c r="C713" s="11" t="s">
        <v>3429</v>
      </c>
      <c r="D713" s="11" t="s">
        <v>3382</v>
      </c>
      <c r="E713" s="5">
        <v>43290</v>
      </c>
      <c r="F713" s="1" t="s">
        <v>49</v>
      </c>
      <c r="G713" s="1" t="s">
        <v>1867</v>
      </c>
      <c r="H713" s="1" t="s">
        <v>3607</v>
      </c>
      <c r="I713" s="1" t="s">
        <v>3784</v>
      </c>
      <c r="J713" s="1"/>
      <c r="K713" s="1" t="s">
        <v>29</v>
      </c>
      <c r="L713" s="1" t="s">
        <v>30</v>
      </c>
      <c r="M713" s="1" t="s">
        <v>1869</v>
      </c>
      <c r="N713" s="1" t="s">
        <v>194</v>
      </c>
      <c r="O713" s="1">
        <v>32137</v>
      </c>
      <c r="P713" s="1" t="s">
        <v>33</v>
      </c>
      <c r="Q713" s="1" t="s">
        <v>1870</v>
      </c>
      <c r="R713" s="1" t="s">
        <v>46</v>
      </c>
      <c r="S713" s="7">
        <v>24.448</v>
      </c>
      <c r="T713" s="1">
        <v>3</v>
      </c>
      <c r="U713" s="9">
        <v>24.28</v>
      </c>
      <c r="V713" s="9">
        <v>73.343999999999994</v>
      </c>
      <c r="W713" s="9">
        <v>72.84</v>
      </c>
      <c r="X713" s="12">
        <v>0.50399999999999068</v>
      </c>
      <c r="Y713" s="10">
        <v>2018</v>
      </c>
    </row>
    <row r="714" spans="1:25">
      <c r="A714" s="1" t="s">
        <v>1871</v>
      </c>
      <c r="B714" s="8">
        <v>43239</v>
      </c>
      <c r="C714" s="11" t="s">
        <v>3363</v>
      </c>
      <c r="D714" s="11" t="s">
        <v>3360</v>
      </c>
      <c r="E714" s="5" t="s">
        <v>1872</v>
      </c>
      <c r="F714" s="1" t="s">
        <v>49</v>
      </c>
      <c r="G714" s="1" t="s">
        <v>1873</v>
      </c>
      <c r="H714" s="1" t="s">
        <v>3785</v>
      </c>
      <c r="I714" s="1" t="s">
        <v>3786</v>
      </c>
      <c r="J714" s="1"/>
      <c r="K714" s="1" t="s">
        <v>41</v>
      </c>
      <c r="L714" s="1" t="s">
        <v>30</v>
      </c>
      <c r="M714" s="1" t="s">
        <v>1875</v>
      </c>
      <c r="N714" s="1" t="s">
        <v>234</v>
      </c>
      <c r="O714" s="1">
        <v>10550</v>
      </c>
      <c r="P714" s="1" t="s">
        <v>128</v>
      </c>
      <c r="Q714" s="1" t="s">
        <v>1876</v>
      </c>
      <c r="R714" s="1" t="s">
        <v>46</v>
      </c>
      <c r="S714" s="7">
        <v>281.33999999999997</v>
      </c>
      <c r="T714" s="1">
        <v>1</v>
      </c>
      <c r="U714" s="9">
        <v>280.52</v>
      </c>
      <c r="V714" s="9">
        <v>281.33999999999997</v>
      </c>
      <c r="W714" s="9">
        <v>280.52</v>
      </c>
      <c r="X714" s="12">
        <v>0.81999999999999318</v>
      </c>
      <c r="Y714" s="10">
        <v>2018</v>
      </c>
    </row>
    <row r="715" spans="1:25">
      <c r="A715" s="1" t="s">
        <v>1871</v>
      </c>
      <c r="B715" s="8">
        <v>43239</v>
      </c>
      <c r="C715" s="11" t="s">
        <v>3363</v>
      </c>
      <c r="D715" s="11" t="s">
        <v>3360</v>
      </c>
      <c r="E715" s="5" t="s">
        <v>1872</v>
      </c>
      <c r="F715" s="1" t="s">
        <v>49</v>
      </c>
      <c r="G715" s="1" t="s">
        <v>1873</v>
      </c>
      <c r="H715" s="1" t="s">
        <v>3785</v>
      </c>
      <c r="I715" s="1" t="s">
        <v>3786</v>
      </c>
      <c r="J715" s="1"/>
      <c r="K715" s="1" t="s">
        <v>41</v>
      </c>
      <c r="L715" s="1" t="s">
        <v>30</v>
      </c>
      <c r="M715" s="1" t="s">
        <v>1875</v>
      </c>
      <c r="N715" s="1" t="s">
        <v>234</v>
      </c>
      <c r="O715" s="1">
        <v>10550</v>
      </c>
      <c r="P715" s="1" t="s">
        <v>128</v>
      </c>
      <c r="Q715" s="1" t="s">
        <v>1123</v>
      </c>
      <c r="R715" s="1" t="s">
        <v>64</v>
      </c>
      <c r="S715" s="7">
        <v>307.98</v>
      </c>
      <c r="T715" s="1">
        <v>1</v>
      </c>
      <c r="U715" s="9">
        <v>307.2</v>
      </c>
      <c r="V715" s="9">
        <v>307.98</v>
      </c>
      <c r="W715" s="9">
        <v>307.2</v>
      </c>
      <c r="X715" s="12">
        <v>0.78000000000002956</v>
      </c>
      <c r="Y715" s="10">
        <v>2018</v>
      </c>
    </row>
    <row r="716" spans="1:25">
      <c r="A716" s="1" t="s">
        <v>1871</v>
      </c>
      <c r="B716" s="8">
        <v>43239</v>
      </c>
      <c r="C716" s="11" t="s">
        <v>3363</v>
      </c>
      <c r="D716" s="11" t="s">
        <v>3360</v>
      </c>
      <c r="E716" s="5" t="s">
        <v>1872</v>
      </c>
      <c r="F716" s="1" t="s">
        <v>49</v>
      </c>
      <c r="G716" s="1" t="s">
        <v>1873</v>
      </c>
      <c r="H716" s="1" t="s">
        <v>3785</v>
      </c>
      <c r="I716" s="1" t="s">
        <v>3786</v>
      </c>
      <c r="J716" s="1"/>
      <c r="K716" s="1" t="s">
        <v>41</v>
      </c>
      <c r="L716" s="1" t="s">
        <v>30</v>
      </c>
      <c r="M716" s="1" t="s">
        <v>1875</v>
      </c>
      <c r="N716" s="1" t="s">
        <v>234</v>
      </c>
      <c r="O716" s="1">
        <v>10550</v>
      </c>
      <c r="P716" s="1" t="s">
        <v>128</v>
      </c>
      <c r="Q716" s="1" t="s">
        <v>1877</v>
      </c>
      <c r="R716" s="1" t="s">
        <v>64</v>
      </c>
      <c r="S716" s="7">
        <v>299.97000000000003</v>
      </c>
      <c r="T716" s="1">
        <v>1</v>
      </c>
      <c r="U716" s="9">
        <v>299.73</v>
      </c>
      <c r="V716" s="9">
        <v>299.97000000000003</v>
      </c>
      <c r="W716" s="9">
        <v>299.73</v>
      </c>
      <c r="X716" s="12">
        <v>0.24000000000000909</v>
      </c>
      <c r="Y716" s="10">
        <v>2018</v>
      </c>
    </row>
    <row r="717" spans="1:25">
      <c r="A717" s="1" t="s">
        <v>1878</v>
      </c>
      <c r="B717" s="8">
        <v>42011</v>
      </c>
      <c r="C717" s="11" t="s">
        <v>3381</v>
      </c>
      <c r="D717" s="11" t="s">
        <v>3382</v>
      </c>
      <c r="E717" s="5">
        <v>42162</v>
      </c>
      <c r="F717" s="1" t="s">
        <v>26</v>
      </c>
      <c r="G717" s="1" t="s">
        <v>797</v>
      </c>
      <c r="H717" s="1" t="s">
        <v>3555</v>
      </c>
      <c r="I717" s="1" t="s">
        <v>3556</v>
      </c>
      <c r="J717" s="1"/>
      <c r="K717" s="1" t="s">
        <v>41</v>
      </c>
      <c r="L717" s="1" t="s">
        <v>30</v>
      </c>
      <c r="M717" s="1" t="s">
        <v>80</v>
      </c>
      <c r="N717" s="1" t="s">
        <v>81</v>
      </c>
      <c r="O717" s="1">
        <v>98105</v>
      </c>
      <c r="P717" s="1" t="s">
        <v>44</v>
      </c>
      <c r="Q717" s="1" t="s">
        <v>1879</v>
      </c>
      <c r="R717" s="1" t="s">
        <v>46</v>
      </c>
      <c r="S717" s="7">
        <v>19.920000000000002</v>
      </c>
      <c r="T717" s="1">
        <v>9</v>
      </c>
      <c r="U717" s="9">
        <v>19.36</v>
      </c>
      <c r="V717" s="9">
        <v>179.28000000000003</v>
      </c>
      <c r="W717" s="9">
        <v>174.24</v>
      </c>
      <c r="X717" s="12">
        <v>5.0400000000000205</v>
      </c>
      <c r="Y717" s="10">
        <v>2015</v>
      </c>
    </row>
    <row r="718" spans="1:25">
      <c r="A718" s="1" t="s">
        <v>1880</v>
      </c>
      <c r="B718" s="8">
        <v>42309</v>
      </c>
      <c r="C718" s="11" t="s">
        <v>3353</v>
      </c>
      <c r="D718" s="11" t="s">
        <v>3349</v>
      </c>
      <c r="E718" s="5" t="s">
        <v>1881</v>
      </c>
      <c r="F718" s="1" t="s">
        <v>162</v>
      </c>
      <c r="G718" s="1" t="s">
        <v>1882</v>
      </c>
      <c r="H718" s="1" t="s">
        <v>3787</v>
      </c>
      <c r="I718" s="1" t="s">
        <v>3788</v>
      </c>
      <c r="J718" s="1"/>
      <c r="K718" s="1" t="s">
        <v>29</v>
      </c>
      <c r="L718" s="1" t="s">
        <v>30</v>
      </c>
      <c r="M718" s="1" t="s">
        <v>215</v>
      </c>
      <c r="N718" s="1" t="s">
        <v>216</v>
      </c>
      <c r="O718" s="1">
        <v>19901</v>
      </c>
      <c r="P718" s="1" t="s">
        <v>128</v>
      </c>
      <c r="Q718" s="1" t="s">
        <v>1667</v>
      </c>
      <c r="R718" s="1" t="s">
        <v>35</v>
      </c>
      <c r="S718" s="7">
        <v>9.94</v>
      </c>
      <c r="T718" s="1">
        <v>1</v>
      </c>
      <c r="U718" s="9">
        <v>8.98</v>
      </c>
      <c r="V718" s="9">
        <v>9.94</v>
      </c>
      <c r="W718" s="9">
        <v>8.98</v>
      </c>
      <c r="X718" s="12">
        <v>0.95999999999999908</v>
      </c>
      <c r="Y718" s="10">
        <v>2015</v>
      </c>
    </row>
    <row r="719" spans="1:25">
      <c r="A719" s="1" t="s">
        <v>1884</v>
      </c>
      <c r="B719" s="8">
        <v>43367</v>
      </c>
      <c r="C719" s="11" t="s">
        <v>3356</v>
      </c>
      <c r="D719" s="11" t="s">
        <v>3345</v>
      </c>
      <c r="E719" s="5" t="s">
        <v>1885</v>
      </c>
      <c r="F719" s="1" t="s">
        <v>49</v>
      </c>
      <c r="G719" s="1" t="s">
        <v>776</v>
      </c>
      <c r="H719" s="1" t="s">
        <v>3547</v>
      </c>
      <c r="I719" s="1" t="s">
        <v>3548</v>
      </c>
      <c r="J719" s="1"/>
      <c r="K719" s="1" t="s">
        <v>29</v>
      </c>
      <c r="L719" s="1" t="s">
        <v>30</v>
      </c>
      <c r="M719" s="1" t="s">
        <v>505</v>
      </c>
      <c r="N719" s="1" t="s">
        <v>421</v>
      </c>
      <c r="O719" s="1">
        <v>43055</v>
      </c>
      <c r="P719" s="1" t="s">
        <v>128</v>
      </c>
      <c r="Q719" s="1" t="s">
        <v>1886</v>
      </c>
      <c r="R719" s="1" t="s">
        <v>35</v>
      </c>
      <c r="S719" s="7">
        <v>103.056</v>
      </c>
      <c r="T719" s="1">
        <v>4</v>
      </c>
      <c r="U719" s="9">
        <v>102.11</v>
      </c>
      <c r="V719" s="9">
        <v>412.22399999999999</v>
      </c>
      <c r="W719" s="9">
        <v>408.44</v>
      </c>
      <c r="X719" s="12">
        <v>3.7839999999999918</v>
      </c>
      <c r="Y719" s="10">
        <v>2018</v>
      </c>
    </row>
    <row r="720" spans="1:25">
      <c r="A720" s="1" t="s">
        <v>1887</v>
      </c>
      <c r="B720" s="8">
        <v>42041</v>
      </c>
      <c r="C720" s="11" t="s">
        <v>3461</v>
      </c>
      <c r="D720" s="11" t="s">
        <v>3382</v>
      </c>
      <c r="E720" s="5">
        <v>42191</v>
      </c>
      <c r="F720" s="1" t="s">
        <v>49</v>
      </c>
      <c r="G720" s="1" t="s">
        <v>1888</v>
      </c>
      <c r="H720" s="1" t="s">
        <v>3562</v>
      </c>
      <c r="I720" s="1" t="s">
        <v>3789</v>
      </c>
      <c r="J720" s="1"/>
      <c r="K720" s="1" t="s">
        <v>87</v>
      </c>
      <c r="L720" s="1" t="s">
        <v>30</v>
      </c>
      <c r="M720" s="1" t="s">
        <v>134</v>
      </c>
      <c r="N720" s="1" t="s">
        <v>105</v>
      </c>
      <c r="O720" s="1">
        <v>84057</v>
      </c>
      <c r="P720" s="1" t="s">
        <v>44</v>
      </c>
      <c r="Q720" s="1" t="s">
        <v>1401</v>
      </c>
      <c r="R720" s="1" t="s">
        <v>46</v>
      </c>
      <c r="S720" s="7">
        <v>59.808</v>
      </c>
      <c r="T720" s="1">
        <v>8</v>
      </c>
      <c r="U720" s="9">
        <v>59.78</v>
      </c>
      <c r="V720" s="9">
        <v>478.464</v>
      </c>
      <c r="W720" s="9">
        <v>478.24</v>
      </c>
      <c r="X720" s="12">
        <v>0.22399999999998954</v>
      </c>
      <c r="Y720" s="10">
        <v>2015</v>
      </c>
    </row>
    <row r="721" spans="1:25">
      <c r="A721" s="1" t="s">
        <v>1887</v>
      </c>
      <c r="B721" s="8">
        <v>42041</v>
      </c>
      <c r="C721" s="11" t="s">
        <v>3461</v>
      </c>
      <c r="D721" s="11" t="s">
        <v>3382</v>
      </c>
      <c r="E721" s="5">
        <v>42191</v>
      </c>
      <c r="F721" s="1" t="s">
        <v>49</v>
      </c>
      <c r="G721" s="1" t="s">
        <v>1888</v>
      </c>
      <c r="H721" s="1" t="s">
        <v>3562</v>
      </c>
      <c r="I721" s="1" t="s">
        <v>3789</v>
      </c>
      <c r="J721" s="1"/>
      <c r="K721" s="1" t="s">
        <v>87</v>
      </c>
      <c r="L721" s="1" t="s">
        <v>30</v>
      </c>
      <c r="M721" s="1" t="s">
        <v>134</v>
      </c>
      <c r="N721" s="1" t="s">
        <v>105</v>
      </c>
      <c r="O721" s="1">
        <v>84057</v>
      </c>
      <c r="P721" s="1" t="s">
        <v>44</v>
      </c>
      <c r="Q721" s="1" t="s">
        <v>1258</v>
      </c>
      <c r="R721" s="1" t="s">
        <v>35</v>
      </c>
      <c r="S721" s="7">
        <v>73.319999999999993</v>
      </c>
      <c r="T721" s="1">
        <v>8</v>
      </c>
      <c r="U721" s="9">
        <v>72.319999999999993</v>
      </c>
      <c r="V721" s="9">
        <v>586.55999999999995</v>
      </c>
      <c r="W721" s="9">
        <v>578.55999999999995</v>
      </c>
      <c r="X721" s="12">
        <v>8</v>
      </c>
      <c r="Y721" s="10">
        <v>2015</v>
      </c>
    </row>
    <row r="722" spans="1:25">
      <c r="A722" s="1" t="s">
        <v>1890</v>
      </c>
      <c r="B722" s="8">
        <v>42779</v>
      </c>
      <c r="C722" s="11" t="s">
        <v>3461</v>
      </c>
      <c r="D722" s="11" t="s">
        <v>3382</v>
      </c>
      <c r="E722" s="5" t="s">
        <v>1891</v>
      </c>
      <c r="F722" s="1" t="s">
        <v>49</v>
      </c>
      <c r="G722" s="1" t="s">
        <v>1892</v>
      </c>
      <c r="H722" s="1" t="s">
        <v>3646</v>
      </c>
      <c r="I722" s="1" t="s">
        <v>3790</v>
      </c>
      <c r="J722" s="1"/>
      <c r="K722" s="1" t="s">
        <v>87</v>
      </c>
      <c r="L722" s="1" t="s">
        <v>30</v>
      </c>
      <c r="M722" s="1" t="s">
        <v>42</v>
      </c>
      <c r="N722" s="1" t="s">
        <v>68</v>
      </c>
      <c r="O722" s="1">
        <v>90045</v>
      </c>
      <c r="P722" s="1" t="s">
        <v>44</v>
      </c>
      <c r="Q722" s="1" t="s">
        <v>1894</v>
      </c>
      <c r="R722" s="1" t="s">
        <v>46</v>
      </c>
      <c r="S722" s="7">
        <v>146.82</v>
      </c>
      <c r="T722" s="1">
        <v>9</v>
      </c>
      <c r="U722" s="9">
        <v>146.01</v>
      </c>
      <c r="V722" s="9">
        <v>1321.3799999999999</v>
      </c>
      <c r="W722" s="9">
        <v>1314.09</v>
      </c>
      <c r="X722" s="12">
        <v>7.2899999999999636</v>
      </c>
      <c r="Y722" s="10">
        <v>2017</v>
      </c>
    </row>
    <row r="723" spans="1:25">
      <c r="A723" s="1" t="s">
        <v>1895</v>
      </c>
      <c r="B723" s="8">
        <v>43084</v>
      </c>
      <c r="C723" s="11" t="s">
        <v>3348</v>
      </c>
      <c r="D723" s="11" t="s">
        <v>3349</v>
      </c>
      <c r="E723" s="5" t="s">
        <v>1896</v>
      </c>
      <c r="F723" s="1" t="s">
        <v>49</v>
      </c>
      <c r="G723" s="1" t="s">
        <v>1202</v>
      </c>
      <c r="H723" s="1" t="s">
        <v>3537</v>
      </c>
      <c r="I723" s="1" t="s">
        <v>3496</v>
      </c>
      <c r="J723" s="1"/>
      <c r="K723" s="1" t="s">
        <v>41</v>
      </c>
      <c r="L723" s="1" t="s">
        <v>30</v>
      </c>
      <c r="M723" s="1" t="s">
        <v>728</v>
      </c>
      <c r="N723" s="1" t="s">
        <v>209</v>
      </c>
      <c r="O723" s="1">
        <v>48205</v>
      </c>
      <c r="P723" s="1" t="s">
        <v>90</v>
      </c>
      <c r="Q723" s="1" t="s">
        <v>1897</v>
      </c>
      <c r="R723" s="1" t="s">
        <v>35</v>
      </c>
      <c r="S723" s="7">
        <v>1652.94</v>
      </c>
      <c r="T723" s="1">
        <v>4</v>
      </c>
      <c r="U723" s="9">
        <v>1652.21</v>
      </c>
      <c r="V723" s="9">
        <v>6611.76</v>
      </c>
      <c r="W723" s="9">
        <v>6608.84</v>
      </c>
      <c r="X723" s="12">
        <v>2.9200000000000728</v>
      </c>
      <c r="Y723" s="10">
        <v>2017</v>
      </c>
    </row>
    <row r="724" spans="1:25">
      <c r="A724" s="1" t="s">
        <v>1895</v>
      </c>
      <c r="B724" s="8">
        <v>43084</v>
      </c>
      <c r="C724" s="11" t="s">
        <v>3348</v>
      </c>
      <c r="D724" s="11" t="s">
        <v>3349</v>
      </c>
      <c r="E724" s="5" t="s">
        <v>1896</v>
      </c>
      <c r="F724" s="1" t="s">
        <v>49</v>
      </c>
      <c r="G724" s="1" t="s">
        <v>1202</v>
      </c>
      <c r="H724" s="1" t="s">
        <v>3537</v>
      </c>
      <c r="I724" s="1" t="s">
        <v>3496</v>
      </c>
      <c r="J724" s="1"/>
      <c r="K724" s="1" t="s">
        <v>41</v>
      </c>
      <c r="L724" s="1" t="s">
        <v>30</v>
      </c>
      <c r="M724" s="1" t="s">
        <v>728</v>
      </c>
      <c r="N724" s="1" t="s">
        <v>209</v>
      </c>
      <c r="O724" s="1">
        <v>48205</v>
      </c>
      <c r="P724" s="1" t="s">
        <v>90</v>
      </c>
      <c r="Q724" s="1" t="s">
        <v>1898</v>
      </c>
      <c r="R724" s="1" t="s">
        <v>46</v>
      </c>
      <c r="S724" s="7">
        <v>296.37</v>
      </c>
      <c r="T724" s="1">
        <v>4</v>
      </c>
      <c r="U724" s="9">
        <v>296.27</v>
      </c>
      <c r="V724" s="9">
        <v>1185.48</v>
      </c>
      <c r="W724" s="9">
        <v>1185.08</v>
      </c>
      <c r="X724" s="12">
        <v>0.40000000000009095</v>
      </c>
      <c r="Y724" s="10">
        <v>2017</v>
      </c>
    </row>
    <row r="725" spans="1:25">
      <c r="A725" s="1" t="s">
        <v>1899</v>
      </c>
      <c r="B725" s="8">
        <v>42195</v>
      </c>
      <c r="C725" s="11" t="s">
        <v>3376</v>
      </c>
      <c r="D725" s="11" t="s">
        <v>3345</v>
      </c>
      <c r="E725" s="5" t="s">
        <v>1900</v>
      </c>
      <c r="F725" s="1" t="s">
        <v>49</v>
      </c>
      <c r="G725" s="1" t="s">
        <v>1901</v>
      </c>
      <c r="H725" s="1" t="s">
        <v>3791</v>
      </c>
      <c r="I725" s="1" t="s">
        <v>3792</v>
      </c>
      <c r="J725" s="1"/>
      <c r="K725" s="1" t="s">
        <v>87</v>
      </c>
      <c r="L725" s="1" t="s">
        <v>30</v>
      </c>
      <c r="M725" s="1" t="s">
        <v>126</v>
      </c>
      <c r="N725" s="1" t="s">
        <v>127</v>
      </c>
      <c r="O725" s="1">
        <v>19140</v>
      </c>
      <c r="P725" s="1" t="s">
        <v>128</v>
      </c>
      <c r="Q725" s="1" t="s">
        <v>1903</v>
      </c>
      <c r="R725" s="1" t="s">
        <v>35</v>
      </c>
      <c r="S725" s="7">
        <v>129.91999999999999</v>
      </c>
      <c r="T725" s="1">
        <v>1</v>
      </c>
      <c r="U725" s="9">
        <v>129.88999999999999</v>
      </c>
      <c r="V725" s="9">
        <v>129.91999999999999</v>
      </c>
      <c r="W725" s="9">
        <v>129.88999999999999</v>
      </c>
      <c r="X725" s="12">
        <v>3.0000000000001137E-2</v>
      </c>
      <c r="Y725" s="10">
        <v>2015</v>
      </c>
    </row>
    <row r="726" spans="1:25">
      <c r="A726" s="1" t="s">
        <v>1904</v>
      </c>
      <c r="B726" s="8">
        <v>42923</v>
      </c>
      <c r="C726" s="11" t="s">
        <v>3376</v>
      </c>
      <c r="D726" s="11" t="s">
        <v>3345</v>
      </c>
      <c r="E726" s="5">
        <v>43076</v>
      </c>
      <c r="F726" s="1" t="s">
        <v>49</v>
      </c>
      <c r="G726" s="1" t="s">
        <v>1905</v>
      </c>
      <c r="H726" s="1" t="s">
        <v>3392</v>
      </c>
      <c r="I726" s="1" t="s">
        <v>3793</v>
      </c>
      <c r="J726" s="1"/>
      <c r="K726" s="1" t="s">
        <v>41</v>
      </c>
      <c r="L726" s="1" t="s">
        <v>30</v>
      </c>
      <c r="M726" s="1" t="s">
        <v>1907</v>
      </c>
      <c r="N726" s="1" t="s">
        <v>194</v>
      </c>
      <c r="O726" s="1">
        <v>33012</v>
      </c>
      <c r="P726" s="1" t="s">
        <v>33</v>
      </c>
      <c r="Q726" s="1" t="s">
        <v>1908</v>
      </c>
      <c r="R726" s="1" t="s">
        <v>46</v>
      </c>
      <c r="S726" s="7">
        <v>45.584000000000003</v>
      </c>
      <c r="T726" s="1">
        <v>3</v>
      </c>
      <c r="U726" s="9">
        <v>45.23</v>
      </c>
      <c r="V726" s="9">
        <v>136.75200000000001</v>
      </c>
      <c r="W726" s="9">
        <v>135.69</v>
      </c>
      <c r="X726" s="12">
        <v>1.0620000000000118</v>
      </c>
      <c r="Y726" s="10">
        <v>2017</v>
      </c>
    </row>
    <row r="727" spans="1:25">
      <c r="A727" s="1" t="s">
        <v>1909</v>
      </c>
      <c r="B727" s="8">
        <v>43359</v>
      </c>
      <c r="C727" s="11" t="s">
        <v>3356</v>
      </c>
      <c r="D727" s="11" t="s">
        <v>3345</v>
      </c>
      <c r="E727" s="5" t="s">
        <v>1910</v>
      </c>
      <c r="F727" s="1" t="s">
        <v>49</v>
      </c>
      <c r="G727" s="1" t="s">
        <v>1911</v>
      </c>
      <c r="H727" s="1" t="s">
        <v>3780</v>
      </c>
      <c r="I727" s="1" t="s">
        <v>3794</v>
      </c>
      <c r="J727" s="1"/>
      <c r="K727" s="1" t="s">
        <v>29</v>
      </c>
      <c r="L727" s="1" t="s">
        <v>30</v>
      </c>
      <c r="M727" s="1" t="s">
        <v>1005</v>
      </c>
      <c r="N727" s="1" t="s">
        <v>89</v>
      </c>
      <c r="O727" s="1">
        <v>78745</v>
      </c>
      <c r="P727" s="1" t="s">
        <v>90</v>
      </c>
      <c r="Q727" s="1" t="s">
        <v>1913</v>
      </c>
      <c r="R727" s="1" t="s">
        <v>46</v>
      </c>
      <c r="S727" s="7">
        <v>17.568000000000001</v>
      </c>
      <c r="T727" s="1">
        <v>7</v>
      </c>
      <c r="U727" s="9">
        <v>17.21</v>
      </c>
      <c r="V727" s="9">
        <v>122.97600000000001</v>
      </c>
      <c r="W727" s="9">
        <v>120.47</v>
      </c>
      <c r="X727" s="12">
        <v>2.5060000000000144</v>
      </c>
      <c r="Y727" s="10">
        <v>2018</v>
      </c>
    </row>
    <row r="728" spans="1:25">
      <c r="A728" s="1" t="s">
        <v>1909</v>
      </c>
      <c r="B728" s="8">
        <v>43359</v>
      </c>
      <c r="C728" s="11" t="s">
        <v>3356</v>
      </c>
      <c r="D728" s="11" t="s">
        <v>3345</v>
      </c>
      <c r="E728" s="5" t="s">
        <v>1910</v>
      </c>
      <c r="F728" s="1" t="s">
        <v>49</v>
      </c>
      <c r="G728" s="1" t="s">
        <v>1911</v>
      </c>
      <c r="H728" s="1" t="s">
        <v>3780</v>
      </c>
      <c r="I728" s="1" t="s">
        <v>3794</v>
      </c>
      <c r="J728" s="1"/>
      <c r="K728" s="1" t="s">
        <v>29</v>
      </c>
      <c r="L728" s="1" t="s">
        <v>30</v>
      </c>
      <c r="M728" s="1" t="s">
        <v>1005</v>
      </c>
      <c r="N728" s="1" t="s">
        <v>89</v>
      </c>
      <c r="O728" s="1">
        <v>78745</v>
      </c>
      <c r="P728" s="1" t="s">
        <v>90</v>
      </c>
      <c r="Q728" s="1" t="s">
        <v>1914</v>
      </c>
      <c r="R728" s="1" t="s">
        <v>64</v>
      </c>
      <c r="S728" s="7">
        <v>55.991999999999997</v>
      </c>
      <c r="T728" s="1">
        <v>7</v>
      </c>
      <c r="U728" s="9">
        <v>55.22</v>
      </c>
      <c r="V728" s="9">
        <v>391.94399999999996</v>
      </c>
      <c r="W728" s="9">
        <v>386.53999999999996</v>
      </c>
      <c r="X728" s="12">
        <v>5.4039999999999964</v>
      </c>
      <c r="Y728" s="10">
        <v>2018</v>
      </c>
    </row>
    <row r="729" spans="1:25">
      <c r="A729" s="1" t="s">
        <v>1915</v>
      </c>
      <c r="B729" s="8">
        <v>42806</v>
      </c>
      <c r="C729" s="11" t="s">
        <v>3429</v>
      </c>
      <c r="D729" s="11" t="s">
        <v>3382</v>
      </c>
      <c r="E729" s="5">
        <v>42898</v>
      </c>
      <c r="F729" s="1" t="s">
        <v>162</v>
      </c>
      <c r="G729" s="1" t="s">
        <v>1916</v>
      </c>
      <c r="H729" s="1" t="s">
        <v>3379</v>
      </c>
      <c r="I729" s="1" t="s">
        <v>3664</v>
      </c>
      <c r="J729" s="1"/>
      <c r="K729" s="1" t="s">
        <v>29</v>
      </c>
      <c r="L729" s="1" t="s">
        <v>30</v>
      </c>
      <c r="M729" s="1" t="s">
        <v>1918</v>
      </c>
      <c r="N729" s="1" t="s">
        <v>234</v>
      </c>
      <c r="O729" s="1">
        <v>11572</v>
      </c>
      <c r="P729" s="1" t="s">
        <v>128</v>
      </c>
      <c r="Q729" s="1" t="s">
        <v>1919</v>
      </c>
      <c r="R729" s="1" t="s">
        <v>46</v>
      </c>
      <c r="S729" s="7">
        <v>182.72</v>
      </c>
      <c r="T729" s="1">
        <v>1</v>
      </c>
      <c r="U729" s="9">
        <v>182.7</v>
      </c>
      <c r="V729" s="9">
        <v>182.72</v>
      </c>
      <c r="W729" s="9">
        <v>182.7</v>
      </c>
      <c r="X729" s="12">
        <v>2.0000000000010232E-2</v>
      </c>
      <c r="Y729" s="10">
        <v>2017</v>
      </c>
    </row>
    <row r="730" spans="1:25">
      <c r="A730" s="1" t="s">
        <v>1915</v>
      </c>
      <c r="B730" s="8">
        <v>42806</v>
      </c>
      <c r="C730" s="11" t="s">
        <v>3429</v>
      </c>
      <c r="D730" s="11" t="s">
        <v>3382</v>
      </c>
      <c r="E730" s="5">
        <v>42898</v>
      </c>
      <c r="F730" s="1" t="s">
        <v>162</v>
      </c>
      <c r="G730" s="1" t="s">
        <v>1916</v>
      </c>
      <c r="H730" s="1" t="s">
        <v>3379</v>
      </c>
      <c r="I730" s="1" t="s">
        <v>3664</v>
      </c>
      <c r="J730" s="1"/>
      <c r="K730" s="1" t="s">
        <v>29</v>
      </c>
      <c r="L730" s="1" t="s">
        <v>30</v>
      </c>
      <c r="M730" s="1" t="s">
        <v>1918</v>
      </c>
      <c r="N730" s="1" t="s">
        <v>234</v>
      </c>
      <c r="O730" s="1">
        <v>11572</v>
      </c>
      <c r="P730" s="1" t="s">
        <v>128</v>
      </c>
      <c r="Q730" s="1" t="s">
        <v>1920</v>
      </c>
      <c r="R730" s="1" t="s">
        <v>35</v>
      </c>
      <c r="S730" s="7">
        <v>400.03199999999998</v>
      </c>
      <c r="T730" s="1">
        <v>1</v>
      </c>
      <c r="U730" s="9">
        <v>399.48</v>
      </c>
      <c r="V730" s="9">
        <v>400.03199999999998</v>
      </c>
      <c r="W730" s="9">
        <v>399.48</v>
      </c>
      <c r="X730" s="12">
        <v>0.55199999999996407</v>
      </c>
      <c r="Y730" s="10">
        <v>2017</v>
      </c>
    </row>
    <row r="731" spans="1:25">
      <c r="A731" s="1" t="s">
        <v>1915</v>
      </c>
      <c r="B731" s="8">
        <v>42806</v>
      </c>
      <c r="C731" s="11" t="s">
        <v>3429</v>
      </c>
      <c r="D731" s="11" t="s">
        <v>3382</v>
      </c>
      <c r="E731" s="5">
        <v>42898</v>
      </c>
      <c r="F731" s="1" t="s">
        <v>162</v>
      </c>
      <c r="G731" s="1" t="s">
        <v>1916</v>
      </c>
      <c r="H731" s="1" t="s">
        <v>3379</v>
      </c>
      <c r="I731" s="1" t="s">
        <v>3664</v>
      </c>
      <c r="J731" s="1"/>
      <c r="K731" s="1" t="s">
        <v>29</v>
      </c>
      <c r="L731" s="1" t="s">
        <v>30</v>
      </c>
      <c r="M731" s="1" t="s">
        <v>1918</v>
      </c>
      <c r="N731" s="1" t="s">
        <v>234</v>
      </c>
      <c r="O731" s="1">
        <v>11572</v>
      </c>
      <c r="P731" s="1" t="s">
        <v>128</v>
      </c>
      <c r="Q731" s="1" t="s">
        <v>1921</v>
      </c>
      <c r="R731" s="1" t="s">
        <v>46</v>
      </c>
      <c r="S731" s="7">
        <v>33.630000000000003</v>
      </c>
      <c r="T731" s="1">
        <v>1</v>
      </c>
      <c r="U731" s="9">
        <v>33.159999999999997</v>
      </c>
      <c r="V731" s="9">
        <v>33.630000000000003</v>
      </c>
      <c r="W731" s="9">
        <v>33.159999999999997</v>
      </c>
      <c r="X731" s="12">
        <v>0.47000000000000597</v>
      </c>
      <c r="Y731" s="10">
        <v>2017</v>
      </c>
    </row>
    <row r="732" spans="1:25">
      <c r="A732" s="1" t="s">
        <v>1915</v>
      </c>
      <c r="B732" s="8">
        <v>42806</v>
      </c>
      <c r="C732" s="11" t="s">
        <v>3429</v>
      </c>
      <c r="D732" s="11" t="s">
        <v>3382</v>
      </c>
      <c r="E732" s="5">
        <v>42898</v>
      </c>
      <c r="F732" s="1" t="s">
        <v>162</v>
      </c>
      <c r="G732" s="1" t="s">
        <v>1916</v>
      </c>
      <c r="H732" s="1" t="s">
        <v>3379</v>
      </c>
      <c r="I732" s="1" t="s">
        <v>3664</v>
      </c>
      <c r="J732" s="1"/>
      <c r="K732" s="1" t="s">
        <v>29</v>
      </c>
      <c r="L732" s="1" t="s">
        <v>30</v>
      </c>
      <c r="M732" s="1" t="s">
        <v>1918</v>
      </c>
      <c r="N732" s="1" t="s">
        <v>234</v>
      </c>
      <c r="O732" s="1">
        <v>11572</v>
      </c>
      <c r="P732" s="1" t="s">
        <v>128</v>
      </c>
      <c r="Q732" s="1" t="s">
        <v>773</v>
      </c>
      <c r="R732" s="1" t="s">
        <v>35</v>
      </c>
      <c r="S732" s="7">
        <v>542.64599999999996</v>
      </c>
      <c r="T732" s="1">
        <v>1</v>
      </c>
      <c r="U732" s="9">
        <v>542.23</v>
      </c>
      <c r="V732" s="9">
        <v>542.64599999999996</v>
      </c>
      <c r="W732" s="9">
        <v>542.23</v>
      </c>
      <c r="X732" s="12">
        <v>0.41599999999993997</v>
      </c>
      <c r="Y732" s="10">
        <v>2017</v>
      </c>
    </row>
    <row r="733" spans="1:25">
      <c r="A733" s="1" t="s">
        <v>1915</v>
      </c>
      <c r="B733" s="8">
        <v>42806</v>
      </c>
      <c r="C733" s="11" t="s">
        <v>3429</v>
      </c>
      <c r="D733" s="11" t="s">
        <v>3382</v>
      </c>
      <c r="E733" s="5">
        <v>42898</v>
      </c>
      <c r="F733" s="1" t="s">
        <v>162</v>
      </c>
      <c r="G733" s="1" t="s">
        <v>1916</v>
      </c>
      <c r="H733" s="1" t="s">
        <v>3379</v>
      </c>
      <c r="I733" s="1" t="s">
        <v>3664</v>
      </c>
      <c r="J733" s="1"/>
      <c r="K733" s="1" t="s">
        <v>29</v>
      </c>
      <c r="L733" s="1" t="s">
        <v>30</v>
      </c>
      <c r="M733" s="1" t="s">
        <v>1918</v>
      </c>
      <c r="N733" s="1" t="s">
        <v>234</v>
      </c>
      <c r="O733" s="1">
        <v>11572</v>
      </c>
      <c r="P733" s="1" t="s">
        <v>128</v>
      </c>
      <c r="Q733" s="1" t="s">
        <v>1263</v>
      </c>
      <c r="R733" s="1" t="s">
        <v>46</v>
      </c>
      <c r="S733" s="7">
        <v>6.3</v>
      </c>
      <c r="T733" s="1">
        <v>1</v>
      </c>
      <c r="U733" s="9">
        <v>5.34</v>
      </c>
      <c r="V733" s="9">
        <v>6.3</v>
      </c>
      <c r="W733" s="9">
        <v>5.34</v>
      </c>
      <c r="X733" s="12">
        <v>0.96</v>
      </c>
      <c r="Y733" s="10">
        <v>2017</v>
      </c>
    </row>
    <row r="734" spans="1:25">
      <c r="A734" s="1" t="s">
        <v>1922</v>
      </c>
      <c r="B734" s="8">
        <v>43121</v>
      </c>
      <c r="C734" s="11" t="s">
        <v>3381</v>
      </c>
      <c r="D734" s="11" t="s">
        <v>3382</v>
      </c>
      <c r="E734" s="5" t="s">
        <v>1445</v>
      </c>
      <c r="F734" s="1" t="s">
        <v>49</v>
      </c>
      <c r="G734" s="1" t="s">
        <v>1923</v>
      </c>
      <c r="H734" s="1" t="s">
        <v>3350</v>
      </c>
      <c r="I734" s="1" t="s">
        <v>3795</v>
      </c>
      <c r="J734" s="1"/>
      <c r="K734" s="1" t="s">
        <v>87</v>
      </c>
      <c r="L734" s="1" t="s">
        <v>30</v>
      </c>
      <c r="M734" s="1" t="s">
        <v>80</v>
      </c>
      <c r="N734" s="1" t="s">
        <v>81</v>
      </c>
      <c r="O734" s="1">
        <v>98115</v>
      </c>
      <c r="P734" s="1" t="s">
        <v>44</v>
      </c>
      <c r="Q734" s="1" t="s">
        <v>1442</v>
      </c>
      <c r="R734" s="1" t="s">
        <v>46</v>
      </c>
      <c r="S734" s="7">
        <v>242.94</v>
      </c>
      <c r="T734" s="1">
        <v>9</v>
      </c>
      <c r="U734" s="9">
        <v>242.41</v>
      </c>
      <c r="V734" s="9">
        <v>2186.46</v>
      </c>
      <c r="W734" s="9">
        <v>2181.69</v>
      </c>
      <c r="X734" s="12">
        <v>4.7699999999999818</v>
      </c>
      <c r="Y734" s="10">
        <v>2018</v>
      </c>
    </row>
    <row r="735" spans="1:25">
      <c r="A735" s="1" t="s">
        <v>1922</v>
      </c>
      <c r="B735" s="8">
        <v>43121</v>
      </c>
      <c r="C735" s="11" t="s">
        <v>3381</v>
      </c>
      <c r="D735" s="11" t="s">
        <v>3382</v>
      </c>
      <c r="E735" s="5" t="s">
        <v>1445</v>
      </c>
      <c r="F735" s="1" t="s">
        <v>49</v>
      </c>
      <c r="G735" s="1" t="s">
        <v>1923</v>
      </c>
      <c r="H735" s="1" t="s">
        <v>3350</v>
      </c>
      <c r="I735" s="1" t="s">
        <v>3795</v>
      </c>
      <c r="J735" s="1"/>
      <c r="K735" s="1" t="s">
        <v>87</v>
      </c>
      <c r="L735" s="1" t="s">
        <v>30</v>
      </c>
      <c r="M735" s="1" t="s">
        <v>80</v>
      </c>
      <c r="N735" s="1" t="s">
        <v>81</v>
      </c>
      <c r="O735" s="1">
        <v>98115</v>
      </c>
      <c r="P735" s="1" t="s">
        <v>44</v>
      </c>
      <c r="Q735" s="1" t="s">
        <v>1925</v>
      </c>
      <c r="R735" s="1" t="s">
        <v>64</v>
      </c>
      <c r="S735" s="7">
        <v>179.97</v>
      </c>
      <c r="T735" s="1">
        <v>9</v>
      </c>
      <c r="U735" s="9">
        <v>179.08</v>
      </c>
      <c r="V735" s="9">
        <v>1619.73</v>
      </c>
      <c r="W735" s="9">
        <v>1611.72</v>
      </c>
      <c r="X735" s="12">
        <v>8.0099999999999909</v>
      </c>
      <c r="Y735" s="10">
        <v>2018</v>
      </c>
    </row>
    <row r="736" spans="1:25">
      <c r="A736" s="1" t="s">
        <v>1922</v>
      </c>
      <c r="B736" s="8">
        <v>43121</v>
      </c>
      <c r="C736" s="11" t="s">
        <v>3381</v>
      </c>
      <c r="D736" s="11" t="s">
        <v>3382</v>
      </c>
      <c r="E736" s="5" t="s">
        <v>1445</v>
      </c>
      <c r="F736" s="1" t="s">
        <v>49</v>
      </c>
      <c r="G736" s="1" t="s">
        <v>1923</v>
      </c>
      <c r="H736" s="1" t="s">
        <v>3350</v>
      </c>
      <c r="I736" s="1" t="s">
        <v>3795</v>
      </c>
      <c r="J736" s="1"/>
      <c r="K736" s="1" t="s">
        <v>87</v>
      </c>
      <c r="L736" s="1" t="s">
        <v>30</v>
      </c>
      <c r="M736" s="1" t="s">
        <v>80</v>
      </c>
      <c r="N736" s="1" t="s">
        <v>81</v>
      </c>
      <c r="O736" s="1">
        <v>98115</v>
      </c>
      <c r="P736" s="1" t="s">
        <v>44</v>
      </c>
      <c r="Q736" s="1" t="s">
        <v>1129</v>
      </c>
      <c r="R736" s="1" t="s">
        <v>46</v>
      </c>
      <c r="S736" s="7">
        <v>99.695999999999998</v>
      </c>
      <c r="T736" s="1">
        <v>9</v>
      </c>
      <c r="U736" s="9">
        <v>99.66</v>
      </c>
      <c r="V736" s="9">
        <v>897.26400000000001</v>
      </c>
      <c r="W736" s="9">
        <v>896.93999999999994</v>
      </c>
      <c r="X736" s="12">
        <v>0.32400000000006912</v>
      </c>
      <c r="Y736" s="10">
        <v>2018</v>
      </c>
    </row>
    <row r="737" spans="1:25">
      <c r="A737" s="1" t="s">
        <v>1922</v>
      </c>
      <c r="B737" s="8">
        <v>43121</v>
      </c>
      <c r="C737" s="11" t="s">
        <v>3381</v>
      </c>
      <c r="D737" s="11" t="s">
        <v>3382</v>
      </c>
      <c r="E737" s="5" t="s">
        <v>1445</v>
      </c>
      <c r="F737" s="1" t="s">
        <v>49</v>
      </c>
      <c r="G737" s="1" t="s">
        <v>1923</v>
      </c>
      <c r="H737" s="1" t="s">
        <v>3350</v>
      </c>
      <c r="I737" s="1" t="s">
        <v>3795</v>
      </c>
      <c r="J737" s="1"/>
      <c r="K737" s="1" t="s">
        <v>87</v>
      </c>
      <c r="L737" s="1" t="s">
        <v>30</v>
      </c>
      <c r="M737" s="1" t="s">
        <v>80</v>
      </c>
      <c r="N737" s="1" t="s">
        <v>81</v>
      </c>
      <c r="O737" s="1">
        <v>98115</v>
      </c>
      <c r="P737" s="1" t="s">
        <v>44</v>
      </c>
      <c r="Q737" s="1" t="s">
        <v>203</v>
      </c>
      <c r="R737" s="1" t="s">
        <v>46</v>
      </c>
      <c r="S737" s="7">
        <v>27.936</v>
      </c>
      <c r="T737" s="1">
        <v>9</v>
      </c>
      <c r="U737" s="9">
        <v>27.72</v>
      </c>
      <c r="V737" s="9">
        <v>251.42400000000001</v>
      </c>
      <c r="W737" s="9">
        <v>249.48</v>
      </c>
      <c r="X737" s="12">
        <v>1.9440000000000168</v>
      </c>
      <c r="Y737" s="10">
        <v>2018</v>
      </c>
    </row>
    <row r="738" spans="1:25">
      <c r="A738" s="1" t="s">
        <v>1922</v>
      </c>
      <c r="B738" s="8">
        <v>43121</v>
      </c>
      <c r="C738" s="11" t="s">
        <v>3381</v>
      </c>
      <c r="D738" s="11" t="s">
        <v>3382</v>
      </c>
      <c r="E738" s="5" t="s">
        <v>1445</v>
      </c>
      <c r="F738" s="1" t="s">
        <v>49</v>
      </c>
      <c r="G738" s="1" t="s">
        <v>1923</v>
      </c>
      <c r="H738" s="1" t="s">
        <v>3350</v>
      </c>
      <c r="I738" s="1" t="s">
        <v>3795</v>
      </c>
      <c r="J738" s="1"/>
      <c r="K738" s="1" t="s">
        <v>87</v>
      </c>
      <c r="L738" s="1" t="s">
        <v>30</v>
      </c>
      <c r="M738" s="1" t="s">
        <v>80</v>
      </c>
      <c r="N738" s="1" t="s">
        <v>81</v>
      </c>
      <c r="O738" s="1">
        <v>98115</v>
      </c>
      <c r="P738" s="1" t="s">
        <v>44</v>
      </c>
      <c r="Q738" s="1" t="s">
        <v>1926</v>
      </c>
      <c r="R738" s="1" t="s">
        <v>35</v>
      </c>
      <c r="S738" s="7">
        <v>84.98</v>
      </c>
      <c r="T738" s="1">
        <v>9</v>
      </c>
      <c r="U738" s="9">
        <v>84.26</v>
      </c>
      <c r="V738" s="9">
        <v>764.82</v>
      </c>
      <c r="W738" s="9">
        <v>758.34</v>
      </c>
      <c r="X738" s="12">
        <v>6.4800000000000182</v>
      </c>
      <c r="Y738" s="10">
        <v>2018</v>
      </c>
    </row>
    <row r="739" spans="1:25">
      <c r="A739" s="1" t="s">
        <v>1922</v>
      </c>
      <c r="B739" s="8">
        <v>43121</v>
      </c>
      <c r="C739" s="11" t="s">
        <v>3381</v>
      </c>
      <c r="D739" s="11" t="s">
        <v>3382</v>
      </c>
      <c r="E739" s="5" t="s">
        <v>1445</v>
      </c>
      <c r="F739" s="1" t="s">
        <v>49</v>
      </c>
      <c r="G739" s="1" t="s">
        <v>1923</v>
      </c>
      <c r="H739" s="1" t="s">
        <v>3350</v>
      </c>
      <c r="I739" s="1" t="s">
        <v>3795</v>
      </c>
      <c r="J739" s="1"/>
      <c r="K739" s="1" t="s">
        <v>87</v>
      </c>
      <c r="L739" s="1" t="s">
        <v>30</v>
      </c>
      <c r="M739" s="1" t="s">
        <v>80</v>
      </c>
      <c r="N739" s="1" t="s">
        <v>81</v>
      </c>
      <c r="O739" s="1">
        <v>98115</v>
      </c>
      <c r="P739" s="1" t="s">
        <v>44</v>
      </c>
      <c r="Q739" s="1" t="s">
        <v>1927</v>
      </c>
      <c r="R739" s="1" t="s">
        <v>46</v>
      </c>
      <c r="S739" s="7">
        <v>18.72</v>
      </c>
      <c r="T739" s="1">
        <v>9</v>
      </c>
      <c r="U739" s="9">
        <v>17.91</v>
      </c>
      <c r="V739" s="9">
        <v>168.48</v>
      </c>
      <c r="W739" s="9">
        <v>161.19</v>
      </c>
      <c r="X739" s="12">
        <v>7.289999999999992</v>
      </c>
      <c r="Y739" s="10">
        <v>2018</v>
      </c>
    </row>
    <row r="740" spans="1:25">
      <c r="A740" s="1" t="s">
        <v>1928</v>
      </c>
      <c r="B740" s="8">
        <v>42225</v>
      </c>
      <c r="C740" s="11" t="s">
        <v>3344</v>
      </c>
      <c r="D740" s="11" t="s">
        <v>3345</v>
      </c>
      <c r="E740" s="5">
        <v>42347</v>
      </c>
      <c r="F740" s="1" t="s">
        <v>49</v>
      </c>
      <c r="G740" s="1" t="s">
        <v>378</v>
      </c>
      <c r="H740" s="1" t="s">
        <v>3435</v>
      </c>
      <c r="I740" s="1" t="s">
        <v>3451</v>
      </c>
      <c r="J740" s="1"/>
      <c r="K740" s="1" t="s">
        <v>29</v>
      </c>
      <c r="L740" s="1" t="s">
        <v>30</v>
      </c>
      <c r="M740" s="1" t="s">
        <v>110</v>
      </c>
      <c r="N740" s="1" t="s">
        <v>68</v>
      </c>
      <c r="O740" s="1">
        <v>94110</v>
      </c>
      <c r="P740" s="1" t="s">
        <v>44</v>
      </c>
      <c r="Q740" s="1" t="s">
        <v>1929</v>
      </c>
      <c r="R740" s="1" t="s">
        <v>64</v>
      </c>
      <c r="S740" s="7">
        <v>49.98</v>
      </c>
      <c r="T740" s="1">
        <v>9</v>
      </c>
      <c r="U740" s="9">
        <v>49.18</v>
      </c>
      <c r="V740" s="9">
        <v>449.82</v>
      </c>
      <c r="W740" s="9">
        <v>442.62</v>
      </c>
      <c r="X740" s="12">
        <v>7.1999999999999886</v>
      </c>
      <c r="Y740" s="10">
        <v>2015</v>
      </c>
    </row>
    <row r="741" spans="1:25">
      <c r="A741" s="1" t="s">
        <v>1930</v>
      </c>
      <c r="B741" s="8">
        <v>42095</v>
      </c>
      <c r="C741" s="11" t="s">
        <v>3359</v>
      </c>
      <c r="D741" s="11" t="s">
        <v>3360</v>
      </c>
      <c r="E741" s="5">
        <v>42217</v>
      </c>
      <c r="F741" s="1" t="s">
        <v>49</v>
      </c>
      <c r="G741" s="1" t="s">
        <v>1931</v>
      </c>
      <c r="H741" s="1" t="s">
        <v>3796</v>
      </c>
      <c r="I741" s="1" t="s">
        <v>3797</v>
      </c>
      <c r="J741" s="1"/>
      <c r="K741" s="1" t="s">
        <v>87</v>
      </c>
      <c r="L741" s="1" t="s">
        <v>30</v>
      </c>
      <c r="M741" s="1" t="s">
        <v>181</v>
      </c>
      <c r="N741" s="1" t="s">
        <v>182</v>
      </c>
      <c r="O741" s="1">
        <v>60540</v>
      </c>
      <c r="P741" s="1" t="s">
        <v>90</v>
      </c>
      <c r="Q741" s="1" t="s">
        <v>1933</v>
      </c>
      <c r="R741" s="1" t="s">
        <v>46</v>
      </c>
      <c r="S741" s="7">
        <v>11.784000000000001</v>
      </c>
      <c r="T741" s="1">
        <v>6</v>
      </c>
      <c r="U741" s="9">
        <v>10.79</v>
      </c>
      <c r="V741" s="9">
        <v>70.704000000000008</v>
      </c>
      <c r="W741" s="9">
        <v>64.739999999999995</v>
      </c>
      <c r="X741" s="12">
        <v>5.9640000000000128</v>
      </c>
      <c r="Y741" s="10">
        <v>2015</v>
      </c>
    </row>
    <row r="742" spans="1:25">
      <c r="A742" s="1" t="s">
        <v>1930</v>
      </c>
      <c r="B742" s="8">
        <v>42095</v>
      </c>
      <c r="C742" s="11" t="s">
        <v>3359</v>
      </c>
      <c r="D742" s="11" t="s">
        <v>3360</v>
      </c>
      <c r="E742" s="5">
        <v>42217</v>
      </c>
      <c r="F742" s="1" t="s">
        <v>49</v>
      </c>
      <c r="G742" s="1" t="s">
        <v>1931</v>
      </c>
      <c r="H742" s="1" t="s">
        <v>3796</v>
      </c>
      <c r="I742" s="1" t="s">
        <v>3797</v>
      </c>
      <c r="J742" s="1"/>
      <c r="K742" s="1" t="s">
        <v>87</v>
      </c>
      <c r="L742" s="1" t="s">
        <v>30</v>
      </c>
      <c r="M742" s="1" t="s">
        <v>181</v>
      </c>
      <c r="N742" s="1" t="s">
        <v>182</v>
      </c>
      <c r="O742" s="1">
        <v>60540</v>
      </c>
      <c r="P742" s="1" t="s">
        <v>90</v>
      </c>
      <c r="Q742" s="1" t="s">
        <v>1325</v>
      </c>
      <c r="R742" s="1" t="s">
        <v>46</v>
      </c>
      <c r="S742" s="7">
        <v>272.73599999999999</v>
      </c>
      <c r="T742" s="1">
        <v>6</v>
      </c>
      <c r="U742" s="9">
        <v>271.79000000000002</v>
      </c>
      <c r="V742" s="9">
        <v>1636.4159999999999</v>
      </c>
      <c r="W742" s="9">
        <v>1630.7400000000002</v>
      </c>
      <c r="X742" s="12">
        <v>5.6759999999997035</v>
      </c>
      <c r="Y742" s="10">
        <v>2015</v>
      </c>
    </row>
    <row r="743" spans="1:25">
      <c r="A743" s="1" t="s">
        <v>1930</v>
      </c>
      <c r="B743" s="8">
        <v>42095</v>
      </c>
      <c r="C743" s="11" t="s">
        <v>3359</v>
      </c>
      <c r="D743" s="11" t="s">
        <v>3360</v>
      </c>
      <c r="E743" s="5">
        <v>42217</v>
      </c>
      <c r="F743" s="1" t="s">
        <v>49</v>
      </c>
      <c r="G743" s="1" t="s">
        <v>1931</v>
      </c>
      <c r="H743" s="1" t="s">
        <v>3796</v>
      </c>
      <c r="I743" s="1" t="s">
        <v>3797</v>
      </c>
      <c r="J743" s="1"/>
      <c r="K743" s="1" t="s">
        <v>87</v>
      </c>
      <c r="L743" s="1" t="s">
        <v>30</v>
      </c>
      <c r="M743" s="1" t="s">
        <v>181</v>
      </c>
      <c r="N743" s="1" t="s">
        <v>182</v>
      </c>
      <c r="O743" s="1">
        <v>60540</v>
      </c>
      <c r="P743" s="1" t="s">
        <v>90</v>
      </c>
      <c r="Q743" s="1" t="s">
        <v>1934</v>
      </c>
      <c r="R743" s="1" t="s">
        <v>46</v>
      </c>
      <c r="S743" s="7">
        <v>3.54</v>
      </c>
      <c r="T743" s="1">
        <v>6</v>
      </c>
      <c r="U743" s="9">
        <v>3.11</v>
      </c>
      <c r="V743" s="9">
        <v>21.240000000000002</v>
      </c>
      <c r="W743" s="9">
        <v>18.66</v>
      </c>
      <c r="X743" s="12">
        <v>2.5800000000000018</v>
      </c>
      <c r="Y743" s="10">
        <v>2015</v>
      </c>
    </row>
    <row r="744" spans="1:25">
      <c r="A744" s="1" t="s">
        <v>1935</v>
      </c>
      <c r="B744" s="8">
        <v>42974</v>
      </c>
      <c r="C744" s="11" t="s">
        <v>3344</v>
      </c>
      <c r="D744" s="11" t="s">
        <v>3345</v>
      </c>
      <c r="E744" s="5">
        <v>42744</v>
      </c>
      <c r="F744" s="1" t="s">
        <v>49</v>
      </c>
      <c r="G744" s="1" t="s">
        <v>1936</v>
      </c>
      <c r="H744" s="1" t="s">
        <v>3581</v>
      </c>
      <c r="I744" s="1" t="s">
        <v>3798</v>
      </c>
      <c r="J744" s="1"/>
      <c r="K744" s="1" t="s">
        <v>29</v>
      </c>
      <c r="L744" s="1" t="s">
        <v>30</v>
      </c>
      <c r="M744" s="1" t="s">
        <v>677</v>
      </c>
      <c r="N744" s="1" t="s">
        <v>89</v>
      </c>
      <c r="O744" s="1">
        <v>75220</v>
      </c>
      <c r="P744" s="1" t="s">
        <v>90</v>
      </c>
      <c r="Q744" s="1" t="s">
        <v>1595</v>
      </c>
      <c r="R744" s="1" t="s">
        <v>46</v>
      </c>
      <c r="S744" s="7">
        <v>51.52</v>
      </c>
      <c r="T744" s="1">
        <v>7</v>
      </c>
      <c r="U744" s="9">
        <v>51.13</v>
      </c>
      <c r="V744" s="9">
        <v>360.64000000000004</v>
      </c>
      <c r="W744" s="9">
        <v>357.91</v>
      </c>
      <c r="X744" s="12">
        <v>2.7300000000000182</v>
      </c>
      <c r="Y744" s="10">
        <v>2017</v>
      </c>
    </row>
    <row r="745" spans="1:25">
      <c r="A745" s="1" t="s">
        <v>1935</v>
      </c>
      <c r="B745" s="8">
        <v>42974</v>
      </c>
      <c r="C745" s="11" t="s">
        <v>3344</v>
      </c>
      <c r="D745" s="11" t="s">
        <v>3345</v>
      </c>
      <c r="E745" s="5">
        <v>42744</v>
      </c>
      <c r="F745" s="1" t="s">
        <v>49</v>
      </c>
      <c r="G745" s="1" t="s">
        <v>1936</v>
      </c>
      <c r="H745" s="1" t="s">
        <v>3581</v>
      </c>
      <c r="I745" s="1" t="s">
        <v>3798</v>
      </c>
      <c r="J745" s="1"/>
      <c r="K745" s="1" t="s">
        <v>29</v>
      </c>
      <c r="L745" s="1" t="s">
        <v>30</v>
      </c>
      <c r="M745" s="1" t="s">
        <v>677</v>
      </c>
      <c r="N745" s="1" t="s">
        <v>89</v>
      </c>
      <c r="O745" s="1">
        <v>75220</v>
      </c>
      <c r="P745" s="1" t="s">
        <v>90</v>
      </c>
      <c r="Q745" s="1" t="s">
        <v>845</v>
      </c>
      <c r="R745" s="1" t="s">
        <v>46</v>
      </c>
      <c r="S745" s="7">
        <v>3.528</v>
      </c>
      <c r="T745" s="1">
        <v>7</v>
      </c>
      <c r="U745" s="9">
        <v>3.36</v>
      </c>
      <c r="V745" s="9">
        <v>24.696000000000002</v>
      </c>
      <c r="W745" s="9">
        <v>23.52</v>
      </c>
      <c r="X745" s="12">
        <v>1.1760000000000019</v>
      </c>
      <c r="Y745" s="10">
        <v>2017</v>
      </c>
    </row>
    <row r="746" spans="1:25">
      <c r="A746" s="1" t="s">
        <v>1935</v>
      </c>
      <c r="B746" s="8">
        <v>42974</v>
      </c>
      <c r="C746" s="11" t="s">
        <v>3344</v>
      </c>
      <c r="D746" s="11" t="s">
        <v>3345</v>
      </c>
      <c r="E746" s="5">
        <v>42744</v>
      </c>
      <c r="F746" s="1" t="s">
        <v>49</v>
      </c>
      <c r="G746" s="1" t="s">
        <v>1936</v>
      </c>
      <c r="H746" s="1" t="s">
        <v>3581</v>
      </c>
      <c r="I746" s="1" t="s">
        <v>3798</v>
      </c>
      <c r="J746" s="1"/>
      <c r="K746" s="1" t="s">
        <v>29</v>
      </c>
      <c r="L746" s="1" t="s">
        <v>30</v>
      </c>
      <c r="M746" s="1" t="s">
        <v>677</v>
      </c>
      <c r="N746" s="1" t="s">
        <v>89</v>
      </c>
      <c r="O746" s="1">
        <v>75220</v>
      </c>
      <c r="P746" s="1" t="s">
        <v>90</v>
      </c>
      <c r="Q746" s="1" t="s">
        <v>1938</v>
      </c>
      <c r="R746" s="1" t="s">
        <v>46</v>
      </c>
      <c r="S746" s="7">
        <v>4.6239999999999997</v>
      </c>
      <c r="T746" s="1">
        <v>7</v>
      </c>
      <c r="U746" s="9">
        <v>4</v>
      </c>
      <c r="V746" s="9">
        <v>32.367999999999995</v>
      </c>
      <c r="W746" s="9">
        <v>28</v>
      </c>
      <c r="X746" s="12">
        <v>4.367999999999995</v>
      </c>
      <c r="Y746" s="10">
        <v>2017</v>
      </c>
    </row>
    <row r="747" spans="1:25">
      <c r="A747" s="1" t="s">
        <v>1935</v>
      </c>
      <c r="B747" s="8">
        <v>42974</v>
      </c>
      <c r="C747" s="11" t="s">
        <v>3344</v>
      </c>
      <c r="D747" s="11" t="s">
        <v>3345</v>
      </c>
      <c r="E747" s="5">
        <v>42744</v>
      </c>
      <c r="F747" s="1" t="s">
        <v>49</v>
      </c>
      <c r="G747" s="1" t="s">
        <v>1936</v>
      </c>
      <c r="H747" s="1" t="s">
        <v>3581</v>
      </c>
      <c r="I747" s="1" t="s">
        <v>3798</v>
      </c>
      <c r="J747" s="1"/>
      <c r="K747" s="1" t="s">
        <v>29</v>
      </c>
      <c r="L747" s="1" t="s">
        <v>30</v>
      </c>
      <c r="M747" s="1" t="s">
        <v>677</v>
      </c>
      <c r="N747" s="1" t="s">
        <v>89</v>
      </c>
      <c r="O747" s="1">
        <v>75220</v>
      </c>
      <c r="P747" s="1" t="s">
        <v>90</v>
      </c>
      <c r="Q747" s="1" t="s">
        <v>1939</v>
      </c>
      <c r="R747" s="1" t="s">
        <v>46</v>
      </c>
      <c r="S747" s="7">
        <v>55.167999999999999</v>
      </c>
      <c r="T747" s="1">
        <v>7</v>
      </c>
      <c r="U747" s="9">
        <v>54.91</v>
      </c>
      <c r="V747" s="9">
        <v>386.17599999999999</v>
      </c>
      <c r="W747" s="9">
        <v>384.37</v>
      </c>
      <c r="X747" s="12">
        <v>1.8059999999999832</v>
      </c>
      <c r="Y747" s="10">
        <v>2017</v>
      </c>
    </row>
    <row r="748" spans="1:25">
      <c r="A748" s="1" t="s">
        <v>1940</v>
      </c>
      <c r="B748" s="8">
        <v>42151</v>
      </c>
      <c r="C748" s="11" t="s">
        <v>3363</v>
      </c>
      <c r="D748" s="11" t="s">
        <v>3360</v>
      </c>
      <c r="E748" s="5" t="s">
        <v>1642</v>
      </c>
      <c r="F748" s="1" t="s">
        <v>1050</v>
      </c>
      <c r="G748" s="1" t="s">
        <v>1318</v>
      </c>
      <c r="H748" s="1" t="s">
        <v>3661</v>
      </c>
      <c r="I748" s="1" t="s">
        <v>3662</v>
      </c>
      <c r="J748" s="1"/>
      <c r="K748" s="1" t="s">
        <v>41</v>
      </c>
      <c r="L748" s="1" t="s">
        <v>30</v>
      </c>
      <c r="M748" s="1" t="s">
        <v>778</v>
      </c>
      <c r="N748" s="1" t="s">
        <v>68</v>
      </c>
      <c r="O748" s="1">
        <v>92105</v>
      </c>
      <c r="P748" s="1" t="s">
        <v>44</v>
      </c>
      <c r="Q748" s="1" t="s">
        <v>760</v>
      </c>
      <c r="R748" s="1" t="s">
        <v>35</v>
      </c>
      <c r="S748" s="7">
        <v>567.12</v>
      </c>
      <c r="T748" s="1">
        <v>9</v>
      </c>
      <c r="U748" s="9">
        <v>566.92999999999995</v>
      </c>
      <c r="V748" s="9">
        <v>5104.08</v>
      </c>
      <c r="W748" s="9">
        <v>5102.37</v>
      </c>
      <c r="X748" s="12">
        <v>1.7100000000000364</v>
      </c>
      <c r="Y748" s="10">
        <v>2015</v>
      </c>
    </row>
    <row r="749" spans="1:25">
      <c r="A749" s="1" t="s">
        <v>1940</v>
      </c>
      <c r="B749" s="8">
        <v>42151</v>
      </c>
      <c r="C749" s="11" t="s">
        <v>3363</v>
      </c>
      <c r="D749" s="11" t="s">
        <v>3360</v>
      </c>
      <c r="E749" s="5" t="s">
        <v>1642</v>
      </c>
      <c r="F749" s="1" t="s">
        <v>1050</v>
      </c>
      <c r="G749" s="1" t="s">
        <v>1318</v>
      </c>
      <c r="H749" s="1" t="s">
        <v>3661</v>
      </c>
      <c r="I749" s="1" t="s">
        <v>3662</v>
      </c>
      <c r="J749" s="1"/>
      <c r="K749" s="1" t="s">
        <v>41</v>
      </c>
      <c r="L749" s="1" t="s">
        <v>30</v>
      </c>
      <c r="M749" s="1" t="s">
        <v>778</v>
      </c>
      <c r="N749" s="1" t="s">
        <v>68</v>
      </c>
      <c r="O749" s="1">
        <v>92105</v>
      </c>
      <c r="P749" s="1" t="s">
        <v>44</v>
      </c>
      <c r="Q749" s="1" t="s">
        <v>1372</v>
      </c>
      <c r="R749" s="1" t="s">
        <v>46</v>
      </c>
      <c r="S749" s="7">
        <v>359.32</v>
      </c>
      <c r="T749" s="1">
        <v>9</v>
      </c>
      <c r="U749" s="9">
        <v>358.74</v>
      </c>
      <c r="V749" s="9">
        <v>3233.88</v>
      </c>
      <c r="W749" s="9">
        <v>3228.66</v>
      </c>
      <c r="X749" s="12">
        <v>5.2200000000002547</v>
      </c>
      <c r="Y749" s="10">
        <v>2015</v>
      </c>
    </row>
    <row r="750" spans="1:25">
      <c r="A750" s="1" t="s">
        <v>1941</v>
      </c>
      <c r="B750" s="8">
        <v>42814</v>
      </c>
      <c r="C750" s="11" t="s">
        <v>3429</v>
      </c>
      <c r="D750" s="11" t="s">
        <v>3382</v>
      </c>
      <c r="E750" s="5" t="s">
        <v>1942</v>
      </c>
      <c r="F750" s="1" t="s">
        <v>26</v>
      </c>
      <c r="G750" s="1" t="s">
        <v>1943</v>
      </c>
      <c r="H750" s="1" t="s">
        <v>3799</v>
      </c>
      <c r="I750" s="1" t="s">
        <v>3800</v>
      </c>
      <c r="J750" s="1"/>
      <c r="K750" s="1" t="s">
        <v>29</v>
      </c>
      <c r="L750" s="1" t="s">
        <v>30</v>
      </c>
      <c r="M750" s="1" t="s">
        <v>1945</v>
      </c>
      <c r="N750" s="1" t="s">
        <v>182</v>
      </c>
      <c r="O750" s="1">
        <v>60201</v>
      </c>
      <c r="P750" s="1" t="s">
        <v>90</v>
      </c>
      <c r="Q750" s="1" t="s">
        <v>1946</v>
      </c>
      <c r="R750" s="1" t="s">
        <v>64</v>
      </c>
      <c r="S750" s="7">
        <v>11.992000000000001</v>
      </c>
      <c r="T750" s="1">
        <v>6</v>
      </c>
      <c r="U750" s="9">
        <v>11.93</v>
      </c>
      <c r="V750" s="9">
        <v>71.951999999999998</v>
      </c>
      <c r="W750" s="9">
        <v>71.58</v>
      </c>
      <c r="X750" s="12">
        <v>0.37199999999999989</v>
      </c>
      <c r="Y750" s="10">
        <v>2017</v>
      </c>
    </row>
    <row r="751" spans="1:25">
      <c r="A751" s="1" t="s">
        <v>1947</v>
      </c>
      <c r="B751" s="8">
        <v>43141</v>
      </c>
      <c r="C751" s="11" t="s">
        <v>3461</v>
      </c>
      <c r="D751" s="11" t="s">
        <v>3382</v>
      </c>
      <c r="E751" s="5">
        <v>43261</v>
      </c>
      <c r="F751" s="1" t="s">
        <v>49</v>
      </c>
      <c r="G751" s="1" t="s">
        <v>1948</v>
      </c>
      <c r="H751" s="1" t="s">
        <v>3785</v>
      </c>
      <c r="I751" s="1" t="s">
        <v>3801</v>
      </c>
      <c r="J751" s="1"/>
      <c r="K751" s="1" t="s">
        <v>29</v>
      </c>
      <c r="L751" s="1" t="s">
        <v>30</v>
      </c>
      <c r="M751" s="1" t="s">
        <v>1950</v>
      </c>
      <c r="N751" s="1" t="s">
        <v>209</v>
      </c>
      <c r="O751" s="1">
        <v>48183</v>
      </c>
      <c r="P751" s="1" t="s">
        <v>90</v>
      </c>
      <c r="Q751" s="1" t="s">
        <v>1951</v>
      </c>
      <c r="R751" s="1" t="s">
        <v>46</v>
      </c>
      <c r="S751" s="7">
        <v>58.05</v>
      </c>
      <c r="T751" s="1">
        <v>4</v>
      </c>
      <c r="U751" s="9">
        <v>57.83</v>
      </c>
      <c r="V751" s="9">
        <v>232.2</v>
      </c>
      <c r="W751" s="9">
        <v>231.32</v>
      </c>
      <c r="X751" s="12">
        <v>0.87999999999999545</v>
      </c>
      <c r="Y751" s="10">
        <v>2018</v>
      </c>
    </row>
    <row r="752" spans="1:25">
      <c r="A752" s="1" t="s">
        <v>1947</v>
      </c>
      <c r="B752" s="8">
        <v>43141</v>
      </c>
      <c r="C752" s="11" t="s">
        <v>3461</v>
      </c>
      <c r="D752" s="11" t="s">
        <v>3382</v>
      </c>
      <c r="E752" s="5">
        <v>43261</v>
      </c>
      <c r="F752" s="1" t="s">
        <v>49</v>
      </c>
      <c r="G752" s="1" t="s">
        <v>1948</v>
      </c>
      <c r="H752" s="1" t="s">
        <v>3785</v>
      </c>
      <c r="I752" s="1" t="s">
        <v>3801</v>
      </c>
      <c r="J752" s="1"/>
      <c r="K752" s="1" t="s">
        <v>29</v>
      </c>
      <c r="L752" s="1" t="s">
        <v>30</v>
      </c>
      <c r="M752" s="1" t="s">
        <v>1950</v>
      </c>
      <c r="N752" s="1" t="s">
        <v>209</v>
      </c>
      <c r="O752" s="1">
        <v>48183</v>
      </c>
      <c r="P752" s="1" t="s">
        <v>90</v>
      </c>
      <c r="Q752" s="1" t="s">
        <v>1952</v>
      </c>
      <c r="R752" s="1" t="s">
        <v>35</v>
      </c>
      <c r="S752" s="7">
        <v>157.74</v>
      </c>
      <c r="T752" s="1">
        <v>4</v>
      </c>
      <c r="U752" s="9">
        <v>157.37</v>
      </c>
      <c r="V752" s="9">
        <v>630.96</v>
      </c>
      <c r="W752" s="9">
        <v>629.48</v>
      </c>
      <c r="X752" s="12">
        <v>1.4800000000000182</v>
      </c>
      <c r="Y752" s="10">
        <v>2018</v>
      </c>
    </row>
    <row r="753" spans="1:25">
      <c r="A753" s="1" t="s">
        <v>1947</v>
      </c>
      <c r="B753" s="8">
        <v>43141</v>
      </c>
      <c r="C753" s="11" t="s">
        <v>3461</v>
      </c>
      <c r="D753" s="11" t="s">
        <v>3382</v>
      </c>
      <c r="E753" s="5">
        <v>43261</v>
      </c>
      <c r="F753" s="1" t="s">
        <v>49</v>
      </c>
      <c r="G753" s="1" t="s">
        <v>1948</v>
      </c>
      <c r="H753" s="1" t="s">
        <v>3785</v>
      </c>
      <c r="I753" s="1" t="s">
        <v>3801</v>
      </c>
      <c r="J753" s="1"/>
      <c r="K753" s="1" t="s">
        <v>29</v>
      </c>
      <c r="L753" s="1" t="s">
        <v>30</v>
      </c>
      <c r="M753" s="1" t="s">
        <v>1950</v>
      </c>
      <c r="N753" s="1" t="s">
        <v>209</v>
      </c>
      <c r="O753" s="1">
        <v>48183</v>
      </c>
      <c r="P753" s="1" t="s">
        <v>90</v>
      </c>
      <c r="Q753" s="1" t="s">
        <v>1160</v>
      </c>
      <c r="R753" s="1" t="s">
        <v>46</v>
      </c>
      <c r="S753" s="7">
        <v>56.98</v>
      </c>
      <c r="T753" s="1">
        <v>4</v>
      </c>
      <c r="U753" s="9">
        <v>56.82</v>
      </c>
      <c r="V753" s="9">
        <v>227.92</v>
      </c>
      <c r="W753" s="9">
        <v>227.28</v>
      </c>
      <c r="X753" s="12">
        <v>0.63999999999998636</v>
      </c>
      <c r="Y753" s="10">
        <v>2018</v>
      </c>
    </row>
    <row r="754" spans="1:25">
      <c r="A754" s="1" t="s">
        <v>1947</v>
      </c>
      <c r="B754" s="8">
        <v>43141</v>
      </c>
      <c r="C754" s="11" t="s">
        <v>3461</v>
      </c>
      <c r="D754" s="11" t="s">
        <v>3382</v>
      </c>
      <c r="E754" s="5">
        <v>43261</v>
      </c>
      <c r="F754" s="1" t="s">
        <v>49</v>
      </c>
      <c r="G754" s="1" t="s">
        <v>1948</v>
      </c>
      <c r="H754" s="1" t="s">
        <v>3785</v>
      </c>
      <c r="I754" s="1" t="s">
        <v>3801</v>
      </c>
      <c r="J754" s="1"/>
      <c r="K754" s="1" t="s">
        <v>29</v>
      </c>
      <c r="L754" s="1" t="s">
        <v>30</v>
      </c>
      <c r="M754" s="1" t="s">
        <v>1950</v>
      </c>
      <c r="N754" s="1" t="s">
        <v>209</v>
      </c>
      <c r="O754" s="1">
        <v>48183</v>
      </c>
      <c r="P754" s="1" t="s">
        <v>90</v>
      </c>
      <c r="Q754" s="1" t="s">
        <v>1953</v>
      </c>
      <c r="R754" s="1" t="s">
        <v>46</v>
      </c>
      <c r="S754" s="7">
        <v>2.88</v>
      </c>
      <c r="T754" s="1">
        <v>4</v>
      </c>
      <c r="U754" s="9">
        <v>2.5</v>
      </c>
      <c r="V754" s="9">
        <v>11.52</v>
      </c>
      <c r="W754" s="9">
        <v>10</v>
      </c>
      <c r="X754" s="12">
        <v>1.5199999999999996</v>
      </c>
      <c r="Y754" s="10">
        <v>2018</v>
      </c>
    </row>
    <row r="755" spans="1:25">
      <c r="A755" s="1" t="s">
        <v>1954</v>
      </c>
      <c r="B755" s="8">
        <v>42920</v>
      </c>
      <c r="C755" s="11" t="s">
        <v>3376</v>
      </c>
      <c r="D755" s="11" t="s">
        <v>3345</v>
      </c>
      <c r="E755" s="5">
        <v>42982</v>
      </c>
      <c r="F755" s="1" t="s">
        <v>162</v>
      </c>
      <c r="G755" s="1" t="s">
        <v>1955</v>
      </c>
      <c r="H755" s="1" t="s">
        <v>3802</v>
      </c>
      <c r="I755" s="1" t="s">
        <v>3721</v>
      </c>
      <c r="J755" s="1"/>
      <c r="K755" s="1" t="s">
        <v>41</v>
      </c>
      <c r="L755" s="1" t="s">
        <v>30</v>
      </c>
      <c r="M755" s="1" t="s">
        <v>110</v>
      </c>
      <c r="N755" s="1" t="s">
        <v>68</v>
      </c>
      <c r="O755" s="1">
        <v>94110</v>
      </c>
      <c r="P755" s="1" t="s">
        <v>44</v>
      </c>
      <c r="Q755" s="1" t="s">
        <v>1957</v>
      </c>
      <c r="R755" s="1" t="s">
        <v>64</v>
      </c>
      <c r="S755" s="7">
        <v>1199.9760000000001</v>
      </c>
      <c r="T755" s="1">
        <v>9</v>
      </c>
      <c r="U755" s="9">
        <v>1199.7</v>
      </c>
      <c r="V755" s="9">
        <v>10799.784000000001</v>
      </c>
      <c r="W755" s="9">
        <v>10797.300000000001</v>
      </c>
      <c r="X755" s="12">
        <v>2.4840000000003783</v>
      </c>
      <c r="Y755" s="10">
        <v>2017</v>
      </c>
    </row>
    <row r="756" spans="1:25">
      <c r="A756" s="1" t="s">
        <v>1958</v>
      </c>
      <c r="B756" s="8">
        <v>42563</v>
      </c>
      <c r="C756" s="11" t="s">
        <v>3376</v>
      </c>
      <c r="D756" s="11" t="s">
        <v>3345</v>
      </c>
      <c r="E756" s="5">
        <v>42716</v>
      </c>
      <c r="F756" s="1" t="s">
        <v>49</v>
      </c>
      <c r="G756" s="1" t="s">
        <v>1615</v>
      </c>
      <c r="H756" s="1" t="s">
        <v>3722</v>
      </c>
      <c r="I756" s="1" t="s">
        <v>3723</v>
      </c>
      <c r="J756" s="1"/>
      <c r="K756" s="1" t="s">
        <v>29</v>
      </c>
      <c r="L756" s="1" t="s">
        <v>30</v>
      </c>
      <c r="M756" s="1" t="s">
        <v>42</v>
      </c>
      <c r="N756" s="1" t="s">
        <v>68</v>
      </c>
      <c r="O756" s="1">
        <v>90036</v>
      </c>
      <c r="P756" s="1" t="s">
        <v>44</v>
      </c>
      <c r="Q756" s="1" t="s">
        <v>1787</v>
      </c>
      <c r="R756" s="1" t="s">
        <v>35</v>
      </c>
      <c r="S756" s="7">
        <v>79.92</v>
      </c>
      <c r="T756" s="1">
        <v>9</v>
      </c>
      <c r="U756" s="9">
        <v>79.91</v>
      </c>
      <c r="V756" s="9">
        <v>719.28</v>
      </c>
      <c r="W756" s="9">
        <v>719.18999999999994</v>
      </c>
      <c r="X756" s="12">
        <v>9.0000000000031832E-2</v>
      </c>
      <c r="Y756" s="10">
        <v>2016</v>
      </c>
    </row>
    <row r="757" spans="1:25">
      <c r="A757" s="1" t="s">
        <v>1959</v>
      </c>
      <c r="B757" s="8">
        <v>42996</v>
      </c>
      <c r="C757" s="11" t="s">
        <v>3356</v>
      </c>
      <c r="D757" s="11" t="s">
        <v>3345</v>
      </c>
      <c r="E757" s="5" t="s">
        <v>339</v>
      </c>
      <c r="F757" s="1" t="s">
        <v>49</v>
      </c>
      <c r="G757" s="1" t="s">
        <v>1648</v>
      </c>
      <c r="H757" s="1" t="s">
        <v>3731</v>
      </c>
      <c r="I757" s="1" t="s">
        <v>3732</v>
      </c>
      <c r="J757" s="1"/>
      <c r="K757" s="1" t="s">
        <v>41</v>
      </c>
      <c r="L757" s="1" t="s">
        <v>30</v>
      </c>
      <c r="M757" s="1" t="s">
        <v>1241</v>
      </c>
      <c r="N757" s="1" t="s">
        <v>194</v>
      </c>
      <c r="O757" s="1">
        <v>32216</v>
      </c>
      <c r="P757" s="1" t="s">
        <v>33</v>
      </c>
      <c r="Q757" s="1" t="s">
        <v>1960</v>
      </c>
      <c r="R757" s="1" t="s">
        <v>35</v>
      </c>
      <c r="S757" s="7">
        <v>383.43799999999999</v>
      </c>
      <c r="T757" s="1">
        <v>3</v>
      </c>
      <c r="U757" s="9">
        <v>382.77</v>
      </c>
      <c r="V757" s="9">
        <v>1150.3139999999999</v>
      </c>
      <c r="W757" s="9">
        <v>1148.31</v>
      </c>
      <c r="X757" s="12">
        <v>2.0039999999999054</v>
      </c>
      <c r="Y757" s="10">
        <v>2017</v>
      </c>
    </row>
    <row r="758" spans="1:25">
      <c r="A758" s="1" t="s">
        <v>1961</v>
      </c>
      <c r="B758" s="8">
        <v>42367</v>
      </c>
      <c r="C758" s="11" t="s">
        <v>3348</v>
      </c>
      <c r="D758" s="11" t="s">
        <v>3349</v>
      </c>
      <c r="E758" s="5">
        <v>42401</v>
      </c>
      <c r="F758" s="1" t="s">
        <v>49</v>
      </c>
      <c r="G758" s="1" t="s">
        <v>1962</v>
      </c>
      <c r="H758" s="1" t="s">
        <v>3803</v>
      </c>
      <c r="I758" s="1" t="s">
        <v>3804</v>
      </c>
      <c r="J758" s="1"/>
      <c r="K758" s="1" t="s">
        <v>29</v>
      </c>
      <c r="L758" s="1" t="s">
        <v>30</v>
      </c>
      <c r="M758" s="1" t="s">
        <v>1964</v>
      </c>
      <c r="N758" s="1" t="s">
        <v>201</v>
      </c>
      <c r="O758" s="1">
        <v>55016</v>
      </c>
      <c r="P758" s="1" t="s">
        <v>90</v>
      </c>
      <c r="Q758" s="1" t="s">
        <v>1830</v>
      </c>
      <c r="R758" s="1" t="s">
        <v>46</v>
      </c>
      <c r="S758" s="7">
        <v>24.56</v>
      </c>
      <c r="T758" s="1">
        <v>5</v>
      </c>
      <c r="U758" s="9">
        <v>24.04</v>
      </c>
      <c r="V758" s="9">
        <v>122.8</v>
      </c>
      <c r="W758" s="9">
        <v>120.19999999999999</v>
      </c>
      <c r="X758" s="12">
        <v>2.6000000000000085</v>
      </c>
      <c r="Y758" s="10">
        <v>2015</v>
      </c>
    </row>
    <row r="759" spans="1:25">
      <c r="A759" s="1" t="s">
        <v>1961</v>
      </c>
      <c r="B759" s="8">
        <v>42367</v>
      </c>
      <c r="C759" s="11" t="s">
        <v>3348</v>
      </c>
      <c r="D759" s="11" t="s">
        <v>3349</v>
      </c>
      <c r="E759" s="5">
        <v>42401</v>
      </c>
      <c r="F759" s="1" t="s">
        <v>49</v>
      </c>
      <c r="G759" s="1" t="s">
        <v>1962</v>
      </c>
      <c r="H759" s="1" t="s">
        <v>3803</v>
      </c>
      <c r="I759" s="1" t="s">
        <v>3804</v>
      </c>
      <c r="J759" s="1"/>
      <c r="K759" s="1" t="s">
        <v>29</v>
      </c>
      <c r="L759" s="1" t="s">
        <v>30</v>
      </c>
      <c r="M759" s="1" t="s">
        <v>1964</v>
      </c>
      <c r="N759" s="1" t="s">
        <v>201</v>
      </c>
      <c r="O759" s="1">
        <v>55016</v>
      </c>
      <c r="P759" s="1" t="s">
        <v>90</v>
      </c>
      <c r="Q759" s="1" t="s">
        <v>1697</v>
      </c>
      <c r="R759" s="1" t="s">
        <v>64</v>
      </c>
      <c r="S759" s="7">
        <v>119.8</v>
      </c>
      <c r="T759" s="1">
        <v>5</v>
      </c>
      <c r="U759" s="9">
        <v>119.4</v>
      </c>
      <c r="V759" s="9">
        <v>599</v>
      </c>
      <c r="W759" s="9">
        <v>597</v>
      </c>
      <c r="X759" s="12">
        <v>2</v>
      </c>
      <c r="Y759" s="10">
        <v>2015</v>
      </c>
    </row>
    <row r="760" spans="1:25">
      <c r="A760" s="1" t="s">
        <v>1965</v>
      </c>
      <c r="B760" s="8">
        <v>43304</v>
      </c>
      <c r="C760" s="11" t="s">
        <v>3376</v>
      </c>
      <c r="D760" s="11" t="s">
        <v>3345</v>
      </c>
      <c r="E760" s="5" t="s">
        <v>1966</v>
      </c>
      <c r="F760" s="1" t="s">
        <v>49</v>
      </c>
      <c r="G760" s="1" t="s">
        <v>1967</v>
      </c>
      <c r="H760" s="1" t="s">
        <v>3562</v>
      </c>
      <c r="I760" s="1" t="s">
        <v>3695</v>
      </c>
      <c r="J760" s="1"/>
      <c r="K760" s="1" t="s">
        <v>41</v>
      </c>
      <c r="L760" s="1" t="s">
        <v>30</v>
      </c>
      <c r="M760" s="1" t="s">
        <v>233</v>
      </c>
      <c r="N760" s="1" t="s">
        <v>234</v>
      </c>
      <c r="O760" s="1">
        <v>10009</v>
      </c>
      <c r="P760" s="1" t="s">
        <v>128</v>
      </c>
      <c r="Q760" s="1" t="s">
        <v>1645</v>
      </c>
      <c r="R760" s="1" t="s">
        <v>46</v>
      </c>
      <c r="S760" s="7">
        <v>13.128</v>
      </c>
      <c r="T760" s="1">
        <v>1</v>
      </c>
      <c r="U760" s="9">
        <v>13.04</v>
      </c>
      <c r="V760" s="9">
        <v>13.128</v>
      </c>
      <c r="W760" s="9">
        <v>13.04</v>
      </c>
      <c r="X760" s="12">
        <v>8.8000000000000966E-2</v>
      </c>
      <c r="Y760" s="10">
        <v>2018</v>
      </c>
    </row>
    <row r="761" spans="1:25">
      <c r="A761" s="1" t="s">
        <v>1969</v>
      </c>
      <c r="B761" s="8">
        <v>43361</v>
      </c>
      <c r="C761" s="11" t="s">
        <v>3356</v>
      </c>
      <c r="D761" s="11" t="s">
        <v>3345</v>
      </c>
      <c r="E761" s="5" t="s">
        <v>1970</v>
      </c>
      <c r="F761" s="1" t="s">
        <v>49</v>
      </c>
      <c r="G761" s="1" t="s">
        <v>1971</v>
      </c>
      <c r="H761" s="1" t="s">
        <v>3565</v>
      </c>
      <c r="I761" s="1" t="s">
        <v>3635</v>
      </c>
      <c r="J761" s="1"/>
      <c r="K761" s="1" t="s">
        <v>41</v>
      </c>
      <c r="L761" s="1" t="s">
        <v>30</v>
      </c>
      <c r="M761" s="1" t="s">
        <v>1500</v>
      </c>
      <c r="N761" s="1" t="s">
        <v>98</v>
      </c>
      <c r="O761" s="1">
        <v>54302</v>
      </c>
      <c r="P761" s="1" t="s">
        <v>90</v>
      </c>
      <c r="Q761" s="1" t="s">
        <v>468</v>
      </c>
      <c r="R761" s="1" t="s">
        <v>46</v>
      </c>
      <c r="S761" s="7">
        <v>22.72</v>
      </c>
      <c r="T761" s="1">
        <v>5</v>
      </c>
      <c r="U761" s="9">
        <v>22.7</v>
      </c>
      <c r="V761" s="9">
        <v>113.6</v>
      </c>
      <c r="W761" s="9">
        <v>113.5</v>
      </c>
      <c r="X761" s="12">
        <v>9.9999999999994316E-2</v>
      </c>
      <c r="Y761" s="10">
        <v>2018</v>
      </c>
    </row>
    <row r="762" spans="1:25">
      <c r="A762" s="1" t="s">
        <v>1973</v>
      </c>
      <c r="B762" s="8">
        <v>42613</v>
      </c>
      <c r="C762" s="11" t="s">
        <v>3344</v>
      </c>
      <c r="D762" s="11" t="s">
        <v>3345</v>
      </c>
      <c r="E762" s="5">
        <v>42499</v>
      </c>
      <c r="F762" s="1" t="s">
        <v>49</v>
      </c>
      <c r="G762" s="1" t="s">
        <v>1643</v>
      </c>
      <c r="H762" s="1" t="s">
        <v>3361</v>
      </c>
      <c r="I762" s="1" t="s">
        <v>3730</v>
      </c>
      <c r="J762" s="1"/>
      <c r="K762" s="1" t="s">
        <v>29</v>
      </c>
      <c r="L762" s="1" t="s">
        <v>30</v>
      </c>
      <c r="M762" s="1" t="s">
        <v>42</v>
      </c>
      <c r="N762" s="1" t="s">
        <v>68</v>
      </c>
      <c r="O762" s="1">
        <v>90004</v>
      </c>
      <c r="P762" s="1" t="s">
        <v>44</v>
      </c>
      <c r="Q762" s="1" t="s">
        <v>1545</v>
      </c>
      <c r="R762" s="1" t="s">
        <v>46</v>
      </c>
      <c r="S762" s="7">
        <v>58.32</v>
      </c>
      <c r="T762" s="1">
        <v>9</v>
      </c>
      <c r="U762" s="9">
        <v>58.08</v>
      </c>
      <c r="V762" s="9">
        <v>524.88</v>
      </c>
      <c r="W762" s="9">
        <v>522.72</v>
      </c>
      <c r="X762" s="12">
        <v>2.1599999999999682</v>
      </c>
      <c r="Y762" s="10">
        <v>2016</v>
      </c>
    </row>
    <row r="763" spans="1:25">
      <c r="A763" s="1" t="s">
        <v>1974</v>
      </c>
      <c r="B763" s="8">
        <v>43170</v>
      </c>
      <c r="C763" s="11" t="s">
        <v>3429</v>
      </c>
      <c r="D763" s="11" t="s">
        <v>3382</v>
      </c>
      <c r="E763" s="5">
        <v>43292</v>
      </c>
      <c r="F763" s="1" t="s">
        <v>49</v>
      </c>
      <c r="G763" s="1" t="s">
        <v>314</v>
      </c>
      <c r="H763" s="1" t="s">
        <v>3430</v>
      </c>
      <c r="I763" s="1" t="s">
        <v>3431</v>
      </c>
      <c r="J763" s="1"/>
      <c r="K763" s="1" t="s">
        <v>41</v>
      </c>
      <c r="L763" s="1" t="s">
        <v>30</v>
      </c>
      <c r="M763" s="1" t="s">
        <v>1411</v>
      </c>
      <c r="N763" s="1" t="s">
        <v>1035</v>
      </c>
      <c r="O763" s="1">
        <v>30318</v>
      </c>
      <c r="P763" s="1" t="s">
        <v>33</v>
      </c>
      <c r="Q763" s="1" t="s">
        <v>1975</v>
      </c>
      <c r="R763" s="1" t="s">
        <v>46</v>
      </c>
      <c r="S763" s="7">
        <v>12.39</v>
      </c>
      <c r="T763" s="1">
        <v>3</v>
      </c>
      <c r="U763" s="9">
        <v>11.81</v>
      </c>
      <c r="V763" s="9">
        <v>37.17</v>
      </c>
      <c r="W763" s="9">
        <v>35.43</v>
      </c>
      <c r="X763" s="12">
        <v>1.740000000000002</v>
      </c>
      <c r="Y763" s="10">
        <v>2018</v>
      </c>
    </row>
    <row r="764" spans="1:25">
      <c r="A764" s="1" t="s">
        <v>1976</v>
      </c>
      <c r="B764" s="8">
        <v>42584</v>
      </c>
      <c r="C764" s="11" t="s">
        <v>3344</v>
      </c>
      <c r="D764" s="11" t="s">
        <v>3345</v>
      </c>
      <c r="E764" s="5" t="s">
        <v>698</v>
      </c>
      <c r="F764" s="1" t="s">
        <v>49</v>
      </c>
      <c r="G764" s="1" t="s">
        <v>1977</v>
      </c>
      <c r="H764" s="1" t="s">
        <v>3805</v>
      </c>
      <c r="I764" s="1" t="s">
        <v>3806</v>
      </c>
      <c r="J764" s="1"/>
      <c r="K764" s="1" t="s">
        <v>29</v>
      </c>
      <c r="L764" s="1" t="s">
        <v>30</v>
      </c>
      <c r="M764" s="1" t="s">
        <v>420</v>
      </c>
      <c r="N764" s="1" t="s">
        <v>421</v>
      </c>
      <c r="O764" s="1">
        <v>43229</v>
      </c>
      <c r="P764" s="1" t="s">
        <v>128</v>
      </c>
      <c r="Q764" s="1" t="s">
        <v>572</v>
      </c>
      <c r="R764" s="1" t="s">
        <v>64</v>
      </c>
      <c r="S764" s="7">
        <v>107.982</v>
      </c>
      <c r="T764" s="1">
        <v>4</v>
      </c>
      <c r="U764" s="9">
        <v>107.03</v>
      </c>
      <c r="V764" s="9">
        <v>431.928</v>
      </c>
      <c r="W764" s="9">
        <v>428.12</v>
      </c>
      <c r="X764" s="12">
        <v>3.8079999999999927</v>
      </c>
      <c r="Y764" s="10">
        <v>2016</v>
      </c>
    </row>
    <row r="765" spans="1:25">
      <c r="A765" s="1" t="s">
        <v>1979</v>
      </c>
      <c r="B765" s="8">
        <v>42017</v>
      </c>
      <c r="C765" s="11" t="s">
        <v>3381</v>
      </c>
      <c r="D765" s="11" t="s">
        <v>3382</v>
      </c>
      <c r="E765" s="5" t="s">
        <v>1980</v>
      </c>
      <c r="F765" s="1" t="s">
        <v>26</v>
      </c>
      <c r="G765" s="1" t="s">
        <v>1981</v>
      </c>
      <c r="H765" s="1" t="s">
        <v>3807</v>
      </c>
      <c r="I765" s="1" t="s">
        <v>3808</v>
      </c>
      <c r="J765" s="1"/>
      <c r="K765" s="1" t="s">
        <v>41</v>
      </c>
      <c r="L765" s="1" t="s">
        <v>30</v>
      </c>
      <c r="M765" s="1" t="s">
        <v>1983</v>
      </c>
      <c r="N765" s="1" t="s">
        <v>609</v>
      </c>
      <c r="O765" s="1">
        <v>71111</v>
      </c>
      <c r="P765" s="1" t="s">
        <v>33</v>
      </c>
      <c r="Q765" s="1" t="s">
        <v>557</v>
      </c>
      <c r="R765" s="1" t="s">
        <v>46</v>
      </c>
      <c r="S765" s="7">
        <v>11.36</v>
      </c>
      <c r="T765" s="1">
        <v>7</v>
      </c>
      <c r="U765" s="9">
        <v>10.46</v>
      </c>
      <c r="V765" s="9">
        <v>79.52</v>
      </c>
      <c r="W765" s="9">
        <v>73.22</v>
      </c>
      <c r="X765" s="12">
        <v>6.2999999999999972</v>
      </c>
      <c r="Y765" s="10">
        <v>2015</v>
      </c>
    </row>
    <row r="766" spans="1:25">
      <c r="A766" s="1" t="s">
        <v>1979</v>
      </c>
      <c r="B766" s="8">
        <v>42017</v>
      </c>
      <c r="C766" s="11" t="s">
        <v>3381</v>
      </c>
      <c r="D766" s="11" t="s">
        <v>3382</v>
      </c>
      <c r="E766" s="5" t="s">
        <v>1980</v>
      </c>
      <c r="F766" s="1" t="s">
        <v>26</v>
      </c>
      <c r="G766" s="1" t="s">
        <v>1981</v>
      </c>
      <c r="H766" s="1" t="s">
        <v>3807</v>
      </c>
      <c r="I766" s="1" t="s">
        <v>3808</v>
      </c>
      <c r="J766" s="1"/>
      <c r="K766" s="1" t="s">
        <v>41</v>
      </c>
      <c r="L766" s="1" t="s">
        <v>30</v>
      </c>
      <c r="M766" s="1" t="s">
        <v>1983</v>
      </c>
      <c r="N766" s="1" t="s">
        <v>609</v>
      </c>
      <c r="O766" s="1">
        <v>71111</v>
      </c>
      <c r="P766" s="1" t="s">
        <v>33</v>
      </c>
      <c r="Q766" s="1" t="s">
        <v>1984</v>
      </c>
      <c r="R766" s="1" t="s">
        <v>46</v>
      </c>
      <c r="S766" s="7">
        <v>50.94</v>
      </c>
      <c r="T766" s="1">
        <v>7</v>
      </c>
      <c r="U766" s="9">
        <v>50.37</v>
      </c>
      <c r="V766" s="9">
        <v>356.58</v>
      </c>
      <c r="W766" s="9">
        <v>352.59</v>
      </c>
      <c r="X766" s="12">
        <v>3.9900000000000091</v>
      </c>
      <c r="Y766" s="10">
        <v>2015</v>
      </c>
    </row>
    <row r="767" spans="1:25">
      <c r="A767" s="1" t="s">
        <v>1979</v>
      </c>
      <c r="B767" s="8">
        <v>42017</v>
      </c>
      <c r="C767" s="11" t="s">
        <v>3381</v>
      </c>
      <c r="D767" s="11" t="s">
        <v>3382</v>
      </c>
      <c r="E767" s="5" t="s">
        <v>1980</v>
      </c>
      <c r="F767" s="1" t="s">
        <v>26</v>
      </c>
      <c r="G767" s="1" t="s">
        <v>1981</v>
      </c>
      <c r="H767" s="1" t="s">
        <v>3807</v>
      </c>
      <c r="I767" s="1" t="s">
        <v>3808</v>
      </c>
      <c r="J767" s="1"/>
      <c r="K767" s="1" t="s">
        <v>41</v>
      </c>
      <c r="L767" s="1" t="s">
        <v>30</v>
      </c>
      <c r="M767" s="1" t="s">
        <v>1983</v>
      </c>
      <c r="N767" s="1" t="s">
        <v>609</v>
      </c>
      <c r="O767" s="1">
        <v>71111</v>
      </c>
      <c r="P767" s="1" t="s">
        <v>33</v>
      </c>
      <c r="Q767" s="1" t="s">
        <v>1985</v>
      </c>
      <c r="R767" s="1" t="s">
        <v>64</v>
      </c>
      <c r="S767" s="7">
        <v>646.74</v>
      </c>
      <c r="T767" s="1">
        <v>7</v>
      </c>
      <c r="U767" s="9">
        <v>646.38</v>
      </c>
      <c r="V767" s="9">
        <v>4527.18</v>
      </c>
      <c r="W767" s="9">
        <v>4524.66</v>
      </c>
      <c r="X767" s="12">
        <v>2.5200000000004366</v>
      </c>
      <c r="Y767" s="10">
        <v>2015</v>
      </c>
    </row>
    <row r="768" spans="1:25">
      <c r="A768" s="1" t="s">
        <v>1979</v>
      </c>
      <c r="B768" s="8">
        <v>42017</v>
      </c>
      <c r="C768" s="11" t="s">
        <v>3381</v>
      </c>
      <c r="D768" s="11" t="s">
        <v>3382</v>
      </c>
      <c r="E768" s="5" t="s">
        <v>1980</v>
      </c>
      <c r="F768" s="1" t="s">
        <v>26</v>
      </c>
      <c r="G768" s="1" t="s">
        <v>1981</v>
      </c>
      <c r="H768" s="1" t="s">
        <v>3807</v>
      </c>
      <c r="I768" s="1" t="s">
        <v>3808</v>
      </c>
      <c r="J768" s="1"/>
      <c r="K768" s="1" t="s">
        <v>41</v>
      </c>
      <c r="L768" s="1" t="s">
        <v>30</v>
      </c>
      <c r="M768" s="1" t="s">
        <v>1983</v>
      </c>
      <c r="N768" s="1" t="s">
        <v>609</v>
      </c>
      <c r="O768" s="1">
        <v>71111</v>
      </c>
      <c r="P768" s="1" t="s">
        <v>33</v>
      </c>
      <c r="Q768" s="1" t="s">
        <v>1986</v>
      </c>
      <c r="R768" s="1" t="s">
        <v>46</v>
      </c>
      <c r="S768" s="7">
        <v>5.64</v>
      </c>
      <c r="T768" s="1">
        <v>7</v>
      </c>
      <c r="U768" s="9">
        <v>4.9800000000000004</v>
      </c>
      <c r="V768" s="9">
        <v>39.479999999999997</v>
      </c>
      <c r="W768" s="9">
        <v>34.86</v>
      </c>
      <c r="X768" s="12">
        <v>4.6199999999999974</v>
      </c>
      <c r="Y768" s="10">
        <v>2015</v>
      </c>
    </row>
    <row r="769" spans="1:25">
      <c r="A769" s="1" t="s">
        <v>1979</v>
      </c>
      <c r="B769" s="8">
        <v>42017</v>
      </c>
      <c r="C769" s="11" t="s">
        <v>3381</v>
      </c>
      <c r="D769" s="11" t="s">
        <v>3382</v>
      </c>
      <c r="E769" s="5" t="s">
        <v>1980</v>
      </c>
      <c r="F769" s="1" t="s">
        <v>26</v>
      </c>
      <c r="G769" s="1" t="s">
        <v>1981</v>
      </c>
      <c r="H769" s="1" t="s">
        <v>3807</v>
      </c>
      <c r="I769" s="1" t="s">
        <v>3808</v>
      </c>
      <c r="J769" s="1"/>
      <c r="K769" s="1" t="s">
        <v>41</v>
      </c>
      <c r="L769" s="1" t="s">
        <v>30</v>
      </c>
      <c r="M769" s="1" t="s">
        <v>1983</v>
      </c>
      <c r="N769" s="1" t="s">
        <v>609</v>
      </c>
      <c r="O769" s="1">
        <v>71111</v>
      </c>
      <c r="P769" s="1" t="s">
        <v>33</v>
      </c>
      <c r="Q769" s="1" t="s">
        <v>1987</v>
      </c>
      <c r="R769" s="1" t="s">
        <v>46</v>
      </c>
      <c r="S769" s="7">
        <v>572.58000000000004</v>
      </c>
      <c r="T769" s="1">
        <v>7</v>
      </c>
      <c r="U769" s="9">
        <v>572.37</v>
      </c>
      <c r="V769" s="9">
        <v>4008.0600000000004</v>
      </c>
      <c r="W769" s="9">
        <v>4006.59</v>
      </c>
      <c r="X769" s="12">
        <v>1.4700000000002547</v>
      </c>
      <c r="Y769" s="10">
        <v>2015</v>
      </c>
    </row>
    <row r="770" spans="1:25">
      <c r="A770" s="1" t="s">
        <v>1988</v>
      </c>
      <c r="B770" s="8">
        <v>42138</v>
      </c>
      <c r="C770" s="11" t="s">
        <v>3363</v>
      </c>
      <c r="D770" s="11" t="s">
        <v>3360</v>
      </c>
      <c r="E770" s="5" t="s">
        <v>1989</v>
      </c>
      <c r="F770" s="1" t="s">
        <v>49</v>
      </c>
      <c r="G770" s="1" t="s">
        <v>1990</v>
      </c>
      <c r="H770" s="1" t="s">
        <v>3755</v>
      </c>
      <c r="I770" s="1" t="s">
        <v>3809</v>
      </c>
      <c r="J770" s="1"/>
      <c r="K770" s="1" t="s">
        <v>41</v>
      </c>
      <c r="L770" s="1" t="s">
        <v>30</v>
      </c>
      <c r="M770" s="1" t="s">
        <v>937</v>
      </c>
      <c r="N770" s="1" t="s">
        <v>194</v>
      </c>
      <c r="O770" s="1">
        <v>33710</v>
      </c>
      <c r="P770" s="1" t="s">
        <v>33</v>
      </c>
      <c r="Q770" s="1" t="s">
        <v>1992</v>
      </c>
      <c r="R770" s="1" t="s">
        <v>35</v>
      </c>
      <c r="S770" s="7">
        <v>310.88</v>
      </c>
      <c r="T770" s="1">
        <v>3</v>
      </c>
      <c r="U770" s="9">
        <v>310.63</v>
      </c>
      <c r="V770" s="9">
        <v>932.64</v>
      </c>
      <c r="W770" s="9">
        <v>931.89</v>
      </c>
      <c r="X770" s="12">
        <v>0.75</v>
      </c>
      <c r="Y770" s="10">
        <v>2015</v>
      </c>
    </row>
    <row r="771" spans="1:25">
      <c r="A771" s="1" t="s">
        <v>1993</v>
      </c>
      <c r="B771" s="8">
        <v>42874</v>
      </c>
      <c r="C771" s="11" t="s">
        <v>3363</v>
      </c>
      <c r="D771" s="11" t="s">
        <v>3360</v>
      </c>
      <c r="E771" s="5" t="s">
        <v>1994</v>
      </c>
      <c r="F771" s="1" t="s">
        <v>49</v>
      </c>
      <c r="G771" s="1" t="s">
        <v>685</v>
      </c>
      <c r="H771" s="1" t="s">
        <v>3533</v>
      </c>
      <c r="I771" s="1" t="s">
        <v>3534</v>
      </c>
      <c r="J771" s="1"/>
      <c r="K771" s="1" t="s">
        <v>29</v>
      </c>
      <c r="L771" s="1" t="s">
        <v>30</v>
      </c>
      <c r="M771" s="1" t="s">
        <v>917</v>
      </c>
      <c r="N771" s="1" t="s">
        <v>272</v>
      </c>
      <c r="O771" s="1">
        <v>22204</v>
      </c>
      <c r="P771" s="1" t="s">
        <v>33</v>
      </c>
      <c r="Q771" s="1" t="s">
        <v>1995</v>
      </c>
      <c r="R771" s="1" t="s">
        <v>35</v>
      </c>
      <c r="S771" s="7">
        <v>641.96</v>
      </c>
      <c r="T771" s="1">
        <v>2</v>
      </c>
      <c r="U771" s="9">
        <v>641.65</v>
      </c>
      <c r="V771" s="9">
        <v>1283.92</v>
      </c>
      <c r="W771" s="9">
        <v>1283.3</v>
      </c>
      <c r="X771" s="12">
        <v>0.62000000000011823</v>
      </c>
      <c r="Y771" s="10">
        <v>2017</v>
      </c>
    </row>
    <row r="772" spans="1:25">
      <c r="A772" s="1" t="s">
        <v>1996</v>
      </c>
      <c r="B772" s="8">
        <v>43130</v>
      </c>
      <c r="C772" s="11" t="s">
        <v>3381</v>
      </c>
      <c r="D772" s="11" t="s">
        <v>3382</v>
      </c>
      <c r="E772" s="5">
        <v>43222</v>
      </c>
      <c r="F772" s="1" t="s">
        <v>49</v>
      </c>
      <c r="G772" s="1" t="s">
        <v>1997</v>
      </c>
      <c r="H772" s="1" t="s">
        <v>3810</v>
      </c>
      <c r="I772" s="1" t="s">
        <v>3811</v>
      </c>
      <c r="J772" s="1"/>
      <c r="K772" s="1" t="s">
        <v>41</v>
      </c>
      <c r="L772" s="1" t="s">
        <v>30</v>
      </c>
      <c r="M772" s="1" t="s">
        <v>1122</v>
      </c>
      <c r="N772" s="1" t="s">
        <v>413</v>
      </c>
      <c r="O772" s="1">
        <v>50315</v>
      </c>
      <c r="P772" s="1" t="s">
        <v>90</v>
      </c>
      <c r="Q772" s="1" t="s">
        <v>1999</v>
      </c>
      <c r="R772" s="1" t="s">
        <v>46</v>
      </c>
      <c r="S772" s="7">
        <v>18.28</v>
      </c>
      <c r="T772" s="1">
        <v>5</v>
      </c>
      <c r="U772" s="9">
        <v>17.68</v>
      </c>
      <c r="V772" s="9">
        <v>91.4</v>
      </c>
      <c r="W772" s="9">
        <v>88.4</v>
      </c>
      <c r="X772" s="12">
        <v>3</v>
      </c>
      <c r="Y772" s="10">
        <v>2018</v>
      </c>
    </row>
    <row r="773" spans="1:25">
      <c r="A773" s="1" t="s">
        <v>1996</v>
      </c>
      <c r="B773" s="8">
        <v>43130</v>
      </c>
      <c r="C773" s="11" t="s">
        <v>3381</v>
      </c>
      <c r="D773" s="11" t="s">
        <v>3382</v>
      </c>
      <c r="E773" s="5">
        <v>43222</v>
      </c>
      <c r="F773" s="1" t="s">
        <v>49</v>
      </c>
      <c r="G773" s="1" t="s">
        <v>1997</v>
      </c>
      <c r="H773" s="1" t="s">
        <v>3810</v>
      </c>
      <c r="I773" s="1" t="s">
        <v>3811</v>
      </c>
      <c r="J773" s="1"/>
      <c r="K773" s="1" t="s">
        <v>41</v>
      </c>
      <c r="L773" s="1" t="s">
        <v>30</v>
      </c>
      <c r="M773" s="1" t="s">
        <v>1122</v>
      </c>
      <c r="N773" s="1" t="s">
        <v>413</v>
      </c>
      <c r="O773" s="1">
        <v>50315</v>
      </c>
      <c r="P773" s="1" t="s">
        <v>90</v>
      </c>
      <c r="Q773" s="1" t="s">
        <v>980</v>
      </c>
      <c r="R773" s="1" t="s">
        <v>64</v>
      </c>
      <c r="S773" s="7">
        <v>207</v>
      </c>
      <c r="T773" s="1">
        <v>5</v>
      </c>
      <c r="U773" s="9">
        <v>206.73</v>
      </c>
      <c r="V773" s="9">
        <v>1035</v>
      </c>
      <c r="W773" s="9">
        <v>1033.6499999999999</v>
      </c>
      <c r="X773" s="12">
        <v>1.3500000000001364</v>
      </c>
      <c r="Y773" s="10">
        <v>2018</v>
      </c>
    </row>
    <row r="774" spans="1:25">
      <c r="A774" s="1" t="s">
        <v>1996</v>
      </c>
      <c r="B774" s="8">
        <v>43130</v>
      </c>
      <c r="C774" s="11" t="s">
        <v>3381</v>
      </c>
      <c r="D774" s="11" t="s">
        <v>3382</v>
      </c>
      <c r="E774" s="5">
        <v>43222</v>
      </c>
      <c r="F774" s="1" t="s">
        <v>49</v>
      </c>
      <c r="G774" s="1" t="s">
        <v>1997</v>
      </c>
      <c r="H774" s="1" t="s">
        <v>3810</v>
      </c>
      <c r="I774" s="1" t="s">
        <v>3811</v>
      </c>
      <c r="J774" s="1"/>
      <c r="K774" s="1" t="s">
        <v>41</v>
      </c>
      <c r="L774" s="1" t="s">
        <v>30</v>
      </c>
      <c r="M774" s="1" t="s">
        <v>1122</v>
      </c>
      <c r="N774" s="1" t="s">
        <v>413</v>
      </c>
      <c r="O774" s="1">
        <v>50315</v>
      </c>
      <c r="P774" s="1" t="s">
        <v>90</v>
      </c>
      <c r="Q774" s="1" t="s">
        <v>2000</v>
      </c>
      <c r="R774" s="1" t="s">
        <v>46</v>
      </c>
      <c r="S774" s="7">
        <v>32.35</v>
      </c>
      <c r="T774" s="1">
        <v>5</v>
      </c>
      <c r="U774" s="9">
        <v>31.87</v>
      </c>
      <c r="V774" s="9">
        <v>161.75</v>
      </c>
      <c r="W774" s="9">
        <v>159.35</v>
      </c>
      <c r="X774" s="12">
        <v>2.4000000000000057</v>
      </c>
      <c r="Y774" s="10">
        <v>2018</v>
      </c>
    </row>
    <row r="775" spans="1:25">
      <c r="A775" s="1" t="s">
        <v>1996</v>
      </c>
      <c r="B775" s="8">
        <v>43130</v>
      </c>
      <c r="C775" s="11" t="s">
        <v>3381</v>
      </c>
      <c r="D775" s="11" t="s">
        <v>3382</v>
      </c>
      <c r="E775" s="5">
        <v>43222</v>
      </c>
      <c r="F775" s="1" t="s">
        <v>49</v>
      </c>
      <c r="G775" s="1" t="s">
        <v>1997</v>
      </c>
      <c r="H775" s="1" t="s">
        <v>3810</v>
      </c>
      <c r="I775" s="1" t="s">
        <v>3811</v>
      </c>
      <c r="J775" s="1"/>
      <c r="K775" s="1" t="s">
        <v>41</v>
      </c>
      <c r="L775" s="1" t="s">
        <v>30</v>
      </c>
      <c r="M775" s="1" t="s">
        <v>1122</v>
      </c>
      <c r="N775" s="1" t="s">
        <v>413</v>
      </c>
      <c r="O775" s="1">
        <v>50315</v>
      </c>
      <c r="P775" s="1" t="s">
        <v>90</v>
      </c>
      <c r="Q775" s="1" t="s">
        <v>65</v>
      </c>
      <c r="R775" s="1" t="s">
        <v>46</v>
      </c>
      <c r="S775" s="7">
        <v>7.71</v>
      </c>
      <c r="T775" s="1">
        <v>5</v>
      </c>
      <c r="U775" s="9">
        <v>6.77</v>
      </c>
      <c r="V775" s="9">
        <v>38.549999999999997</v>
      </c>
      <c r="W775" s="9">
        <v>33.849999999999994</v>
      </c>
      <c r="X775" s="12">
        <v>4.7000000000000028</v>
      </c>
      <c r="Y775" s="10">
        <v>2018</v>
      </c>
    </row>
    <row r="776" spans="1:25">
      <c r="A776" s="1" t="s">
        <v>1996</v>
      </c>
      <c r="B776" s="8">
        <v>43130</v>
      </c>
      <c r="C776" s="11" t="s">
        <v>3381</v>
      </c>
      <c r="D776" s="11" t="s">
        <v>3382</v>
      </c>
      <c r="E776" s="5">
        <v>43222</v>
      </c>
      <c r="F776" s="1" t="s">
        <v>49</v>
      </c>
      <c r="G776" s="1" t="s">
        <v>1997</v>
      </c>
      <c r="H776" s="1" t="s">
        <v>3810</v>
      </c>
      <c r="I776" s="1" t="s">
        <v>3811</v>
      </c>
      <c r="J776" s="1"/>
      <c r="K776" s="1" t="s">
        <v>41</v>
      </c>
      <c r="L776" s="1" t="s">
        <v>30</v>
      </c>
      <c r="M776" s="1" t="s">
        <v>1122</v>
      </c>
      <c r="N776" s="1" t="s">
        <v>413</v>
      </c>
      <c r="O776" s="1">
        <v>50315</v>
      </c>
      <c r="P776" s="1" t="s">
        <v>90</v>
      </c>
      <c r="Q776" s="1" t="s">
        <v>2001</v>
      </c>
      <c r="R776" s="1" t="s">
        <v>46</v>
      </c>
      <c r="S776" s="7">
        <v>40.299999999999997</v>
      </c>
      <c r="T776" s="1">
        <v>5</v>
      </c>
      <c r="U776" s="9">
        <v>39.340000000000003</v>
      </c>
      <c r="V776" s="9">
        <v>201.5</v>
      </c>
      <c r="W776" s="9">
        <v>196.70000000000002</v>
      </c>
      <c r="X776" s="12">
        <v>4.7999999999999829</v>
      </c>
      <c r="Y776" s="10">
        <v>2018</v>
      </c>
    </row>
    <row r="777" spans="1:25">
      <c r="A777" s="1" t="s">
        <v>1996</v>
      </c>
      <c r="B777" s="8">
        <v>43130</v>
      </c>
      <c r="C777" s="11" t="s">
        <v>3381</v>
      </c>
      <c r="D777" s="11" t="s">
        <v>3382</v>
      </c>
      <c r="E777" s="5">
        <v>43222</v>
      </c>
      <c r="F777" s="1" t="s">
        <v>49</v>
      </c>
      <c r="G777" s="1" t="s">
        <v>1997</v>
      </c>
      <c r="H777" s="1" t="s">
        <v>3810</v>
      </c>
      <c r="I777" s="1" t="s">
        <v>3811</v>
      </c>
      <c r="J777" s="1"/>
      <c r="K777" s="1" t="s">
        <v>41</v>
      </c>
      <c r="L777" s="1" t="s">
        <v>30</v>
      </c>
      <c r="M777" s="1" t="s">
        <v>1122</v>
      </c>
      <c r="N777" s="1" t="s">
        <v>413</v>
      </c>
      <c r="O777" s="1">
        <v>50315</v>
      </c>
      <c r="P777" s="1" t="s">
        <v>90</v>
      </c>
      <c r="Q777" s="1" t="s">
        <v>2002</v>
      </c>
      <c r="R777" s="1" t="s">
        <v>35</v>
      </c>
      <c r="S777" s="7">
        <v>34.58</v>
      </c>
      <c r="T777" s="1">
        <v>5</v>
      </c>
      <c r="U777" s="9">
        <v>33.950000000000003</v>
      </c>
      <c r="V777" s="9">
        <v>172.89999999999998</v>
      </c>
      <c r="W777" s="9">
        <v>169.75</v>
      </c>
      <c r="X777" s="12">
        <v>3.1499999999999773</v>
      </c>
      <c r="Y777" s="10">
        <v>2018</v>
      </c>
    </row>
    <row r="778" spans="1:25">
      <c r="A778" s="1" t="s">
        <v>2003</v>
      </c>
      <c r="B778" s="8">
        <v>42184</v>
      </c>
      <c r="C778" s="11" t="s">
        <v>3403</v>
      </c>
      <c r="D778" s="11" t="s">
        <v>3360</v>
      </c>
      <c r="E778" s="5">
        <v>42162</v>
      </c>
      <c r="F778" s="1" t="s">
        <v>49</v>
      </c>
      <c r="G778" s="1" t="s">
        <v>2004</v>
      </c>
      <c r="H778" s="1" t="s">
        <v>3551</v>
      </c>
      <c r="I778" s="1" t="s">
        <v>3812</v>
      </c>
      <c r="J778" s="1"/>
      <c r="K778" s="1" t="s">
        <v>29</v>
      </c>
      <c r="L778" s="1" t="s">
        <v>30</v>
      </c>
      <c r="M778" s="1" t="s">
        <v>829</v>
      </c>
      <c r="N778" s="1" t="s">
        <v>421</v>
      </c>
      <c r="O778" s="1">
        <v>45231</v>
      </c>
      <c r="P778" s="1" t="s">
        <v>128</v>
      </c>
      <c r="Q778" s="1" t="s">
        <v>2006</v>
      </c>
      <c r="R778" s="1" t="s">
        <v>46</v>
      </c>
      <c r="S778" s="7">
        <v>32.76</v>
      </c>
      <c r="T778" s="1">
        <v>4</v>
      </c>
      <c r="U778" s="9">
        <v>32.5</v>
      </c>
      <c r="V778" s="9">
        <v>131.04</v>
      </c>
      <c r="W778" s="9">
        <v>130</v>
      </c>
      <c r="X778" s="12">
        <v>1.039999999999992</v>
      </c>
      <c r="Y778" s="10">
        <v>2015</v>
      </c>
    </row>
    <row r="779" spans="1:25">
      <c r="A779" s="1" t="s">
        <v>2007</v>
      </c>
      <c r="B779" s="8">
        <v>42603</v>
      </c>
      <c r="C779" s="11" t="s">
        <v>3344</v>
      </c>
      <c r="D779" s="11" t="s">
        <v>3345</v>
      </c>
      <c r="E779" s="5" t="s">
        <v>2008</v>
      </c>
      <c r="F779" s="1" t="s">
        <v>162</v>
      </c>
      <c r="G779" s="1" t="s">
        <v>875</v>
      </c>
      <c r="H779" s="1" t="s">
        <v>3570</v>
      </c>
      <c r="I779" s="1" t="s">
        <v>3451</v>
      </c>
      <c r="J779" s="1"/>
      <c r="K779" s="1" t="s">
        <v>87</v>
      </c>
      <c r="L779" s="1" t="s">
        <v>30</v>
      </c>
      <c r="M779" s="1" t="s">
        <v>110</v>
      </c>
      <c r="N779" s="1" t="s">
        <v>68</v>
      </c>
      <c r="O779" s="1">
        <v>94110</v>
      </c>
      <c r="P779" s="1" t="s">
        <v>44</v>
      </c>
      <c r="Q779" s="1" t="s">
        <v>2009</v>
      </c>
      <c r="R779" s="1" t="s">
        <v>35</v>
      </c>
      <c r="S779" s="7">
        <v>544.00800000000004</v>
      </c>
      <c r="T779" s="1">
        <v>9</v>
      </c>
      <c r="U779" s="9">
        <v>543.32000000000005</v>
      </c>
      <c r="V779" s="9">
        <v>4896.0720000000001</v>
      </c>
      <c r="W779" s="9">
        <v>4889.88</v>
      </c>
      <c r="X779" s="12">
        <v>6.1920000000000073</v>
      </c>
      <c r="Y779" s="10">
        <v>2016</v>
      </c>
    </row>
    <row r="780" spans="1:25">
      <c r="A780" s="1" t="s">
        <v>2007</v>
      </c>
      <c r="B780" s="8">
        <v>42603</v>
      </c>
      <c r="C780" s="11" t="s">
        <v>3344</v>
      </c>
      <c r="D780" s="11" t="s">
        <v>3345</v>
      </c>
      <c r="E780" s="5" t="s">
        <v>2008</v>
      </c>
      <c r="F780" s="1" t="s">
        <v>162</v>
      </c>
      <c r="G780" s="1" t="s">
        <v>875</v>
      </c>
      <c r="H780" s="1" t="s">
        <v>3570</v>
      </c>
      <c r="I780" s="1" t="s">
        <v>3451</v>
      </c>
      <c r="J780" s="1"/>
      <c r="K780" s="1" t="s">
        <v>87</v>
      </c>
      <c r="L780" s="1" t="s">
        <v>30</v>
      </c>
      <c r="M780" s="1" t="s">
        <v>110</v>
      </c>
      <c r="N780" s="1" t="s">
        <v>68</v>
      </c>
      <c r="O780" s="1">
        <v>94110</v>
      </c>
      <c r="P780" s="1" t="s">
        <v>44</v>
      </c>
      <c r="Q780" s="1" t="s">
        <v>1179</v>
      </c>
      <c r="R780" s="1" t="s">
        <v>46</v>
      </c>
      <c r="S780" s="7">
        <v>59.94</v>
      </c>
      <c r="T780" s="1">
        <v>9</v>
      </c>
      <c r="U780" s="9">
        <v>59.49</v>
      </c>
      <c r="V780" s="9">
        <v>539.46</v>
      </c>
      <c r="W780" s="9">
        <v>535.41</v>
      </c>
      <c r="X780" s="12">
        <v>4.0500000000000682</v>
      </c>
      <c r="Y780" s="10">
        <v>2016</v>
      </c>
    </row>
    <row r="781" spans="1:25">
      <c r="A781" s="1" t="s">
        <v>2007</v>
      </c>
      <c r="B781" s="8">
        <v>42603</v>
      </c>
      <c r="C781" s="11" t="s">
        <v>3344</v>
      </c>
      <c r="D781" s="11" t="s">
        <v>3345</v>
      </c>
      <c r="E781" s="5" t="s">
        <v>2008</v>
      </c>
      <c r="F781" s="1" t="s">
        <v>162</v>
      </c>
      <c r="G781" s="1" t="s">
        <v>875</v>
      </c>
      <c r="H781" s="1" t="s">
        <v>3570</v>
      </c>
      <c r="I781" s="1" t="s">
        <v>3451</v>
      </c>
      <c r="J781" s="1"/>
      <c r="K781" s="1" t="s">
        <v>87</v>
      </c>
      <c r="L781" s="1" t="s">
        <v>30</v>
      </c>
      <c r="M781" s="1" t="s">
        <v>110</v>
      </c>
      <c r="N781" s="1" t="s">
        <v>68</v>
      </c>
      <c r="O781" s="1">
        <v>94110</v>
      </c>
      <c r="P781" s="1" t="s">
        <v>44</v>
      </c>
      <c r="Q781" s="1" t="s">
        <v>1157</v>
      </c>
      <c r="R781" s="1" t="s">
        <v>46</v>
      </c>
      <c r="S781" s="7">
        <v>23.92</v>
      </c>
      <c r="T781" s="1">
        <v>9</v>
      </c>
      <c r="U781" s="9">
        <v>23.61</v>
      </c>
      <c r="V781" s="9">
        <v>215.28000000000003</v>
      </c>
      <c r="W781" s="9">
        <v>212.49</v>
      </c>
      <c r="X781" s="12">
        <v>2.7900000000000205</v>
      </c>
      <c r="Y781" s="10">
        <v>2016</v>
      </c>
    </row>
    <row r="782" spans="1:25">
      <c r="A782" s="1" t="s">
        <v>2007</v>
      </c>
      <c r="B782" s="8">
        <v>42603</v>
      </c>
      <c r="C782" s="11" t="s">
        <v>3344</v>
      </c>
      <c r="D782" s="11" t="s">
        <v>3345</v>
      </c>
      <c r="E782" s="5" t="s">
        <v>2008</v>
      </c>
      <c r="F782" s="1" t="s">
        <v>162</v>
      </c>
      <c r="G782" s="1" t="s">
        <v>875</v>
      </c>
      <c r="H782" s="1" t="s">
        <v>3570</v>
      </c>
      <c r="I782" s="1" t="s">
        <v>3451</v>
      </c>
      <c r="J782" s="1"/>
      <c r="K782" s="1" t="s">
        <v>87</v>
      </c>
      <c r="L782" s="1" t="s">
        <v>30</v>
      </c>
      <c r="M782" s="1" t="s">
        <v>110</v>
      </c>
      <c r="N782" s="1" t="s">
        <v>68</v>
      </c>
      <c r="O782" s="1">
        <v>94110</v>
      </c>
      <c r="P782" s="1" t="s">
        <v>44</v>
      </c>
      <c r="Q782" s="1" t="s">
        <v>2010</v>
      </c>
      <c r="R782" s="1" t="s">
        <v>46</v>
      </c>
      <c r="S782" s="7">
        <v>4.28</v>
      </c>
      <c r="T782" s="1">
        <v>9</v>
      </c>
      <c r="U782" s="9">
        <v>4.07</v>
      </c>
      <c r="V782" s="9">
        <v>38.520000000000003</v>
      </c>
      <c r="W782" s="9">
        <v>36.630000000000003</v>
      </c>
      <c r="X782" s="12">
        <v>1.8900000000000006</v>
      </c>
      <c r="Y782" s="10">
        <v>2016</v>
      </c>
    </row>
    <row r="783" spans="1:25">
      <c r="A783" s="1" t="s">
        <v>2011</v>
      </c>
      <c r="B783" s="8">
        <v>42439</v>
      </c>
      <c r="C783" s="11" t="s">
        <v>3429</v>
      </c>
      <c r="D783" s="11" t="s">
        <v>3382</v>
      </c>
      <c r="E783" s="5">
        <v>42531</v>
      </c>
      <c r="F783" s="1" t="s">
        <v>26</v>
      </c>
      <c r="G783" s="1" t="s">
        <v>2012</v>
      </c>
      <c r="H783" s="1" t="s">
        <v>3813</v>
      </c>
      <c r="I783" s="1" t="s">
        <v>3814</v>
      </c>
      <c r="J783" s="1"/>
      <c r="K783" s="1" t="s">
        <v>29</v>
      </c>
      <c r="L783" s="1" t="s">
        <v>30</v>
      </c>
      <c r="M783" s="1" t="s">
        <v>420</v>
      </c>
      <c r="N783" s="1" t="s">
        <v>421</v>
      </c>
      <c r="O783" s="1">
        <v>43229</v>
      </c>
      <c r="P783" s="1" t="s">
        <v>128</v>
      </c>
      <c r="Q783" s="1" t="s">
        <v>1299</v>
      </c>
      <c r="R783" s="1" t="s">
        <v>46</v>
      </c>
      <c r="S783" s="7">
        <v>32.07</v>
      </c>
      <c r="T783" s="1">
        <v>4</v>
      </c>
      <c r="U783" s="9">
        <v>31.46</v>
      </c>
      <c r="V783" s="9">
        <v>128.28</v>
      </c>
      <c r="W783" s="9">
        <v>125.84</v>
      </c>
      <c r="X783" s="12">
        <v>2.4399999999999977</v>
      </c>
      <c r="Y783" s="10">
        <v>2016</v>
      </c>
    </row>
    <row r="784" spans="1:25">
      <c r="A784" s="1" t="s">
        <v>2011</v>
      </c>
      <c r="B784" s="8">
        <v>42439</v>
      </c>
      <c r="C784" s="11" t="s">
        <v>3429</v>
      </c>
      <c r="D784" s="11" t="s">
        <v>3382</v>
      </c>
      <c r="E784" s="5">
        <v>42531</v>
      </c>
      <c r="F784" s="1" t="s">
        <v>26</v>
      </c>
      <c r="G784" s="1" t="s">
        <v>2012</v>
      </c>
      <c r="H784" s="1" t="s">
        <v>3813</v>
      </c>
      <c r="I784" s="1" t="s">
        <v>3814</v>
      </c>
      <c r="J784" s="1"/>
      <c r="K784" s="1" t="s">
        <v>29</v>
      </c>
      <c r="L784" s="1" t="s">
        <v>30</v>
      </c>
      <c r="M784" s="1" t="s">
        <v>420</v>
      </c>
      <c r="N784" s="1" t="s">
        <v>421</v>
      </c>
      <c r="O784" s="1">
        <v>43229</v>
      </c>
      <c r="P784" s="1" t="s">
        <v>128</v>
      </c>
      <c r="Q784" s="1" t="s">
        <v>217</v>
      </c>
      <c r="R784" s="1" t="s">
        <v>64</v>
      </c>
      <c r="S784" s="7">
        <v>24</v>
      </c>
      <c r="T784" s="1">
        <v>4</v>
      </c>
      <c r="U784" s="9">
        <v>23.28</v>
      </c>
      <c r="V784" s="9">
        <v>96</v>
      </c>
      <c r="W784" s="9">
        <v>93.12</v>
      </c>
      <c r="X784" s="12">
        <v>2.8799999999999955</v>
      </c>
      <c r="Y784" s="10">
        <v>2016</v>
      </c>
    </row>
    <row r="785" spans="1:25">
      <c r="A785" s="1" t="s">
        <v>2011</v>
      </c>
      <c r="B785" s="8">
        <v>42439</v>
      </c>
      <c r="C785" s="11" t="s">
        <v>3429</v>
      </c>
      <c r="D785" s="11" t="s">
        <v>3382</v>
      </c>
      <c r="E785" s="5">
        <v>42531</v>
      </c>
      <c r="F785" s="1" t="s">
        <v>26</v>
      </c>
      <c r="G785" s="1" t="s">
        <v>2012</v>
      </c>
      <c r="H785" s="1" t="s">
        <v>3813</v>
      </c>
      <c r="I785" s="1" t="s">
        <v>3814</v>
      </c>
      <c r="J785" s="1"/>
      <c r="K785" s="1" t="s">
        <v>29</v>
      </c>
      <c r="L785" s="1" t="s">
        <v>30</v>
      </c>
      <c r="M785" s="1" t="s">
        <v>420</v>
      </c>
      <c r="N785" s="1" t="s">
        <v>421</v>
      </c>
      <c r="O785" s="1">
        <v>43229</v>
      </c>
      <c r="P785" s="1" t="s">
        <v>128</v>
      </c>
      <c r="Q785" s="1" t="s">
        <v>2014</v>
      </c>
      <c r="R785" s="1" t="s">
        <v>35</v>
      </c>
      <c r="S785" s="7">
        <v>35.49</v>
      </c>
      <c r="T785" s="1">
        <v>4</v>
      </c>
      <c r="U785" s="9">
        <v>34.93</v>
      </c>
      <c r="V785" s="9">
        <v>141.96</v>
      </c>
      <c r="W785" s="9">
        <v>139.72</v>
      </c>
      <c r="X785" s="12">
        <v>2.2400000000000091</v>
      </c>
      <c r="Y785" s="10">
        <v>2016</v>
      </c>
    </row>
    <row r="786" spans="1:25">
      <c r="A786" s="1" t="s">
        <v>2011</v>
      </c>
      <c r="B786" s="8">
        <v>42439</v>
      </c>
      <c r="C786" s="11" t="s">
        <v>3429</v>
      </c>
      <c r="D786" s="11" t="s">
        <v>3382</v>
      </c>
      <c r="E786" s="5">
        <v>42531</v>
      </c>
      <c r="F786" s="1" t="s">
        <v>26</v>
      </c>
      <c r="G786" s="1" t="s">
        <v>2012</v>
      </c>
      <c r="H786" s="1" t="s">
        <v>3813</v>
      </c>
      <c r="I786" s="1" t="s">
        <v>3814</v>
      </c>
      <c r="J786" s="1"/>
      <c r="K786" s="1" t="s">
        <v>29</v>
      </c>
      <c r="L786" s="1" t="s">
        <v>30</v>
      </c>
      <c r="M786" s="1" t="s">
        <v>420</v>
      </c>
      <c r="N786" s="1" t="s">
        <v>421</v>
      </c>
      <c r="O786" s="1">
        <v>43229</v>
      </c>
      <c r="P786" s="1" t="s">
        <v>128</v>
      </c>
      <c r="Q786" s="1" t="s">
        <v>2015</v>
      </c>
      <c r="R786" s="1" t="s">
        <v>64</v>
      </c>
      <c r="S786" s="7">
        <v>47.984000000000002</v>
      </c>
      <c r="T786" s="1">
        <v>4</v>
      </c>
      <c r="U786" s="9">
        <v>46.99</v>
      </c>
      <c r="V786" s="9">
        <v>191.93600000000001</v>
      </c>
      <c r="W786" s="9">
        <v>187.96</v>
      </c>
      <c r="X786" s="12">
        <v>3.9759999999999991</v>
      </c>
      <c r="Y786" s="10">
        <v>2016</v>
      </c>
    </row>
    <row r="787" spans="1:25">
      <c r="A787" s="1" t="s">
        <v>2016</v>
      </c>
      <c r="B787" s="8">
        <v>42513</v>
      </c>
      <c r="C787" s="11" t="s">
        <v>3363</v>
      </c>
      <c r="D787" s="11" t="s">
        <v>3360</v>
      </c>
      <c r="E787" s="5" t="s">
        <v>2017</v>
      </c>
      <c r="F787" s="1" t="s">
        <v>49</v>
      </c>
      <c r="G787" s="1" t="s">
        <v>739</v>
      </c>
      <c r="H787" s="1" t="s">
        <v>3398</v>
      </c>
      <c r="I787" s="1" t="s">
        <v>3542</v>
      </c>
      <c r="J787" s="1"/>
      <c r="K787" s="1" t="s">
        <v>41</v>
      </c>
      <c r="L787" s="1" t="s">
        <v>30</v>
      </c>
      <c r="M787" s="1" t="s">
        <v>325</v>
      </c>
      <c r="N787" s="1" t="s">
        <v>326</v>
      </c>
      <c r="O787" s="1">
        <v>29203</v>
      </c>
      <c r="P787" s="1" t="s">
        <v>33</v>
      </c>
      <c r="Q787" s="1" t="s">
        <v>2018</v>
      </c>
      <c r="R787" s="1" t="s">
        <v>46</v>
      </c>
      <c r="S787" s="7">
        <v>186.69</v>
      </c>
      <c r="T787" s="1">
        <v>2</v>
      </c>
      <c r="U787" s="9">
        <v>185.95</v>
      </c>
      <c r="V787" s="9">
        <v>373.38</v>
      </c>
      <c r="W787" s="9">
        <v>371.9</v>
      </c>
      <c r="X787" s="12">
        <v>1.4800000000000182</v>
      </c>
      <c r="Y787" s="10">
        <v>2016</v>
      </c>
    </row>
    <row r="788" spans="1:25">
      <c r="A788" s="1" t="s">
        <v>2019</v>
      </c>
      <c r="B788" s="8">
        <v>43176</v>
      </c>
      <c r="C788" s="11" t="s">
        <v>3429</v>
      </c>
      <c r="D788" s="11" t="s">
        <v>3382</v>
      </c>
      <c r="E788" s="5" t="s">
        <v>2020</v>
      </c>
      <c r="F788" s="1" t="s">
        <v>26</v>
      </c>
      <c r="G788" s="1" t="s">
        <v>410</v>
      </c>
      <c r="H788" s="1" t="s">
        <v>3457</v>
      </c>
      <c r="I788" s="1" t="s">
        <v>3458</v>
      </c>
      <c r="J788" s="1"/>
      <c r="K788" s="1" t="s">
        <v>29</v>
      </c>
      <c r="L788" s="1" t="s">
        <v>30</v>
      </c>
      <c r="M788" s="1" t="s">
        <v>2021</v>
      </c>
      <c r="N788" s="1" t="s">
        <v>68</v>
      </c>
      <c r="O788" s="1">
        <v>93534</v>
      </c>
      <c r="P788" s="1" t="s">
        <v>44</v>
      </c>
      <c r="Q788" s="1" t="s">
        <v>2022</v>
      </c>
      <c r="R788" s="1" t="s">
        <v>46</v>
      </c>
      <c r="S788" s="7">
        <v>17.456</v>
      </c>
      <c r="T788" s="1">
        <v>9</v>
      </c>
      <c r="U788" s="9">
        <v>16.96</v>
      </c>
      <c r="V788" s="9">
        <v>157.10399999999998</v>
      </c>
      <c r="W788" s="9">
        <v>152.64000000000001</v>
      </c>
      <c r="X788" s="12">
        <v>4.4639999999999702</v>
      </c>
      <c r="Y788" s="10">
        <v>2018</v>
      </c>
    </row>
    <row r="789" spans="1:25">
      <c r="A789" s="1" t="s">
        <v>2023</v>
      </c>
      <c r="B789" s="8">
        <v>42716</v>
      </c>
      <c r="C789" s="11" t="s">
        <v>3348</v>
      </c>
      <c r="D789" s="11" t="s">
        <v>3349</v>
      </c>
      <c r="E789" s="5" t="s">
        <v>2024</v>
      </c>
      <c r="F789" s="1" t="s">
        <v>49</v>
      </c>
      <c r="G789" s="1" t="s">
        <v>2025</v>
      </c>
      <c r="H789" s="1" t="s">
        <v>3698</v>
      </c>
      <c r="I789" s="1" t="s">
        <v>3815</v>
      </c>
      <c r="J789" s="1"/>
      <c r="K789" s="1" t="s">
        <v>29</v>
      </c>
      <c r="L789" s="1" t="s">
        <v>30</v>
      </c>
      <c r="M789" s="1" t="s">
        <v>2021</v>
      </c>
      <c r="N789" s="1" t="s">
        <v>68</v>
      </c>
      <c r="O789" s="1">
        <v>93534</v>
      </c>
      <c r="P789" s="1" t="s">
        <v>44</v>
      </c>
      <c r="Q789" s="1" t="s">
        <v>2027</v>
      </c>
      <c r="R789" s="1" t="s">
        <v>35</v>
      </c>
      <c r="S789" s="7">
        <v>348.928</v>
      </c>
      <c r="T789" s="1">
        <v>9</v>
      </c>
      <c r="U789" s="9">
        <v>348.61</v>
      </c>
      <c r="V789" s="9">
        <v>3140.3519999999999</v>
      </c>
      <c r="W789" s="9">
        <v>3137.4900000000002</v>
      </c>
      <c r="X789" s="12">
        <v>2.8619999999996253</v>
      </c>
      <c r="Y789" s="10">
        <v>2016</v>
      </c>
    </row>
    <row r="790" spans="1:25">
      <c r="A790" s="1" t="s">
        <v>2028</v>
      </c>
      <c r="B790" s="8">
        <v>42547</v>
      </c>
      <c r="C790" s="11" t="s">
        <v>3403</v>
      </c>
      <c r="D790" s="11" t="s">
        <v>3360</v>
      </c>
      <c r="E790" s="5" t="s">
        <v>2029</v>
      </c>
      <c r="F790" s="1" t="s">
        <v>49</v>
      </c>
      <c r="G790" s="1" t="s">
        <v>1359</v>
      </c>
      <c r="H790" s="1" t="s">
        <v>3669</v>
      </c>
      <c r="I790" s="1" t="s">
        <v>3670</v>
      </c>
      <c r="J790" s="1" t="s">
        <v>3671</v>
      </c>
      <c r="K790" s="1" t="s">
        <v>29</v>
      </c>
      <c r="L790" s="1" t="s">
        <v>30</v>
      </c>
      <c r="M790" s="1" t="s">
        <v>1192</v>
      </c>
      <c r="N790" s="1" t="s">
        <v>272</v>
      </c>
      <c r="O790" s="1">
        <v>23223</v>
      </c>
      <c r="P790" s="1" t="s">
        <v>33</v>
      </c>
      <c r="Q790" s="1" t="s">
        <v>1217</v>
      </c>
      <c r="R790" s="1" t="s">
        <v>46</v>
      </c>
      <c r="S790" s="7">
        <v>143.96</v>
      </c>
      <c r="T790" s="1">
        <v>2</v>
      </c>
      <c r="U790" s="9">
        <v>143.01</v>
      </c>
      <c r="V790" s="9">
        <v>287.92</v>
      </c>
      <c r="W790" s="9">
        <v>286.02</v>
      </c>
      <c r="X790" s="12">
        <v>1.9000000000000341</v>
      </c>
      <c r="Y790" s="10">
        <v>2016</v>
      </c>
    </row>
    <row r="791" spans="1:25">
      <c r="A791" s="1" t="s">
        <v>2028</v>
      </c>
      <c r="B791" s="8">
        <v>42547</v>
      </c>
      <c r="C791" s="11" t="s">
        <v>3403</v>
      </c>
      <c r="D791" s="11" t="s">
        <v>3360</v>
      </c>
      <c r="E791" s="5" t="s">
        <v>2029</v>
      </c>
      <c r="F791" s="1" t="s">
        <v>49</v>
      </c>
      <c r="G791" s="1" t="s">
        <v>1359</v>
      </c>
      <c r="H791" s="1" t="s">
        <v>3669</v>
      </c>
      <c r="I791" s="1" t="s">
        <v>3670</v>
      </c>
      <c r="J791" s="1" t="s">
        <v>3671</v>
      </c>
      <c r="K791" s="1" t="s">
        <v>29</v>
      </c>
      <c r="L791" s="1" t="s">
        <v>30</v>
      </c>
      <c r="M791" s="1" t="s">
        <v>1192</v>
      </c>
      <c r="N791" s="1" t="s">
        <v>272</v>
      </c>
      <c r="O791" s="1">
        <v>23223</v>
      </c>
      <c r="P791" s="1" t="s">
        <v>33</v>
      </c>
      <c r="Q791" s="1" t="s">
        <v>1328</v>
      </c>
      <c r="R791" s="1" t="s">
        <v>46</v>
      </c>
      <c r="S791" s="7">
        <v>15.42</v>
      </c>
      <c r="T791" s="1">
        <v>2</v>
      </c>
      <c r="U791" s="9">
        <v>14.8</v>
      </c>
      <c r="V791" s="9">
        <v>30.84</v>
      </c>
      <c r="W791" s="9">
        <v>29.6</v>
      </c>
      <c r="X791" s="12">
        <v>1.2399999999999984</v>
      </c>
      <c r="Y791" s="10">
        <v>2016</v>
      </c>
    </row>
    <row r="792" spans="1:25">
      <c r="A792" s="1" t="s">
        <v>2028</v>
      </c>
      <c r="B792" s="8">
        <v>42547</v>
      </c>
      <c r="C792" s="11" t="s">
        <v>3403</v>
      </c>
      <c r="D792" s="11" t="s">
        <v>3360</v>
      </c>
      <c r="E792" s="5" t="s">
        <v>2029</v>
      </c>
      <c r="F792" s="1" t="s">
        <v>49</v>
      </c>
      <c r="G792" s="1" t="s">
        <v>1359</v>
      </c>
      <c r="H792" s="1" t="s">
        <v>3669</v>
      </c>
      <c r="I792" s="1" t="s">
        <v>3670</v>
      </c>
      <c r="J792" s="1" t="s">
        <v>3671</v>
      </c>
      <c r="K792" s="1" t="s">
        <v>29</v>
      </c>
      <c r="L792" s="1" t="s">
        <v>30</v>
      </c>
      <c r="M792" s="1" t="s">
        <v>1192</v>
      </c>
      <c r="N792" s="1" t="s">
        <v>272</v>
      </c>
      <c r="O792" s="1">
        <v>23223</v>
      </c>
      <c r="P792" s="1" t="s">
        <v>33</v>
      </c>
      <c r="Q792" s="1" t="s">
        <v>2030</v>
      </c>
      <c r="R792" s="1" t="s">
        <v>46</v>
      </c>
      <c r="S792" s="7">
        <v>43.04</v>
      </c>
      <c r="T792" s="1">
        <v>2</v>
      </c>
      <c r="U792" s="9">
        <v>42.63</v>
      </c>
      <c r="V792" s="9">
        <v>86.08</v>
      </c>
      <c r="W792" s="9">
        <v>85.26</v>
      </c>
      <c r="X792" s="12">
        <v>0.81999999999999318</v>
      </c>
      <c r="Y792" s="10">
        <v>2016</v>
      </c>
    </row>
    <row r="793" spans="1:25">
      <c r="A793" s="1" t="s">
        <v>2028</v>
      </c>
      <c r="B793" s="8">
        <v>42547</v>
      </c>
      <c r="C793" s="11" t="s">
        <v>3403</v>
      </c>
      <c r="D793" s="11" t="s">
        <v>3360</v>
      </c>
      <c r="E793" s="5" t="s">
        <v>2029</v>
      </c>
      <c r="F793" s="1" t="s">
        <v>49</v>
      </c>
      <c r="G793" s="1" t="s">
        <v>1359</v>
      </c>
      <c r="H793" s="1" t="s">
        <v>3669</v>
      </c>
      <c r="I793" s="1" t="s">
        <v>3670</v>
      </c>
      <c r="J793" s="1" t="s">
        <v>3671</v>
      </c>
      <c r="K793" s="1" t="s">
        <v>29</v>
      </c>
      <c r="L793" s="1" t="s">
        <v>30</v>
      </c>
      <c r="M793" s="1" t="s">
        <v>1192</v>
      </c>
      <c r="N793" s="1" t="s">
        <v>272</v>
      </c>
      <c r="O793" s="1">
        <v>23223</v>
      </c>
      <c r="P793" s="1" t="s">
        <v>33</v>
      </c>
      <c r="Q793" s="1" t="s">
        <v>2031</v>
      </c>
      <c r="R793" s="1" t="s">
        <v>35</v>
      </c>
      <c r="S793" s="7">
        <v>332.94</v>
      </c>
      <c r="T793" s="1">
        <v>2</v>
      </c>
      <c r="U793" s="9">
        <v>332.22</v>
      </c>
      <c r="V793" s="9">
        <v>665.88</v>
      </c>
      <c r="W793" s="9">
        <v>664.44</v>
      </c>
      <c r="X793" s="12">
        <v>1.4399999999999409</v>
      </c>
      <c r="Y793" s="10">
        <v>2016</v>
      </c>
    </row>
    <row r="794" spans="1:25">
      <c r="A794" s="1" t="s">
        <v>2032</v>
      </c>
      <c r="B794" s="8">
        <v>42875</v>
      </c>
      <c r="C794" s="11" t="s">
        <v>3363</v>
      </c>
      <c r="D794" s="11" t="s">
        <v>3360</v>
      </c>
      <c r="E794" s="5" t="s">
        <v>2033</v>
      </c>
      <c r="F794" s="1" t="s">
        <v>1050</v>
      </c>
      <c r="G794" s="1" t="s">
        <v>2034</v>
      </c>
      <c r="H794" s="1" t="s">
        <v>3816</v>
      </c>
      <c r="I794" s="1" t="s">
        <v>3817</v>
      </c>
      <c r="J794" s="1"/>
      <c r="K794" s="1" t="s">
        <v>29</v>
      </c>
      <c r="L794" s="1" t="s">
        <v>30</v>
      </c>
      <c r="M794" s="1" t="s">
        <v>2036</v>
      </c>
      <c r="N794" s="1" t="s">
        <v>75</v>
      </c>
      <c r="O794" s="1">
        <v>28806</v>
      </c>
      <c r="P794" s="1" t="s">
        <v>33</v>
      </c>
      <c r="Q794" s="1" t="s">
        <v>2037</v>
      </c>
      <c r="R794" s="1" t="s">
        <v>64</v>
      </c>
      <c r="S794" s="7">
        <v>1363.96</v>
      </c>
      <c r="T794" s="1">
        <v>2</v>
      </c>
      <c r="U794" s="9">
        <v>1363.48</v>
      </c>
      <c r="V794" s="9">
        <v>2727.92</v>
      </c>
      <c r="W794" s="9">
        <v>2726.96</v>
      </c>
      <c r="X794" s="12">
        <v>0.96000000000003638</v>
      </c>
      <c r="Y794" s="10">
        <v>2017</v>
      </c>
    </row>
    <row r="795" spans="1:25">
      <c r="A795" s="1" t="s">
        <v>2038</v>
      </c>
      <c r="B795" s="8">
        <v>42267</v>
      </c>
      <c r="C795" s="11" t="s">
        <v>3356</v>
      </c>
      <c r="D795" s="11" t="s">
        <v>3345</v>
      </c>
      <c r="E795" s="5" t="s">
        <v>2039</v>
      </c>
      <c r="F795" s="1" t="s">
        <v>49</v>
      </c>
      <c r="G795" s="1" t="s">
        <v>2040</v>
      </c>
      <c r="H795" s="1" t="s">
        <v>3818</v>
      </c>
      <c r="I795" s="1" t="s">
        <v>3399</v>
      </c>
      <c r="J795" s="1"/>
      <c r="K795" s="1" t="s">
        <v>29</v>
      </c>
      <c r="L795" s="1" t="s">
        <v>30</v>
      </c>
      <c r="M795" s="1" t="s">
        <v>110</v>
      </c>
      <c r="N795" s="1" t="s">
        <v>68</v>
      </c>
      <c r="O795" s="1">
        <v>94110</v>
      </c>
      <c r="P795" s="1" t="s">
        <v>44</v>
      </c>
      <c r="Q795" s="1" t="s">
        <v>2042</v>
      </c>
      <c r="R795" s="1" t="s">
        <v>46</v>
      </c>
      <c r="S795" s="7">
        <v>9.9600000000000009</v>
      </c>
      <c r="T795" s="1">
        <v>9</v>
      </c>
      <c r="U795" s="9">
        <v>8.9700000000000006</v>
      </c>
      <c r="V795" s="9">
        <v>89.640000000000015</v>
      </c>
      <c r="W795" s="9">
        <v>80.73</v>
      </c>
      <c r="X795" s="12">
        <v>8.9100000000000108</v>
      </c>
      <c r="Y795" s="10">
        <v>2015</v>
      </c>
    </row>
    <row r="796" spans="1:25">
      <c r="A796" s="1" t="s">
        <v>2038</v>
      </c>
      <c r="B796" s="8">
        <v>42267</v>
      </c>
      <c r="C796" s="11" t="s">
        <v>3356</v>
      </c>
      <c r="D796" s="11" t="s">
        <v>3345</v>
      </c>
      <c r="E796" s="5" t="s">
        <v>2039</v>
      </c>
      <c r="F796" s="1" t="s">
        <v>49</v>
      </c>
      <c r="G796" s="1" t="s">
        <v>2040</v>
      </c>
      <c r="H796" s="1" t="s">
        <v>3818</v>
      </c>
      <c r="I796" s="1" t="s">
        <v>3399</v>
      </c>
      <c r="J796" s="1"/>
      <c r="K796" s="1" t="s">
        <v>29</v>
      </c>
      <c r="L796" s="1" t="s">
        <v>30</v>
      </c>
      <c r="M796" s="1" t="s">
        <v>110</v>
      </c>
      <c r="N796" s="1" t="s">
        <v>68</v>
      </c>
      <c r="O796" s="1">
        <v>94110</v>
      </c>
      <c r="P796" s="1" t="s">
        <v>44</v>
      </c>
      <c r="Q796" s="1" t="s">
        <v>1170</v>
      </c>
      <c r="R796" s="1" t="s">
        <v>46</v>
      </c>
      <c r="S796" s="7">
        <v>21.72</v>
      </c>
      <c r="T796" s="1">
        <v>9</v>
      </c>
      <c r="U796" s="9">
        <v>21.3</v>
      </c>
      <c r="V796" s="9">
        <v>195.48</v>
      </c>
      <c r="W796" s="9">
        <v>191.70000000000002</v>
      </c>
      <c r="X796" s="12">
        <v>3.7799999999999727</v>
      </c>
      <c r="Y796" s="10">
        <v>2015</v>
      </c>
    </row>
    <row r="797" spans="1:25">
      <c r="A797" s="1" t="s">
        <v>2043</v>
      </c>
      <c r="B797" s="8">
        <v>43364</v>
      </c>
      <c r="C797" s="11" t="s">
        <v>3356</v>
      </c>
      <c r="D797" s="11" t="s">
        <v>3345</v>
      </c>
      <c r="E797" s="5" t="s">
        <v>1700</v>
      </c>
      <c r="F797" s="1" t="s">
        <v>49</v>
      </c>
      <c r="G797" s="1" t="s">
        <v>2044</v>
      </c>
      <c r="H797" s="1" t="s">
        <v>3449</v>
      </c>
      <c r="I797" s="1" t="s">
        <v>3819</v>
      </c>
      <c r="J797" s="1"/>
      <c r="K797" s="1" t="s">
        <v>29</v>
      </c>
      <c r="L797" s="1" t="s">
        <v>30</v>
      </c>
      <c r="M797" s="1" t="s">
        <v>331</v>
      </c>
      <c r="N797" s="1" t="s">
        <v>201</v>
      </c>
      <c r="O797" s="1">
        <v>55901</v>
      </c>
      <c r="P797" s="1" t="s">
        <v>90</v>
      </c>
      <c r="Q797" s="1" t="s">
        <v>1953</v>
      </c>
      <c r="R797" s="1" t="s">
        <v>46</v>
      </c>
      <c r="S797" s="7">
        <v>20.16</v>
      </c>
      <c r="T797" s="1">
        <v>5</v>
      </c>
      <c r="U797" s="9">
        <v>20.03</v>
      </c>
      <c r="V797" s="9">
        <v>100.8</v>
      </c>
      <c r="W797" s="9">
        <v>100.15</v>
      </c>
      <c r="X797" s="12">
        <v>0.64999999999999147</v>
      </c>
      <c r="Y797" s="10">
        <v>2018</v>
      </c>
    </row>
    <row r="798" spans="1:25">
      <c r="A798" s="1" t="s">
        <v>2046</v>
      </c>
      <c r="B798" s="8">
        <v>42728</v>
      </c>
      <c r="C798" s="11" t="s">
        <v>3348</v>
      </c>
      <c r="D798" s="11" t="s">
        <v>3349</v>
      </c>
      <c r="E798" s="5" t="s">
        <v>2047</v>
      </c>
      <c r="F798" s="1" t="s">
        <v>162</v>
      </c>
      <c r="G798" s="1" t="s">
        <v>749</v>
      </c>
      <c r="H798" s="1" t="s">
        <v>3508</v>
      </c>
      <c r="I798" s="1" t="s">
        <v>3543</v>
      </c>
      <c r="J798" s="1"/>
      <c r="K798" s="1" t="s">
        <v>41</v>
      </c>
      <c r="L798" s="1" t="s">
        <v>30</v>
      </c>
      <c r="M798" s="1" t="s">
        <v>331</v>
      </c>
      <c r="N798" s="1" t="s">
        <v>234</v>
      </c>
      <c r="O798" s="1">
        <v>14609</v>
      </c>
      <c r="P798" s="1" t="s">
        <v>128</v>
      </c>
      <c r="Q798" s="1" t="s">
        <v>2048</v>
      </c>
      <c r="R798" s="1" t="s">
        <v>46</v>
      </c>
      <c r="S798" s="7">
        <v>132.79</v>
      </c>
      <c r="T798" s="1">
        <v>1</v>
      </c>
      <c r="U798" s="9">
        <v>132.09</v>
      </c>
      <c r="V798" s="9">
        <v>132.79</v>
      </c>
      <c r="W798" s="9">
        <v>132.09</v>
      </c>
      <c r="X798" s="12">
        <v>0.69999999999998863</v>
      </c>
      <c r="Y798" s="10">
        <v>2016</v>
      </c>
    </row>
    <row r="799" spans="1:25">
      <c r="A799" s="1" t="s">
        <v>2046</v>
      </c>
      <c r="B799" s="8">
        <v>42728</v>
      </c>
      <c r="C799" s="11" t="s">
        <v>3348</v>
      </c>
      <c r="D799" s="11" t="s">
        <v>3349</v>
      </c>
      <c r="E799" s="5" t="s">
        <v>2047</v>
      </c>
      <c r="F799" s="1" t="s">
        <v>162</v>
      </c>
      <c r="G799" s="1" t="s">
        <v>749</v>
      </c>
      <c r="H799" s="1" t="s">
        <v>3508</v>
      </c>
      <c r="I799" s="1" t="s">
        <v>3543</v>
      </c>
      <c r="J799" s="1"/>
      <c r="K799" s="1" t="s">
        <v>41</v>
      </c>
      <c r="L799" s="1" t="s">
        <v>30</v>
      </c>
      <c r="M799" s="1" t="s">
        <v>331</v>
      </c>
      <c r="N799" s="1" t="s">
        <v>234</v>
      </c>
      <c r="O799" s="1">
        <v>14609</v>
      </c>
      <c r="P799" s="1" t="s">
        <v>128</v>
      </c>
      <c r="Q799" s="1" t="s">
        <v>76</v>
      </c>
      <c r="R799" s="1" t="s">
        <v>46</v>
      </c>
      <c r="S799" s="7">
        <v>12.96</v>
      </c>
      <c r="T799" s="1">
        <v>1</v>
      </c>
      <c r="U799" s="9">
        <v>12.5</v>
      </c>
      <c r="V799" s="9">
        <v>12.96</v>
      </c>
      <c r="W799" s="9">
        <v>12.5</v>
      </c>
      <c r="X799" s="12">
        <v>0.46000000000000085</v>
      </c>
      <c r="Y799" s="10">
        <v>2016</v>
      </c>
    </row>
    <row r="800" spans="1:25">
      <c r="A800" s="1" t="s">
        <v>2046</v>
      </c>
      <c r="B800" s="8">
        <v>42728</v>
      </c>
      <c r="C800" s="11" t="s">
        <v>3348</v>
      </c>
      <c r="D800" s="11" t="s">
        <v>3349</v>
      </c>
      <c r="E800" s="5" t="s">
        <v>2047</v>
      </c>
      <c r="F800" s="1" t="s">
        <v>162</v>
      </c>
      <c r="G800" s="1" t="s">
        <v>749</v>
      </c>
      <c r="H800" s="1" t="s">
        <v>3508</v>
      </c>
      <c r="I800" s="1" t="s">
        <v>3543</v>
      </c>
      <c r="J800" s="1"/>
      <c r="K800" s="1" t="s">
        <v>41</v>
      </c>
      <c r="L800" s="1" t="s">
        <v>30</v>
      </c>
      <c r="M800" s="1" t="s">
        <v>331</v>
      </c>
      <c r="N800" s="1" t="s">
        <v>234</v>
      </c>
      <c r="O800" s="1">
        <v>14609</v>
      </c>
      <c r="P800" s="1" t="s">
        <v>128</v>
      </c>
      <c r="Q800" s="1" t="s">
        <v>2049</v>
      </c>
      <c r="R800" s="1" t="s">
        <v>46</v>
      </c>
      <c r="S800" s="7">
        <v>21.56</v>
      </c>
      <c r="T800" s="1">
        <v>1</v>
      </c>
      <c r="U800" s="9">
        <v>20.78</v>
      </c>
      <c r="V800" s="9">
        <v>21.56</v>
      </c>
      <c r="W800" s="9">
        <v>20.78</v>
      </c>
      <c r="X800" s="12">
        <v>0.77999999999999758</v>
      </c>
      <c r="Y800" s="10">
        <v>2016</v>
      </c>
    </row>
    <row r="801" spans="1:25">
      <c r="A801" s="1" t="s">
        <v>2050</v>
      </c>
      <c r="B801" s="8">
        <v>42701</v>
      </c>
      <c r="C801" s="11" t="s">
        <v>3353</v>
      </c>
      <c r="D801" s="11" t="s">
        <v>3349</v>
      </c>
      <c r="E801" s="5">
        <v>42441</v>
      </c>
      <c r="F801" s="1" t="s">
        <v>49</v>
      </c>
      <c r="G801" s="1" t="s">
        <v>2051</v>
      </c>
      <c r="H801" s="1" t="s">
        <v>3716</v>
      </c>
      <c r="I801" s="1" t="s">
        <v>3820</v>
      </c>
      <c r="J801" s="1"/>
      <c r="K801" s="1" t="s">
        <v>29</v>
      </c>
      <c r="L801" s="1" t="s">
        <v>30</v>
      </c>
      <c r="M801" s="1" t="s">
        <v>2053</v>
      </c>
      <c r="N801" s="1" t="s">
        <v>68</v>
      </c>
      <c r="O801" s="1">
        <v>92530</v>
      </c>
      <c r="P801" s="1" t="s">
        <v>44</v>
      </c>
      <c r="Q801" s="1" t="s">
        <v>1496</v>
      </c>
      <c r="R801" s="1" t="s">
        <v>35</v>
      </c>
      <c r="S801" s="7">
        <v>283.92</v>
      </c>
      <c r="T801" s="1">
        <v>9</v>
      </c>
      <c r="U801" s="9">
        <v>282.99</v>
      </c>
      <c r="V801" s="9">
        <v>2555.2800000000002</v>
      </c>
      <c r="W801" s="9">
        <v>2546.91</v>
      </c>
      <c r="X801" s="12">
        <v>8.3700000000003456</v>
      </c>
      <c r="Y801" s="10">
        <v>2016</v>
      </c>
    </row>
    <row r="802" spans="1:25">
      <c r="A802" s="1" t="s">
        <v>2054</v>
      </c>
      <c r="B802" s="8">
        <v>43151</v>
      </c>
      <c r="C802" s="11" t="s">
        <v>3461</v>
      </c>
      <c r="D802" s="11" t="s">
        <v>3382</v>
      </c>
      <c r="E802" s="5" t="s">
        <v>2055</v>
      </c>
      <c r="F802" s="1" t="s">
        <v>162</v>
      </c>
      <c r="G802" s="1" t="s">
        <v>2056</v>
      </c>
      <c r="H802" s="1" t="s">
        <v>3482</v>
      </c>
      <c r="I802" s="1" t="s">
        <v>3821</v>
      </c>
      <c r="J802" s="1"/>
      <c r="K802" s="1" t="s">
        <v>41</v>
      </c>
      <c r="L802" s="1" t="s">
        <v>30</v>
      </c>
      <c r="M802" s="1" t="s">
        <v>778</v>
      </c>
      <c r="N802" s="1" t="s">
        <v>68</v>
      </c>
      <c r="O802" s="1">
        <v>92105</v>
      </c>
      <c r="P802" s="1" t="s">
        <v>44</v>
      </c>
      <c r="Q802" s="1" t="s">
        <v>2058</v>
      </c>
      <c r="R802" s="1" t="s">
        <v>35</v>
      </c>
      <c r="S802" s="7">
        <v>22.23</v>
      </c>
      <c r="T802" s="1">
        <v>9</v>
      </c>
      <c r="U802" s="9">
        <v>21.53</v>
      </c>
      <c r="V802" s="9">
        <v>200.07</v>
      </c>
      <c r="W802" s="9">
        <v>193.77</v>
      </c>
      <c r="X802" s="12">
        <v>6.2999999999999829</v>
      </c>
      <c r="Y802" s="10">
        <v>2018</v>
      </c>
    </row>
    <row r="803" spans="1:25">
      <c r="A803" s="1" t="s">
        <v>2054</v>
      </c>
      <c r="B803" s="8">
        <v>43151</v>
      </c>
      <c r="C803" s="11" t="s">
        <v>3461</v>
      </c>
      <c r="D803" s="11" t="s">
        <v>3382</v>
      </c>
      <c r="E803" s="5" t="s">
        <v>2055</v>
      </c>
      <c r="F803" s="1" t="s">
        <v>162</v>
      </c>
      <c r="G803" s="1" t="s">
        <v>2056</v>
      </c>
      <c r="H803" s="1" t="s">
        <v>3482</v>
      </c>
      <c r="I803" s="1" t="s">
        <v>3821</v>
      </c>
      <c r="J803" s="1"/>
      <c r="K803" s="1" t="s">
        <v>41</v>
      </c>
      <c r="L803" s="1" t="s">
        <v>30</v>
      </c>
      <c r="M803" s="1" t="s">
        <v>778</v>
      </c>
      <c r="N803" s="1" t="s">
        <v>68</v>
      </c>
      <c r="O803" s="1">
        <v>92105</v>
      </c>
      <c r="P803" s="1" t="s">
        <v>44</v>
      </c>
      <c r="Q803" s="1" t="s">
        <v>789</v>
      </c>
      <c r="R803" s="1" t="s">
        <v>64</v>
      </c>
      <c r="S803" s="7">
        <v>215.96799999999999</v>
      </c>
      <c r="T803" s="1">
        <v>9</v>
      </c>
      <c r="U803" s="9">
        <v>215.54</v>
      </c>
      <c r="V803" s="9">
        <v>1943.712</v>
      </c>
      <c r="W803" s="9">
        <v>1939.86</v>
      </c>
      <c r="X803" s="12">
        <v>3.8520000000000891</v>
      </c>
      <c r="Y803" s="10">
        <v>2018</v>
      </c>
    </row>
    <row r="804" spans="1:25">
      <c r="A804" s="1" t="s">
        <v>2059</v>
      </c>
      <c r="B804" s="8">
        <v>42965</v>
      </c>
      <c r="C804" s="11" t="s">
        <v>3344</v>
      </c>
      <c r="D804" s="11" t="s">
        <v>3345</v>
      </c>
      <c r="E804" s="5" t="s">
        <v>2060</v>
      </c>
      <c r="F804" s="1" t="s">
        <v>26</v>
      </c>
      <c r="G804" s="1" t="s">
        <v>2056</v>
      </c>
      <c r="H804" s="1" t="s">
        <v>3482</v>
      </c>
      <c r="I804" s="1" t="s">
        <v>3821</v>
      </c>
      <c r="J804" s="1"/>
      <c r="K804" s="1" t="s">
        <v>41</v>
      </c>
      <c r="L804" s="1" t="s">
        <v>30</v>
      </c>
      <c r="M804" s="1" t="s">
        <v>233</v>
      </c>
      <c r="N804" s="1" t="s">
        <v>234</v>
      </c>
      <c r="O804" s="1">
        <v>10024</v>
      </c>
      <c r="P804" s="1" t="s">
        <v>128</v>
      </c>
      <c r="Q804" s="1" t="s">
        <v>2061</v>
      </c>
      <c r="R804" s="1" t="s">
        <v>46</v>
      </c>
      <c r="S804" s="7">
        <v>355.32</v>
      </c>
      <c r="T804" s="1">
        <v>1</v>
      </c>
      <c r="U804" s="9">
        <v>354.85</v>
      </c>
      <c r="V804" s="9">
        <v>355.32</v>
      </c>
      <c r="W804" s="9">
        <v>354.85</v>
      </c>
      <c r="X804" s="12">
        <v>0.46999999999997044</v>
      </c>
      <c r="Y804" s="10">
        <v>2017</v>
      </c>
    </row>
    <row r="805" spans="1:25">
      <c r="A805" s="1" t="s">
        <v>2062</v>
      </c>
      <c r="B805" s="8">
        <v>43072</v>
      </c>
      <c r="C805" s="11" t="s">
        <v>3348</v>
      </c>
      <c r="D805" s="11" t="s">
        <v>3349</v>
      </c>
      <c r="E805" s="5" t="s">
        <v>2063</v>
      </c>
      <c r="F805" s="1" t="s">
        <v>49</v>
      </c>
      <c r="G805" s="1" t="s">
        <v>2064</v>
      </c>
      <c r="H805" s="1" t="s">
        <v>3621</v>
      </c>
      <c r="I805" s="1" t="s">
        <v>3822</v>
      </c>
      <c r="J805" s="1"/>
      <c r="K805" s="1" t="s">
        <v>41</v>
      </c>
      <c r="L805" s="1" t="s">
        <v>30</v>
      </c>
      <c r="M805" s="1" t="s">
        <v>608</v>
      </c>
      <c r="N805" s="1" t="s">
        <v>609</v>
      </c>
      <c r="O805" s="1">
        <v>71203</v>
      </c>
      <c r="P805" s="1" t="s">
        <v>33</v>
      </c>
      <c r="Q805" s="1" t="s">
        <v>2066</v>
      </c>
      <c r="R805" s="1" t="s">
        <v>46</v>
      </c>
      <c r="S805" s="7">
        <v>12.96</v>
      </c>
      <c r="T805" s="1">
        <v>7</v>
      </c>
      <c r="U805" s="9">
        <v>12.7</v>
      </c>
      <c r="V805" s="9">
        <v>90.72</v>
      </c>
      <c r="W805" s="9">
        <v>88.899999999999991</v>
      </c>
      <c r="X805" s="12">
        <v>1.8200000000000074</v>
      </c>
      <c r="Y805" s="10">
        <v>2017</v>
      </c>
    </row>
    <row r="806" spans="1:25">
      <c r="A806" s="1" t="s">
        <v>2067</v>
      </c>
      <c r="B806" s="8">
        <v>43212</v>
      </c>
      <c r="C806" s="11" t="s">
        <v>3359</v>
      </c>
      <c r="D806" s="11" t="s">
        <v>3360</v>
      </c>
      <c r="E806" s="5" t="s">
        <v>2068</v>
      </c>
      <c r="F806" s="1" t="s">
        <v>162</v>
      </c>
      <c r="G806" s="1" t="s">
        <v>2069</v>
      </c>
      <c r="H806" s="1" t="s">
        <v>3435</v>
      </c>
      <c r="I806" s="1" t="s">
        <v>3823</v>
      </c>
      <c r="J806" s="1"/>
      <c r="K806" s="1" t="s">
        <v>29</v>
      </c>
      <c r="L806" s="1" t="s">
        <v>30</v>
      </c>
      <c r="M806" s="1" t="s">
        <v>110</v>
      </c>
      <c r="N806" s="1" t="s">
        <v>68</v>
      </c>
      <c r="O806" s="1">
        <v>94122</v>
      </c>
      <c r="P806" s="1" t="s">
        <v>44</v>
      </c>
      <c r="Q806" s="1" t="s">
        <v>2071</v>
      </c>
      <c r="R806" s="1" t="s">
        <v>35</v>
      </c>
      <c r="S806" s="7">
        <v>18.28</v>
      </c>
      <c r="T806" s="1">
        <v>9</v>
      </c>
      <c r="U806" s="9">
        <v>17.559999999999999</v>
      </c>
      <c r="V806" s="9">
        <v>164.52</v>
      </c>
      <c r="W806" s="9">
        <v>158.04</v>
      </c>
      <c r="X806" s="12">
        <v>6.4800000000000182</v>
      </c>
      <c r="Y806" s="10">
        <v>2018</v>
      </c>
    </row>
    <row r="807" spans="1:25">
      <c r="A807" s="1" t="s">
        <v>2072</v>
      </c>
      <c r="B807" s="8">
        <v>42015</v>
      </c>
      <c r="C807" s="11" t="s">
        <v>3381</v>
      </c>
      <c r="D807" s="11" t="s">
        <v>3382</v>
      </c>
      <c r="E807" s="5">
        <v>42196</v>
      </c>
      <c r="F807" s="1" t="s">
        <v>49</v>
      </c>
      <c r="G807" s="1" t="s">
        <v>1081</v>
      </c>
      <c r="H807" s="1" t="s">
        <v>3612</v>
      </c>
      <c r="I807" s="1" t="s">
        <v>3613</v>
      </c>
      <c r="J807" s="1"/>
      <c r="K807" s="1" t="s">
        <v>29</v>
      </c>
      <c r="L807" s="1" t="s">
        <v>30</v>
      </c>
      <c r="M807" s="1" t="s">
        <v>670</v>
      </c>
      <c r="N807" s="1" t="s">
        <v>386</v>
      </c>
      <c r="O807" s="1">
        <v>80219</v>
      </c>
      <c r="P807" s="1" t="s">
        <v>44</v>
      </c>
      <c r="Q807" s="1" t="s">
        <v>2073</v>
      </c>
      <c r="R807" s="1" t="s">
        <v>46</v>
      </c>
      <c r="S807" s="7">
        <v>43.176000000000002</v>
      </c>
      <c r="T807" s="1">
        <v>8</v>
      </c>
      <c r="U807" s="9">
        <v>42.52</v>
      </c>
      <c r="V807" s="9">
        <v>345.40800000000002</v>
      </c>
      <c r="W807" s="9">
        <v>340.16</v>
      </c>
      <c r="X807" s="12">
        <v>5.2479999999999905</v>
      </c>
      <c r="Y807" s="10">
        <v>2015</v>
      </c>
    </row>
    <row r="808" spans="1:25">
      <c r="A808" s="1" t="s">
        <v>2072</v>
      </c>
      <c r="B808" s="8">
        <v>42015</v>
      </c>
      <c r="C808" s="11" t="s">
        <v>3381</v>
      </c>
      <c r="D808" s="11" t="s">
        <v>3382</v>
      </c>
      <c r="E808" s="5">
        <v>42196</v>
      </c>
      <c r="F808" s="1" t="s">
        <v>49</v>
      </c>
      <c r="G808" s="1" t="s">
        <v>1081</v>
      </c>
      <c r="H808" s="1" t="s">
        <v>3612</v>
      </c>
      <c r="I808" s="1" t="s">
        <v>3613</v>
      </c>
      <c r="J808" s="1"/>
      <c r="K808" s="1" t="s">
        <v>29</v>
      </c>
      <c r="L808" s="1" t="s">
        <v>30</v>
      </c>
      <c r="M808" s="1" t="s">
        <v>670</v>
      </c>
      <c r="N808" s="1" t="s">
        <v>386</v>
      </c>
      <c r="O808" s="1">
        <v>80219</v>
      </c>
      <c r="P808" s="1" t="s">
        <v>44</v>
      </c>
      <c r="Q808" s="1" t="s">
        <v>2074</v>
      </c>
      <c r="R808" s="1" t="s">
        <v>64</v>
      </c>
      <c r="S808" s="7">
        <v>1983.9680000000001</v>
      </c>
      <c r="T808" s="1">
        <v>8</v>
      </c>
      <c r="U808" s="9">
        <v>1983.61</v>
      </c>
      <c r="V808" s="9">
        <v>15871.744000000001</v>
      </c>
      <c r="W808" s="9">
        <v>15868.88</v>
      </c>
      <c r="X808" s="12">
        <v>2.864000000001397</v>
      </c>
      <c r="Y808" s="10">
        <v>2015</v>
      </c>
    </row>
    <row r="809" spans="1:25">
      <c r="A809" s="1" t="s">
        <v>2075</v>
      </c>
      <c r="B809" s="8">
        <v>42431</v>
      </c>
      <c r="C809" s="11" t="s">
        <v>3429</v>
      </c>
      <c r="D809" s="11" t="s">
        <v>3382</v>
      </c>
      <c r="E809" s="5">
        <v>42492</v>
      </c>
      <c r="F809" s="1" t="s">
        <v>162</v>
      </c>
      <c r="G809" s="1" t="s">
        <v>1482</v>
      </c>
      <c r="H809" s="1" t="s">
        <v>3362</v>
      </c>
      <c r="I809" s="1" t="s">
        <v>3694</v>
      </c>
      <c r="J809" s="1"/>
      <c r="K809" s="1" t="s">
        <v>29</v>
      </c>
      <c r="L809" s="1" t="s">
        <v>30</v>
      </c>
      <c r="M809" s="1" t="s">
        <v>2076</v>
      </c>
      <c r="N809" s="1" t="s">
        <v>119</v>
      </c>
      <c r="O809" s="1">
        <v>68104</v>
      </c>
      <c r="P809" s="1" t="s">
        <v>90</v>
      </c>
      <c r="Q809" s="1" t="s">
        <v>1216</v>
      </c>
      <c r="R809" s="1" t="s">
        <v>35</v>
      </c>
      <c r="S809" s="7">
        <v>28.4</v>
      </c>
      <c r="T809" s="1">
        <v>6</v>
      </c>
      <c r="U809" s="9">
        <v>28.32</v>
      </c>
      <c r="V809" s="9">
        <v>170.39999999999998</v>
      </c>
      <c r="W809" s="9">
        <v>169.92000000000002</v>
      </c>
      <c r="X809" s="12">
        <v>0.47999999999996135</v>
      </c>
      <c r="Y809" s="10">
        <v>2016</v>
      </c>
    </row>
    <row r="810" spans="1:25">
      <c r="A810" s="1" t="s">
        <v>2075</v>
      </c>
      <c r="B810" s="8">
        <v>42431</v>
      </c>
      <c r="C810" s="11" t="s">
        <v>3429</v>
      </c>
      <c r="D810" s="11" t="s">
        <v>3382</v>
      </c>
      <c r="E810" s="5">
        <v>42492</v>
      </c>
      <c r="F810" s="1" t="s">
        <v>162</v>
      </c>
      <c r="G810" s="1" t="s">
        <v>1482</v>
      </c>
      <c r="H810" s="1" t="s">
        <v>3362</v>
      </c>
      <c r="I810" s="1" t="s">
        <v>3694</v>
      </c>
      <c r="J810" s="1"/>
      <c r="K810" s="1" t="s">
        <v>29</v>
      </c>
      <c r="L810" s="1" t="s">
        <v>30</v>
      </c>
      <c r="M810" s="1" t="s">
        <v>2076</v>
      </c>
      <c r="N810" s="1" t="s">
        <v>119</v>
      </c>
      <c r="O810" s="1">
        <v>68104</v>
      </c>
      <c r="P810" s="1" t="s">
        <v>90</v>
      </c>
      <c r="Q810" s="1" t="s">
        <v>2077</v>
      </c>
      <c r="R810" s="1" t="s">
        <v>64</v>
      </c>
      <c r="S810" s="7">
        <v>149.97</v>
      </c>
      <c r="T810" s="1">
        <v>6</v>
      </c>
      <c r="U810" s="9">
        <v>149.22</v>
      </c>
      <c r="V810" s="9">
        <v>899.81999999999994</v>
      </c>
      <c r="W810" s="9">
        <v>895.31999999999994</v>
      </c>
      <c r="X810" s="12">
        <v>4.5</v>
      </c>
      <c r="Y810" s="10">
        <v>2016</v>
      </c>
    </row>
    <row r="811" spans="1:25">
      <c r="A811" s="1" t="s">
        <v>2078</v>
      </c>
      <c r="B811" s="8">
        <v>42290</v>
      </c>
      <c r="C811" s="11" t="s">
        <v>3387</v>
      </c>
      <c r="D811" s="11" t="s">
        <v>3349</v>
      </c>
      <c r="E811" s="5" t="s">
        <v>2079</v>
      </c>
      <c r="F811" s="1" t="s">
        <v>162</v>
      </c>
      <c r="G811" s="1" t="s">
        <v>1607</v>
      </c>
      <c r="H811" s="1" t="s">
        <v>3372</v>
      </c>
      <c r="I811" s="1" t="s">
        <v>3721</v>
      </c>
      <c r="J811" s="1"/>
      <c r="K811" s="1" t="s">
        <v>29</v>
      </c>
      <c r="L811" s="1" t="s">
        <v>30</v>
      </c>
      <c r="M811" s="1" t="s">
        <v>2080</v>
      </c>
      <c r="N811" s="1" t="s">
        <v>81</v>
      </c>
      <c r="O811" s="1">
        <v>98026</v>
      </c>
      <c r="P811" s="1" t="s">
        <v>44</v>
      </c>
      <c r="Q811" s="1" t="s">
        <v>2081</v>
      </c>
      <c r="R811" s="1" t="s">
        <v>46</v>
      </c>
      <c r="S811" s="7">
        <v>11.52</v>
      </c>
      <c r="T811" s="1">
        <v>9</v>
      </c>
      <c r="U811" s="9">
        <v>11.04</v>
      </c>
      <c r="V811" s="9">
        <v>103.67999999999999</v>
      </c>
      <c r="W811" s="9">
        <v>99.359999999999985</v>
      </c>
      <c r="X811" s="12">
        <v>4.3200000000000074</v>
      </c>
      <c r="Y811" s="10">
        <v>2015</v>
      </c>
    </row>
    <row r="812" spans="1:25">
      <c r="A812" s="1" t="s">
        <v>2078</v>
      </c>
      <c r="B812" s="8">
        <v>42290</v>
      </c>
      <c r="C812" s="11" t="s">
        <v>3387</v>
      </c>
      <c r="D812" s="11" t="s">
        <v>3349</v>
      </c>
      <c r="E812" s="5" t="s">
        <v>2079</v>
      </c>
      <c r="F812" s="1" t="s">
        <v>162</v>
      </c>
      <c r="G812" s="1" t="s">
        <v>1607</v>
      </c>
      <c r="H812" s="1" t="s">
        <v>3372</v>
      </c>
      <c r="I812" s="1" t="s">
        <v>3721</v>
      </c>
      <c r="J812" s="1"/>
      <c r="K812" s="1" t="s">
        <v>29</v>
      </c>
      <c r="L812" s="1" t="s">
        <v>30</v>
      </c>
      <c r="M812" s="1" t="s">
        <v>2080</v>
      </c>
      <c r="N812" s="1" t="s">
        <v>81</v>
      </c>
      <c r="O812" s="1">
        <v>98026</v>
      </c>
      <c r="P812" s="1" t="s">
        <v>44</v>
      </c>
      <c r="Q812" s="1" t="s">
        <v>862</v>
      </c>
      <c r="R812" s="1" t="s">
        <v>35</v>
      </c>
      <c r="S812" s="7">
        <v>1298.55</v>
      </c>
      <c r="T812" s="1">
        <v>9</v>
      </c>
      <c r="U812" s="9">
        <v>1297.8800000000001</v>
      </c>
      <c r="V812" s="9">
        <v>11686.949999999999</v>
      </c>
      <c r="W812" s="9">
        <v>11680.920000000002</v>
      </c>
      <c r="X812" s="12">
        <v>6.0299999999970169</v>
      </c>
      <c r="Y812" s="10">
        <v>2015</v>
      </c>
    </row>
    <row r="813" spans="1:25">
      <c r="A813" s="1" t="s">
        <v>2078</v>
      </c>
      <c r="B813" s="8">
        <v>42290</v>
      </c>
      <c r="C813" s="11" t="s">
        <v>3387</v>
      </c>
      <c r="D813" s="11" t="s">
        <v>3349</v>
      </c>
      <c r="E813" s="5" t="s">
        <v>2079</v>
      </c>
      <c r="F813" s="1" t="s">
        <v>162</v>
      </c>
      <c r="G813" s="1" t="s">
        <v>1607</v>
      </c>
      <c r="H813" s="1" t="s">
        <v>3372</v>
      </c>
      <c r="I813" s="1" t="s">
        <v>3721</v>
      </c>
      <c r="J813" s="1"/>
      <c r="K813" s="1" t="s">
        <v>29</v>
      </c>
      <c r="L813" s="1" t="s">
        <v>30</v>
      </c>
      <c r="M813" s="1" t="s">
        <v>2080</v>
      </c>
      <c r="N813" s="1" t="s">
        <v>81</v>
      </c>
      <c r="O813" s="1">
        <v>98026</v>
      </c>
      <c r="P813" s="1" t="s">
        <v>44</v>
      </c>
      <c r="Q813" s="1" t="s">
        <v>2082</v>
      </c>
      <c r="R813" s="1" t="s">
        <v>46</v>
      </c>
      <c r="S813" s="7">
        <v>213.92</v>
      </c>
      <c r="T813" s="1">
        <v>9</v>
      </c>
      <c r="U813" s="9">
        <v>213.11</v>
      </c>
      <c r="V813" s="9">
        <v>1925.28</v>
      </c>
      <c r="W813" s="9">
        <v>1917.9900000000002</v>
      </c>
      <c r="X813" s="12">
        <v>7.2899999999997362</v>
      </c>
      <c r="Y813" s="10">
        <v>2015</v>
      </c>
    </row>
    <row r="814" spans="1:25">
      <c r="A814" s="1" t="s">
        <v>2078</v>
      </c>
      <c r="B814" s="8">
        <v>42290</v>
      </c>
      <c r="C814" s="11" t="s">
        <v>3387</v>
      </c>
      <c r="D814" s="11" t="s">
        <v>3349</v>
      </c>
      <c r="E814" s="5" t="s">
        <v>2079</v>
      </c>
      <c r="F814" s="1" t="s">
        <v>162</v>
      </c>
      <c r="G814" s="1" t="s">
        <v>1607</v>
      </c>
      <c r="H814" s="1" t="s">
        <v>3372</v>
      </c>
      <c r="I814" s="1" t="s">
        <v>3721</v>
      </c>
      <c r="J814" s="1"/>
      <c r="K814" s="1" t="s">
        <v>29</v>
      </c>
      <c r="L814" s="1" t="s">
        <v>30</v>
      </c>
      <c r="M814" s="1" t="s">
        <v>2080</v>
      </c>
      <c r="N814" s="1" t="s">
        <v>81</v>
      </c>
      <c r="O814" s="1">
        <v>98026</v>
      </c>
      <c r="P814" s="1" t="s">
        <v>44</v>
      </c>
      <c r="Q814" s="1" t="s">
        <v>1756</v>
      </c>
      <c r="R814" s="1" t="s">
        <v>64</v>
      </c>
      <c r="S814" s="7">
        <v>25.78</v>
      </c>
      <c r="T814" s="1">
        <v>9</v>
      </c>
      <c r="U814" s="9">
        <v>24.79</v>
      </c>
      <c r="V814" s="9">
        <v>232.02</v>
      </c>
      <c r="W814" s="9">
        <v>223.10999999999999</v>
      </c>
      <c r="X814" s="12">
        <v>8.910000000000025</v>
      </c>
      <c r="Y814" s="10">
        <v>2015</v>
      </c>
    </row>
    <row r="815" spans="1:25">
      <c r="A815" s="1" t="s">
        <v>2083</v>
      </c>
      <c r="B815" s="8">
        <v>43234</v>
      </c>
      <c r="C815" s="11" t="s">
        <v>3363</v>
      </c>
      <c r="D815" s="11" t="s">
        <v>3360</v>
      </c>
      <c r="E815" s="5" t="s">
        <v>2084</v>
      </c>
      <c r="F815" s="1" t="s">
        <v>1050</v>
      </c>
      <c r="G815" s="1" t="s">
        <v>2085</v>
      </c>
      <c r="H815" s="1" t="s">
        <v>3824</v>
      </c>
      <c r="I815" s="1" t="s">
        <v>3809</v>
      </c>
      <c r="J815" s="1"/>
      <c r="K815" s="1" t="s">
        <v>29</v>
      </c>
      <c r="L815" s="1" t="s">
        <v>30</v>
      </c>
      <c r="M815" s="1" t="s">
        <v>2087</v>
      </c>
      <c r="N815" s="1" t="s">
        <v>68</v>
      </c>
      <c r="O815" s="1">
        <v>92704</v>
      </c>
      <c r="P815" s="1" t="s">
        <v>44</v>
      </c>
      <c r="Q815" s="1" t="s">
        <v>2071</v>
      </c>
      <c r="R815" s="1" t="s">
        <v>35</v>
      </c>
      <c r="S815" s="7">
        <v>18.28</v>
      </c>
      <c r="T815" s="1">
        <v>9</v>
      </c>
      <c r="U815" s="9">
        <v>18.079999999999998</v>
      </c>
      <c r="V815" s="9">
        <v>164.52</v>
      </c>
      <c r="W815" s="9">
        <v>162.71999999999997</v>
      </c>
      <c r="X815" s="12">
        <v>1.8000000000000398</v>
      </c>
      <c r="Y815" s="10">
        <v>2018</v>
      </c>
    </row>
    <row r="816" spans="1:25">
      <c r="A816" s="1" t="s">
        <v>2083</v>
      </c>
      <c r="B816" s="8">
        <v>43234</v>
      </c>
      <c r="C816" s="11" t="s">
        <v>3363</v>
      </c>
      <c r="D816" s="11" t="s">
        <v>3360</v>
      </c>
      <c r="E816" s="5" t="s">
        <v>2084</v>
      </c>
      <c r="F816" s="1" t="s">
        <v>1050</v>
      </c>
      <c r="G816" s="1" t="s">
        <v>2085</v>
      </c>
      <c r="H816" s="1" t="s">
        <v>3824</v>
      </c>
      <c r="I816" s="1" t="s">
        <v>3809</v>
      </c>
      <c r="J816" s="1"/>
      <c r="K816" s="1" t="s">
        <v>29</v>
      </c>
      <c r="L816" s="1" t="s">
        <v>30</v>
      </c>
      <c r="M816" s="1" t="s">
        <v>2087</v>
      </c>
      <c r="N816" s="1" t="s">
        <v>68</v>
      </c>
      <c r="O816" s="1">
        <v>92704</v>
      </c>
      <c r="P816" s="1" t="s">
        <v>44</v>
      </c>
      <c r="Q816" s="1" t="s">
        <v>2088</v>
      </c>
      <c r="R816" s="1" t="s">
        <v>64</v>
      </c>
      <c r="S816" s="7">
        <v>1399.93</v>
      </c>
      <c r="T816" s="1">
        <v>9</v>
      </c>
      <c r="U816" s="9">
        <v>1399.32</v>
      </c>
      <c r="V816" s="9">
        <v>12599.37</v>
      </c>
      <c r="W816" s="9">
        <v>12593.88</v>
      </c>
      <c r="X816" s="12">
        <v>5.4900000000016007</v>
      </c>
      <c r="Y816" s="10">
        <v>2018</v>
      </c>
    </row>
    <row r="817" spans="1:25">
      <c r="A817" s="1" t="s">
        <v>2089</v>
      </c>
      <c r="B817" s="8">
        <v>42449</v>
      </c>
      <c r="C817" s="11" t="s">
        <v>3429</v>
      </c>
      <c r="D817" s="11" t="s">
        <v>3382</v>
      </c>
      <c r="E817" s="5" t="s">
        <v>2090</v>
      </c>
      <c r="F817" s="1" t="s">
        <v>162</v>
      </c>
      <c r="G817" s="1" t="s">
        <v>2091</v>
      </c>
      <c r="H817" s="1" t="s">
        <v>3625</v>
      </c>
      <c r="I817" s="1" t="s">
        <v>3825</v>
      </c>
      <c r="J817" s="1"/>
      <c r="K817" s="1" t="s">
        <v>41</v>
      </c>
      <c r="L817" s="1" t="s">
        <v>30</v>
      </c>
      <c r="M817" s="1" t="s">
        <v>2093</v>
      </c>
      <c r="N817" s="1" t="s">
        <v>98</v>
      </c>
      <c r="O817" s="1">
        <v>53209</v>
      </c>
      <c r="P817" s="1" t="s">
        <v>90</v>
      </c>
      <c r="Q817" s="1" t="s">
        <v>635</v>
      </c>
      <c r="R817" s="1" t="s">
        <v>46</v>
      </c>
      <c r="S817" s="7">
        <v>51.84</v>
      </c>
      <c r="T817" s="1">
        <v>5</v>
      </c>
      <c r="U817" s="9">
        <v>51.11</v>
      </c>
      <c r="V817" s="9">
        <v>259.20000000000005</v>
      </c>
      <c r="W817" s="9">
        <v>255.55</v>
      </c>
      <c r="X817" s="12">
        <v>3.6500000000000341</v>
      </c>
      <c r="Y817" s="10">
        <v>2016</v>
      </c>
    </row>
    <row r="818" spans="1:25">
      <c r="A818" s="1" t="s">
        <v>2094</v>
      </c>
      <c r="B818" s="8">
        <v>42993</v>
      </c>
      <c r="C818" s="11" t="s">
        <v>3356</v>
      </c>
      <c r="D818" s="11" t="s">
        <v>3345</v>
      </c>
      <c r="E818" s="5" t="s">
        <v>1765</v>
      </c>
      <c r="F818" s="1" t="s">
        <v>49</v>
      </c>
      <c r="G818" s="1" t="s">
        <v>1440</v>
      </c>
      <c r="H818" s="1" t="s">
        <v>3618</v>
      </c>
      <c r="I818" s="1" t="s">
        <v>3685</v>
      </c>
      <c r="J818" s="1"/>
      <c r="K818" s="1" t="s">
        <v>29</v>
      </c>
      <c r="L818" s="1" t="s">
        <v>30</v>
      </c>
      <c r="M818" s="1" t="s">
        <v>126</v>
      </c>
      <c r="N818" s="1" t="s">
        <v>127</v>
      </c>
      <c r="O818" s="1">
        <v>19140</v>
      </c>
      <c r="P818" s="1" t="s">
        <v>128</v>
      </c>
      <c r="Q818" s="1" t="s">
        <v>2095</v>
      </c>
      <c r="R818" s="1" t="s">
        <v>46</v>
      </c>
      <c r="S818" s="7">
        <v>5.3440000000000003</v>
      </c>
      <c r="T818" s="1">
        <v>1</v>
      </c>
      <c r="U818" s="9">
        <v>4.97</v>
      </c>
      <c r="V818" s="9">
        <v>5.3440000000000003</v>
      </c>
      <c r="W818" s="9">
        <v>4.97</v>
      </c>
      <c r="X818" s="12">
        <v>0.37400000000000055</v>
      </c>
      <c r="Y818" s="10">
        <v>2017</v>
      </c>
    </row>
    <row r="819" spans="1:25">
      <c r="A819" s="1" t="s">
        <v>2096</v>
      </c>
      <c r="B819" s="8">
        <v>42183</v>
      </c>
      <c r="C819" s="11" t="s">
        <v>3403</v>
      </c>
      <c r="D819" s="11" t="s">
        <v>3360</v>
      </c>
      <c r="E819" s="5">
        <v>42042</v>
      </c>
      <c r="F819" s="1" t="s">
        <v>49</v>
      </c>
      <c r="G819" s="1" t="s">
        <v>1552</v>
      </c>
      <c r="H819" s="1" t="s">
        <v>3455</v>
      </c>
      <c r="I819" s="1" t="s">
        <v>3708</v>
      </c>
      <c r="J819" s="1"/>
      <c r="K819" s="1" t="s">
        <v>29</v>
      </c>
      <c r="L819" s="1" t="s">
        <v>30</v>
      </c>
      <c r="M819" s="1" t="s">
        <v>126</v>
      </c>
      <c r="N819" s="1" t="s">
        <v>127</v>
      </c>
      <c r="O819" s="1">
        <v>19140</v>
      </c>
      <c r="P819" s="1" t="s">
        <v>128</v>
      </c>
      <c r="Q819" s="1" t="s">
        <v>343</v>
      </c>
      <c r="R819" s="1" t="s">
        <v>46</v>
      </c>
      <c r="S819" s="7">
        <v>41.472000000000001</v>
      </c>
      <c r="T819" s="1">
        <v>1</v>
      </c>
      <c r="U819" s="9">
        <v>41.33</v>
      </c>
      <c r="V819" s="9">
        <v>41.472000000000001</v>
      </c>
      <c r="W819" s="9">
        <v>41.33</v>
      </c>
      <c r="X819" s="12">
        <v>0.14200000000000301</v>
      </c>
      <c r="Y819" s="10">
        <v>2015</v>
      </c>
    </row>
    <row r="820" spans="1:25">
      <c r="A820" s="1" t="s">
        <v>2096</v>
      </c>
      <c r="B820" s="8">
        <v>42183</v>
      </c>
      <c r="C820" s="11" t="s">
        <v>3403</v>
      </c>
      <c r="D820" s="11" t="s">
        <v>3360</v>
      </c>
      <c r="E820" s="5">
        <v>42042</v>
      </c>
      <c r="F820" s="1" t="s">
        <v>49</v>
      </c>
      <c r="G820" s="1" t="s">
        <v>1552</v>
      </c>
      <c r="H820" s="1" t="s">
        <v>3455</v>
      </c>
      <c r="I820" s="1" t="s">
        <v>3708</v>
      </c>
      <c r="J820" s="1"/>
      <c r="K820" s="1" t="s">
        <v>29</v>
      </c>
      <c r="L820" s="1" t="s">
        <v>30</v>
      </c>
      <c r="M820" s="1" t="s">
        <v>126</v>
      </c>
      <c r="N820" s="1" t="s">
        <v>127</v>
      </c>
      <c r="O820" s="1">
        <v>19140</v>
      </c>
      <c r="P820" s="1" t="s">
        <v>128</v>
      </c>
      <c r="Q820" s="1" t="s">
        <v>2097</v>
      </c>
      <c r="R820" s="1" t="s">
        <v>46</v>
      </c>
      <c r="S820" s="7">
        <v>3.1680000000000001</v>
      </c>
      <c r="T820" s="1">
        <v>1</v>
      </c>
      <c r="U820" s="9">
        <v>2.59</v>
      </c>
      <c r="V820" s="9">
        <v>3.1680000000000001</v>
      </c>
      <c r="W820" s="9">
        <v>2.59</v>
      </c>
      <c r="X820" s="12">
        <v>0.57800000000000029</v>
      </c>
      <c r="Y820" s="10">
        <v>2015</v>
      </c>
    </row>
    <row r="821" spans="1:25">
      <c r="A821" s="1" t="s">
        <v>2096</v>
      </c>
      <c r="B821" s="8">
        <v>42183</v>
      </c>
      <c r="C821" s="11" t="s">
        <v>3403</v>
      </c>
      <c r="D821" s="11" t="s">
        <v>3360</v>
      </c>
      <c r="E821" s="5">
        <v>42042</v>
      </c>
      <c r="F821" s="1" t="s">
        <v>49</v>
      </c>
      <c r="G821" s="1" t="s">
        <v>1552</v>
      </c>
      <c r="H821" s="1" t="s">
        <v>3455</v>
      </c>
      <c r="I821" s="1" t="s">
        <v>3708</v>
      </c>
      <c r="J821" s="1"/>
      <c r="K821" s="1" t="s">
        <v>29</v>
      </c>
      <c r="L821" s="1" t="s">
        <v>30</v>
      </c>
      <c r="M821" s="1" t="s">
        <v>126</v>
      </c>
      <c r="N821" s="1" t="s">
        <v>127</v>
      </c>
      <c r="O821" s="1">
        <v>19140</v>
      </c>
      <c r="P821" s="1" t="s">
        <v>128</v>
      </c>
      <c r="Q821" s="1" t="s">
        <v>2098</v>
      </c>
      <c r="R821" s="1" t="s">
        <v>35</v>
      </c>
      <c r="S821" s="7">
        <v>1228.4649999999999</v>
      </c>
      <c r="T821" s="1">
        <v>1</v>
      </c>
      <c r="U821" s="9">
        <v>1227.98</v>
      </c>
      <c r="V821" s="9">
        <v>1228.4649999999999</v>
      </c>
      <c r="W821" s="9">
        <v>1227.98</v>
      </c>
      <c r="X821" s="12">
        <v>0.48499999999989996</v>
      </c>
      <c r="Y821" s="10">
        <v>2015</v>
      </c>
    </row>
    <row r="822" spans="1:25">
      <c r="A822" s="1" t="s">
        <v>2096</v>
      </c>
      <c r="B822" s="8">
        <v>42183</v>
      </c>
      <c r="C822" s="11" t="s">
        <v>3403</v>
      </c>
      <c r="D822" s="11" t="s">
        <v>3360</v>
      </c>
      <c r="E822" s="5">
        <v>42042</v>
      </c>
      <c r="F822" s="1" t="s">
        <v>49</v>
      </c>
      <c r="G822" s="1" t="s">
        <v>1552</v>
      </c>
      <c r="H822" s="1" t="s">
        <v>3455</v>
      </c>
      <c r="I822" s="1" t="s">
        <v>3708</v>
      </c>
      <c r="J822" s="1"/>
      <c r="K822" s="1" t="s">
        <v>29</v>
      </c>
      <c r="L822" s="1" t="s">
        <v>30</v>
      </c>
      <c r="M822" s="1" t="s">
        <v>126</v>
      </c>
      <c r="N822" s="1" t="s">
        <v>127</v>
      </c>
      <c r="O822" s="1">
        <v>19140</v>
      </c>
      <c r="P822" s="1" t="s">
        <v>128</v>
      </c>
      <c r="Q822" s="1" t="s">
        <v>2099</v>
      </c>
      <c r="R822" s="1" t="s">
        <v>46</v>
      </c>
      <c r="S822" s="7">
        <v>31.085999999999999</v>
      </c>
      <c r="T822" s="1">
        <v>1</v>
      </c>
      <c r="U822" s="9">
        <v>31.06</v>
      </c>
      <c r="V822" s="9">
        <v>31.085999999999999</v>
      </c>
      <c r="W822" s="9">
        <v>31.06</v>
      </c>
      <c r="X822" s="12">
        <v>2.5999999999999801E-2</v>
      </c>
      <c r="Y822" s="10">
        <v>2015</v>
      </c>
    </row>
    <row r="823" spans="1:25">
      <c r="A823" s="1" t="s">
        <v>2096</v>
      </c>
      <c r="B823" s="8">
        <v>42183</v>
      </c>
      <c r="C823" s="11" t="s">
        <v>3403</v>
      </c>
      <c r="D823" s="11" t="s">
        <v>3360</v>
      </c>
      <c r="E823" s="5">
        <v>42042</v>
      </c>
      <c r="F823" s="1" t="s">
        <v>49</v>
      </c>
      <c r="G823" s="1" t="s">
        <v>1552</v>
      </c>
      <c r="H823" s="1" t="s">
        <v>3455</v>
      </c>
      <c r="I823" s="1" t="s">
        <v>3708</v>
      </c>
      <c r="J823" s="1"/>
      <c r="K823" s="1" t="s">
        <v>29</v>
      </c>
      <c r="L823" s="1" t="s">
        <v>30</v>
      </c>
      <c r="M823" s="1" t="s">
        <v>126</v>
      </c>
      <c r="N823" s="1" t="s">
        <v>127</v>
      </c>
      <c r="O823" s="1">
        <v>19140</v>
      </c>
      <c r="P823" s="1" t="s">
        <v>128</v>
      </c>
      <c r="Q823" s="1" t="s">
        <v>2100</v>
      </c>
      <c r="R823" s="1" t="s">
        <v>46</v>
      </c>
      <c r="S823" s="7">
        <v>335.52</v>
      </c>
      <c r="T823" s="1">
        <v>1</v>
      </c>
      <c r="U823" s="9">
        <v>335.44</v>
      </c>
      <c r="V823" s="9">
        <v>335.52</v>
      </c>
      <c r="W823" s="9">
        <v>335.44</v>
      </c>
      <c r="X823" s="12">
        <v>7.9999999999984084E-2</v>
      </c>
      <c r="Y823" s="10">
        <v>2015</v>
      </c>
    </row>
    <row r="824" spans="1:25">
      <c r="A824" s="1" t="s">
        <v>2101</v>
      </c>
      <c r="B824" s="8">
        <v>43271</v>
      </c>
      <c r="C824" s="11" t="s">
        <v>3403</v>
      </c>
      <c r="D824" s="11" t="s">
        <v>3360</v>
      </c>
      <c r="E824" s="5" t="s">
        <v>2102</v>
      </c>
      <c r="F824" s="1" t="s">
        <v>49</v>
      </c>
      <c r="G824" s="1" t="s">
        <v>2103</v>
      </c>
      <c r="H824" s="1" t="s">
        <v>3826</v>
      </c>
      <c r="I824" s="1" t="s">
        <v>3827</v>
      </c>
      <c r="J824" s="1"/>
      <c r="K824" s="1" t="s">
        <v>29</v>
      </c>
      <c r="L824" s="1" t="s">
        <v>30</v>
      </c>
      <c r="M824" s="1" t="s">
        <v>891</v>
      </c>
      <c r="N824" s="1" t="s">
        <v>653</v>
      </c>
      <c r="O824" s="1">
        <v>7109</v>
      </c>
      <c r="P824" s="1" t="s">
        <v>128</v>
      </c>
      <c r="Q824" s="1" t="s">
        <v>2105</v>
      </c>
      <c r="R824" s="1" t="s">
        <v>64</v>
      </c>
      <c r="S824" s="7">
        <v>239.97</v>
      </c>
      <c r="T824" s="1">
        <v>7</v>
      </c>
      <c r="U824" s="9">
        <v>239.15</v>
      </c>
      <c r="V824" s="9">
        <v>1679.79</v>
      </c>
      <c r="W824" s="9">
        <v>1674.05</v>
      </c>
      <c r="X824" s="12">
        <v>5.7400000000000091</v>
      </c>
      <c r="Y824" s="10">
        <v>2018</v>
      </c>
    </row>
    <row r="825" spans="1:25">
      <c r="A825" s="1" t="s">
        <v>2101</v>
      </c>
      <c r="B825" s="8">
        <v>43271</v>
      </c>
      <c r="C825" s="11" t="s">
        <v>3403</v>
      </c>
      <c r="D825" s="11" t="s">
        <v>3360</v>
      </c>
      <c r="E825" s="5" t="s">
        <v>2102</v>
      </c>
      <c r="F825" s="1" t="s">
        <v>49</v>
      </c>
      <c r="G825" s="1" t="s">
        <v>2103</v>
      </c>
      <c r="H825" s="1" t="s">
        <v>3826</v>
      </c>
      <c r="I825" s="1" t="s">
        <v>3827</v>
      </c>
      <c r="J825" s="1"/>
      <c r="K825" s="1" t="s">
        <v>29</v>
      </c>
      <c r="L825" s="1" t="s">
        <v>30</v>
      </c>
      <c r="M825" s="1" t="s">
        <v>891</v>
      </c>
      <c r="N825" s="1" t="s">
        <v>653</v>
      </c>
      <c r="O825" s="1">
        <v>7109</v>
      </c>
      <c r="P825" s="1" t="s">
        <v>128</v>
      </c>
      <c r="Q825" s="1" t="s">
        <v>1933</v>
      </c>
      <c r="R825" s="1" t="s">
        <v>46</v>
      </c>
      <c r="S825" s="7">
        <v>9.82</v>
      </c>
      <c r="T825" s="1">
        <v>7</v>
      </c>
      <c r="U825" s="9">
        <v>9.82</v>
      </c>
      <c r="V825" s="9">
        <v>68.740000000000009</v>
      </c>
      <c r="W825" s="9">
        <v>68.740000000000009</v>
      </c>
      <c r="X825" s="12">
        <v>0</v>
      </c>
      <c r="Y825" s="10">
        <v>2018</v>
      </c>
    </row>
    <row r="826" spans="1:25">
      <c r="A826" s="1" t="s">
        <v>2106</v>
      </c>
      <c r="B826" s="8">
        <v>42252</v>
      </c>
      <c r="C826" s="11" t="s">
        <v>3356</v>
      </c>
      <c r="D826" s="11" t="s">
        <v>3345</v>
      </c>
      <c r="E826" s="5" t="s">
        <v>101</v>
      </c>
      <c r="F826" s="1" t="s">
        <v>49</v>
      </c>
      <c r="G826" s="1" t="s">
        <v>2107</v>
      </c>
      <c r="H826" s="1" t="s">
        <v>3402</v>
      </c>
      <c r="I826" s="1" t="s">
        <v>3828</v>
      </c>
      <c r="J826" s="1"/>
      <c r="K826" s="1" t="s">
        <v>29</v>
      </c>
      <c r="L826" s="1" t="s">
        <v>30</v>
      </c>
      <c r="M826" s="1" t="s">
        <v>110</v>
      </c>
      <c r="N826" s="1" t="s">
        <v>68</v>
      </c>
      <c r="O826" s="1">
        <v>94110</v>
      </c>
      <c r="P826" s="1" t="s">
        <v>44</v>
      </c>
      <c r="Q826" s="1" t="s">
        <v>2109</v>
      </c>
      <c r="R826" s="1" t="s">
        <v>64</v>
      </c>
      <c r="S826" s="7">
        <v>67.8</v>
      </c>
      <c r="T826" s="1">
        <v>9</v>
      </c>
      <c r="U826" s="9">
        <v>66.819999999999993</v>
      </c>
      <c r="V826" s="9">
        <v>610.19999999999993</v>
      </c>
      <c r="W826" s="9">
        <v>601.37999999999988</v>
      </c>
      <c r="X826" s="12">
        <v>8.82000000000005</v>
      </c>
      <c r="Y826" s="10">
        <v>2015</v>
      </c>
    </row>
    <row r="827" spans="1:25">
      <c r="A827" s="1" t="s">
        <v>2106</v>
      </c>
      <c r="B827" s="8">
        <v>42252</v>
      </c>
      <c r="C827" s="11" t="s">
        <v>3356</v>
      </c>
      <c r="D827" s="11" t="s">
        <v>3345</v>
      </c>
      <c r="E827" s="5" t="s">
        <v>101</v>
      </c>
      <c r="F827" s="1" t="s">
        <v>49</v>
      </c>
      <c r="G827" s="1" t="s">
        <v>2107</v>
      </c>
      <c r="H827" s="1" t="s">
        <v>3402</v>
      </c>
      <c r="I827" s="1" t="s">
        <v>3828</v>
      </c>
      <c r="J827" s="1"/>
      <c r="K827" s="1" t="s">
        <v>29</v>
      </c>
      <c r="L827" s="1" t="s">
        <v>30</v>
      </c>
      <c r="M827" s="1" t="s">
        <v>110</v>
      </c>
      <c r="N827" s="1" t="s">
        <v>68</v>
      </c>
      <c r="O827" s="1">
        <v>94110</v>
      </c>
      <c r="P827" s="1" t="s">
        <v>44</v>
      </c>
      <c r="Q827" s="1" t="s">
        <v>709</v>
      </c>
      <c r="R827" s="1" t="s">
        <v>64</v>
      </c>
      <c r="S827" s="7">
        <v>167.97</v>
      </c>
      <c r="T827" s="1">
        <v>9</v>
      </c>
      <c r="U827" s="9">
        <v>167.06</v>
      </c>
      <c r="V827" s="9">
        <v>1511.73</v>
      </c>
      <c r="W827" s="9">
        <v>1503.54</v>
      </c>
      <c r="X827" s="12">
        <v>8.1900000000000546</v>
      </c>
      <c r="Y827" s="10">
        <v>2015</v>
      </c>
    </row>
    <row r="828" spans="1:25">
      <c r="A828" s="1" t="s">
        <v>2110</v>
      </c>
      <c r="B828" s="8">
        <v>43333</v>
      </c>
      <c r="C828" s="11" t="s">
        <v>3344</v>
      </c>
      <c r="D828" s="11" t="s">
        <v>3345</v>
      </c>
      <c r="E828" s="5" t="s">
        <v>2111</v>
      </c>
      <c r="F828" s="1" t="s">
        <v>49</v>
      </c>
      <c r="G828" s="1" t="s">
        <v>1530</v>
      </c>
      <c r="H828" s="1" t="s">
        <v>3464</v>
      </c>
      <c r="I828" s="1" t="s">
        <v>3668</v>
      </c>
      <c r="J828" s="1"/>
      <c r="K828" s="1" t="s">
        <v>29</v>
      </c>
      <c r="L828" s="1" t="s">
        <v>30</v>
      </c>
      <c r="M828" s="1" t="s">
        <v>765</v>
      </c>
      <c r="N828" s="1" t="s">
        <v>201</v>
      </c>
      <c r="O828" s="1">
        <v>55044</v>
      </c>
      <c r="P828" s="1" t="s">
        <v>90</v>
      </c>
      <c r="Q828" s="1" t="s">
        <v>2112</v>
      </c>
      <c r="R828" s="1" t="s">
        <v>46</v>
      </c>
      <c r="S828" s="7">
        <v>35</v>
      </c>
      <c r="T828" s="1">
        <v>5</v>
      </c>
      <c r="U828" s="9">
        <v>34.119999999999997</v>
      </c>
      <c r="V828" s="9">
        <v>175</v>
      </c>
      <c r="W828" s="9">
        <v>170.6</v>
      </c>
      <c r="X828" s="12">
        <v>4.4000000000000057</v>
      </c>
      <c r="Y828" s="10">
        <v>2018</v>
      </c>
    </row>
    <row r="829" spans="1:25">
      <c r="A829" s="1" t="s">
        <v>2110</v>
      </c>
      <c r="B829" s="8">
        <v>43333</v>
      </c>
      <c r="C829" s="11" t="s">
        <v>3344</v>
      </c>
      <c r="D829" s="11" t="s">
        <v>3345</v>
      </c>
      <c r="E829" s="5" t="s">
        <v>2111</v>
      </c>
      <c r="F829" s="1" t="s">
        <v>49</v>
      </c>
      <c r="G829" s="1" t="s">
        <v>1530</v>
      </c>
      <c r="H829" s="1" t="s">
        <v>3464</v>
      </c>
      <c r="I829" s="1" t="s">
        <v>3668</v>
      </c>
      <c r="J829" s="1"/>
      <c r="K829" s="1" t="s">
        <v>29</v>
      </c>
      <c r="L829" s="1" t="s">
        <v>30</v>
      </c>
      <c r="M829" s="1" t="s">
        <v>765</v>
      </c>
      <c r="N829" s="1" t="s">
        <v>201</v>
      </c>
      <c r="O829" s="1">
        <v>55044</v>
      </c>
      <c r="P829" s="1" t="s">
        <v>90</v>
      </c>
      <c r="Q829" s="1" t="s">
        <v>2113</v>
      </c>
      <c r="R829" s="1" t="s">
        <v>46</v>
      </c>
      <c r="S829" s="7">
        <v>37.24</v>
      </c>
      <c r="T829" s="1">
        <v>5</v>
      </c>
      <c r="U829" s="9">
        <v>37.15</v>
      </c>
      <c r="V829" s="9">
        <v>186.20000000000002</v>
      </c>
      <c r="W829" s="9">
        <v>185.75</v>
      </c>
      <c r="X829" s="12">
        <v>0.45000000000001705</v>
      </c>
      <c r="Y829" s="10">
        <v>2018</v>
      </c>
    </row>
    <row r="830" spans="1:25">
      <c r="A830" s="1" t="s">
        <v>2110</v>
      </c>
      <c r="B830" s="8">
        <v>43333</v>
      </c>
      <c r="C830" s="11" t="s">
        <v>3344</v>
      </c>
      <c r="D830" s="11" t="s">
        <v>3345</v>
      </c>
      <c r="E830" s="5" t="s">
        <v>2111</v>
      </c>
      <c r="F830" s="1" t="s">
        <v>49</v>
      </c>
      <c r="G830" s="1" t="s">
        <v>1530</v>
      </c>
      <c r="H830" s="1" t="s">
        <v>3464</v>
      </c>
      <c r="I830" s="1" t="s">
        <v>3668</v>
      </c>
      <c r="J830" s="1"/>
      <c r="K830" s="1" t="s">
        <v>29</v>
      </c>
      <c r="L830" s="1" t="s">
        <v>30</v>
      </c>
      <c r="M830" s="1" t="s">
        <v>765</v>
      </c>
      <c r="N830" s="1" t="s">
        <v>201</v>
      </c>
      <c r="O830" s="1">
        <v>55044</v>
      </c>
      <c r="P830" s="1" t="s">
        <v>90</v>
      </c>
      <c r="Q830" s="1" t="s">
        <v>2114</v>
      </c>
      <c r="R830" s="1" t="s">
        <v>46</v>
      </c>
      <c r="S830" s="7">
        <v>15.28</v>
      </c>
      <c r="T830" s="1">
        <v>5</v>
      </c>
      <c r="U830" s="9">
        <v>14.83</v>
      </c>
      <c r="V830" s="9">
        <v>76.399999999999991</v>
      </c>
      <c r="W830" s="9">
        <v>74.150000000000006</v>
      </c>
      <c r="X830" s="12">
        <v>2.2499999999999858</v>
      </c>
      <c r="Y830" s="10">
        <v>2018</v>
      </c>
    </row>
    <row r="831" spans="1:25">
      <c r="A831" s="1" t="s">
        <v>2115</v>
      </c>
      <c r="B831" s="8">
        <v>43267</v>
      </c>
      <c r="C831" s="11" t="s">
        <v>3403</v>
      </c>
      <c r="D831" s="11" t="s">
        <v>3360</v>
      </c>
      <c r="E831" s="5" t="s">
        <v>2116</v>
      </c>
      <c r="F831" s="1" t="s">
        <v>26</v>
      </c>
      <c r="G831" s="1" t="s">
        <v>284</v>
      </c>
      <c r="H831" s="1" t="s">
        <v>3422</v>
      </c>
      <c r="I831" s="1" t="s">
        <v>3423</v>
      </c>
      <c r="J831" s="1"/>
      <c r="K831" s="1" t="s">
        <v>29</v>
      </c>
      <c r="L831" s="1" t="s">
        <v>30</v>
      </c>
      <c r="M831" s="1" t="s">
        <v>2117</v>
      </c>
      <c r="N831" s="1" t="s">
        <v>32</v>
      </c>
      <c r="O831" s="1">
        <v>41042</v>
      </c>
      <c r="P831" s="1" t="s">
        <v>33</v>
      </c>
      <c r="Q831" s="1" t="s">
        <v>2118</v>
      </c>
      <c r="R831" s="1" t="s">
        <v>35</v>
      </c>
      <c r="S831" s="7">
        <v>301.95999999999998</v>
      </c>
      <c r="T831" s="1">
        <v>4</v>
      </c>
      <c r="U831" s="9">
        <v>301.63</v>
      </c>
      <c r="V831" s="9">
        <v>1207.8399999999999</v>
      </c>
      <c r="W831" s="9">
        <v>1206.52</v>
      </c>
      <c r="X831" s="12">
        <v>1.3199999999999363</v>
      </c>
      <c r="Y831" s="10">
        <v>2018</v>
      </c>
    </row>
    <row r="832" spans="1:25">
      <c r="A832" s="1" t="s">
        <v>2115</v>
      </c>
      <c r="B832" s="8">
        <v>43267</v>
      </c>
      <c r="C832" s="11" t="s">
        <v>3403</v>
      </c>
      <c r="D832" s="11" t="s">
        <v>3360</v>
      </c>
      <c r="E832" s="5" t="s">
        <v>2116</v>
      </c>
      <c r="F832" s="1" t="s">
        <v>26</v>
      </c>
      <c r="G832" s="1" t="s">
        <v>284</v>
      </c>
      <c r="H832" s="1" t="s">
        <v>3422</v>
      </c>
      <c r="I832" s="1" t="s">
        <v>3423</v>
      </c>
      <c r="J832" s="1"/>
      <c r="K832" s="1" t="s">
        <v>29</v>
      </c>
      <c r="L832" s="1" t="s">
        <v>30</v>
      </c>
      <c r="M832" s="1" t="s">
        <v>2117</v>
      </c>
      <c r="N832" s="1" t="s">
        <v>32</v>
      </c>
      <c r="O832" s="1">
        <v>41042</v>
      </c>
      <c r="P832" s="1" t="s">
        <v>33</v>
      </c>
      <c r="Q832" s="1" t="s">
        <v>2119</v>
      </c>
      <c r="R832" s="1" t="s">
        <v>46</v>
      </c>
      <c r="S832" s="7">
        <v>180.66</v>
      </c>
      <c r="T832" s="1">
        <v>4</v>
      </c>
      <c r="U832" s="9">
        <v>180.35</v>
      </c>
      <c r="V832" s="9">
        <v>722.64</v>
      </c>
      <c r="W832" s="9">
        <v>721.4</v>
      </c>
      <c r="X832" s="12">
        <v>1.2400000000000091</v>
      </c>
      <c r="Y832" s="10">
        <v>2018</v>
      </c>
    </row>
    <row r="833" spans="1:25">
      <c r="A833" s="1" t="s">
        <v>2115</v>
      </c>
      <c r="B833" s="8">
        <v>43267</v>
      </c>
      <c r="C833" s="11" t="s">
        <v>3403</v>
      </c>
      <c r="D833" s="11" t="s">
        <v>3360</v>
      </c>
      <c r="E833" s="5" t="s">
        <v>2116</v>
      </c>
      <c r="F833" s="1" t="s">
        <v>26</v>
      </c>
      <c r="G833" s="1" t="s">
        <v>284</v>
      </c>
      <c r="H833" s="1" t="s">
        <v>3422</v>
      </c>
      <c r="I833" s="1" t="s">
        <v>3423</v>
      </c>
      <c r="J833" s="1"/>
      <c r="K833" s="1" t="s">
        <v>29</v>
      </c>
      <c r="L833" s="1" t="s">
        <v>30</v>
      </c>
      <c r="M833" s="1" t="s">
        <v>2117</v>
      </c>
      <c r="N833" s="1" t="s">
        <v>32</v>
      </c>
      <c r="O833" s="1">
        <v>41042</v>
      </c>
      <c r="P833" s="1" t="s">
        <v>33</v>
      </c>
      <c r="Q833" s="1" t="s">
        <v>2120</v>
      </c>
      <c r="R833" s="1" t="s">
        <v>64</v>
      </c>
      <c r="S833" s="7">
        <v>191.98</v>
      </c>
      <c r="T833" s="1">
        <v>4</v>
      </c>
      <c r="U833" s="9">
        <v>191.97</v>
      </c>
      <c r="V833" s="9">
        <v>767.92</v>
      </c>
      <c r="W833" s="9">
        <v>767.88</v>
      </c>
      <c r="X833" s="12">
        <v>3.999999999996362E-2</v>
      </c>
      <c r="Y833" s="10">
        <v>2018</v>
      </c>
    </row>
    <row r="834" spans="1:25">
      <c r="A834" s="1" t="s">
        <v>2115</v>
      </c>
      <c r="B834" s="8">
        <v>43267</v>
      </c>
      <c r="C834" s="11" t="s">
        <v>3403</v>
      </c>
      <c r="D834" s="11" t="s">
        <v>3360</v>
      </c>
      <c r="E834" s="5" t="s">
        <v>2116</v>
      </c>
      <c r="F834" s="1" t="s">
        <v>26</v>
      </c>
      <c r="G834" s="1" t="s">
        <v>284</v>
      </c>
      <c r="H834" s="1" t="s">
        <v>3422</v>
      </c>
      <c r="I834" s="1" t="s">
        <v>3423</v>
      </c>
      <c r="J834" s="1"/>
      <c r="K834" s="1" t="s">
        <v>29</v>
      </c>
      <c r="L834" s="1" t="s">
        <v>30</v>
      </c>
      <c r="M834" s="1" t="s">
        <v>2117</v>
      </c>
      <c r="N834" s="1" t="s">
        <v>32</v>
      </c>
      <c r="O834" s="1">
        <v>41042</v>
      </c>
      <c r="P834" s="1" t="s">
        <v>33</v>
      </c>
      <c r="Q834" s="1" t="s">
        <v>2121</v>
      </c>
      <c r="R834" s="1" t="s">
        <v>64</v>
      </c>
      <c r="S834" s="7">
        <v>65.989999999999995</v>
      </c>
      <c r="T834" s="1">
        <v>4</v>
      </c>
      <c r="U834" s="9">
        <v>65.98</v>
      </c>
      <c r="V834" s="9">
        <v>263.95999999999998</v>
      </c>
      <c r="W834" s="9">
        <v>263.92</v>
      </c>
      <c r="X834" s="12">
        <v>3.999999999996362E-2</v>
      </c>
      <c r="Y834" s="10">
        <v>2018</v>
      </c>
    </row>
    <row r="835" spans="1:25">
      <c r="A835" s="1" t="s">
        <v>2122</v>
      </c>
      <c r="B835" s="8">
        <v>42939</v>
      </c>
      <c r="C835" s="11" t="s">
        <v>3376</v>
      </c>
      <c r="D835" s="11" t="s">
        <v>3345</v>
      </c>
      <c r="E835" s="5" t="s">
        <v>2123</v>
      </c>
      <c r="F835" s="1" t="s">
        <v>49</v>
      </c>
      <c r="G835" s="1" t="s">
        <v>581</v>
      </c>
      <c r="H835" s="1" t="s">
        <v>3505</v>
      </c>
      <c r="I835" s="1" t="s">
        <v>3506</v>
      </c>
      <c r="J835" s="1"/>
      <c r="K835" s="1" t="s">
        <v>41</v>
      </c>
      <c r="L835" s="1" t="s">
        <v>30</v>
      </c>
      <c r="M835" s="1" t="s">
        <v>743</v>
      </c>
      <c r="N835" s="1" t="s">
        <v>194</v>
      </c>
      <c r="O835" s="1">
        <v>33614</v>
      </c>
      <c r="P835" s="1" t="s">
        <v>33</v>
      </c>
      <c r="Q835" s="1" t="s">
        <v>2124</v>
      </c>
      <c r="R835" s="1" t="s">
        <v>46</v>
      </c>
      <c r="S835" s="7">
        <v>35.216000000000001</v>
      </c>
      <c r="T835" s="1">
        <v>3</v>
      </c>
      <c r="U835" s="9">
        <v>34.32</v>
      </c>
      <c r="V835" s="9">
        <v>105.648</v>
      </c>
      <c r="W835" s="9">
        <v>102.96000000000001</v>
      </c>
      <c r="X835" s="12">
        <v>2.6879999999999882</v>
      </c>
      <c r="Y835" s="10">
        <v>2017</v>
      </c>
    </row>
    <row r="836" spans="1:25">
      <c r="A836" s="1" t="s">
        <v>2122</v>
      </c>
      <c r="B836" s="8">
        <v>42939</v>
      </c>
      <c r="C836" s="11" t="s">
        <v>3376</v>
      </c>
      <c r="D836" s="11" t="s">
        <v>3345</v>
      </c>
      <c r="E836" s="5" t="s">
        <v>2123</v>
      </c>
      <c r="F836" s="1" t="s">
        <v>49</v>
      </c>
      <c r="G836" s="1" t="s">
        <v>581</v>
      </c>
      <c r="H836" s="1" t="s">
        <v>3505</v>
      </c>
      <c r="I836" s="1" t="s">
        <v>3506</v>
      </c>
      <c r="J836" s="1"/>
      <c r="K836" s="1" t="s">
        <v>41</v>
      </c>
      <c r="L836" s="1" t="s">
        <v>30</v>
      </c>
      <c r="M836" s="1" t="s">
        <v>743</v>
      </c>
      <c r="N836" s="1" t="s">
        <v>194</v>
      </c>
      <c r="O836" s="1">
        <v>33614</v>
      </c>
      <c r="P836" s="1" t="s">
        <v>33</v>
      </c>
      <c r="Q836" s="1" t="s">
        <v>2125</v>
      </c>
      <c r="R836" s="1" t="s">
        <v>46</v>
      </c>
      <c r="S836" s="7">
        <v>23.696000000000002</v>
      </c>
      <c r="T836" s="1">
        <v>3</v>
      </c>
      <c r="U836" s="9">
        <v>23.08</v>
      </c>
      <c r="V836" s="9">
        <v>71.088000000000008</v>
      </c>
      <c r="W836" s="9">
        <v>69.239999999999995</v>
      </c>
      <c r="X836" s="12">
        <v>1.8480000000000132</v>
      </c>
      <c r="Y836" s="10">
        <v>2017</v>
      </c>
    </row>
    <row r="837" spans="1:25">
      <c r="A837" s="1" t="s">
        <v>2122</v>
      </c>
      <c r="B837" s="8">
        <v>42939</v>
      </c>
      <c r="C837" s="11" t="s">
        <v>3376</v>
      </c>
      <c r="D837" s="11" t="s">
        <v>3345</v>
      </c>
      <c r="E837" s="5" t="s">
        <v>2123</v>
      </c>
      <c r="F837" s="1" t="s">
        <v>49</v>
      </c>
      <c r="G837" s="1" t="s">
        <v>581</v>
      </c>
      <c r="H837" s="1" t="s">
        <v>3505</v>
      </c>
      <c r="I837" s="1" t="s">
        <v>3506</v>
      </c>
      <c r="J837" s="1"/>
      <c r="K837" s="1" t="s">
        <v>41</v>
      </c>
      <c r="L837" s="1" t="s">
        <v>30</v>
      </c>
      <c r="M837" s="1" t="s">
        <v>743</v>
      </c>
      <c r="N837" s="1" t="s">
        <v>194</v>
      </c>
      <c r="O837" s="1">
        <v>33614</v>
      </c>
      <c r="P837" s="1" t="s">
        <v>33</v>
      </c>
      <c r="Q837" s="1" t="s">
        <v>2126</v>
      </c>
      <c r="R837" s="1" t="s">
        <v>64</v>
      </c>
      <c r="S837" s="7">
        <v>265.47500000000002</v>
      </c>
      <c r="T837" s="1">
        <v>3</v>
      </c>
      <c r="U837" s="9">
        <v>265.14999999999998</v>
      </c>
      <c r="V837" s="9">
        <v>796.42500000000007</v>
      </c>
      <c r="W837" s="9">
        <v>795.44999999999993</v>
      </c>
      <c r="X837" s="12">
        <v>0.97500000000013642</v>
      </c>
      <c r="Y837" s="10">
        <v>2017</v>
      </c>
    </row>
    <row r="838" spans="1:25">
      <c r="A838" s="1" t="s">
        <v>2127</v>
      </c>
      <c r="B838" s="8">
        <v>42225</v>
      </c>
      <c r="C838" s="11" t="s">
        <v>3344</v>
      </c>
      <c r="D838" s="11" t="s">
        <v>3345</v>
      </c>
      <c r="E838" s="5" t="s">
        <v>1219</v>
      </c>
      <c r="F838" s="1" t="s">
        <v>26</v>
      </c>
      <c r="G838" s="1" t="s">
        <v>1977</v>
      </c>
      <c r="H838" s="1" t="s">
        <v>3805</v>
      </c>
      <c r="I838" s="1" t="s">
        <v>3806</v>
      </c>
      <c r="J838" s="1"/>
      <c r="K838" s="1" t="s">
        <v>29</v>
      </c>
      <c r="L838" s="1" t="s">
        <v>30</v>
      </c>
      <c r="M838" s="1" t="s">
        <v>1801</v>
      </c>
      <c r="N838" s="1" t="s">
        <v>89</v>
      </c>
      <c r="O838" s="1">
        <v>75701</v>
      </c>
      <c r="P838" s="1" t="s">
        <v>90</v>
      </c>
      <c r="Q838" s="1" t="s">
        <v>2128</v>
      </c>
      <c r="R838" s="1" t="s">
        <v>46</v>
      </c>
      <c r="S838" s="7">
        <v>51.183999999999997</v>
      </c>
      <c r="T838" s="1">
        <v>7</v>
      </c>
      <c r="U838" s="9">
        <v>51.02</v>
      </c>
      <c r="V838" s="9">
        <v>358.28800000000001</v>
      </c>
      <c r="W838" s="9">
        <v>357.14000000000004</v>
      </c>
      <c r="X838" s="12">
        <v>1.1479999999999677</v>
      </c>
      <c r="Y838" s="10">
        <v>2015</v>
      </c>
    </row>
    <row r="839" spans="1:25">
      <c r="A839" s="1" t="s">
        <v>2129</v>
      </c>
      <c r="B839" s="8">
        <v>43201</v>
      </c>
      <c r="C839" s="11" t="s">
        <v>3359</v>
      </c>
      <c r="D839" s="11" t="s">
        <v>3360</v>
      </c>
      <c r="E839" s="5">
        <v>43415</v>
      </c>
      <c r="F839" s="1" t="s">
        <v>49</v>
      </c>
      <c r="G839" s="1" t="s">
        <v>2130</v>
      </c>
      <c r="H839" s="1" t="s">
        <v>3829</v>
      </c>
      <c r="I839" s="1" t="s">
        <v>3830</v>
      </c>
      <c r="J839" s="1"/>
      <c r="K839" s="1" t="s">
        <v>87</v>
      </c>
      <c r="L839" s="1" t="s">
        <v>30</v>
      </c>
      <c r="M839" s="1" t="s">
        <v>325</v>
      </c>
      <c r="N839" s="1" t="s">
        <v>287</v>
      </c>
      <c r="O839" s="1">
        <v>38401</v>
      </c>
      <c r="P839" s="1" t="s">
        <v>33</v>
      </c>
      <c r="Q839" s="1" t="s">
        <v>2132</v>
      </c>
      <c r="R839" s="1" t="s">
        <v>46</v>
      </c>
      <c r="S839" s="7">
        <v>9.6639999999999997</v>
      </c>
      <c r="T839" s="1">
        <v>3</v>
      </c>
      <c r="U839" s="9">
        <v>9.3699999999999992</v>
      </c>
      <c r="V839" s="9">
        <v>28.991999999999997</v>
      </c>
      <c r="W839" s="9">
        <v>28.11</v>
      </c>
      <c r="X839" s="12">
        <v>0.8819999999999979</v>
      </c>
      <c r="Y839" s="10">
        <v>2018</v>
      </c>
    </row>
    <row r="840" spans="1:25">
      <c r="A840" s="1" t="s">
        <v>2133</v>
      </c>
      <c r="B840" s="8">
        <v>42919</v>
      </c>
      <c r="C840" s="11" t="s">
        <v>3376</v>
      </c>
      <c r="D840" s="11" t="s">
        <v>3345</v>
      </c>
      <c r="E840" s="5">
        <v>43072</v>
      </c>
      <c r="F840" s="1" t="s">
        <v>49</v>
      </c>
      <c r="G840" s="1" t="s">
        <v>1281</v>
      </c>
      <c r="H840" s="1" t="s">
        <v>3655</v>
      </c>
      <c r="I840" s="1" t="s">
        <v>3506</v>
      </c>
      <c r="J840" s="1"/>
      <c r="K840" s="1" t="s">
        <v>41</v>
      </c>
      <c r="L840" s="1" t="s">
        <v>30</v>
      </c>
      <c r="M840" s="1" t="s">
        <v>88</v>
      </c>
      <c r="N840" s="1" t="s">
        <v>89</v>
      </c>
      <c r="O840" s="1">
        <v>76106</v>
      </c>
      <c r="P840" s="1" t="s">
        <v>90</v>
      </c>
      <c r="Q840" s="1" t="s">
        <v>1278</v>
      </c>
      <c r="R840" s="1" t="s">
        <v>64</v>
      </c>
      <c r="S840" s="7">
        <v>21.071999999999999</v>
      </c>
      <c r="T840" s="1">
        <v>7</v>
      </c>
      <c r="U840" s="9">
        <v>20.89</v>
      </c>
      <c r="V840" s="9">
        <v>147.50399999999999</v>
      </c>
      <c r="W840" s="9">
        <v>146.23000000000002</v>
      </c>
      <c r="X840" s="12">
        <v>1.2739999999999725</v>
      </c>
      <c r="Y840" s="10">
        <v>2017</v>
      </c>
    </row>
    <row r="841" spans="1:25">
      <c r="A841" s="1" t="s">
        <v>2134</v>
      </c>
      <c r="B841" s="8">
        <v>42694</v>
      </c>
      <c r="C841" s="11" t="s">
        <v>3353</v>
      </c>
      <c r="D841" s="11" t="s">
        <v>3349</v>
      </c>
      <c r="E841" s="5" t="s">
        <v>2135</v>
      </c>
      <c r="F841" s="1" t="s">
        <v>49</v>
      </c>
      <c r="G841" s="1" t="s">
        <v>2136</v>
      </c>
      <c r="H841" s="1" t="s">
        <v>3687</v>
      </c>
      <c r="I841" s="1" t="s">
        <v>3831</v>
      </c>
      <c r="J841" s="1"/>
      <c r="K841" s="1" t="s">
        <v>41</v>
      </c>
      <c r="L841" s="1" t="s">
        <v>30</v>
      </c>
      <c r="M841" s="1" t="s">
        <v>233</v>
      </c>
      <c r="N841" s="1" t="s">
        <v>234</v>
      </c>
      <c r="O841" s="1">
        <v>10035</v>
      </c>
      <c r="P841" s="1" t="s">
        <v>128</v>
      </c>
      <c r="Q841" s="1" t="s">
        <v>2001</v>
      </c>
      <c r="R841" s="1" t="s">
        <v>46</v>
      </c>
      <c r="S841" s="7">
        <v>60.45</v>
      </c>
      <c r="T841" s="1">
        <v>1</v>
      </c>
      <c r="U841" s="9">
        <v>60.25</v>
      </c>
      <c r="V841" s="9">
        <v>60.45</v>
      </c>
      <c r="W841" s="9">
        <v>60.25</v>
      </c>
      <c r="X841" s="12">
        <v>0.20000000000000284</v>
      </c>
      <c r="Y841" s="10">
        <v>2016</v>
      </c>
    </row>
    <row r="842" spans="1:25">
      <c r="A842" s="1" t="s">
        <v>2134</v>
      </c>
      <c r="B842" s="8">
        <v>42694</v>
      </c>
      <c r="C842" s="11" t="s">
        <v>3353</v>
      </c>
      <c r="D842" s="11" t="s">
        <v>3349</v>
      </c>
      <c r="E842" s="5" t="s">
        <v>2135</v>
      </c>
      <c r="F842" s="1" t="s">
        <v>49</v>
      </c>
      <c r="G842" s="1" t="s">
        <v>2136</v>
      </c>
      <c r="H842" s="1" t="s">
        <v>3687</v>
      </c>
      <c r="I842" s="1" t="s">
        <v>3831</v>
      </c>
      <c r="J842" s="1"/>
      <c r="K842" s="1" t="s">
        <v>41</v>
      </c>
      <c r="L842" s="1" t="s">
        <v>30</v>
      </c>
      <c r="M842" s="1" t="s">
        <v>233</v>
      </c>
      <c r="N842" s="1" t="s">
        <v>234</v>
      </c>
      <c r="O842" s="1">
        <v>10035</v>
      </c>
      <c r="P842" s="1" t="s">
        <v>128</v>
      </c>
      <c r="Q842" s="1" t="s">
        <v>2138</v>
      </c>
      <c r="R842" s="1" t="s">
        <v>46</v>
      </c>
      <c r="S842" s="7">
        <v>11.52</v>
      </c>
      <c r="T842" s="1">
        <v>1</v>
      </c>
      <c r="U842" s="9">
        <v>11.19</v>
      </c>
      <c r="V842" s="9">
        <v>11.52</v>
      </c>
      <c r="W842" s="9">
        <v>11.19</v>
      </c>
      <c r="X842" s="12">
        <v>0.33000000000000007</v>
      </c>
      <c r="Y842" s="10">
        <v>2016</v>
      </c>
    </row>
    <row r="843" spans="1:25">
      <c r="A843" s="1" t="s">
        <v>2134</v>
      </c>
      <c r="B843" s="8">
        <v>42694</v>
      </c>
      <c r="C843" s="11" t="s">
        <v>3353</v>
      </c>
      <c r="D843" s="11" t="s">
        <v>3349</v>
      </c>
      <c r="E843" s="5" t="s">
        <v>2135</v>
      </c>
      <c r="F843" s="1" t="s">
        <v>49</v>
      </c>
      <c r="G843" s="1" t="s">
        <v>2136</v>
      </c>
      <c r="H843" s="1" t="s">
        <v>3687</v>
      </c>
      <c r="I843" s="1" t="s">
        <v>3831</v>
      </c>
      <c r="J843" s="1"/>
      <c r="K843" s="1" t="s">
        <v>41</v>
      </c>
      <c r="L843" s="1" t="s">
        <v>30</v>
      </c>
      <c r="M843" s="1" t="s">
        <v>233</v>
      </c>
      <c r="N843" s="1" t="s">
        <v>234</v>
      </c>
      <c r="O843" s="1">
        <v>10035</v>
      </c>
      <c r="P843" s="1" t="s">
        <v>128</v>
      </c>
      <c r="Q843" s="1" t="s">
        <v>2139</v>
      </c>
      <c r="R843" s="1" t="s">
        <v>35</v>
      </c>
      <c r="S843" s="7">
        <v>186.048</v>
      </c>
      <c r="T843" s="1">
        <v>1</v>
      </c>
      <c r="U843" s="9">
        <v>185.91</v>
      </c>
      <c r="V843" s="9">
        <v>186.048</v>
      </c>
      <c r="W843" s="9">
        <v>185.91</v>
      </c>
      <c r="X843" s="12">
        <v>0.13800000000000523</v>
      </c>
      <c r="Y843" s="10">
        <v>2016</v>
      </c>
    </row>
    <row r="844" spans="1:25">
      <c r="A844" s="1" t="s">
        <v>2140</v>
      </c>
      <c r="B844" s="8">
        <v>42927</v>
      </c>
      <c r="C844" s="11" t="s">
        <v>3376</v>
      </c>
      <c r="D844" s="11" t="s">
        <v>3345</v>
      </c>
      <c r="E844" s="5">
        <v>42989</v>
      </c>
      <c r="F844" s="1" t="s">
        <v>162</v>
      </c>
      <c r="G844" s="1" t="s">
        <v>2141</v>
      </c>
      <c r="H844" s="1" t="s">
        <v>3832</v>
      </c>
      <c r="I844" s="1" t="s">
        <v>3453</v>
      </c>
      <c r="J844" s="1"/>
      <c r="K844" s="1" t="s">
        <v>41</v>
      </c>
      <c r="L844" s="1" t="s">
        <v>30</v>
      </c>
      <c r="M844" s="1" t="s">
        <v>42</v>
      </c>
      <c r="N844" s="1" t="s">
        <v>68</v>
      </c>
      <c r="O844" s="1">
        <v>90036</v>
      </c>
      <c r="P844" s="1" t="s">
        <v>44</v>
      </c>
      <c r="Q844" s="1" t="s">
        <v>2143</v>
      </c>
      <c r="R844" s="1" t="s">
        <v>46</v>
      </c>
      <c r="S844" s="7">
        <v>37.44</v>
      </c>
      <c r="T844" s="1">
        <v>9</v>
      </c>
      <c r="U844" s="9">
        <v>37.17</v>
      </c>
      <c r="V844" s="9">
        <v>336.96</v>
      </c>
      <c r="W844" s="9">
        <v>334.53000000000003</v>
      </c>
      <c r="X844" s="12">
        <v>2.42999999999995</v>
      </c>
      <c r="Y844" s="10">
        <v>2017</v>
      </c>
    </row>
    <row r="845" spans="1:25">
      <c r="A845" s="1" t="s">
        <v>2140</v>
      </c>
      <c r="B845" s="8">
        <v>42927</v>
      </c>
      <c r="C845" s="11" t="s">
        <v>3376</v>
      </c>
      <c r="D845" s="11" t="s">
        <v>3345</v>
      </c>
      <c r="E845" s="5">
        <v>42989</v>
      </c>
      <c r="F845" s="1" t="s">
        <v>162</v>
      </c>
      <c r="G845" s="1" t="s">
        <v>2141</v>
      </c>
      <c r="H845" s="1" t="s">
        <v>3832</v>
      </c>
      <c r="I845" s="1" t="s">
        <v>3453</v>
      </c>
      <c r="J845" s="1"/>
      <c r="K845" s="1" t="s">
        <v>41</v>
      </c>
      <c r="L845" s="1" t="s">
        <v>30</v>
      </c>
      <c r="M845" s="1" t="s">
        <v>42</v>
      </c>
      <c r="N845" s="1" t="s">
        <v>68</v>
      </c>
      <c r="O845" s="1">
        <v>90036</v>
      </c>
      <c r="P845" s="1" t="s">
        <v>44</v>
      </c>
      <c r="Q845" s="1" t="s">
        <v>2144</v>
      </c>
      <c r="R845" s="1" t="s">
        <v>46</v>
      </c>
      <c r="S845" s="7">
        <v>26.975999999999999</v>
      </c>
      <c r="T845" s="1">
        <v>9</v>
      </c>
      <c r="U845" s="9">
        <v>26.22</v>
      </c>
      <c r="V845" s="9">
        <v>242.78399999999999</v>
      </c>
      <c r="W845" s="9">
        <v>235.98</v>
      </c>
      <c r="X845" s="12">
        <v>6.804000000000002</v>
      </c>
      <c r="Y845" s="10">
        <v>2017</v>
      </c>
    </row>
    <row r="846" spans="1:25">
      <c r="A846" s="1" t="s">
        <v>2140</v>
      </c>
      <c r="B846" s="8">
        <v>42927</v>
      </c>
      <c r="C846" s="11" t="s">
        <v>3376</v>
      </c>
      <c r="D846" s="11" t="s">
        <v>3345</v>
      </c>
      <c r="E846" s="5">
        <v>42989</v>
      </c>
      <c r="F846" s="1" t="s">
        <v>162</v>
      </c>
      <c r="G846" s="1" t="s">
        <v>2141</v>
      </c>
      <c r="H846" s="1" t="s">
        <v>3832</v>
      </c>
      <c r="I846" s="1" t="s">
        <v>3453</v>
      </c>
      <c r="J846" s="1"/>
      <c r="K846" s="1" t="s">
        <v>41</v>
      </c>
      <c r="L846" s="1" t="s">
        <v>30</v>
      </c>
      <c r="M846" s="1" t="s">
        <v>42</v>
      </c>
      <c r="N846" s="1" t="s">
        <v>68</v>
      </c>
      <c r="O846" s="1">
        <v>90036</v>
      </c>
      <c r="P846" s="1" t="s">
        <v>44</v>
      </c>
      <c r="Q846" s="1" t="s">
        <v>2145</v>
      </c>
      <c r="R846" s="1" t="s">
        <v>46</v>
      </c>
      <c r="S846" s="7">
        <v>11.36</v>
      </c>
      <c r="T846" s="1">
        <v>9</v>
      </c>
      <c r="U846" s="9">
        <v>11.28</v>
      </c>
      <c r="V846" s="9">
        <v>102.24</v>
      </c>
      <c r="W846" s="9">
        <v>101.52</v>
      </c>
      <c r="X846" s="12">
        <v>0.71999999999999886</v>
      </c>
      <c r="Y846" s="10">
        <v>2017</v>
      </c>
    </row>
    <row r="847" spans="1:25">
      <c r="A847" s="1" t="s">
        <v>2140</v>
      </c>
      <c r="B847" s="8">
        <v>42927</v>
      </c>
      <c r="C847" s="11" t="s">
        <v>3376</v>
      </c>
      <c r="D847" s="11" t="s">
        <v>3345</v>
      </c>
      <c r="E847" s="5">
        <v>42989</v>
      </c>
      <c r="F847" s="1" t="s">
        <v>162</v>
      </c>
      <c r="G847" s="1" t="s">
        <v>2141</v>
      </c>
      <c r="H847" s="1" t="s">
        <v>3832</v>
      </c>
      <c r="I847" s="1" t="s">
        <v>3453</v>
      </c>
      <c r="J847" s="1"/>
      <c r="K847" s="1" t="s">
        <v>41</v>
      </c>
      <c r="L847" s="1" t="s">
        <v>30</v>
      </c>
      <c r="M847" s="1" t="s">
        <v>42</v>
      </c>
      <c r="N847" s="1" t="s">
        <v>68</v>
      </c>
      <c r="O847" s="1">
        <v>90036</v>
      </c>
      <c r="P847" s="1" t="s">
        <v>44</v>
      </c>
      <c r="Q847" s="1" t="s">
        <v>2146</v>
      </c>
      <c r="R847" s="1" t="s">
        <v>46</v>
      </c>
      <c r="S847" s="7">
        <v>14.62</v>
      </c>
      <c r="T847" s="1">
        <v>9</v>
      </c>
      <c r="U847" s="9">
        <v>14.55</v>
      </c>
      <c r="V847" s="9">
        <v>131.57999999999998</v>
      </c>
      <c r="W847" s="9">
        <v>130.95000000000002</v>
      </c>
      <c r="X847" s="12">
        <v>0.62999999999996703</v>
      </c>
      <c r="Y847" s="10">
        <v>2017</v>
      </c>
    </row>
    <row r="848" spans="1:25">
      <c r="A848" s="1" t="s">
        <v>2147</v>
      </c>
      <c r="B848" s="8">
        <v>42656</v>
      </c>
      <c r="C848" s="11" t="s">
        <v>3387</v>
      </c>
      <c r="D848" s="11" t="s">
        <v>3349</v>
      </c>
      <c r="E848" s="5" t="s">
        <v>2148</v>
      </c>
      <c r="F848" s="1" t="s">
        <v>49</v>
      </c>
      <c r="G848" s="1" t="s">
        <v>2149</v>
      </c>
      <c r="H848" s="1" t="s">
        <v>3833</v>
      </c>
      <c r="I848" s="1" t="s">
        <v>3634</v>
      </c>
      <c r="J848" s="1"/>
      <c r="K848" s="1" t="s">
        <v>29</v>
      </c>
      <c r="L848" s="1" t="s">
        <v>30</v>
      </c>
      <c r="M848" s="1" t="s">
        <v>1199</v>
      </c>
      <c r="N848" s="1" t="s">
        <v>32</v>
      </c>
      <c r="O848" s="1">
        <v>40214</v>
      </c>
      <c r="P848" s="1" t="s">
        <v>33</v>
      </c>
      <c r="Q848" s="1" t="s">
        <v>634</v>
      </c>
      <c r="R848" s="1" t="s">
        <v>64</v>
      </c>
      <c r="S848" s="7">
        <v>83.72</v>
      </c>
      <c r="T848" s="1">
        <v>4</v>
      </c>
      <c r="U848" s="9">
        <v>83.34</v>
      </c>
      <c r="V848" s="9">
        <v>334.88</v>
      </c>
      <c r="W848" s="9">
        <v>333.36</v>
      </c>
      <c r="X848" s="12">
        <v>1.5199999999999818</v>
      </c>
      <c r="Y848" s="10">
        <v>2016</v>
      </c>
    </row>
    <row r="849" spans="1:25">
      <c r="A849" s="1" t="s">
        <v>2147</v>
      </c>
      <c r="B849" s="8">
        <v>42656</v>
      </c>
      <c r="C849" s="11" t="s">
        <v>3387</v>
      </c>
      <c r="D849" s="11" t="s">
        <v>3349</v>
      </c>
      <c r="E849" s="5" t="s">
        <v>2148</v>
      </c>
      <c r="F849" s="1" t="s">
        <v>49</v>
      </c>
      <c r="G849" s="1" t="s">
        <v>2149</v>
      </c>
      <c r="H849" s="1" t="s">
        <v>3833</v>
      </c>
      <c r="I849" s="1" t="s">
        <v>3634</v>
      </c>
      <c r="J849" s="1"/>
      <c r="K849" s="1" t="s">
        <v>29</v>
      </c>
      <c r="L849" s="1" t="s">
        <v>30</v>
      </c>
      <c r="M849" s="1" t="s">
        <v>1199</v>
      </c>
      <c r="N849" s="1" t="s">
        <v>32</v>
      </c>
      <c r="O849" s="1">
        <v>40214</v>
      </c>
      <c r="P849" s="1" t="s">
        <v>33</v>
      </c>
      <c r="Q849" s="1" t="s">
        <v>886</v>
      </c>
      <c r="R849" s="1" t="s">
        <v>35</v>
      </c>
      <c r="S849" s="7">
        <v>287.94</v>
      </c>
      <c r="T849" s="1">
        <v>4</v>
      </c>
      <c r="U849" s="9">
        <v>286.99</v>
      </c>
      <c r="V849" s="9">
        <v>1151.76</v>
      </c>
      <c r="W849" s="9">
        <v>1147.96</v>
      </c>
      <c r="X849" s="12">
        <v>3.7999999999999545</v>
      </c>
      <c r="Y849" s="10">
        <v>2016</v>
      </c>
    </row>
    <row r="850" spans="1:25">
      <c r="A850" s="1" t="s">
        <v>2151</v>
      </c>
      <c r="B850" s="8">
        <v>43101</v>
      </c>
      <c r="C850" s="11" t="s">
        <v>3381</v>
      </c>
      <c r="D850" s="11" t="s">
        <v>3382</v>
      </c>
      <c r="E850" s="5">
        <v>43252</v>
      </c>
      <c r="F850" s="1" t="s">
        <v>49</v>
      </c>
      <c r="G850" s="1" t="s">
        <v>2152</v>
      </c>
      <c r="H850" s="1" t="s">
        <v>3605</v>
      </c>
      <c r="I850" s="1" t="s">
        <v>3454</v>
      </c>
      <c r="J850" s="1"/>
      <c r="K850" s="1" t="s">
        <v>29</v>
      </c>
      <c r="L850" s="1" t="s">
        <v>30</v>
      </c>
      <c r="M850" s="1" t="s">
        <v>2154</v>
      </c>
      <c r="N850" s="1" t="s">
        <v>421</v>
      </c>
      <c r="O850" s="1">
        <v>44052</v>
      </c>
      <c r="P850" s="1" t="s">
        <v>128</v>
      </c>
      <c r="Q850" s="1" t="s">
        <v>2155</v>
      </c>
      <c r="R850" s="1" t="s">
        <v>35</v>
      </c>
      <c r="S850" s="7">
        <v>48.896000000000001</v>
      </c>
      <c r="T850" s="1">
        <v>4</v>
      </c>
      <c r="U850" s="9">
        <v>48.39</v>
      </c>
      <c r="V850" s="9">
        <v>195.584</v>
      </c>
      <c r="W850" s="9">
        <v>193.56</v>
      </c>
      <c r="X850" s="12">
        <v>2.0240000000000009</v>
      </c>
      <c r="Y850" s="10">
        <v>2018</v>
      </c>
    </row>
    <row r="851" spans="1:25">
      <c r="A851" s="1" t="s">
        <v>2156</v>
      </c>
      <c r="B851" s="8">
        <v>42187</v>
      </c>
      <c r="C851" s="11" t="s">
        <v>3376</v>
      </c>
      <c r="D851" s="11" t="s">
        <v>3345</v>
      </c>
      <c r="E851" s="5">
        <v>42340</v>
      </c>
      <c r="F851" s="1" t="s">
        <v>49</v>
      </c>
      <c r="G851" s="1" t="s">
        <v>2157</v>
      </c>
      <c r="H851" s="1" t="s">
        <v>3834</v>
      </c>
      <c r="I851" s="1" t="s">
        <v>3835</v>
      </c>
      <c r="J851" s="1"/>
      <c r="K851" s="1" t="s">
        <v>41</v>
      </c>
      <c r="L851" s="1" t="s">
        <v>30</v>
      </c>
      <c r="M851" s="1" t="s">
        <v>2159</v>
      </c>
      <c r="N851" s="1" t="s">
        <v>653</v>
      </c>
      <c r="O851" s="1">
        <v>7036</v>
      </c>
      <c r="P851" s="1" t="s">
        <v>128</v>
      </c>
      <c r="Q851" s="1" t="s">
        <v>2160</v>
      </c>
      <c r="R851" s="1" t="s">
        <v>64</v>
      </c>
      <c r="S851" s="7">
        <v>115.36</v>
      </c>
      <c r="T851" s="1">
        <v>7</v>
      </c>
      <c r="U851" s="9">
        <v>114.77</v>
      </c>
      <c r="V851" s="9">
        <v>807.52</v>
      </c>
      <c r="W851" s="9">
        <v>803.39</v>
      </c>
      <c r="X851" s="12">
        <v>4.1299999999999955</v>
      </c>
      <c r="Y851" s="10">
        <v>2015</v>
      </c>
    </row>
    <row r="852" spans="1:25">
      <c r="A852" s="1" t="s">
        <v>2161</v>
      </c>
      <c r="B852" s="8">
        <v>42906</v>
      </c>
      <c r="C852" s="11" t="s">
        <v>3403</v>
      </c>
      <c r="D852" s="11" t="s">
        <v>3360</v>
      </c>
      <c r="E852" s="5" t="s">
        <v>212</v>
      </c>
      <c r="F852" s="1" t="s">
        <v>26</v>
      </c>
      <c r="G852" s="1" t="s">
        <v>2162</v>
      </c>
      <c r="H852" s="1" t="s">
        <v>3462</v>
      </c>
      <c r="I852" s="1" t="s">
        <v>3836</v>
      </c>
      <c r="J852" s="1"/>
      <c r="K852" s="1" t="s">
        <v>41</v>
      </c>
      <c r="L852" s="1" t="s">
        <v>30</v>
      </c>
      <c r="M852" s="1" t="s">
        <v>2164</v>
      </c>
      <c r="N852" s="1" t="s">
        <v>68</v>
      </c>
      <c r="O852" s="1">
        <v>93905</v>
      </c>
      <c r="P852" s="1" t="s">
        <v>44</v>
      </c>
      <c r="Q852" s="1" t="s">
        <v>2165</v>
      </c>
      <c r="R852" s="1" t="s">
        <v>46</v>
      </c>
      <c r="S852" s="7">
        <v>5.16</v>
      </c>
      <c r="T852" s="1">
        <v>9</v>
      </c>
      <c r="U852" s="9">
        <v>5.0199999999999996</v>
      </c>
      <c r="V852" s="9">
        <v>46.44</v>
      </c>
      <c r="W852" s="9">
        <v>45.179999999999993</v>
      </c>
      <c r="X852" s="12">
        <v>1.2600000000000051</v>
      </c>
      <c r="Y852" s="10">
        <v>2017</v>
      </c>
    </row>
    <row r="853" spans="1:25">
      <c r="A853" s="1" t="s">
        <v>2161</v>
      </c>
      <c r="B853" s="8">
        <v>42906</v>
      </c>
      <c r="C853" s="11" t="s">
        <v>3403</v>
      </c>
      <c r="D853" s="11" t="s">
        <v>3360</v>
      </c>
      <c r="E853" s="5" t="s">
        <v>212</v>
      </c>
      <c r="F853" s="1" t="s">
        <v>26</v>
      </c>
      <c r="G853" s="1" t="s">
        <v>2162</v>
      </c>
      <c r="H853" s="1" t="s">
        <v>3462</v>
      </c>
      <c r="I853" s="1" t="s">
        <v>3836</v>
      </c>
      <c r="J853" s="1"/>
      <c r="K853" s="1" t="s">
        <v>41</v>
      </c>
      <c r="L853" s="1" t="s">
        <v>30</v>
      </c>
      <c r="M853" s="1" t="s">
        <v>2164</v>
      </c>
      <c r="N853" s="1" t="s">
        <v>68</v>
      </c>
      <c r="O853" s="1">
        <v>93905</v>
      </c>
      <c r="P853" s="1" t="s">
        <v>44</v>
      </c>
      <c r="Q853" s="1" t="s">
        <v>2166</v>
      </c>
      <c r="R853" s="1" t="s">
        <v>46</v>
      </c>
      <c r="S853" s="7">
        <v>38.880000000000003</v>
      </c>
      <c r="T853" s="1">
        <v>9</v>
      </c>
      <c r="U853" s="9">
        <v>38.86</v>
      </c>
      <c r="V853" s="9">
        <v>349.92</v>
      </c>
      <c r="W853" s="9">
        <v>349.74</v>
      </c>
      <c r="X853" s="12">
        <v>0.18000000000000682</v>
      </c>
      <c r="Y853" s="10">
        <v>2017</v>
      </c>
    </row>
    <row r="854" spans="1:25">
      <c r="A854" s="1" t="s">
        <v>2167</v>
      </c>
      <c r="B854" s="8">
        <v>42883</v>
      </c>
      <c r="C854" s="11" t="s">
        <v>3363</v>
      </c>
      <c r="D854" s="11" t="s">
        <v>3360</v>
      </c>
      <c r="E854" s="5">
        <v>42831</v>
      </c>
      <c r="F854" s="1" t="s">
        <v>49</v>
      </c>
      <c r="G854" s="1" t="s">
        <v>733</v>
      </c>
      <c r="H854" s="1" t="s">
        <v>3523</v>
      </c>
      <c r="I854" s="1" t="s">
        <v>3469</v>
      </c>
      <c r="J854" s="1"/>
      <c r="K854" s="1" t="s">
        <v>29</v>
      </c>
      <c r="L854" s="1" t="s">
        <v>30</v>
      </c>
      <c r="M854" s="1" t="s">
        <v>281</v>
      </c>
      <c r="N854" s="1" t="s">
        <v>1211</v>
      </c>
      <c r="O854" s="1">
        <v>39212</v>
      </c>
      <c r="P854" s="1" t="s">
        <v>33</v>
      </c>
      <c r="Q854" s="1" t="s">
        <v>944</v>
      </c>
      <c r="R854" s="1" t="s">
        <v>46</v>
      </c>
      <c r="S854" s="7">
        <v>185.88</v>
      </c>
      <c r="T854" s="1">
        <v>3</v>
      </c>
      <c r="U854" s="9">
        <v>185.07</v>
      </c>
      <c r="V854" s="9">
        <v>557.64</v>
      </c>
      <c r="W854" s="9">
        <v>555.21</v>
      </c>
      <c r="X854" s="12">
        <v>2.42999999999995</v>
      </c>
      <c r="Y854" s="10">
        <v>2017</v>
      </c>
    </row>
    <row r="855" spans="1:25">
      <c r="A855" s="1" t="s">
        <v>2168</v>
      </c>
      <c r="B855" s="8">
        <v>42785</v>
      </c>
      <c r="C855" s="11" t="s">
        <v>3461</v>
      </c>
      <c r="D855" s="11" t="s">
        <v>3382</v>
      </c>
      <c r="E855" s="5" t="s">
        <v>2169</v>
      </c>
      <c r="F855" s="1" t="s">
        <v>49</v>
      </c>
      <c r="G855" s="1" t="s">
        <v>1530</v>
      </c>
      <c r="H855" s="1" t="s">
        <v>3464</v>
      </c>
      <c r="I855" s="1" t="s">
        <v>3668</v>
      </c>
      <c r="J855" s="1"/>
      <c r="K855" s="1" t="s">
        <v>29</v>
      </c>
      <c r="L855" s="1" t="s">
        <v>30</v>
      </c>
      <c r="M855" s="1" t="s">
        <v>233</v>
      </c>
      <c r="N855" s="1" t="s">
        <v>234</v>
      </c>
      <c r="O855" s="1">
        <v>10035</v>
      </c>
      <c r="P855" s="1" t="s">
        <v>128</v>
      </c>
      <c r="Q855" s="1" t="s">
        <v>2058</v>
      </c>
      <c r="R855" s="1" t="s">
        <v>35</v>
      </c>
      <c r="S855" s="7">
        <v>44.46</v>
      </c>
      <c r="T855" s="1">
        <v>1</v>
      </c>
      <c r="U855" s="9">
        <v>44.26</v>
      </c>
      <c r="V855" s="9">
        <v>44.46</v>
      </c>
      <c r="W855" s="9">
        <v>44.26</v>
      </c>
      <c r="X855" s="12">
        <v>0.20000000000000284</v>
      </c>
      <c r="Y855" s="10">
        <v>2017</v>
      </c>
    </row>
    <row r="856" spans="1:25">
      <c r="A856" s="1" t="s">
        <v>2168</v>
      </c>
      <c r="B856" s="8">
        <v>42785</v>
      </c>
      <c r="C856" s="11" t="s">
        <v>3461</v>
      </c>
      <c r="D856" s="11" t="s">
        <v>3382</v>
      </c>
      <c r="E856" s="5" t="s">
        <v>2169</v>
      </c>
      <c r="F856" s="1" t="s">
        <v>49</v>
      </c>
      <c r="G856" s="1" t="s">
        <v>1530</v>
      </c>
      <c r="H856" s="1" t="s">
        <v>3464</v>
      </c>
      <c r="I856" s="1" t="s">
        <v>3668</v>
      </c>
      <c r="J856" s="1"/>
      <c r="K856" s="1" t="s">
        <v>29</v>
      </c>
      <c r="L856" s="1" t="s">
        <v>30</v>
      </c>
      <c r="M856" s="1" t="s">
        <v>233</v>
      </c>
      <c r="N856" s="1" t="s">
        <v>234</v>
      </c>
      <c r="O856" s="1">
        <v>10035</v>
      </c>
      <c r="P856" s="1" t="s">
        <v>128</v>
      </c>
      <c r="Q856" s="1" t="s">
        <v>1442</v>
      </c>
      <c r="R856" s="1" t="s">
        <v>46</v>
      </c>
      <c r="S856" s="7">
        <v>242.94</v>
      </c>
      <c r="T856" s="1">
        <v>1</v>
      </c>
      <c r="U856" s="9">
        <v>242.33</v>
      </c>
      <c r="V856" s="9">
        <v>242.94</v>
      </c>
      <c r="W856" s="9">
        <v>242.33</v>
      </c>
      <c r="X856" s="12">
        <v>0.60999999999998522</v>
      </c>
      <c r="Y856" s="10">
        <v>2017</v>
      </c>
    </row>
    <row r="857" spans="1:25">
      <c r="A857" s="1" t="s">
        <v>2170</v>
      </c>
      <c r="B857" s="8">
        <v>42071</v>
      </c>
      <c r="C857" s="11" t="s">
        <v>3429</v>
      </c>
      <c r="D857" s="11" t="s">
        <v>3382</v>
      </c>
      <c r="E857" s="5">
        <v>42224</v>
      </c>
      <c r="F857" s="1" t="s">
        <v>49</v>
      </c>
      <c r="G857" s="1" t="s">
        <v>2171</v>
      </c>
      <c r="H857" s="1" t="s">
        <v>3837</v>
      </c>
      <c r="I857" s="1" t="s">
        <v>3838</v>
      </c>
      <c r="J857" s="1"/>
      <c r="K857" s="1" t="s">
        <v>29</v>
      </c>
      <c r="L857" s="1" t="s">
        <v>30</v>
      </c>
      <c r="M857" s="1" t="s">
        <v>233</v>
      </c>
      <c r="N857" s="1" t="s">
        <v>234</v>
      </c>
      <c r="O857" s="1">
        <v>10035</v>
      </c>
      <c r="P857" s="1" t="s">
        <v>128</v>
      </c>
      <c r="Q857" s="1" t="s">
        <v>2173</v>
      </c>
      <c r="R857" s="1" t="s">
        <v>46</v>
      </c>
      <c r="S857" s="7">
        <v>39.96</v>
      </c>
      <c r="T857" s="1">
        <v>1</v>
      </c>
      <c r="U857" s="9">
        <v>39.21</v>
      </c>
      <c r="V857" s="9">
        <v>39.96</v>
      </c>
      <c r="W857" s="9">
        <v>39.21</v>
      </c>
      <c r="X857" s="12">
        <v>0.75</v>
      </c>
      <c r="Y857" s="10">
        <v>2015</v>
      </c>
    </row>
    <row r="858" spans="1:25">
      <c r="A858" s="1" t="s">
        <v>2170</v>
      </c>
      <c r="B858" s="8">
        <v>42071</v>
      </c>
      <c r="C858" s="11" t="s">
        <v>3429</v>
      </c>
      <c r="D858" s="11" t="s">
        <v>3382</v>
      </c>
      <c r="E858" s="5">
        <v>42224</v>
      </c>
      <c r="F858" s="1" t="s">
        <v>49</v>
      </c>
      <c r="G858" s="1" t="s">
        <v>2171</v>
      </c>
      <c r="H858" s="1" t="s">
        <v>3837</v>
      </c>
      <c r="I858" s="1" t="s">
        <v>3838</v>
      </c>
      <c r="J858" s="1"/>
      <c r="K858" s="1" t="s">
        <v>29</v>
      </c>
      <c r="L858" s="1" t="s">
        <v>30</v>
      </c>
      <c r="M858" s="1" t="s">
        <v>233</v>
      </c>
      <c r="N858" s="1" t="s">
        <v>234</v>
      </c>
      <c r="O858" s="1">
        <v>10035</v>
      </c>
      <c r="P858" s="1" t="s">
        <v>128</v>
      </c>
      <c r="Q858" s="1" t="s">
        <v>2174</v>
      </c>
      <c r="R858" s="1" t="s">
        <v>46</v>
      </c>
      <c r="S858" s="7">
        <v>102.3</v>
      </c>
      <c r="T858" s="1">
        <v>1</v>
      </c>
      <c r="U858" s="9">
        <v>102.1</v>
      </c>
      <c r="V858" s="9">
        <v>102.3</v>
      </c>
      <c r="W858" s="9">
        <v>102.1</v>
      </c>
      <c r="X858" s="12">
        <v>0.20000000000000284</v>
      </c>
      <c r="Y858" s="10">
        <v>2015</v>
      </c>
    </row>
    <row r="859" spans="1:25">
      <c r="A859" s="1" t="s">
        <v>2170</v>
      </c>
      <c r="B859" s="8">
        <v>42071</v>
      </c>
      <c r="C859" s="11" t="s">
        <v>3429</v>
      </c>
      <c r="D859" s="11" t="s">
        <v>3382</v>
      </c>
      <c r="E859" s="5">
        <v>42224</v>
      </c>
      <c r="F859" s="1" t="s">
        <v>49</v>
      </c>
      <c r="G859" s="1" t="s">
        <v>2171</v>
      </c>
      <c r="H859" s="1" t="s">
        <v>3837</v>
      </c>
      <c r="I859" s="1" t="s">
        <v>3838</v>
      </c>
      <c r="J859" s="1"/>
      <c r="K859" s="1" t="s">
        <v>29</v>
      </c>
      <c r="L859" s="1" t="s">
        <v>30</v>
      </c>
      <c r="M859" s="1" t="s">
        <v>233</v>
      </c>
      <c r="N859" s="1" t="s">
        <v>234</v>
      </c>
      <c r="O859" s="1">
        <v>10035</v>
      </c>
      <c r="P859" s="1" t="s">
        <v>128</v>
      </c>
      <c r="Q859" s="1" t="s">
        <v>2175</v>
      </c>
      <c r="R859" s="1" t="s">
        <v>46</v>
      </c>
      <c r="S859" s="7">
        <v>21.36</v>
      </c>
      <c r="T859" s="1">
        <v>1</v>
      </c>
      <c r="U859" s="9">
        <v>20.84</v>
      </c>
      <c r="V859" s="9">
        <v>21.36</v>
      </c>
      <c r="W859" s="9">
        <v>20.84</v>
      </c>
      <c r="X859" s="12">
        <v>0.51999999999999957</v>
      </c>
      <c r="Y859" s="10">
        <v>2015</v>
      </c>
    </row>
    <row r="860" spans="1:25">
      <c r="A860" s="1" t="s">
        <v>2176</v>
      </c>
      <c r="B860" s="8">
        <v>43377</v>
      </c>
      <c r="C860" s="11" t="s">
        <v>3387</v>
      </c>
      <c r="D860" s="11" t="s">
        <v>3349</v>
      </c>
      <c r="E860" s="5" t="s">
        <v>2177</v>
      </c>
      <c r="F860" s="1" t="s">
        <v>49</v>
      </c>
      <c r="G860" s="1" t="s">
        <v>2178</v>
      </c>
      <c r="H860" s="1" t="s">
        <v>3656</v>
      </c>
      <c r="I860" s="1" t="s">
        <v>3770</v>
      </c>
      <c r="J860" s="1"/>
      <c r="K860" s="1" t="s">
        <v>87</v>
      </c>
      <c r="L860" s="1" t="s">
        <v>30</v>
      </c>
      <c r="M860" s="1" t="s">
        <v>2180</v>
      </c>
      <c r="N860" s="1" t="s">
        <v>653</v>
      </c>
      <c r="O860" s="1">
        <v>8901</v>
      </c>
      <c r="P860" s="1" t="s">
        <v>128</v>
      </c>
      <c r="Q860" s="1" t="s">
        <v>779</v>
      </c>
      <c r="R860" s="1" t="s">
        <v>46</v>
      </c>
      <c r="S860" s="7">
        <v>7.61</v>
      </c>
      <c r="T860" s="1">
        <v>8</v>
      </c>
      <c r="U860" s="9">
        <v>7.6</v>
      </c>
      <c r="V860" s="9">
        <v>60.88</v>
      </c>
      <c r="W860" s="9">
        <v>60.8</v>
      </c>
      <c r="X860" s="12">
        <v>8.00000000000054E-2</v>
      </c>
      <c r="Y860" s="10">
        <v>2018</v>
      </c>
    </row>
    <row r="861" spans="1:25">
      <c r="A861" s="1" t="s">
        <v>2176</v>
      </c>
      <c r="B861" s="8">
        <v>43377</v>
      </c>
      <c r="C861" s="11" t="s">
        <v>3387</v>
      </c>
      <c r="D861" s="11" t="s">
        <v>3349</v>
      </c>
      <c r="E861" s="5" t="s">
        <v>2177</v>
      </c>
      <c r="F861" s="1" t="s">
        <v>49</v>
      </c>
      <c r="G861" s="1" t="s">
        <v>2178</v>
      </c>
      <c r="H861" s="1" t="s">
        <v>3656</v>
      </c>
      <c r="I861" s="1" t="s">
        <v>3770</v>
      </c>
      <c r="J861" s="1"/>
      <c r="K861" s="1" t="s">
        <v>87</v>
      </c>
      <c r="L861" s="1" t="s">
        <v>30</v>
      </c>
      <c r="M861" s="1" t="s">
        <v>2180</v>
      </c>
      <c r="N861" s="1" t="s">
        <v>653</v>
      </c>
      <c r="O861" s="1">
        <v>8901</v>
      </c>
      <c r="P861" s="1" t="s">
        <v>128</v>
      </c>
      <c r="Q861" s="1" t="s">
        <v>956</v>
      </c>
      <c r="R861" s="1" t="s">
        <v>46</v>
      </c>
      <c r="S861" s="7">
        <v>7.16</v>
      </c>
      <c r="T861" s="1">
        <v>8</v>
      </c>
      <c r="U861" s="9">
        <v>6.82</v>
      </c>
      <c r="V861" s="9">
        <v>57.28</v>
      </c>
      <c r="W861" s="9">
        <v>54.56</v>
      </c>
      <c r="X861" s="12">
        <v>2.7199999999999989</v>
      </c>
      <c r="Y861" s="10">
        <v>2018</v>
      </c>
    </row>
    <row r="862" spans="1:25">
      <c r="A862" s="1" t="s">
        <v>2181</v>
      </c>
      <c r="B862" s="8">
        <v>42253</v>
      </c>
      <c r="C862" s="11" t="s">
        <v>3356</v>
      </c>
      <c r="D862" s="11" t="s">
        <v>3345</v>
      </c>
      <c r="E862" s="5" t="s">
        <v>2182</v>
      </c>
      <c r="F862" s="1" t="s">
        <v>49</v>
      </c>
      <c r="G862" s="1" t="s">
        <v>2183</v>
      </c>
      <c r="H862" s="1" t="s">
        <v>3753</v>
      </c>
      <c r="I862" s="1" t="s">
        <v>3839</v>
      </c>
      <c r="J862" s="1"/>
      <c r="K862" s="1" t="s">
        <v>29</v>
      </c>
      <c r="L862" s="1" t="s">
        <v>30</v>
      </c>
      <c r="M862" s="1" t="s">
        <v>110</v>
      </c>
      <c r="N862" s="1" t="s">
        <v>68</v>
      </c>
      <c r="O862" s="1">
        <v>94122</v>
      </c>
      <c r="P862" s="1" t="s">
        <v>44</v>
      </c>
      <c r="Q862" s="1" t="s">
        <v>1055</v>
      </c>
      <c r="R862" s="1" t="s">
        <v>46</v>
      </c>
      <c r="S862" s="7">
        <v>7.36</v>
      </c>
      <c r="T862" s="1">
        <v>9</v>
      </c>
      <c r="U862" s="9">
        <v>6.7</v>
      </c>
      <c r="V862" s="9">
        <v>66.240000000000009</v>
      </c>
      <c r="W862" s="9">
        <v>60.300000000000004</v>
      </c>
      <c r="X862" s="12">
        <v>5.9400000000000048</v>
      </c>
      <c r="Y862" s="10">
        <v>2015</v>
      </c>
    </row>
    <row r="863" spans="1:25">
      <c r="A863" s="1" t="s">
        <v>2181</v>
      </c>
      <c r="B863" s="8">
        <v>42253</v>
      </c>
      <c r="C863" s="11" t="s">
        <v>3356</v>
      </c>
      <c r="D863" s="11" t="s">
        <v>3345</v>
      </c>
      <c r="E863" s="5" t="s">
        <v>2182</v>
      </c>
      <c r="F863" s="1" t="s">
        <v>49</v>
      </c>
      <c r="G863" s="1" t="s">
        <v>2183</v>
      </c>
      <c r="H863" s="1" t="s">
        <v>3753</v>
      </c>
      <c r="I863" s="1" t="s">
        <v>3839</v>
      </c>
      <c r="J863" s="1"/>
      <c r="K863" s="1" t="s">
        <v>29</v>
      </c>
      <c r="L863" s="1" t="s">
        <v>30</v>
      </c>
      <c r="M863" s="1" t="s">
        <v>110</v>
      </c>
      <c r="N863" s="1" t="s">
        <v>68</v>
      </c>
      <c r="O863" s="1">
        <v>94122</v>
      </c>
      <c r="P863" s="1" t="s">
        <v>44</v>
      </c>
      <c r="Q863" s="1" t="s">
        <v>2185</v>
      </c>
      <c r="R863" s="1" t="s">
        <v>46</v>
      </c>
      <c r="S863" s="7">
        <v>23.1</v>
      </c>
      <c r="T863" s="1">
        <v>9</v>
      </c>
      <c r="U863" s="9">
        <v>22.15</v>
      </c>
      <c r="V863" s="9">
        <v>207.9</v>
      </c>
      <c r="W863" s="9">
        <v>199.35</v>
      </c>
      <c r="X863" s="12">
        <v>8.5500000000000114</v>
      </c>
      <c r="Y863" s="10">
        <v>2015</v>
      </c>
    </row>
    <row r="864" spans="1:25">
      <c r="A864" s="1" t="s">
        <v>2186</v>
      </c>
      <c r="B864" s="8">
        <v>42856</v>
      </c>
      <c r="C864" s="11" t="s">
        <v>3363</v>
      </c>
      <c r="D864" s="11" t="s">
        <v>3360</v>
      </c>
      <c r="E864" s="5">
        <v>42917</v>
      </c>
      <c r="F864" s="1" t="s">
        <v>26</v>
      </c>
      <c r="G864" s="1" t="s">
        <v>1990</v>
      </c>
      <c r="H864" s="1" t="s">
        <v>3755</v>
      </c>
      <c r="I864" s="1" t="s">
        <v>3809</v>
      </c>
      <c r="J864" s="1"/>
      <c r="K864" s="1" t="s">
        <v>41</v>
      </c>
      <c r="L864" s="1" t="s">
        <v>30</v>
      </c>
      <c r="M864" s="1" t="s">
        <v>1241</v>
      </c>
      <c r="N864" s="1" t="s">
        <v>194</v>
      </c>
      <c r="O864" s="1">
        <v>32216</v>
      </c>
      <c r="P864" s="1" t="s">
        <v>33</v>
      </c>
      <c r="Q864" s="1" t="s">
        <v>2187</v>
      </c>
      <c r="R864" s="1" t="s">
        <v>64</v>
      </c>
      <c r="S864" s="7">
        <v>191.47200000000001</v>
      </c>
      <c r="T864" s="1">
        <v>3</v>
      </c>
      <c r="U864" s="9">
        <v>190.66</v>
      </c>
      <c r="V864" s="9">
        <v>574.41600000000005</v>
      </c>
      <c r="W864" s="9">
        <v>571.98</v>
      </c>
      <c r="X864" s="12">
        <v>2.4360000000000355</v>
      </c>
      <c r="Y864" s="10">
        <v>2017</v>
      </c>
    </row>
    <row r="865" spans="1:25">
      <c r="A865" s="1" t="s">
        <v>2186</v>
      </c>
      <c r="B865" s="8">
        <v>42856</v>
      </c>
      <c r="C865" s="11" t="s">
        <v>3363</v>
      </c>
      <c r="D865" s="11" t="s">
        <v>3360</v>
      </c>
      <c r="E865" s="5">
        <v>42917</v>
      </c>
      <c r="F865" s="1" t="s">
        <v>26</v>
      </c>
      <c r="G865" s="1" t="s">
        <v>1990</v>
      </c>
      <c r="H865" s="1" t="s">
        <v>3755</v>
      </c>
      <c r="I865" s="1" t="s">
        <v>3809</v>
      </c>
      <c r="J865" s="1"/>
      <c r="K865" s="1" t="s">
        <v>41</v>
      </c>
      <c r="L865" s="1" t="s">
        <v>30</v>
      </c>
      <c r="M865" s="1" t="s">
        <v>1241</v>
      </c>
      <c r="N865" s="1" t="s">
        <v>194</v>
      </c>
      <c r="O865" s="1">
        <v>32216</v>
      </c>
      <c r="P865" s="1" t="s">
        <v>33</v>
      </c>
      <c r="Q865" s="1" t="s">
        <v>2188</v>
      </c>
      <c r="R865" s="1" t="s">
        <v>46</v>
      </c>
      <c r="S865" s="7">
        <v>5.2480000000000002</v>
      </c>
      <c r="T865" s="1">
        <v>3</v>
      </c>
      <c r="U865" s="9">
        <v>4.47</v>
      </c>
      <c r="V865" s="9">
        <v>15.744</v>
      </c>
      <c r="W865" s="9">
        <v>13.41</v>
      </c>
      <c r="X865" s="12">
        <v>2.3339999999999996</v>
      </c>
      <c r="Y865" s="10">
        <v>2017</v>
      </c>
    </row>
    <row r="866" spans="1:25">
      <c r="A866" s="1" t="s">
        <v>2186</v>
      </c>
      <c r="B866" s="8">
        <v>42856</v>
      </c>
      <c r="C866" s="11" t="s">
        <v>3363</v>
      </c>
      <c r="D866" s="11" t="s">
        <v>3360</v>
      </c>
      <c r="E866" s="5">
        <v>42917</v>
      </c>
      <c r="F866" s="1" t="s">
        <v>26</v>
      </c>
      <c r="G866" s="1" t="s">
        <v>1990</v>
      </c>
      <c r="H866" s="1" t="s">
        <v>3755</v>
      </c>
      <c r="I866" s="1" t="s">
        <v>3809</v>
      </c>
      <c r="J866" s="1"/>
      <c r="K866" s="1" t="s">
        <v>41</v>
      </c>
      <c r="L866" s="1" t="s">
        <v>30</v>
      </c>
      <c r="M866" s="1" t="s">
        <v>1241</v>
      </c>
      <c r="N866" s="1" t="s">
        <v>194</v>
      </c>
      <c r="O866" s="1">
        <v>32216</v>
      </c>
      <c r="P866" s="1" t="s">
        <v>33</v>
      </c>
      <c r="Q866" s="1" t="s">
        <v>2189</v>
      </c>
      <c r="R866" s="1" t="s">
        <v>64</v>
      </c>
      <c r="S866" s="7">
        <v>59.183999999999997</v>
      </c>
      <c r="T866" s="1">
        <v>3</v>
      </c>
      <c r="U866" s="9">
        <v>59.09</v>
      </c>
      <c r="V866" s="9">
        <v>177.55199999999999</v>
      </c>
      <c r="W866" s="9">
        <v>177.27</v>
      </c>
      <c r="X866" s="12">
        <v>0.28199999999998226</v>
      </c>
      <c r="Y866" s="10">
        <v>2017</v>
      </c>
    </row>
    <row r="867" spans="1:25">
      <c r="A867" s="1" t="s">
        <v>2190</v>
      </c>
      <c r="B867" s="8">
        <v>42278</v>
      </c>
      <c r="C867" s="11" t="s">
        <v>3387</v>
      </c>
      <c r="D867" s="11" t="s">
        <v>3349</v>
      </c>
      <c r="E867" s="5" t="s">
        <v>1980</v>
      </c>
      <c r="F867" s="1" t="s">
        <v>49</v>
      </c>
      <c r="G867" s="1" t="s">
        <v>2191</v>
      </c>
      <c r="H867" s="1" t="s">
        <v>3755</v>
      </c>
      <c r="I867" s="1" t="s">
        <v>3770</v>
      </c>
      <c r="J867" s="1"/>
      <c r="K867" s="1" t="s">
        <v>41</v>
      </c>
      <c r="L867" s="1" t="s">
        <v>30</v>
      </c>
      <c r="M867" s="1" t="s">
        <v>271</v>
      </c>
      <c r="N867" s="1" t="s">
        <v>272</v>
      </c>
      <c r="O867" s="1">
        <v>22153</v>
      </c>
      <c r="P867" s="1" t="s">
        <v>33</v>
      </c>
      <c r="Q867" s="1" t="s">
        <v>2193</v>
      </c>
      <c r="R867" s="1" t="s">
        <v>46</v>
      </c>
      <c r="S867" s="7">
        <v>2.89</v>
      </c>
      <c r="T867" s="1">
        <v>2</v>
      </c>
      <c r="U867" s="9">
        <v>2.46</v>
      </c>
      <c r="V867" s="9">
        <v>5.78</v>
      </c>
      <c r="W867" s="9">
        <v>4.92</v>
      </c>
      <c r="X867" s="12">
        <v>0.86000000000000032</v>
      </c>
      <c r="Y867" s="10">
        <v>2015</v>
      </c>
    </row>
    <row r="868" spans="1:25">
      <c r="A868" s="1" t="s">
        <v>2190</v>
      </c>
      <c r="B868" s="8">
        <v>42278</v>
      </c>
      <c r="C868" s="11" t="s">
        <v>3387</v>
      </c>
      <c r="D868" s="11" t="s">
        <v>3349</v>
      </c>
      <c r="E868" s="5" t="s">
        <v>1980</v>
      </c>
      <c r="F868" s="1" t="s">
        <v>49</v>
      </c>
      <c r="G868" s="1" t="s">
        <v>2191</v>
      </c>
      <c r="H868" s="1" t="s">
        <v>3755</v>
      </c>
      <c r="I868" s="1" t="s">
        <v>3770</v>
      </c>
      <c r="J868" s="1"/>
      <c r="K868" s="1" t="s">
        <v>41</v>
      </c>
      <c r="L868" s="1" t="s">
        <v>30</v>
      </c>
      <c r="M868" s="1" t="s">
        <v>271</v>
      </c>
      <c r="N868" s="1" t="s">
        <v>272</v>
      </c>
      <c r="O868" s="1">
        <v>22153</v>
      </c>
      <c r="P868" s="1" t="s">
        <v>33</v>
      </c>
      <c r="Q868" s="1" t="s">
        <v>2194</v>
      </c>
      <c r="R868" s="1" t="s">
        <v>35</v>
      </c>
      <c r="S868" s="7">
        <v>51.94</v>
      </c>
      <c r="T868" s="1">
        <v>2</v>
      </c>
      <c r="U868" s="9">
        <v>51.29</v>
      </c>
      <c r="V868" s="9">
        <v>103.88</v>
      </c>
      <c r="W868" s="9">
        <v>102.58</v>
      </c>
      <c r="X868" s="12">
        <v>1.2999999999999972</v>
      </c>
      <c r="Y868" s="10">
        <v>2015</v>
      </c>
    </row>
    <row r="869" spans="1:25">
      <c r="A869" s="1" t="s">
        <v>2195</v>
      </c>
      <c r="B869" s="8">
        <v>43007</v>
      </c>
      <c r="C869" s="11" t="s">
        <v>3356</v>
      </c>
      <c r="D869" s="11" t="s">
        <v>3345</v>
      </c>
      <c r="E869" s="5">
        <v>42776</v>
      </c>
      <c r="F869" s="1" t="s">
        <v>162</v>
      </c>
      <c r="G869" s="1" t="s">
        <v>2196</v>
      </c>
      <c r="H869" s="1" t="s">
        <v>3394</v>
      </c>
      <c r="I869" s="1" t="s">
        <v>3840</v>
      </c>
      <c r="J869" s="1"/>
      <c r="K869" s="1" t="s">
        <v>41</v>
      </c>
      <c r="L869" s="1" t="s">
        <v>30</v>
      </c>
      <c r="M869" s="1" t="s">
        <v>126</v>
      </c>
      <c r="N869" s="1" t="s">
        <v>127</v>
      </c>
      <c r="O869" s="1">
        <v>19140</v>
      </c>
      <c r="P869" s="1" t="s">
        <v>128</v>
      </c>
      <c r="Q869" s="1" t="s">
        <v>2198</v>
      </c>
      <c r="R869" s="1" t="s">
        <v>46</v>
      </c>
      <c r="S869" s="7">
        <v>15.936</v>
      </c>
      <c r="T869" s="1">
        <v>1</v>
      </c>
      <c r="U869" s="9">
        <v>15.64</v>
      </c>
      <c r="V869" s="9">
        <v>15.936</v>
      </c>
      <c r="W869" s="9">
        <v>15.64</v>
      </c>
      <c r="X869" s="12">
        <v>0.29599999999999937</v>
      </c>
      <c r="Y869" s="10">
        <v>2017</v>
      </c>
    </row>
    <row r="870" spans="1:25">
      <c r="A870" s="1" t="s">
        <v>2199</v>
      </c>
      <c r="B870" s="8">
        <v>42159</v>
      </c>
      <c r="C870" s="11" t="s">
        <v>3403</v>
      </c>
      <c r="D870" s="11" t="s">
        <v>3360</v>
      </c>
      <c r="E870" s="5">
        <v>42281</v>
      </c>
      <c r="F870" s="1" t="s">
        <v>49</v>
      </c>
      <c r="G870" s="1" t="s">
        <v>2200</v>
      </c>
      <c r="H870" s="1" t="s">
        <v>3605</v>
      </c>
      <c r="I870" s="1" t="s">
        <v>3841</v>
      </c>
      <c r="J870" s="1"/>
      <c r="K870" s="1" t="s">
        <v>41</v>
      </c>
      <c r="L870" s="1" t="s">
        <v>30</v>
      </c>
      <c r="M870" s="1" t="s">
        <v>2021</v>
      </c>
      <c r="N870" s="1" t="s">
        <v>127</v>
      </c>
      <c r="O870" s="1">
        <v>17602</v>
      </c>
      <c r="P870" s="1" t="s">
        <v>128</v>
      </c>
      <c r="Q870" s="1" t="s">
        <v>2202</v>
      </c>
      <c r="R870" s="1" t="s">
        <v>46</v>
      </c>
      <c r="S870" s="7">
        <v>44.91</v>
      </c>
      <c r="T870" s="1">
        <v>1</v>
      </c>
      <c r="U870" s="9">
        <v>44.34</v>
      </c>
      <c r="V870" s="9">
        <v>44.91</v>
      </c>
      <c r="W870" s="9">
        <v>44.34</v>
      </c>
      <c r="X870" s="12">
        <v>0.56999999999999318</v>
      </c>
      <c r="Y870" s="10">
        <v>2015</v>
      </c>
    </row>
    <row r="871" spans="1:25">
      <c r="A871" s="1" t="s">
        <v>2203</v>
      </c>
      <c r="B871" s="8">
        <v>42803</v>
      </c>
      <c r="C871" s="11" t="s">
        <v>3429</v>
      </c>
      <c r="D871" s="11" t="s">
        <v>3382</v>
      </c>
      <c r="E871" s="5">
        <v>42864</v>
      </c>
      <c r="F871" s="1" t="s">
        <v>162</v>
      </c>
      <c r="G871" s="1" t="s">
        <v>2204</v>
      </c>
      <c r="H871" s="1" t="s">
        <v>3414</v>
      </c>
      <c r="I871" s="1" t="s">
        <v>3512</v>
      </c>
      <c r="J871" s="1"/>
      <c r="K871" s="1" t="s">
        <v>87</v>
      </c>
      <c r="L871" s="1" t="s">
        <v>30</v>
      </c>
      <c r="M871" s="1" t="s">
        <v>126</v>
      </c>
      <c r="N871" s="1" t="s">
        <v>127</v>
      </c>
      <c r="O871" s="1">
        <v>19143</v>
      </c>
      <c r="P871" s="1" t="s">
        <v>128</v>
      </c>
      <c r="Q871" s="1" t="s">
        <v>2206</v>
      </c>
      <c r="R871" s="1" t="s">
        <v>46</v>
      </c>
      <c r="S871" s="7">
        <v>1141.47</v>
      </c>
      <c r="T871" s="1">
        <v>1</v>
      </c>
      <c r="U871" s="9">
        <v>1140.6600000000001</v>
      </c>
      <c r="V871" s="9">
        <v>1141.47</v>
      </c>
      <c r="W871" s="9">
        <v>1140.6600000000001</v>
      </c>
      <c r="X871" s="12">
        <v>0.80999999999994543</v>
      </c>
      <c r="Y871" s="10">
        <v>2017</v>
      </c>
    </row>
    <row r="872" spans="1:25">
      <c r="A872" s="1" t="s">
        <v>2203</v>
      </c>
      <c r="B872" s="8">
        <v>42803</v>
      </c>
      <c r="C872" s="11" t="s">
        <v>3429</v>
      </c>
      <c r="D872" s="11" t="s">
        <v>3382</v>
      </c>
      <c r="E872" s="5">
        <v>42864</v>
      </c>
      <c r="F872" s="1" t="s">
        <v>162</v>
      </c>
      <c r="G872" s="1" t="s">
        <v>2204</v>
      </c>
      <c r="H872" s="1" t="s">
        <v>3414</v>
      </c>
      <c r="I872" s="1" t="s">
        <v>3512</v>
      </c>
      <c r="J872" s="1"/>
      <c r="K872" s="1" t="s">
        <v>87</v>
      </c>
      <c r="L872" s="1" t="s">
        <v>30</v>
      </c>
      <c r="M872" s="1" t="s">
        <v>126</v>
      </c>
      <c r="N872" s="1" t="s">
        <v>127</v>
      </c>
      <c r="O872" s="1">
        <v>19143</v>
      </c>
      <c r="P872" s="1" t="s">
        <v>128</v>
      </c>
      <c r="Q872" s="1" t="s">
        <v>1563</v>
      </c>
      <c r="R872" s="1" t="s">
        <v>64</v>
      </c>
      <c r="S872" s="7">
        <v>280.78199999999998</v>
      </c>
      <c r="T872" s="1">
        <v>1</v>
      </c>
      <c r="U872" s="9">
        <v>280.45999999999998</v>
      </c>
      <c r="V872" s="9">
        <v>280.78199999999998</v>
      </c>
      <c r="W872" s="9">
        <v>280.45999999999998</v>
      </c>
      <c r="X872" s="12">
        <v>0.32200000000000273</v>
      </c>
      <c r="Y872" s="10">
        <v>2017</v>
      </c>
    </row>
    <row r="873" spans="1:25">
      <c r="A873" s="1" t="s">
        <v>2207</v>
      </c>
      <c r="B873" s="8">
        <v>42662</v>
      </c>
      <c r="C873" s="11" t="s">
        <v>3387</v>
      </c>
      <c r="D873" s="11" t="s">
        <v>3349</v>
      </c>
      <c r="E873" s="5" t="s">
        <v>399</v>
      </c>
      <c r="F873" s="1" t="s">
        <v>162</v>
      </c>
      <c r="G873" s="1" t="s">
        <v>143</v>
      </c>
      <c r="H873" s="1" t="s">
        <v>3385</v>
      </c>
      <c r="I873" s="1" t="s">
        <v>3386</v>
      </c>
      <c r="J873" s="1"/>
      <c r="K873" s="1" t="s">
        <v>29</v>
      </c>
      <c r="L873" s="1" t="s">
        <v>30</v>
      </c>
      <c r="M873" s="1" t="s">
        <v>74</v>
      </c>
      <c r="N873" s="1" t="s">
        <v>2208</v>
      </c>
      <c r="O873" s="1">
        <v>3301</v>
      </c>
      <c r="P873" s="1" t="s">
        <v>128</v>
      </c>
      <c r="Q873" s="1" t="s">
        <v>2209</v>
      </c>
      <c r="R873" s="1" t="s">
        <v>46</v>
      </c>
      <c r="S873" s="7">
        <v>34.44</v>
      </c>
      <c r="T873" s="1">
        <v>3</v>
      </c>
      <c r="U873" s="9">
        <v>33.61</v>
      </c>
      <c r="V873" s="9">
        <v>103.32</v>
      </c>
      <c r="W873" s="9">
        <v>100.83</v>
      </c>
      <c r="X873" s="12">
        <v>2.4899999999999949</v>
      </c>
      <c r="Y873" s="10">
        <v>2016</v>
      </c>
    </row>
    <row r="874" spans="1:25">
      <c r="A874" s="1" t="s">
        <v>2210</v>
      </c>
      <c r="B874" s="8">
        <v>42289</v>
      </c>
      <c r="C874" s="11" t="s">
        <v>3387</v>
      </c>
      <c r="D874" s="11" t="s">
        <v>3349</v>
      </c>
      <c r="E874" s="5" t="s">
        <v>2211</v>
      </c>
      <c r="F874" s="1" t="s">
        <v>49</v>
      </c>
      <c r="G874" s="1" t="s">
        <v>2212</v>
      </c>
      <c r="H874" s="1" t="s">
        <v>3479</v>
      </c>
      <c r="I874" s="1" t="s">
        <v>3842</v>
      </c>
      <c r="J874" s="1"/>
      <c r="K874" s="1" t="s">
        <v>29</v>
      </c>
      <c r="L874" s="1" t="s">
        <v>30</v>
      </c>
      <c r="M874" s="1" t="s">
        <v>233</v>
      </c>
      <c r="N874" s="1" t="s">
        <v>234</v>
      </c>
      <c r="O874" s="1">
        <v>10009</v>
      </c>
      <c r="P874" s="1" t="s">
        <v>128</v>
      </c>
      <c r="Q874" s="1" t="s">
        <v>852</v>
      </c>
      <c r="R874" s="1" t="s">
        <v>46</v>
      </c>
      <c r="S874" s="7">
        <v>11.36</v>
      </c>
      <c r="T874" s="1">
        <v>1</v>
      </c>
      <c r="U874" s="9">
        <v>10.48</v>
      </c>
      <c r="V874" s="9">
        <v>11.36</v>
      </c>
      <c r="W874" s="9">
        <v>10.48</v>
      </c>
      <c r="X874" s="12">
        <v>0.87999999999999901</v>
      </c>
      <c r="Y874" s="10">
        <v>2015</v>
      </c>
    </row>
    <row r="875" spans="1:25">
      <c r="A875" s="1" t="s">
        <v>2210</v>
      </c>
      <c r="B875" s="8">
        <v>42289</v>
      </c>
      <c r="C875" s="11" t="s">
        <v>3387</v>
      </c>
      <c r="D875" s="11" t="s">
        <v>3349</v>
      </c>
      <c r="E875" s="5" t="s">
        <v>2211</v>
      </c>
      <c r="F875" s="1" t="s">
        <v>49</v>
      </c>
      <c r="G875" s="1" t="s">
        <v>2212</v>
      </c>
      <c r="H875" s="1" t="s">
        <v>3479</v>
      </c>
      <c r="I875" s="1" t="s">
        <v>3842</v>
      </c>
      <c r="J875" s="1"/>
      <c r="K875" s="1" t="s">
        <v>29</v>
      </c>
      <c r="L875" s="1" t="s">
        <v>30</v>
      </c>
      <c r="M875" s="1" t="s">
        <v>233</v>
      </c>
      <c r="N875" s="1" t="s">
        <v>234</v>
      </c>
      <c r="O875" s="1">
        <v>10009</v>
      </c>
      <c r="P875" s="1" t="s">
        <v>128</v>
      </c>
      <c r="Q875" s="1" t="s">
        <v>1304</v>
      </c>
      <c r="R875" s="1" t="s">
        <v>46</v>
      </c>
      <c r="S875" s="7">
        <v>106.34399999999999</v>
      </c>
      <c r="T875" s="1">
        <v>1</v>
      </c>
      <c r="U875" s="9">
        <v>105.77</v>
      </c>
      <c r="V875" s="9">
        <v>106.34399999999999</v>
      </c>
      <c r="W875" s="9">
        <v>105.77</v>
      </c>
      <c r="X875" s="12">
        <v>0.57399999999999807</v>
      </c>
      <c r="Y875" s="10">
        <v>2015</v>
      </c>
    </row>
    <row r="876" spans="1:25">
      <c r="A876" s="1" t="s">
        <v>2214</v>
      </c>
      <c r="B876" s="8">
        <v>43337</v>
      </c>
      <c r="C876" s="11" t="s">
        <v>3344</v>
      </c>
      <c r="D876" s="11" t="s">
        <v>3345</v>
      </c>
      <c r="E876" s="5" t="s">
        <v>2215</v>
      </c>
      <c r="F876" s="1" t="s">
        <v>49</v>
      </c>
      <c r="G876" s="1" t="s">
        <v>2152</v>
      </c>
      <c r="H876" s="1" t="s">
        <v>3605</v>
      </c>
      <c r="I876" s="1" t="s">
        <v>3454</v>
      </c>
      <c r="J876" s="1"/>
      <c r="K876" s="1" t="s">
        <v>29</v>
      </c>
      <c r="L876" s="1" t="s">
        <v>30</v>
      </c>
      <c r="M876" s="1" t="s">
        <v>394</v>
      </c>
      <c r="N876" s="1" t="s">
        <v>75</v>
      </c>
      <c r="O876" s="1">
        <v>28205</v>
      </c>
      <c r="P876" s="1" t="s">
        <v>33</v>
      </c>
      <c r="Q876" s="1" t="s">
        <v>2216</v>
      </c>
      <c r="R876" s="1" t="s">
        <v>46</v>
      </c>
      <c r="S876" s="7">
        <v>192.16</v>
      </c>
      <c r="T876" s="1">
        <v>2</v>
      </c>
      <c r="U876" s="9">
        <v>191.21</v>
      </c>
      <c r="V876" s="9">
        <v>384.32</v>
      </c>
      <c r="W876" s="9">
        <v>382.42</v>
      </c>
      <c r="X876" s="12">
        <v>1.8999999999999773</v>
      </c>
      <c r="Y876" s="10">
        <v>2018</v>
      </c>
    </row>
    <row r="877" spans="1:25">
      <c r="A877" s="1" t="s">
        <v>2217</v>
      </c>
      <c r="B877" s="8">
        <v>42752</v>
      </c>
      <c r="C877" s="11" t="s">
        <v>3381</v>
      </c>
      <c r="D877" s="11" t="s">
        <v>3382</v>
      </c>
      <c r="E877" s="5" t="s">
        <v>2218</v>
      </c>
      <c r="F877" s="1" t="s">
        <v>49</v>
      </c>
      <c r="G877" s="1" t="s">
        <v>1738</v>
      </c>
      <c r="H877" s="1" t="s">
        <v>3753</v>
      </c>
      <c r="I877" s="1" t="s">
        <v>3754</v>
      </c>
      <c r="J877" s="1"/>
      <c r="K877" s="1" t="s">
        <v>87</v>
      </c>
      <c r="L877" s="1" t="s">
        <v>30</v>
      </c>
      <c r="M877" s="1" t="s">
        <v>74</v>
      </c>
      <c r="N877" s="1" t="s">
        <v>2208</v>
      </c>
      <c r="O877" s="1">
        <v>3301</v>
      </c>
      <c r="P877" s="1" t="s">
        <v>128</v>
      </c>
      <c r="Q877" s="1" t="s">
        <v>746</v>
      </c>
      <c r="R877" s="1" t="s">
        <v>35</v>
      </c>
      <c r="S877" s="7">
        <v>322.58999999999997</v>
      </c>
      <c r="T877" s="1">
        <v>3</v>
      </c>
      <c r="U877" s="9">
        <v>322.39999999999998</v>
      </c>
      <c r="V877" s="9">
        <v>967.77</v>
      </c>
      <c r="W877" s="9">
        <v>967.19999999999993</v>
      </c>
      <c r="X877" s="12">
        <v>0.57000000000005002</v>
      </c>
      <c r="Y877" s="10">
        <v>2017</v>
      </c>
    </row>
    <row r="878" spans="1:25">
      <c r="A878" s="1" t="s">
        <v>2217</v>
      </c>
      <c r="B878" s="8">
        <v>42752</v>
      </c>
      <c r="C878" s="11" t="s">
        <v>3381</v>
      </c>
      <c r="D878" s="11" t="s">
        <v>3382</v>
      </c>
      <c r="E878" s="5" t="s">
        <v>2218</v>
      </c>
      <c r="F878" s="1" t="s">
        <v>49</v>
      </c>
      <c r="G878" s="1" t="s">
        <v>1738</v>
      </c>
      <c r="H878" s="1" t="s">
        <v>3753</v>
      </c>
      <c r="I878" s="1" t="s">
        <v>3754</v>
      </c>
      <c r="J878" s="1"/>
      <c r="K878" s="1" t="s">
        <v>87</v>
      </c>
      <c r="L878" s="1" t="s">
        <v>30</v>
      </c>
      <c r="M878" s="1" t="s">
        <v>74</v>
      </c>
      <c r="N878" s="1" t="s">
        <v>2208</v>
      </c>
      <c r="O878" s="1">
        <v>3301</v>
      </c>
      <c r="P878" s="1" t="s">
        <v>128</v>
      </c>
      <c r="Q878" s="1" t="s">
        <v>838</v>
      </c>
      <c r="R878" s="1" t="s">
        <v>64</v>
      </c>
      <c r="S878" s="7">
        <v>29.99</v>
      </c>
      <c r="T878" s="1">
        <v>3</v>
      </c>
      <c r="U878" s="9">
        <v>29.34</v>
      </c>
      <c r="V878" s="9">
        <v>89.97</v>
      </c>
      <c r="W878" s="9">
        <v>88.02</v>
      </c>
      <c r="X878" s="12">
        <v>1.9500000000000028</v>
      </c>
      <c r="Y878" s="10">
        <v>2017</v>
      </c>
    </row>
    <row r="879" spans="1:25">
      <c r="A879" s="1" t="s">
        <v>2217</v>
      </c>
      <c r="B879" s="8">
        <v>42752</v>
      </c>
      <c r="C879" s="11" t="s">
        <v>3381</v>
      </c>
      <c r="D879" s="11" t="s">
        <v>3382</v>
      </c>
      <c r="E879" s="5" t="s">
        <v>2218</v>
      </c>
      <c r="F879" s="1" t="s">
        <v>49</v>
      </c>
      <c r="G879" s="1" t="s">
        <v>1738</v>
      </c>
      <c r="H879" s="1" t="s">
        <v>3753</v>
      </c>
      <c r="I879" s="1" t="s">
        <v>3754</v>
      </c>
      <c r="J879" s="1"/>
      <c r="K879" s="1" t="s">
        <v>87</v>
      </c>
      <c r="L879" s="1" t="s">
        <v>30</v>
      </c>
      <c r="M879" s="1" t="s">
        <v>74</v>
      </c>
      <c r="N879" s="1" t="s">
        <v>2208</v>
      </c>
      <c r="O879" s="1">
        <v>3301</v>
      </c>
      <c r="P879" s="1" t="s">
        <v>128</v>
      </c>
      <c r="Q879" s="1" t="s">
        <v>2219</v>
      </c>
      <c r="R879" s="1" t="s">
        <v>64</v>
      </c>
      <c r="S879" s="7">
        <v>371.97</v>
      </c>
      <c r="T879" s="1">
        <v>3</v>
      </c>
      <c r="U879" s="9">
        <v>371.37</v>
      </c>
      <c r="V879" s="9">
        <v>1115.9100000000001</v>
      </c>
      <c r="W879" s="9">
        <v>1114.1100000000001</v>
      </c>
      <c r="X879" s="12">
        <v>1.7999999999999545</v>
      </c>
      <c r="Y879" s="10">
        <v>2017</v>
      </c>
    </row>
    <row r="880" spans="1:25">
      <c r="A880" s="1" t="s">
        <v>2220</v>
      </c>
      <c r="B880" s="8">
        <v>42264</v>
      </c>
      <c r="C880" s="11" t="s">
        <v>3356</v>
      </c>
      <c r="D880" s="11" t="s">
        <v>3345</v>
      </c>
      <c r="E880" s="5" t="s">
        <v>801</v>
      </c>
      <c r="F880" s="1" t="s">
        <v>49</v>
      </c>
      <c r="G880" s="1" t="s">
        <v>2221</v>
      </c>
      <c r="H880" s="1" t="s">
        <v>3755</v>
      </c>
      <c r="I880" s="1" t="s">
        <v>3843</v>
      </c>
      <c r="J880" s="1"/>
      <c r="K880" s="1" t="s">
        <v>87</v>
      </c>
      <c r="L880" s="1" t="s">
        <v>30</v>
      </c>
      <c r="M880" s="1" t="s">
        <v>126</v>
      </c>
      <c r="N880" s="1" t="s">
        <v>127</v>
      </c>
      <c r="O880" s="1">
        <v>19120</v>
      </c>
      <c r="P880" s="1" t="s">
        <v>128</v>
      </c>
      <c r="Q880" s="1" t="s">
        <v>2223</v>
      </c>
      <c r="R880" s="1" t="s">
        <v>46</v>
      </c>
      <c r="S880" s="7">
        <v>5.8920000000000003</v>
      </c>
      <c r="T880" s="1">
        <v>1</v>
      </c>
      <c r="U880" s="9">
        <v>5.78</v>
      </c>
      <c r="V880" s="9">
        <v>5.8920000000000003</v>
      </c>
      <c r="W880" s="9">
        <v>5.78</v>
      </c>
      <c r="X880" s="12">
        <v>0.1120000000000001</v>
      </c>
      <c r="Y880" s="10">
        <v>2015</v>
      </c>
    </row>
    <row r="881" spans="1:25">
      <c r="A881" s="1" t="s">
        <v>2224</v>
      </c>
      <c r="B881" s="8">
        <v>43434</v>
      </c>
      <c r="C881" s="11" t="s">
        <v>3353</v>
      </c>
      <c r="D881" s="11" t="s">
        <v>3349</v>
      </c>
      <c r="E881" s="5">
        <v>43143</v>
      </c>
      <c r="F881" s="1" t="s">
        <v>26</v>
      </c>
      <c r="G881" s="1" t="s">
        <v>85</v>
      </c>
      <c r="H881" s="1" t="s">
        <v>3366</v>
      </c>
      <c r="I881" s="1" t="s">
        <v>3367</v>
      </c>
      <c r="J881" s="1"/>
      <c r="K881" s="1" t="s">
        <v>87</v>
      </c>
      <c r="L881" s="1" t="s">
        <v>30</v>
      </c>
      <c r="M881" s="1" t="s">
        <v>233</v>
      </c>
      <c r="N881" s="1" t="s">
        <v>234</v>
      </c>
      <c r="O881" s="1">
        <v>10024</v>
      </c>
      <c r="P881" s="1" t="s">
        <v>128</v>
      </c>
      <c r="Q881" s="1" t="s">
        <v>2225</v>
      </c>
      <c r="R881" s="1" t="s">
        <v>46</v>
      </c>
      <c r="S881" s="7">
        <v>68.471999999999994</v>
      </c>
      <c r="T881" s="1">
        <v>1</v>
      </c>
      <c r="U881" s="9">
        <v>68.14</v>
      </c>
      <c r="V881" s="9">
        <v>68.471999999999994</v>
      </c>
      <c r="W881" s="9">
        <v>68.14</v>
      </c>
      <c r="X881" s="12">
        <v>0.33199999999999363</v>
      </c>
      <c r="Y881" s="10">
        <v>2018</v>
      </c>
    </row>
    <row r="882" spans="1:25">
      <c r="A882" s="1" t="s">
        <v>2224</v>
      </c>
      <c r="B882" s="8">
        <v>43434</v>
      </c>
      <c r="C882" s="11" t="s">
        <v>3353</v>
      </c>
      <c r="D882" s="11" t="s">
        <v>3349</v>
      </c>
      <c r="E882" s="5">
        <v>43143</v>
      </c>
      <c r="F882" s="1" t="s">
        <v>26</v>
      </c>
      <c r="G882" s="1" t="s">
        <v>85</v>
      </c>
      <c r="H882" s="1" t="s">
        <v>3366</v>
      </c>
      <c r="I882" s="1" t="s">
        <v>3367</v>
      </c>
      <c r="J882" s="1"/>
      <c r="K882" s="1" t="s">
        <v>87</v>
      </c>
      <c r="L882" s="1" t="s">
        <v>30</v>
      </c>
      <c r="M882" s="1" t="s">
        <v>233</v>
      </c>
      <c r="N882" s="1" t="s">
        <v>234</v>
      </c>
      <c r="O882" s="1">
        <v>10024</v>
      </c>
      <c r="P882" s="1" t="s">
        <v>128</v>
      </c>
      <c r="Q882" s="1" t="s">
        <v>569</v>
      </c>
      <c r="R882" s="1" t="s">
        <v>35</v>
      </c>
      <c r="S882" s="7">
        <v>1242.9000000000001</v>
      </c>
      <c r="T882" s="1">
        <v>1</v>
      </c>
      <c r="U882" s="9">
        <v>1242.58</v>
      </c>
      <c r="V882" s="9">
        <v>1242.9000000000001</v>
      </c>
      <c r="W882" s="9">
        <v>1242.58</v>
      </c>
      <c r="X882" s="12">
        <v>0.32000000000016371</v>
      </c>
      <c r="Y882" s="10">
        <v>2018</v>
      </c>
    </row>
    <row r="883" spans="1:25">
      <c r="A883" s="1" t="s">
        <v>2226</v>
      </c>
      <c r="B883" s="8">
        <v>42623</v>
      </c>
      <c r="C883" s="11" t="s">
        <v>3356</v>
      </c>
      <c r="D883" s="11" t="s">
        <v>3345</v>
      </c>
      <c r="E883" s="5" t="s">
        <v>2227</v>
      </c>
      <c r="F883" s="1" t="s">
        <v>49</v>
      </c>
      <c r="G883" s="1" t="s">
        <v>427</v>
      </c>
      <c r="H883" s="1" t="s">
        <v>3462</v>
      </c>
      <c r="I883" s="1" t="s">
        <v>3463</v>
      </c>
      <c r="J883" s="1"/>
      <c r="K883" s="1" t="s">
        <v>29</v>
      </c>
      <c r="L883" s="1" t="s">
        <v>30</v>
      </c>
      <c r="M883" s="1" t="s">
        <v>271</v>
      </c>
      <c r="N883" s="1" t="s">
        <v>272</v>
      </c>
      <c r="O883" s="1">
        <v>22153</v>
      </c>
      <c r="P883" s="1" t="s">
        <v>33</v>
      </c>
      <c r="Q883" s="1" t="s">
        <v>1328</v>
      </c>
      <c r="R883" s="1" t="s">
        <v>46</v>
      </c>
      <c r="S883" s="7">
        <v>30.84</v>
      </c>
      <c r="T883" s="1">
        <v>2</v>
      </c>
      <c r="U883" s="9">
        <v>30.29</v>
      </c>
      <c r="V883" s="9">
        <v>61.68</v>
      </c>
      <c r="W883" s="9">
        <v>60.58</v>
      </c>
      <c r="X883" s="12">
        <v>1.1000000000000014</v>
      </c>
      <c r="Y883" s="10">
        <v>2016</v>
      </c>
    </row>
    <row r="884" spans="1:25">
      <c r="A884" s="1" t="s">
        <v>2228</v>
      </c>
      <c r="B884" s="8">
        <v>43457</v>
      </c>
      <c r="C884" s="11" t="s">
        <v>3348</v>
      </c>
      <c r="D884" s="11" t="s">
        <v>3349</v>
      </c>
      <c r="E884" s="5" t="s">
        <v>2229</v>
      </c>
      <c r="F884" s="1" t="s">
        <v>1050</v>
      </c>
      <c r="G884" s="1" t="s">
        <v>378</v>
      </c>
      <c r="H884" s="1" t="s">
        <v>3435</v>
      </c>
      <c r="I884" s="1" t="s">
        <v>3451</v>
      </c>
      <c r="J884" s="1"/>
      <c r="K884" s="1" t="s">
        <v>29</v>
      </c>
      <c r="L884" s="1" t="s">
        <v>30</v>
      </c>
      <c r="M884" s="1" t="s">
        <v>110</v>
      </c>
      <c r="N884" s="1" t="s">
        <v>68</v>
      </c>
      <c r="O884" s="1">
        <v>94109</v>
      </c>
      <c r="P884" s="1" t="s">
        <v>44</v>
      </c>
      <c r="Q884" s="1" t="s">
        <v>1843</v>
      </c>
      <c r="R884" s="1" t="s">
        <v>46</v>
      </c>
      <c r="S884" s="7">
        <v>13.48</v>
      </c>
      <c r="T884" s="1">
        <v>9</v>
      </c>
      <c r="U884" s="9">
        <v>12.5</v>
      </c>
      <c r="V884" s="9">
        <v>121.32000000000001</v>
      </c>
      <c r="W884" s="9">
        <v>112.5</v>
      </c>
      <c r="X884" s="12">
        <v>8.8200000000000074</v>
      </c>
      <c r="Y884" s="10">
        <v>2018</v>
      </c>
    </row>
    <row r="885" spans="1:25">
      <c r="A885" s="1" t="s">
        <v>2230</v>
      </c>
      <c r="B885" s="8">
        <v>43030</v>
      </c>
      <c r="C885" s="11" t="s">
        <v>3387</v>
      </c>
      <c r="D885" s="11" t="s">
        <v>3349</v>
      </c>
      <c r="E885" s="5" t="s">
        <v>2231</v>
      </c>
      <c r="F885" s="1" t="s">
        <v>162</v>
      </c>
      <c r="G885" s="1" t="s">
        <v>2232</v>
      </c>
      <c r="H885" s="1" t="s">
        <v>3799</v>
      </c>
      <c r="I885" s="1" t="s">
        <v>3844</v>
      </c>
      <c r="J885" s="1"/>
      <c r="K885" s="1" t="s">
        <v>87</v>
      </c>
      <c r="L885" s="1" t="s">
        <v>30</v>
      </c>
      <c r="M885" s="1" t="s">
        <v>728</v>
      </c>
      <c r="N885" s="1" t="s">
        <v>209</v>
      </c>
      <c r="O885" s="1">
        <v>48227</v>
      </c>
      <c r="P885" s="1" t="s">
        <v>90</v>
      </c>
      <c r="Q885" s="1" t="s">
        <v>1721</v>
      </c>
      <c r="R885" s="1" t="s">
        <v>35</v>
      </c>
      <c r="S885" s="7">
        <v>31.4</v>
      </c>
      <c r="T885" s="1">
        <v>4</v>
      </c>
      <c r="U885" s="9">
        <v>31.38</v>
      </c>
      <c r="V885" s="9">
        <v>125.6</v>
      </c>
      <c r="W885" s="9">
        <v>125.52</v>
      </c>
      <c r="X885" s="12">
        <v>7.9999999999998295E-2</v>
      </c>
      <c r="Y885" s="10">
        <v>2017</v>
      </c>
    </row>
    <row r="886" spans="1:25">
      <c r="A886" s="1" t="s">
        <v>2234</v>
      </c>
      <c r="B886" s="8">
        <v>42123</v>
      </c>
      <c r="C886" s="11" t="s">
        <v>3359</v>
      </c>
      <c r="D886" s="11" t="s">
        <v>3360</v>
      </c>
      <c r="E886" s="5">
        <v>42099</v>
      </c>
      <c r="F886" s="1" t="s">
        <v>49</v>
      </c>
      <c r="G886" s="1" t="s">
        <v>2235</v>
      </c>
      <c r="H886" s="1" t="s">
        <v>3845</v>
      </c>
      <c r="I886" s="1" t="s">
        <v>3846</v>
      </c>
      <c r="J886" s="1"/>
      <c r="K886" s="1" t="s">
        <v>29</v>
      </c>
      <c r="L886" s="1" t="s">
        <v>30</v>
      </c>
      <c r="M886" s="1" t="s">
        <v>331</v>
      </c>
      <c r="N886" s="1" t="s">
        <v>234</v>
      </c>
      <c r="O886" s="1">
        <v>14609</v>
      </c>
      <c r="P886" s="1" t="s">
        <v>128</v>
      </c>
      <c r="Q886" s="1" t="s">
        <v>2237</v>
      </c>
      <c r="R886" s="1" t="s">
        <v>35</v>
      </c>
      <c r="S886" s="7">
        <v>17.46</v>
      </c>
      <c r="T886" s="1">
        <v>1</v>
      </c>
      <c r="U886" s="9">
        <v>16.59</v>
      </c>
      <c r="V886" s="9">
        <v>17.46</v>
      </c>
      <c r="W886" s="9">
        <v>16.59</v>
      </c>
      <c r="X886" s="12">
        <v>0.87000000000000099</v>
      </c>
      <c r="Y886" s="10">
        <v>2015</v>
      </c>
    </row>
    <row r="887" spans="1:25">
      <c r="A887" s="1" t="s">
        <v>2238</v>
      </c>
      <c r="B887" s="8">
        <v>42485</v>
      </c>
      <c r="C887" s="11" t="s">
        <v>3359</v>
      </c>
      <c r="D887" s="11" t="s">
        <v>3360</v>
      </c>
      <c r="E887" s="5" t="s">
        <v>2239</v>
      </c>
      <c r="F887" s="1" t="s">
        <v>26</v>
      </c>
      <c r="G887" s="1" t="s">
        <v>2240</v>
      </c>
      <c r="H887" s="1" t="s">
        <v>3847</v>
      </c>
      <c r="I887" s="1" t="s">
        <v>3415</v>
      </c>
      <c r="J887" s="1"/>
      <c r="K887" s="1" t="s">
        <v>41</v>
      </c>
      <c r="L887" s="1" t="s">
        <v>30</v>
      </c>
      <c r="M887" s="1" t="s">
        <v>42</v>
      </c>
      <c r="N887" s="1" t="s">
        <v>68</v>
      </c>
      <c r="O887" s="1">
        <v>90045</v>
      </c>
      <c r="P887" s="1" t="s">
        <v>44</v>
      </c>
      <c r="Q887" s="1" t="s">
        <v>2242</v>
      </c>
      <c r="R887" s="1" t="s">
        <v>46</v>
      </c>
      <c r="S887" s="7">
        <v>13.944000000000001</v>
      </c>
      <c r="T887" s="1">
        <v>9</v>
      </c>
      <c r="U887" s="9">
        <v>13.63</v>
      </c>
      <c r="V887" s="9">
        <v>125.49600000000001</v>
      </c>
      <c r="W887" s="9">
        <v>122.67</v>
      </c>
      <c r="X887" s="12">
        <v>2.8260000000000076</v>
      </c>
      <c r="Y887" s="10">
        <v>2016</v>
      </c>
    </row>
    <row r="888" spans="1:25">
      <c r="A888" s="1" t="s">
        <v>2243</v>
      </c>
      <c r="B888" s="8">
        <v>43277</v>
      </c>
      <c r="C888" s="11" t="s">
        <v>3403</v>
      </c>
      <c r="D888" s="11" t="s">
        <v>3360</v>
      </c>
      <c r="E888" s="5">
        <v>43138</v>
      </c>
      <c r="F888" s="1" t="s">
        <v>49</v>
      </c>
      <c r="G888" s="1" t="s">
        <v>1541</v>
      </c>
      <c r="H888" s="1" t="s">
        <v>3705</v>
      </c>
      <c r="I888" s="1" t="s">
        <v>3706</v>
      </c>
      <c r="J888" s="1"/>
      <c r="K888" s="1" t="s">
        <v>29</v>
      </c>
      <c r="L888" s="1" t="s">
        <v>30</v>
      </c>
      <c r="M888" s="1" t="s">
        <v>778</v>
      </c>
      <c r="N888" s="1" t="s">
        <v>68</v>
      </c>
      <c r="O888" s="1">
        <v>92105</v>
      </c>
      <c r="P888" s="1" t="s">
        <v>44</v>
      </c>
      <c r="Q888" s="1" t="s">
        <v>2244</v>
      </c>
      <c r="R888" s="1" t="s">
        <v>46</v>
      </c>
      <c r="S888" s="7">
        <v>83.76</v>
      </c>
      <c r="T888" s="1">
        <v>9</v>
      </c>
      <c r="U888" s="9">
        <v>83.49</v>
      </c>
      <c r="V888" s="9">
        <v>753.84</v>
      </c>
      <c r="W888" s="9">
        <v>751.41</v>
      </c>
      <c r="X888" s="12">
        <v>2.4300000000000637</v>
      </c>
      <c r="Y888" s="10">
        <v>2018</v>
      </c>
    </row>
    <row r="889" spans="1:25">
      <c r="A889" s="1" t="s">
        <v>2245</v>
      </c>
      <c r="B889" s="8">
        <v>43387</v>
      </c>
      <c r="C889" s="11" t="s">
        <v>3387</v>
      </c>
      <c r="D889" s="11" t="s">
        <v>3349</v>
      </c>
      <c r="E889" s="5" t="s">
        <v>1137</v>
      </c>
      <c r="F889" s="1" t="s">
        <v>49</v>
      </c>
      <c r="G889" s="1" t="s">
        <v>2246</v>
      </c>
      <c r="H889" s="1" t="s">
        <v>3655</v>
      </c>
      <c r="I889" s="1" t="s">
        <v>3848</v>
      </c>
      <c r="J889" s="1"/>
      <c r="K889" s="1" t="s">
        <v>87</v>
      </c>
      <c r="L889" s="1" t="s">
        <v>30</v>
      </c>
      <c r="M889" s="1" t="s">
        <v>325</v>
      </c>
      <c r="N889" s="1" t="s">
        <v>2248</v>
      </c>
      <c r="O889" s="1">
        <v>21044</v>
      </c>
      <c r="P889" s="1" t="s">
        <v>128</v>
      </c>
      <c r="Q889" s="1" t="s">
        <v>253</v>
      </c>
      <c r="R889" s="1" t="s">
        <v>46</v>
      </c>
      <c r="S889" s="7">
        <v>37.659999999999997</v>
      </c>
      <c r="T889" s="1">
        <v>2</v>
      </c>
      <c r="U889" s="9">
        <v>37.21</v>
      </c>
      <c r="V889" s="9">
        <v>75.319999999999993</v>
      </c>
      <c r="W889" s="9">
        <v>74.42</v>
      </c>
      <c r="X889" s="12">
        <v>0.89999999999999147</v>
      </c>
      <c r="Y889" s="10">
        <v>2018</v>
      </c>
    </row>
    <row r="890" spans="1:25">
      <c r="A890" s="1" t="s">
        <v>2249</v>
      </c>
      <c r="B890" s="8">
        <v>42259</v>
      </c>
      <c r="C890" s="11" t="s">
        <v>3356</v>
      </c>
      <c r="D890" s="11" t="s">
        <v>3345</v>
      </c>
      <c r="E890" s="5" t="s">
        <v>2250</v>
      </c>
      <c r="F890" s="1" t="s">
        <v>49</v>
      </c>
      <c r="G890" s="1" t="s">
        <v>2157</v>
      </c>
      <c r="H890" s="1" t="s">
        <v>3834</v>
      </c>
      <c r="I890" s="1" t="s">
        <v>3835</v>
      </c>
      <c r="J890" s="1"/>
      <c r="K890" s="1" t="s">
        <v>41</v>
      </c>
      <c r="L890" s="1" t="s">
        <v>30</v>
      </c>
      <c r="M890" s="1" t="s">
        <v>110</v>
      </c>
      <c r="N890" s="1" t="s">
        <v>68</v>
      </c>
      <c r="O890" s="1">
        <v>94122</v>
      </c>
      <c r="P890" s="1" t="s">
        <v>44</v>
      </c>
      <c r="Q890" s="1" t="s">
        <v>1193</v>
      </c>
      <c r="R890" s="1" t="s">
        <v>46</v>
      </c>
      <c r="S890" s="7">
        <v>34.68</v>
      </c>
      <c r="T890" s="1">
        <v>9</v>
      </c>
      <c r="U890" s="9">
        <v>33.869999999999997</v>
      </c>
      <c r="V890" s="9">
        <v>312.12</v>
      </c>
      <c r="W890" s="9">
        <v>304.83</v>
      </c>
      <c r="X890" s="12">
        <v>7.2900000000000205</v>
      </c>
      <c r="Y890" s="10">
        <v>2015</v>
      </c>
    </row>
    <row r="891" spans="1:25">
      <c r="A891" s="1" t="s">
        <v>2251</v>
      </c>
      <c r="B891" s="8">
        <v>43271</v>
      </c>
      <c r="C891" s="11" t="s">
        <v>3403</v>
      </c>
      <c r="D891" s="11" t="s">
        <v>3360</v>
      </c>
      <c r="E891" s="5" t="s">
        <v>2252</v>
      </c>
      <c r="F891" s="1" t="s">
        <v>49</v>
      </c>
      <c r="G891" s="1" t="s">
        <v>1335</v>
      </c>
      <c r="H891" s="1" t="s">
        <v>3599</v>
      </c>
      <c r="I891" s="1" t="s">
        <v>3487</v>
      </c>
      <c r="J891" s="1"/>
      <c r="K891" s="1" t="s">
        <v>29</v>
      </c>
      <c r="L891" s="1" t="s">
        <v>30</v>
      </c>
      <c r="M891" s="1" t="s">
        <v>1222</v>
      </c>
      <c r="N891" s="1" t="s">
        <v>234</v>
      </c>
      <c r="O891" s="1">
        <v>10801</v>
      </c>
      <c r="P891" s="1" t="s">
        <v>128</v>
      </c>
      <c r="Q891" s="1" t="s">
        <v>2253</v>
      </c>
      <c r="R891" s="1" t="s">
        <v>64</v>
      </c>
      <c r="S891" s="7">
        <v>149.94999999999999</v>
      </c>
      <c r="T891" s="1">
        <v>1</v>
      </c>
      <c r="U891" s="9">
        <v>149.13</v>
      </c>
      <c r="V891" s="9">
        <v>149.94999999999999</v>
      </c>
      <c r="W891" s="9">
        <v>149.13</v>
      </c>
      <c r="X891" s="12">
        <v>0.81999999999999318</v>
      </c>
      <c r="Y891" s="10">
        <v>2018</v>
      </c>
    </row>
    <row r="892" spans="1:25">
      <c r="A892" s="1" t="s">
        <v>2251</v>
      </c>
      <c r="B892" s="8">
        <v>43271</v>
      </c>
      <c r="C892" s="11" t="s">
        <v>3403</v>
      </c>
      <c r="D892" s="11" t="s">
        <v>3360</v>
      </c>
      <c r="E892" s="5" t="s">
        <v>2252</v>
      </c>
      <c r="F892" s="1" t="s">
        <v>49</v>
      </c>
      <c r="G892" s="1" t="s">
        <v>1335</v>
      </c>
      <c r="H892" s="1" t="s">
        <v>3599</v>
      </c>
      <c r="I892" s="1" t="s">
        <v>3487</v>
      </c>
      <c r="J892" s="1"/>
      <c r="K892" s="1" t="s">
        <v>29</v>
      </c>
      <c r="L892" s="1" t="s">
        <v>30</v>
      </c>
      <c r="M892" s="1" t="s">
        <v>1222</v>
      </c>
      <c r="N892" s="1" t="s">
        <v>234</v>
      </c>
      <c r="O892" s="1">
        <v>10801</v>
      </c>
      <c r="P892" s="1" t="s">
        <v>128</v>
      </c>
      <c r="Q892" s="1" t="s">
        <v>1299</v>
      </c>
      <c r="R892" s="1" t="s">
        <v>46</v>
      </c>
      <c r="S892" s="7">
        <v>51.311999999999998</v>
      </c>
      <c r="T892" s="1">
        <v>1</v>
      </c>
      <c r="U892" s="9">
        <v>50.91</v>
      </c>
      <c r="V892" s="9">
        <v>51.311999999999998</v>
      </c>
      <c r="W892" s="9">
        <v>50.91</v>
      </c>
      <c r="X892" s="12">
        <v>0.40200000000000102</v>
      </c>
      <c r="Y892" s="10">
        <v>2018</v>
      </c>
    </row>
    <row r="893" spans="1:25">
      <c r="A893" s="1" t="s">
        <v>2254</v>
      </c>
      <c r="B893" s="8">
        <v>43277</v>
      </c>
      <c r="C893" s="11" t="s">
        <v>3403</v>
      </c>
      <c r="D893" s="11" t="s">
        <v>3360</v>
      </c>
      <c r="E893" s="5" t="s">
        <v>2102</v>
      </c>
      <c r="F893" s="1" t="s">
        <v>162</v>
      </c>
      <c r="G893" s="1" t="s">
        <v>1864</v>
      </c>
      <c r="H893" s="1" t="s">
        <v>3385</v>
      </c>
      <c r="I893" s="1" t="s">
        <v>3525</v>
      </c>
      <c r="J893" s="1"/>
      <c r="K893" s="1" t="s">
        <v>87</v>
      </c>
      <c r="L893" s="1" t="s">
        <v>30</v>
      </c>
      <c r="M893" s="1" t="s">
        <v>728</v>
      </c>
      <c r="N893" s="1" t="s">
        <v>209</v>
      </c>
      <c r="O893" s="1">
        <v>48227</v>
      </c>
      <c r="P893" s="1" t="s">
        <v>90</v>
      </c>
      <c r="Q893" s="1" t="s">
        <v>2255</v>
      </c>
      <c r="R893" s="1" t="s">
        <v>46</v>
      </c>
      <c r="S893" s="7">
        <v>4.54</v>
      </c>
      <c r="T893" s="1">
        <v>4</v>
      </c>
      <c r="U893" s="9">
        <v>4.38</v>
      </c>
      <c r="V893" s="9">
        <v>18.16</v>
      </c>
      <c r="W893" s="9">
        <v>17.52</v>
      </c>
      <c r="X893" s="12">
        <v>0.64000000000000057</v>
      </c>
      <c r="Y893" s="10">
        <v>2018</v>
      </c>
    </row>
    <row r="894" spans="1:25">
      <c r="A894" s="1" t="s">
        <v>2254</v>
      </c>
      <c r="B894" s="8">
        <v>43277</v>
      </c>
      <c r="C894" s="11" t="s">
        <v>3403</v>
      </c>
      <c r="D894" s="11" t="s">
        <v>3360</v>
      </c>
      <c r="E894" s="5" t="s">
        <v>2102</v>
      </c>
      <c r="F894" s="1" t="s">
        <v>162</v>
      </c>
      <c r="G894" s="1" t="s">
        <v>1864</v>
      </c>
      <c r="H894" s="1" t="s">
        <v>3385</v>
      </c>
      <c r="I894" s="1" t="s">
        <v>3525</v>
      </c>
      <c r="J894" s="1"/>
      <c r="K894" s="1" t="s">
        <v>87</v>
      </c>
      <c r="L894" s="1" t="s">
        <v>30</v>
      </c>
      <c r="M894" s="1" t="s">
        <v>728</v>
      </c>
      <c r="N894" s="1" t="s">
        <v>209</v>
      </c>
      <c r="O894" s="1">
        <v>48227</v>
      </c>
      <c r="P894" s="1" t="s">
        <v>90</v>
      </c>
      <c r="Q894" s="1" t="s">
        <v>2256</v>
      </c>
      <c r="R894" s="1" t="s">
        <v>46</v>
      </c>
      <c r="S894" s="7">
        <v>15.92</v>
      </c>
      <c r="T894" s="1">
        <v>4</v>
      </c>
      <c r="U894" s="9">
        <v>15.36</v>
      </c>
      <c r="V894" s="9">
        <v>63.68</v>
      </c>
      <c r="W894" s="9">
        <v>61.44</v>
      </c>
      <c r="X894" s="12">
        <v>2.240000000000002</v>
      </c>
      <c r="Y894" s="10">
        <v>2018</v>
      </c>
    </row>
    <row r="895" spans="1:25">
      <c r="A895" s="1" t="s">
        <v>2254</v>
      </c>
      <c r="B895" s="8">
        <v>43277</v>
      </c>
      <c r="C895" s="11" t="s">
        <v>3403</v>
      </c>
      <c r="D895" s="11" t="s">
        <v>3360</v>
      </c>
      <c r="E895" s="5" t="s">
        <v>2102</v>
      </c>
      <c r="F895" s="1" t="s">
        <v>162</v>
      </c>
      <c r="G895" s="1" t="s">
        <v>1864</v>
      </c>
      <c r="H895" s="1" t="s">
        <v>3385</v>
      </c>
      <c r="I895" s="1" t="s">
        <v>3525</v>
      </c>
      <c r="J895" s="1"/>
      <c r="K895" s="1" t="s">
        <v>87</v>
      </c>
      <c r="L895" s="1" t="s">
        <v>30</v>
      </c>
      <c r="M895" s="1" t="s">
        <v>728</v>
      </c>
      <c r="N895" s="1" t="s">
        <v>209</v>
      </c>
      <c r="O895" s="1">
        <v>48227</v>
      </c>
      <c r="P895" s="1" t="s">
        <v>90</v>
      </c>
      <c r="Q895" s="1" t="s">
        <v>2257</v>
      </c>
      <c r="R895" s="1" t="s">
        <v>64</v>
      </c>
      <c r="S895" s="7">
        <v>543.91999999999996</v>
      </c>
      <c r="T895" s="1">
        <v>4</v>
      </c>
      <c r="U895" s="9">
        <v>543.77</v>
      </c>
      <c r="V895" s="9">
        <v>2175.6799999999998</v>
      </c>
      <c r="W895" s="9">
        <v>2175.08</v>
      </c>
      <c r="X895" s="12">
        <v>0.59999999999990905</v>
      </c>
      <c r="Y895" s="10">
        <v>2018</v>
      </c>
    </row>
    <row r="896" spans="1:25">
      <c r="A896" s="1" t="s">
        <v>2258</v>
      </c>
      <c r="B896" s="8">
        <v>43019</v>
      </c>
      <c r="C896" s="11" t="s">
        <v>3387</v>
      </c>
      <c r="D896" s="11" t="s">
        <v>3349</v>
      </c>
      <c r="E896" s="5">
        <v>43080</v>
      </c>
      <c r="F896" s="1" t="s">
        <v>162</v>
      </c>
      <c r="G896" s="1" t="s">
        <v>2259</v>
      </c>
      <c r="H896" s="1" t="s">
        <v>3849</v>
      </c>
      <c r="I896" s="1" t="s">
        <v>3850</v>
      </c>
      <c r="J896" s="1"/>
      <c r="K896" s="1" t="s">
        <v>41</v>
      </c>
      <c r="L896" s="1" t="s">
        <v>30</v>
      </c>
      <c r="M896" s="1" t="s">
        <v>110</v>
      </c>
      <c r="N896" s="1" t="s">
        <v>68</v>
      </c>
      <c r="O896" s="1">
        <v>94122</v>
      </c>
      <c r="P896" s="1" t="s">
        <v>44</v>
      </c>
      <c r="Q896" s="1" t="s">
        <v>1062</v>
      </c>
      <c r="R896" s="1" t="s">
        <v>46</v>
      </c>
      <c r="S896" s="7">
        <v>155.82</v>
      </c>
      <c r="T896" s="1">
        <v>9</v>
      </c>
      <c r="U896" s="9">
        <v>155.11000000000001</v>
      </c>
      <c r="V896" s="9">
        <v>1402.3799999999999</v>
      </c>
      <c r="W896" s="9">
        <v>1395.9900000000002</v>
      </c>
      <c r="X896" s="12">
        <v>6.3899999999996453</v>
      </c>
      <c r="Y896" s="10">
        <v>2017</v>
      </c>
    </row>
    <row r="897" spans="1:25">
      <c r="A897" s="1" t="s">
        <v>2258</v>
      </c>
      <c r="B897" s="8">
        <v>43019</v>
      </c>
      <c r="C897" s="11" t="s">
        <v>3387</v>
      </c>
      <c r="D897" s="11" t="s">
        <v>3349</v>
      </c>
      <c r="E897" s="5">
        <v>43080</v>
      </c>
      <c r="F897" s="1" t="s">
        <v>162</v>
      </c>
      <c r="G897" s="1" t="s">
        <v>2259</v>
      </c>
      <c r="H897" s="1" t="s">
        <v>3849</v>
      </c>
      <c r="I897" s="1" t="s">
        <v>3850</v>
      </c>
      <c r="J897" s="1"/>
      <c r="K897" s="1" t="s">
        <v>41</v>
      </c>
      <c r="L897" s="1" t="s">
        <v>30</v>
      </c>
      <c r="M897" s="1" t="s">
        <v>110</v>
      </c>
      <c r="N897" s="1" t="s">
        <v>68</v>
      </c>
      <c r="O897" s="1">
        <v>94122</v>
      </c>
      <c r="P897" s="1" t="s">
        <v>44</v>
      </c>
      <c r="Q897" s="1" t="s">
        <v>2261</v>
      </c>
      <c r="R897" s="1" t="s">
        <v>46</v>
      </c>
      <c r="S897" s="7">
        <v>70.007999999999996</v>
      </c>
      <c r="T897" s="1">
        <v>9</v>
      </c>
      <c r="U897" s="9">
        <v>70</v>
      </c>
      <c r="V897" s="9">
        <v>630.072</v>
      </c>
      <c r="W897" s="9">
        <v>630</v>
      </c>
      <c r="X897" s="12">
        <v>7.2000000000002728E-2</v>
      </c>
      <c r="Y897" s="10">
        <v>2017</v>
      </c>
    </row>
    <row r="898" spans="1:25">
      <c r="A898" s="1" t="s">
        <v>2262</v>
      </c>
      <c r="B898" s="8">
        <v>42804</v>
      </c>
      <c r="C898" s="11" t="s">
        <v>3429</v>
      </c>
      <c r="D898" s="11" t="s">
        <v>3382</v>
      </c>
      <c r="E898" s="5">
        <v>42896</v>
      </c>
      <c r="F898" s="1" t="s">
        <v>26</v>
      </c>
      <c r="G898" s="1" t="s">
        <v>2263</v>
      </c>
      <c r="H898" s="1" t="s">
        <v>3851</v>
      </c>
      <c r="I898" s="1" t="s">
        <v>3852</v>
      </c>
      <c r="J898" s="1"/>
      <c r="K898" s="1" t="s">
        <v>29</v>
      </c>
      <c r="L898" s="1" t="s">
        <v>30</v>
      </c>
      <c r="M898" s="1" t="s">
        <v>172</v>
      </c>
      <c r="N898" s="1" t="s">
        <v>89</v>
      </c>
      <c r="O898" s="1">
        <v>77095</v>
      </c>
      <c r="P898" s="1" t="s">
        <v>90</v>
      </c>
      <c r="Q898" s="1" t="s">
        <v>2265</v>
      </c>
      <c r="R898" s="1" t="s">
        <v>46</v>
      </c>
      <c r="S898" s="7">
        <v>15.648</v>
      </c>
      <c r="T898" s="1">
        <v>7</v>
      </c>
      <c r="U898" s="9">
        <v>14.69</v>
      </c>
      <c r="V898" s="9">
        <v>109.536</v>
      </c>
      <c r="W898" s="9">
        <v>102.83</v>
      </c>
      <c r="X898" s="12">
        <v>6.7060000000000031</v>
      </c>
      <c r="Y898" s="10">
        <v>2017</v>
      </c>
    </row>
    <row r="899" spans="1:25">
      <c r="A899" s="1" t="s">
        <v>2266</v>
      </c>
      <c r="B899" s="8">
        <v>42256</v>
      </c>
      <c r="C899" s="11" t="s">
        <v>3356</v>
      </c>
      <c r="D899" s="11" t="s">
        <v>3345</v>
      </c>
      <c r="E899" s="5" t="s">
        <v>2267</v>
      </c>
      <c r="F899" s="1" t="s">
        <v>49</v>
      </c>
      <c r="G899" s="1" t="s">
        <v>2268</v>
      </c>
      <c r="H899" s="1" t="s">
        <v>3679</v>
      </c>
      <c r="I899" s="1" t="s">
        <v>3853</v>
      </c>
      <c r="J899" s="1"/>
      <c r="K899" s="1" t="s">
        <v>29</v>
      </c>
      <c r="L899" s="1" t="s">
        <v>30</v>
      </c>
      <c r="M899" s="1" t="s">
        <v>728</v>
      </c>
      <c r="N899" s="1" t="s">
        <v>209</v>
      </c>
      <c r="O899" s="1">
        <v>48227</v>
      </c>
      <c r="P899" s="1" t="s">
        <v>90</v>
      </c>
      <c r="Q899" s="1" t="s">
        <v>1354</v>
      </c>
      <c r="R899" s="1" t="s">
        <v>46</v>
      </c>
      <c r="S899" s="7">
        <v>103.6</v>
      </c>
      <c r="T899" s="1">
        <v>4</v>
      </c>
      <c r="U899" s="9">
        <v>103.15</v>
      </c>
      <c r="V899" s="9">
        <v>414.4</v>
      </c>
      <c r="W899" s="9">
        <v>412.6</v>
      </c>
      <c r="X899" s="12">
        <v>1.7999999999999545</v>
      </c>
      <c r="Y899" s="10">
        <v>2015</v>
      </c>
    </row>
    <row r="900" spans="1:25">
      <c r="A900" s="1" t="s">
        <v>2270</v>
      </c>
      <c r="B900" s="8">
        <v>43402</v>
      </c>
      <c r="C900" s="11" t="s">
        <v>3387</v>
      </c>
      <c r="D900" s="11" t="s">
        <v>3349</v>
      </c>
      <c r="E900" s="5" t="s">
        <v>2271</v>
      </c>
      <c r="F900" s="1" t="s">
        <v>26</v>
      </c>
      <c r="G900" s="1" t="s">
        <v>2272</v>
      </c>
      <c r="H900" s="1" t="s">
        <v>3854</v>
      </c>
      <c r="I900" s="1" t="s">
        <v>3855</v>
      </c>
      <c r="J900" s="1"/>
      <c r="K900" s="1" t="s">
        <v>41</v>
      </c>
      <c r="L900" s="1" t="s">
        <v>30</v>
      </c>
      <c r="M900" s="1" t="s">
        <v>1272</v>
      </c>
      <c r="N900" s="1" t="s">
        <v>234</v>
      </c>
      <c r="O900" s="1">
        <v>13021</v>
      </c>
      <c r="P900" s="1" t="s">
        <v>128</v>
      </c>
      <c r="Q900" s="1" t="s">
        <v>2274</v>
      </c>
      <c r="R900" s="1" t="s">
        <v>46</v>
      </c>
      <c r="S900" s="7">
        <v>46.96</v>
      </c>
      <c r="T900" s="1">
        <v>1</v>
      </c>
      <c r="U900" s="9">
        <v>46.9</v>
      </c>
      <c r="V900" s="9">
        <v>46.96</v>
      </c>
      <c r="W900" s="9">
        <v>46.9</v>
      </c>
      <c r="X900" s="12">
        <v>6.0000000000002274E-2</v>
      </c>
      <c r="Y900" s="10">
        <v>2018</v>
      </c>
    </row>
    <row r="901" spans="1:25">
      <c r="A901" s="1" t="s">
        <v>2275</v>
      </c>
      <c r="B901" s="8">
        <v>43012</v>
      </c>
      <c r="C901" s="11" t="s">
        <v>3387</v>
      </c>
      <c r="D901" s="11" t="s">
        <v>3349</v>
      </c>
      <c r="E901" s="5">
        <v>43073</v>
      </c>
      <c r="F901" s="1" t="s">
        <v>162</v>
      </c>
      <c r="G901" s="1" t="s">
        <v>2276</v>
      </c>
      <c r="H901" s="1" t="s">
        <v>3486</v>
      </c>
      <c r="I901" s="1" t="s">
        <v>3827</v>
      </c>
      <c r="J901" s="1"/>
      <c r="K901" s="1" t="s">
        <v>41</v>
      </c>
      <c r="L901" s="1" t="s">
        <v>30</v>
      </c>
      <c r="M901" s="1" t="s">
        <v>271</v>
      </c>
      <c r="N901" s="1" t="s">
        <v>421</v>
      </c>
      <c r="O901" s="1">
        <v>45503</v>
      </c>
      <c r="P901" s="1" t="s">
        <v>128</v>
      </c>
      <c r="Q901" s="1" t="s">
        <v>2278</v>
      </c>
      <c r="R901" s="1" t="s">
        <v>46</v>
      </c>
      <c r="S901" s="7">
        <v>8.9039999999999999</v>
      </c>
      <c r="T901" s="1">
        <v>4</v>
      </c>
      <c r="U901" s="9">
        <v>8.0399999999999991</v>
      </c>
      <c r="V901" s="9">
        <v>35.616</v>
      </c>
      <c r="W901" s="9">
        <v>32.159999999999997</v>
      </c>
      <c r="X901" s="12">
        <v>3.4560000000000031</v>
      </c>
      <c r="Y901" s="10">
        <v>2017</v>
      </c>
    </row>
    <row r="902" spans="1:25">
      <c r="A902" s="1" t="s">
        <v>2279</v>
      </c>
      <c r="B902" s="8">
        <v>43415</v>
      </c>
      <c r="C902" s="11" t="s">
        <v>3353</v>
      </c>
      <c r="D902" s="11" t="s">
        <v>3349</v>
      </c>
      <c r="E902" s="5" t="s">
        <v>649</v>
      </c>
      <c r="F902" s="1" t="s">
        <v>162</v>
      </c>
      <c r="G902" s="1" t="s">
        <v>1011</v>
      </c>
      <c r="H902" s="1" t="s">
        <v>3488</v>
      </c>
      <c r="I902" s="1" t="s">
        <v>3596</v>
      </c>
      <c r="J902" s="1"/>
      <c r="K902" s="1" t="s">
        <v>29</v>
      </c>
      <c r="L902" s="1" t="s">
        <v>30</v>
      </c>
      <c r="M902" s="1" t="s">
        <v>2280</v>
      </c>
      <c r="N902" s="1" t="s">
        <v>89</v>
      </c>
      <c r="O902" s="1">
        <v>75043</v>
      </c>
      <c r="P902" s="1" t="s">
        <v>90</v>
      </c>
      <c r="Q902" s="1" t="s">
        <v>2281</v>
      </c>
      <c r="R902" s="1" t="s">
        <v>46</v>
      </c>
      <c r="S902" s="7">
        <v>10.44</v>
      </c>
      <c r="T902" s="1">
        <v>7</v>
      </c>
      <c r="U902" s="9">
        <v>9.91</v>
      </c>
      <c r="V902" s="9">
        <v>73.08</v>
      </c>
      <c r="W902" s="9">
        <v>69.37</v>
      </c>
      <c r="X902" s="12">
        <v>3.7099999999999937</v>
      </c>
      <c r="Y902" s="10">
        <v>2018</v>
      </c>
    </row>
    <row r="903" spans="1:25">
      <c r="A903" s="1" t="s">
        <v>2279</v>
      </c>
      <c r="B903" s="8">
        <v>43415</v>
      </c>
      <c r="C903" s="11" t="s">
        <v>3353</v>
      </c>
      <c r="D903" s="11" t="s">
        <v>3349</v>
      </c>
      <c r="E903" s="5" t="s">
        <v>649</v>
      </c>
      <c r="F903" s="1" t="s">
        <v>162</v>
      </c>
      <c r="G903" s="1" t="s">
        <v>1011</v>
      </c>
      <c r="H903" s="1" t="s">
        <v>3488</v>
      </c>
      <c r="I903" s="1" t="s">
        <v>3596</v>
      </c>
      <c r="J903" s="1"/>
      <c r="K903" s="1" t="s">
        <v>29</v>
      </c>
      <c r="L903" s="1" t="s">
        <v>30</v>
      </c>
      <c r="M903" s="1" t="s">
        <v>2280</v>
      </c>
      <c r="N903" s="1" t="s">
        <v>89</v>
      </c>
      <c r="O903" s="1">
        <v>75043</v>
      </c>
      <c r="P903" s="1" t="s">
        <v>90</v>
      </c>
      <c r="Q903" s="1" t="s">
        <v>2282</v>
      </c>
      <c r="R903" s="1" t="s">
        <v>46</v>
      </c>
      <c r="S903" s="7">
        <v>18.335999999999999</v>
      </c>
      <c r="T903" s="1">
        <v>7</v>
      </c>
      <c r="U903" s="9">
        <v>17.690000000000001</v>
      </c>
      <c r="V903" s="9">
        <v>128.35199999999998</v>
      </c>
      <c r="W903" s="9">
        <v>123.83000000000001</v>
      </c>
      <c r="X903" s="12">
        <v>4.5219999999999629</v>
      </c>
      <c r="Y903" s="10">
        <v>2018</v>
      </c>
    </row>
    <row r="904" spans="1:25">
      <c r="A904" s="1" t="s">
        <v>2283</v>
      </c>
      <c r="B904" s="8">
        <v>43358</v>
      </c>
      <c r="C904" s="11" t="s">
        <v>3356</v>
      </c>
      <c r="D904" s="11" t="s">
        <v>3345</v>
      </c>
      <c r="E904" s="5" t="s">
        <v>280</v>
      </c>
      <c r="F904" s="1" t="s">
        <v>162</v>
      </c>
      <c r="G904" s="1" t="s">
        <v>533</v>
      </c>
      <c r="H904" s="1" t="s">
        <v>3462</v>
      </c>
      <c r="I904" s="1" t="s">
        <v>3494</v>
      </c>
      <c r="J904" s="1"/>
      <c r="K904" s="1" t="s">
        <v>29</v>
      </c>
      <c r="L904" s="1" t="s">
        <v>30</v>
      </c>
      <c r="M904" s="1" t="s">
        <v>259</v>
      </c>
      <c r="N904" s="1" t="s">
        <v>182</v>
      </c>
      <c r="O904" s="1">
        <v>60653</v>
      </c>
      <c r="P904" s="1" t="s">
        <v>90</v>
      </c>
      <c r="Q904" s="1" t="s">
        <v>542</v>
      </c>
      <c r="R904" s="1" t="s">
        <v>64</v>
      </c>
      <c r="S904" s="7">
        <v>323.976</v>
      </c>
      <c r="T904" s="1">
        <v>6</v>
      </c>
      <c r="U904" s="9">
        <v>323.14</v>
      </c>
      <c r="V904" s="9">
        <v>1943.856</v>
      </c>
      <c r="W904" s="9">
        <v>1938.84</v>
      </c>
      <c r="X904" s="12">
        <v>5.0160000000000764</v>
      </c>
      <c r="Y904" s="10">
        <v>2018</v>
      </c>
    </row>
    <row r="905" spans="1:25">
      <c r="A905" s="1" t="s">
        <v>2284</v>
      </c>
      <c r="B905" s="8">
        <v>42951</v>
      </c>
      <c r="C905" s="11" t="s">
        <v>3344</v>
      </c>
      <c r="D905" s="11" t="s">
        <v>3345</v>
      </c>
      <c r="E905" s="5">
        <v>43073</v>
      </c>
      <c r="F905" s="1" t="s">
        <v>49</v>
      </c>
      <c r="G905" s="1" t="s">
        <v>675</v>
      </c>
      <c r="H905" s="1" t="s">
        <v>3529</v>
      </c>
      <c r="I905" s="1" t="s">
        <v>3530</v>
      </c>
      <c r="J905" s="1"/>
      <c r="K905" s="1" t="s">
        <v>29</v>
      </c>
      <c r="L905" s="1" t="s">
        <v>30</v>
      </c>
      <c r="M905" s="1" t="s">
        <v>42</v>
      </c>
      <c r="N905" s="1" t="s">
        <v>68</v>
      </c>
      <c r="O905" s="1">
        <v>90032</v>
      </c>
      <c r="P905" s="1" t="s">
        <v>44</v>
      </c>
      <c r="Q905" s="1" t="s">
        <v>2285</v>
      </c>
      <c r="R905" s="1" t="s">
        <v>46</v>
      </c>
      <c r="S905" s="7">
        <v>20.04</v>
      </c>
      <c r="T905" s="1">
        <v>9</v>
      </c>
      <c r="U905" s="9">
        <v>19.88</v>
      </c>
      <c r="V905" s="9">
        <v>180.35999999999999</v>
      </c>
      <c r="W905" s="9">
        <v>178.92</v>
      </c>
      <c r="X905" s="12">
        <v>1.4399999999999977</v>
      </c>
      <c r="Y905" s="10">
        <v>2017</v>
      </c>
    </row>
    <row r="906" spans="1:25">
      <c r="A906" s="1" t="s">
        <v>2284</v>
      </c>
      <c r="B906" s="8">
        <v>42951</v>
      </c>
      <c r="C906" s="11" t="s">
        <v>3344</v>
      </c>
      <c r="D906" s="11" t="s">
        <v>3345</v>
      </c>
      <c r="E906" s="5">
        <v>43073</v>
      </c>
      <c r="F906" s="1" t="s">
        <v>49</v>
      </c>
      <c r="G906" s="1" t="s">
        <v>675</v>
      </c>
      <c r="H906" s="1" t="s">
        <v>3529</v>
      </c>
      <c r="I906" s="1" t="s">
        <v>3530</v>
      </c>
      <c r="J906" s="1"/>
      <c r="K906" s="1" t="s">
        <v>29</v>
      </c>
      <c r="L906" s="1" t="s">
        <v>30</v>
      </c>
      <c r="M906" s="1" t="s">
        <v>42</v>
      </c>
      <c r="N906" s="1" t="s">
        <v>68</v>
      </c>
      <c r="O906" s="1">
        <v>90032</v>
      </c>
      <c r="P906" s="1" t="s">
        <v>44</v>
      </c>
      <c r="Q906" s="1" t="s">
        <v>1810</v>
      </c>
      <c r="R906" s="1" t="s">
        <v>46</v>
      </c>
      <c r="S906" s="7">
        <v>64.959999999999994</v>
      </c>
      <c r="T906" s="1">
        <v>9</v>
      </c>
      <c r="U906" s="9">
        <v>64.81</v>
      </c>
      <c r="V906" s="9">
        <v>584.64</v>
      </c>
      <c r="W906" s="9">
        <v>583.29</v>
      </c>
      <c r="X906" s="12">
        <v>1.3500000000000227</v>
      </c>
      <c r="Y906" s="10">
        <v>2017</v>
      </c>
    </row>
    <row r="907" spans="1:25">
      <c r="A907" s="1" t="s">
        <v>2284</v>
      </c>
      <c r="B907" s="8">
        <v>42951</v>
      </c>
      <c r="C907" s="11" t="s">
        <v>3344</v>
      </c>
      <c r="D907" s="11" t="s">
        <v>3345</v>
      </c>
      <c r="E907" s="5">
        <v>43073</v>
      </c>
      <c r="F907" s="1" t="s">
        <v>49</v>
      </c>
      <c r="G907" s="1" t="s">
        <v>675</v>
      </c>
      <c r="H907" s="1" t="s">
        <v>3529</v>
      </c>
      <c r="I907" s="1" t="s">
        <v>3530</v>
      </c>
      <c r="J907" s="1"/>
      <c r="K907" s="1" t="s">
        <v>29</v>
      </c>
      <c r="L907" s="1" t="s">
        <v>30</v>
      </c>
      <c r="M907" s="1" t="s">
        <v>42</v>
      </c>
      <c r="N907" s="1" t="s">
        <v>68</v>
      </c>
      <c r="O907" s="1">
        <v>90032</v>
      </c>
      <c r="P907" s="1" t="s">
        <v>44</v>
      </c>
      <c r="Q907" s="1" t="s">
        <v>2286</v>
      </c>
      <c r="R907" s="1" t="s">
        <v>46</v>
      </c>
      <c r="S907" s="7">
        <v>12.96</v>
      </c>
      <c r="T907" s="1">
        <v>9</v>
      </c>
      <c r="U907" s="9">
        <v>12.63</v>
      </c>
      <c r="V907" s="9">
        <v>116.64000000000001</v>
      </c>
      <c r="W907" s="9">
        <v>113.67</v>
      </c>
      <c r="X907" s="12">
        <v>2.9700000000000131</v>
      </c>
      <c r="Y907" s="10">
        <v>2017</v>
      </c>
    </row>
    <row r="908" spans="1:25">
      <c r="A908" s="1" t="s">
        <v>2287</v>
      </c>
      <c r="B908" s="8">
        <v>43464</v>
      </c>
      <c r="C908" s="11" t="s">
        <v>3348</v>
      </c>
      <c r="D908" s="11" t="s">
        <v>3349</v>
      </c>
      <c r="E908" s="5">
        <v>43525</v>
      </c>
      <c r="F908" s="1" t="s">
        <v>49</v>
      </c>
      <c r="G908" s="1" t="s">
        <v>206</v>
      </c>
      <c r="H908" s="1" t="s">
        <v>3402</v>
      </c>
      <c r="I908" s="1" t="s">
        <v>3355</v>
      </c>
      <c r="J908" s="1"/>
      <c r="K908" s="1" t="s">
        <v>29</v>
      </c>
      <c r="L908" s="1" t="s">
        <v>30</v>
      </c>
      <c r="M908" s="1" t="s">
        <v>233</v>
      </c>
      <c r="N908" s="1" t="s">
        <v>234</v>
      </c>
      <c r="O908" s="1">
        <v>10009</v>
      </c>
      <c r="P908" s="1" t="s">
        <v>128</v>
      </c>
      <c r="Q908" s="1" t="s">
        <v>2288</v>
      </c>
      <c r="R908" s="1" t="s">
        <v>35</v>
      </c>
      <c r="S908" s="7">
        <v>323.13600000000002</v>
      </c>
      <c r="T908" s="1">
        <v>1</v>
      </c>
      <c r="U908" s="9">
        <v>322.23</v>
      </c>
      <c r="V908" s="9">
        <v>323.13600000000002</v>
      </c>
      <c r="W908" s="9">
        <v>322.23</v>
      </c>
      <c r="X908" s="12">
        <v>0.90600000000000591</v>
      </c>
      <c r="Y908" s="10">
        <v>2018</v>
      </c>
    </row>
    <row r="909" spans="1:25">
      <c r="A909" s="1" t="s">
        <v>2287</v>
      </c>
      <c r="B909" s="8">
        <v>43464</v>
      </c>
      <c r="C909" s="11" t="s">
        <v>3348</v>
      </c>
      <c r="D909" s="11" t="s">
        <v>3349</v>
      </c>
      <c r="E909" s="5">
        <v>43525</v>
      </c>
      <c r="F909" s="1" t="s">
        <v>49</v>
      </c>
      <c r="G909" s="1" t="s">
        <v>206</v>
      </c>
      <c r="H909" s="1" t="s">
        <v>3402</v>
      </c>
      <c r="I909" s="1" t="s">
        <v>3355</v>
      </c>
      <c r="J909" s="1"/>
      <c r="K909" s="1" t="s">
        <v>29</v>
      </c>
      <c r="L909" s="1" t="s">
        <v>30</v>
      </c>
      <c r="M909" s="1" t="s">
        <v>233</v>
      </c>
      <c r="N909" s="1" t="s">
        <v>234</v>
      </c>
      <c r="O909" s="1">
        <v>10009</v>
      </c>
      <c r="P909" s="1" t="s">
        <v>128</v>
      </c>
      <c r="Q909" s="1" t="s">
        <v>2289</v>
      </c>
      <c r="R909" s="1" t="s">
        <v>64</v>
      </c>
      <c r="S909" s="7">
        <v>90.93</v>
      </c>
      <c r="T909" s="1">
        <v>1</v>
      </c>
      <c r="U909" s="9">
        <v>90.18</v>
      </c>
      <c r="V909" s="9">
        <v>90.93</v>
      </c>
      <c r="W909" s="9">
        <v>90.18</v>
      </c>
      <c r="X909" s="12">
        <v>0.75</v>
      </c>
      <c r="Y909" s="10">
        <v>2018</v>
      </c>
    </row>
    <row r="910" spans="1:25">
      <c r="A910" s="1" t="s">
        <v>2287</v>
      </c>
      <c r="B910" s="8">
        <v>43464</v>
      </c>
      <c r="C910" s="11" t="s">
        <v>3348</v>
      </c>
      <c r="D910" s="11" t="s">
        <v>3349</v>
      </c>
      <c r="E910" s="5">
        <v>43525</v>
      </c>
      <c r="F910" s="1" t="s">
        <v>49</v>
      </c>
      <c r="G910" s="1" t="s">
        <v>206</v>
      </c>
      <c r="H910" s="1" t="s">
        <v>3402</v>
      </c>
      <c r="I910" s="1" t="s">
        <v>3355</v>
      </c>
      <c r="J910" s="1"/>
      <c r="K910" s="1" t="s">
        <v>29</v>
      </c>
      <c r="L910" s="1" t="s">
        <v>30</v>
      </c>
      <c r="M910" s="1" t="s">
        <v>233</v>
      </c>
      <c r="N910" s="1" t="s">
        <v>234</v>
      </c>
      <c r="O910" s="1">
        <v>10009</v>
      </c>
      <c r="P910" s="1" t="s">
        <v>128</v>
      </c>
      <c r="Q910" s="1" t="s">
        <v>2290</v>
      </c>
      <c r="R910" s="1" t="s">
        <v>46</v>
      </c>
      <c r="S910" s="7">
        <v>52.776000000000003</v>
      </c>
      <c r="T910" s="1">
        <v>1</v>
      </c>
      <c r="U910" s="9">
        <v>52.06</v>
      </c>
      <c r="V910" s="9">
        <v>52.776000000000003</v>
      </c>
      <c r="W910" s="9">
        <v>52.06</v>
      </c>
      <c r="X910" s="12">
        <v>0.71600000000000108</v>
      </c>
      <c r="Y910" s="10">
        <v>2018</v>
      </c>
    </row>
    <row r="911" spans="1:25">
      <c r="A911" s="1" t="s">
        <v>2291</v>
      </c>
      <c r="B911" s="8">
        <v>43140</v>
      </c>
      <c r="C911" s="11" t="s">
        <v>3461</v>
      </c>
      <c r="D911" s="11" t="s">
        <v>3382</v>
      </c>
      <c r="E911" s="5">
        <v>43290</v>
      </c>
      <c r="F911" s="1" t="s">
        <v>49</v>
      </c>
      <c r="G911" s="1" t="s">
        <v>2292</v>
      </c>
      <c r="H911" s="1" t="s">
        <v>3702</v>
      </c>
      <c r="I911" s="1" t="s">
        <v>3856</v>
      </c>
      <c r="J911" s="1"/>
      <c r="K911" s="1" t="s">
        <v>87</v>
      </c>
      <c r="L911" s="1" t="s">
        <v>30</v>
      </c>
      <c r="M911" s="1" t="s">
        <v>281</v>
      </c>
      <c r="N911" s="1" t="s">
        <v>209</v>
      </c>
      <c r="O911" s="1">
        <v>49201</v>
      </c>
      <c r="P911" s="1" t="s">
        <v>90</v>
      </c>
      <c r="Q911" s="1" t="s">
        <v>2294</v>
      </c>
      <c r="R911" s="1" t="s">
        <v>64</v>
      </c>
      <c r="S911" s="7">
        <v>1199.8</v>
      </c>
      <c r="T911" s="1">
        <v>4</v>
      </c>
      <c r="U911" s="9">
        <v>1199.52</v>
      </c>
      <c r="V911" s="9">
        <v>4799.2</v>
      </c>
      <c r="W911" s="9">
        <v>4798.08</v>
      </c>
      <c r="X911" s="12">
        <v>1.1199999999998909</v>
      </c>
      <c r="Y911" s="10">
        <v>2018</v>
      </c>
    </row>
    <row r="912" spans="1:25">
      <c r="A912" s="1" t="s">
        <v>2291</v>
      </c>
      <c r="B912" s="8">
        <v>43140</v>
      </c>
      <c r="C912" s="11" t="s">
        <v>3461</v>
      </c>
      <c r="D912" s="11" t="s">
        <v>3382</v>
      </c>
      <c r="E912" s="5">
        <v>43290</v>
      </c>
      <c r="F912" s="1" t="s">
        <v>49</v>
      </c>
      <c r="G912" s="1" t="s">
        <v>2292</v>
      </c>
      <c r="H912" s="1" t="s">
        <v>3702</v>
      </c>
      <c r="I912" s="1" t="s">
        <v>3856</v>
      </c>
      <c r="J912" s="1"/>
      <c r="K912" s="1" t="s">
        <v>87</v>
      </c>
      <c r="L912" s="1" t="s">
        <v>30</v>
      </c>
      <c r="M912" s="1" t="s">
        <v>281</v>
      </c>
      <c r="N912" s="1" t="s">
        <v>209</v>
      </c>
      <c r="O912" s="1">
        <v>49201</v>
      </c>
      <c r="P912" s="1" t="s">
        <v>90</v>
      </c>
      <c r="Q912" s="1" t="s">
        <v>2295</v>
      </c>
      <c r="R912" s="1" t="s">
        <v>64</v>
      </c>
      <c r="S912" s="7">
        <v>1928.78</v>
      </c>
      <c r="T912" s="1">
        <v>4</v>
      </c>
      <c r="U912" s="9">
        <v>1928.37</v>
      </c>
      <c r="V912" s="9">
        <v>7715.12</v>
      </c>
      <c r="W912" s="9">
        <v>7713.48</v>
      </c>
      <c r="X912" s="12">
        <v>1.6400000000003274</v>
      </c>
      <c r="Y912" s="10">
        <v>2018</v>
      </c>
    </row>
    <row r="913" spans="1:25">
      <c r="A913" s="1" t="s">
        <v>2291</v>
      </c>
      <c r="B913" s="8">
        <v>43140</v>
      </c>
      <c r="C913" s="11" t="s">
        <v>3461</v>
      </c>
      <c r="D913" s="11" t="s">
        <v>3382</v>
      </c>
      <c r="E913" s="5">
        <v>43290</v>
      </c>
      <c r="F913" s="1" t="s">
        <v>49</v>
      </c>
      <c r="G913" s="1" t="s">
        <v>2292</v>
      </c>
      <c r="H913" s="1" t="s">
        <v>3702</v>
      </c>
      <c r="I913" s="1" t="s">
        <v>3856</v>
      </c>
      <c r="J913" s="1"/>
      <c r="K913" s="1" t="s">
        <v>87</v>
      </c>
      <c r="L913" s="1" t="s">
        <v>30</v>
      </c>
      <c r="M913" s="1" t="s">
        <v>281</v>
      </c>
      <c r="N913" s="1" t="s">
        <v>209</v>
      </c>
      <c r="O913" s="1">
        <v>49201</v>
      </c>
      <c r="P913" s="1" t="s">
        <v>90</v>
      </c>
      <c r="Q913" s="1" t="s">
        <v>2296</v>
      </c>
      <c r="R913" s="1" t="s">
        <v>46</v>
      </c>
      <c r="S913" s="7">
        <v>352.38</v>
      </c>
      <c r="T913" s="1">
        <v>4</v>
      </c>
      <c r="U913" s="9">
        <v>352.29</v>
      </c>
      <c r="V913" s="9">
        <v>1409.52</v>
      </c>
      <c r="W913" s="9">
        <v>1409.16</v>
      </c>
      <c r="X913" s="12">
        <v>0.35999999999989996</v>
      </c>
      <c r="Y913" s="10">
        <v>2018</v>
      </c>
    </row>
    <row r="914" spans="1:25">
      <c r="A914" s="1" t="s">
        <v>2297</v>
      </c>
      <c r="B914" s="8">
        <v>42521</v>
      </c>
      <c r="C914" s="11" t="s">
        <v>3363</v>
      </c>
      <c r="D914" s="11" t="s">
        <v>3360</v>
      </c>
      <c r="E914" s="5">
        <v>42557</v>
      </c>
      <c r="F914" s="1" t="s">
        <v>49</v>
      </c>
      <c r="G914" s="1" t="s">
        <v>2298</v>
      </c>
      <c r="H914" s="1" t="s">
        <v>3857</v>
      </c>
      <c r="I914" s="1" t="s">
        <v>3858</v>
      </c>
      <c r="J914" s="1" t="s">
        <v>3859</v>
      </c>
      <c r="K914" s="1" t="s">
        <v>87</v>
      </c>
      <c r="L914" s="1" t="s">
        <v>30</v>
      </c>
      <c r="M914" s="1" t="s">
        <v>2300</v>
      </c>
      <c r="N914" s="1" t="s">
        <v>617</v>
      </c>
      <c r="O914" s="1">
        <v>6360</v>
      </c>
      <c r="P914" s="1" t="s">
        <v>128</v>
      </c>
      <c r="Q914" s="1" t="s">
        <v>1107</v>
      </c>
      <c r="R914" s="1" t="s">
        <v>35</v>
      </c>
      <c r="S914" s="7">
        <v>22.2</v>
      </c>
      <c r="T914" s="1">
        <v>6</v>
      </c>
      <c r="U914" s="9">
        <v>21.9</v>
      </c>
      <c r="V914" s="9">
        <v>133.19999999999999</v>
      </c>
      <c r="W914" s="9">
        <v>131.39999999999998</v>
      </c>
      <c r="X914" s="12">
        <v>1.8000000000000114</v>
      </c>
      <c r="Y914" s="10">
        <v>2016</v>
      </c>
    </row>
    <row r="915" spans="1:25">
      <c r="A915" s="1" t="s">
        <v>2301</v>
      </c>
      <c r="B915" s="8">
        <v>43431</v>
      </c>
      <c r="C915" s="11" t="s">
        <v>3353</v>
      </c>
      <c r="D915" s="11" t="s">
        <v>3349</v>
      </c>
      <c r="E915" s="5" t="s">
        <v>2302</v>
      </c>
      <c r="F915" s="1" t="s">
        <v>162</v>
      </c>
      <c r="G915" s="1" t="s">
        <v>2136</v>
      </c>
      <c r="H915" s="1" t="s">
        <v>3687</v>
      </c>
      <c r="I915" s="1" t="s">
        <v>3831</v>
      </c>
      <c r="J915" s="1"/>
      <c r="K915" s="1" t="s">
        <v>41</v>
      </c>
      <c r="L915" s="1" t="s">
        <v>30</v>
      </c>
      <c r="M915" s="1" t="s">
        <v>2093</v>
      </c>
      <c r="N915" s="1" t="s">
        <v>98</v>
      </c>
      <c r="O915" s="1">
        <v>53209</v>
      </c>
      <c r="P915" s="1" t="s">
        <v>90</v>
      </c>
      <c r="Q915" s="1" t="s">
        <v>885</v>
      </c>
      <c r="R915" s="1" t="s">
        <v>35</v>
      </c>
      <c r="S915" s="7">
        <v>46.94</v>
      </c>
      <c r="T915" s="1">
        <v>5</v>
      </c>
      <c r="U915" s="9">
        <v>46.19</v>
      </c>
      <c r="V915" s="9">
        <v>234.7</v>
      </c>
      <c r="W915" s="9">
        <v>230.95</v>
      </c>
      <c r="X915" s="12">
        <v>3.75</v>
      </c>
      <c r="Y915" s="10">
        <v>2018</v>
      </c>
    </row>
    <row r="916" spans="1:25">
      <c r="A916" s="1" t="s">
        <v>2301</v>
      </c>
      <c r="B916" s="8">
        <v>43431</v>
      </c>
      <c r="C916" s="11" t="s">
        <v>3353</v>
      </c>
      <c r="D916" s="11" t="s">
        <v>3349</v>
      </c>
      <c r="E916" s="5" t="s">
        <v>2302</v>
      </c>
      <c r="F916" s="1" t="s">
        <v>162</v>
      </c>
      <c r="G916" s="1" t="s">
        <v>2136</v>
      </c>
      <c r="H916" s="1" t="s">
        <v>3687</v>
      </c>
      <c r="I916" s="1" t="s">
        <v>3831</v>
      </c>
      <c r="J916" s="1"/>
      <c r="K916" s="1" t="s">
        <v>41</v>
      </c>
      <c r="L916" s="1" t="s">
        <v>30</v>
      </c>
      <c r="M916" s="1" t="s">
        <v>2093</v>
      </c>
      <c r="N916" s="1" t="s">
        <v>98</v>
      </c>
      <c r="O916" s="1">
        <v>53209</v>
      </c>
      <c r="P916" s="1" t="s">
        <v>90</v>
      </c>
      <c r="Q916" s="1" t="s">
        <v>1286</v>
      </c>
      <c r="R916" s="1" t="s">
        <v>64</v>
      </c>
      <c r="S916" s="7">
        <v>143.72999999999999</v>
      </c>
      <c r="T916" s="1">
        <v>5</v>
      </c>
      <c r="U916" s="9">
        <v>143.66999999999999</v>
      </c>
      <c r="V916" s="9">
        <v>718.65</v>
      </c>
      <c r="W916" s="9">
        <v>718.34999999999991</v>
      </c>
      <c r="X916" s="12">
        <v>0.30000000000006821</v>
      </c>
      <c r="Y916" s="10">
        <v>2018</v>
      </c>
    </row>
    <row r="917" spans="1:25">
      <c r="A917" s="1" t="s">
        <v>2303</v>
      </c>
      <c r="B917" s="8">
        <v>42170</v>
      </c>
      <c r="C917" s="11" t="s">
        <v>3403</v>
      </c>
      <c r="D917" s="11" t="s">
        <v>3360</v>
      </c>
      <c r="E917" s="5" t="s">
        <v>2304</v>
      </c>
      <c r="F917" s="1" t="s">
        <v>49</v>
      </c>
      <c r="G917" s="1" t="s">
        <v>882</v>
      </c>
      <c r="H917" s="1" t="s">
        <v>3547</v>
      </c>
      <c r="I917" s="1" t="s">
        <v>3571</v>
      </c>
      <c r="J917" s="1"/>
      <c r="K917" s="1" t="s">
        <v>41</v>
      </c>
      <c r="L917" s="1" t="s">
        <v>30</v>
      </c>
      <c r="M917" s="1" t="s">
        <v>565</v>
      </c>
      <c r="N917" s="1" t="s">
        <v>89</v>
      </c>
      <c r="O917" s="1">
        <v>78207</v>
      </c>
      <c r="P917" s="1" t="s">
        <v>90</v>
      </c>
      <c r="Q917" s="1" t="s">
        <v>2305</v>
      </c>
      <c r="R917" s="1" t="s">
        <v>35</v>
      </c>
      <c r="S917" s="7">
        <v>99.918000000000006</v>
      </c>
      <c r="T917" s="1">
        <v>7</v>
      </c>
      <c r="U917" s="9">
        <v>99.41</v>
      </c>
      <c r="V917" s="9">
        <v>699.42600000000004</v>
      </c>
      <c r="W917" s="9">
        <v>695.87</v>
      </c>
      <c r="X917" s="12">
        <v>3.55600000000004</v>
      </c>
      <c r="Y917" s="10">
        <v>2015</v>
      </c>
    </row>
    <row r="918" spans="1:25">
      <c r="A918" s="1" t="s">
        <v>2303</v>
      </c>
      <c r="B918" s="8">
        <v>42170</v>
      </c>
      <c r="C918" s="11" t="s">
        <v>3403</v>
      </c>
      <c r="D918" s="11" t="s">
        <v>3360</v>
      </c>
      <c r="E918" s="5" t="s">
        <v>2304</v>
      </c>
      <c r="F918" s="1" t="s">
        <v>49</v>
      </c>
      <c r="G918" s="1" t="s">
        <v>882</v>
      </c>
      <c r="H918" s="1" t="s">
        <v>3547</v>
      </c>
      <c r="I918" s="1" t="s">
        <v>3571</v>
      </c>
      <c r="J918" s="1"/>
      <c r="K918" s="1" t="s">
        <v>41</v>
      </c>
      <c r="L918" s="1" t="s">
        <v>30</v>
      </c>
      <c r="M918" s="1" t="s">
        <v>565</v>
      </c>
      <c r="N918" s="1" t="s">
        <v>89</v>
      </c>
      <c r="O918" s="1">
        <v>78207</v>
      </c>
      <c r="P918" s="1" t="s">
        <v>90</v>
      </c>
      <c r="Q918" s="1" t="s">
        <v>1460</v>
      </c>
      <c r="R918" s="1" t="s">
        <v>35</v>
      </c>
      <c r="S918" s="7">
        <v>797.94399999999996</v>
      </c>
      <c r="T918" s="1">
        <v>7</v>
      </c>
      <c r="U918" s="9">
        <v>797.92</v>
      </c>
      <c r="V918" s="9">
        <v>5585.6080000000002</v>
      </c>
      <c r="W918" s="9">
        <v>5585.44</v>
      </c>
      <c r="X918" s="12">
        <v>0.1680000000005748</v>
      </c>
      <c r="Y918" s="10">
        <v>2015</v>
      </c>
    </row>
    <row r="919" spans="1:25">
      <c r="A919" s="1" t="s">
        <v>2303</v>
      </c>
      <c r="B919" s="8">
        <v>42170</v>
      </c>
      <c r="C919" s="11" t="s">
        <v>3403</v>
      </c>
      <c r="D919" s="11" t="s">
        <v>3360</v>
      </c>
      <c r="E919" s="5" t="s">
        <v>2304</v>
      </c>
      <c r="F919" s="1" t="s">
        <v>49</v>
      </c>
      <c r="G919" s="1" t="s">
        <v>882</v>
      </c>
      <c r="H919" s="1" t="s">
        <v>3547</v>
      </c>
      <c r="I919" s="1" t="s">
        <v>3571</v>
      </c>
      <c r="J919" s="1"/>
      <c r="K919" s="1" t="s">
        <v>41</v>
      </c>
      <c r="L919" s="1" t="s">
        <v>30</v>
      </c>
      <c r="M919" s="1" t="s">
        <v>565</v>
      </c>
      <c r="N919" s="1" t="s">
        <v>89</v>
      </c>
      <c r="O919" s="1">
        <v>78207</v>
      </c>
      <c r="P919" s="1" t="s">
        <v>90</v>
      </c>
      <c r="Q919" s="1" t="s">
        <v>896</v>
      </c>
      <c r="R919" s="1" t="s">
        <v>46</v>
      </c>
      <c r="S919" s="7">
        <v>8.5679999999999996</v>
      </c>
      <c r="T919" s="1">
        <v>7</v>
      </c>
      <c r="U919" s="9">
        <v>8.44</v>
      </c>
      <c r="V919" s="9">
        <v>59.975999999999999</v>
      </c>
      <c r="W919" s="9">
        <v>59.08</v>
      </c>
      <c r="X919" s="12">
        <v>0.8960000000000008</v>
      </c>
      <c r="Y919" s="10">
        <v>2015</v>
      </c>
    </row>
    <row r="920" spans="1:25">
      <c r="A920" s="1" t="s">
        <v>2306</v>
      </c>
      <c r="B920" s="8">
        <v>42858</v>
      </c>
      <c r="C920" s="11" t="s">
        <v>3363</v>
      </c>
      <c r="D920" s="11" t="s">
        <v>3360</v>
      </c>
      <c r="E920" s="5">
        <v>43042</v>
      </c>
      <c r="F920" s="1" t="s">
        <v>49</v>
      </c>
      <c r="G920" s="1" t="s">
        <v>2307</v>
      </c>
      <c r="H920" s="1" t="s">
        <v>3693</v>
      </c>
      <c r="I920" s="1" t="s">
        <v>3860</v>
      </c>
      <c r="J920" s="1"/>
      <c r="K920" s="1" t="s">
        <v>41</v>
      </c>
      <c r="L920" s="1" t="s">
        <v>30</v>
      </c>
      <c r="M920" s="1" t="s">
        <v>677</v>
      </c>
      <c r="N920" s="1" t="s">
        <v>89</v>
      </c>
      <c r="O920" s="1">
        <v>75220</v>
      </c>
      <c r="P920" s="1" t="s">
        <v>90</v>
      </c>
      <c r="Q920" s="1" t="s">
        <v>2018</v>
      </c>
      <c r="R920" s="1" t="s">
        <v>46</v>
      </c>
      <c r="S920" s="7">
        <v>149.352</v>
      </c>
      <c r="T920" s="1">
        <v>7</v>
      </c>
      <c r="U920" s="9">
        <v>148.94999999999999</v>
      </c>
      <c r="V920" s="9">
        <v>1045.4639999999999</v>
      </c>
      <c r="W920" s="9">
        <v>1042.6499999999999</v>
      </c>
      <c r="X920" s="12">
        <v>2.8140000000000782</v>
      </c>
      <c r="Y920" s="10">
        <v>2017</v>
      </c>
    </row>
    <row r="921" spans="1:25">
      <c r="A921" s="1" t="s">
        <v>2306</v>
      </c>
      <c r="B921" s="8">
        <v>42858</v>
      </c>
      <c r="C921" s="11" t="s">
        <v>3363</v>
      </c>
      <c r="D921" s="11" t="s">
        <v>3360</v>
      </c>
      <c r="E921" s="5">
        <v>43042</v>
      </c>
      <c r="F921" s="1" t="s">
        <v>49</v>
      </c>
      <c r="G921" s="1" t="s">
        <v>2307</v>
      </c>
      <c r="H921" s="1" t="s">
        <v>3693</v>
      </c>
      <c r="I921" s="1" t="s">
        <v>3860</v>
      </c>
      <c r="J921" s="1"/>
      <c r="K921" s="1" t="s">
        <v>41</v>
      </c>
      <c r="L921" s="1" t="s">
        <v>30</v>
      </c>
      <c r="M921" s="1" t="s">
        <v>677</v>
      </c>
      <c r="N921" s="1" t="s">
        <v>89</v>
      </c>
      <c r="O921" s="1">
        <v>75220</v>
      </c>
      <c r="P921" s="1" t="s">
        <v>90</v>
      </c>
      <c r="Q921" s="1" t="s">
        <v>2309</v>
      </c>
      <c r="R921" s="1" t="s">
        <v>46</v>
      </c>
      <c r="S921" s="7">
        <v>12.992000000000001</v>
      </c>
      <c r="T921" s="1">
        <v>7</v>
      </c>
      <c r="U921" s="9">
        <v>12.26</v>
      </c>
      <c r="V921" s="9">
        <v>90.944000000000003</v>
      </c>
      <c r="W921" s="9">
        <v>85.82</v>
      </c>
      <c r="X921" s="12">
        <v>5.1240000000000094</v>
      </c>
      <c r="Y921" s="10">
        <v>2017</v>
      </c>
    </row>
    <row r="922" spans="1:25">
      <c r="A922" s="1" t="s">
        <v>2310</v>
      </c>
      <c r="B922" s="8">
        <v>42136</v>
      </c>
      <c r="C922" s="11" t="s">
        <v>3363</v>
      </c>
      <c r="D922" s="11" t="s">
        <v>3360</v>
      </c>
      <c r="E922" s="5">
        <v>42350</v>
      </c>
      <c r="F922" s="1" t="s">
        <v>49</v>
      </c>
      <c r="G922" s="1" t="s">
        <v>807</v>
      </c>
      <c r="H922" s="1" t="s">
        <v>3557</v>
      </c>
      <c r="I922" s="1" t="s">
        <v>3558</v>
      </c>
      <c r="J922" s="1"/>
      <c r="K922" s="1" t="s">
        <v>29</v>
      </c>
      <c r="L922" s="1" t="s">
        <v>30</v>
      </c>
      <c r="M922" s="1" t="s">
        <v>2311</v>
      </c>
      <c r="N922" s="1" t="s">
        <v>272</v>
      </c>
      <c r="O922" s="1">
        <v>22304</v>
      </c>
      <c r="P922" s="1" t="s">
        <v>33</v>
      </c>
      <c r="Q922" s="1" t="s">
        <v>1830</v>
      </c>
      <c r="R922" s="1" t="s">
        <v>46</v>
      </c>
      <c r="S922" s="7">
        <v>24.56</v>
      </c>
      <c r="T922" s="1">
        <v>2</v>
      </c>
      <c r="U922" s="9">
        <v>24.01</v>
      </c>
      <c r="V922" s="9">
        <v>49.12</v>
      </c>
      <c r="W922" s="9">
        <v>48.02</v>
      </c>
      <c r="X922" s="12">
        <v>1.0999999999999943</v>
      </c>
      <c r="Y922" s="10">
        <v>2015</v>
      </c>
    </row>
    <row r="923" spans="1:25">
      <c r="A923" s="1" t="s">
        <v>2312</v>
      </c>
      <c r="B923" s="8">
        <v>42678</v>
      </c>
      <c r="C923" s="11" t="s">
        <v>3353</v>
      </c>
      <c r="D923" s="11" t="s">
        <v>3349</v>
      </c>
      <c r="E923" s="5" t="s">
        <v>2313</v>
      </c>
      <c r="F923" s="1" t="s">
        <v>49</v>
      </c>
      <c r="G923" s="1" t="s">
        <v>2314</v>
      </c>
      <c r="H923" s="1" t="s">
        <v>3656</v>
      </c>
      <c r="I923" s="1" t="s">
        <v>3749</v>
      </c>
      <c r="J923" s="1"/>
      <c r="K923" s="1" t="s">
        <v>29</v>
      </c>
      <c r="L923" s="1" t="s">
        <v>30</v>
      </c>
      <c r="M923" s="1" t="s">
        <v>233</v>
      </c>
      <c r="N923" s="1" t="s">
        <v>234</v>
      </c>
      <c r="O923" s="1">
        <v>10009</v>
      </c>
      <c r="P923" s="1" t="s">
        <v>128</v>
      </c>
      <c r="Q923" s="1" t="s">
        <v>2316</v>
      </c>
      <c r="R923" s="1" t="s">
        <v>64</v>
      </c>
      <c r="S923" s="7">
        <v>85.14</v>
      </c>
      <c r="T923" s="1">
        <v>1</v>
      </c>
      <c r="U923" s="9">
        <v>85.04</v>
      </c>
      <c r="V923" s="9">
        <v>85.14</v>
      </c>
      <c r="W923" s="9">
        <v>85.04</v>
      </c>
      <c r="X923" s="12">
        <v>9.9999999999994316E-2</v>
      </c>
      <c r="Y923" s="10">
        <v>2016</v>
      </c>
    </row>
    <row r="924" spans="1:25">
      <c r="A924" s="1" t="s">
        <v>2312</v>
      </c>
      <c r="B924" s="8">
        <v>42678</v>
      </c>
      <c r="C924" s="11" t="s">
        <v>3353</v>
      </c>
      <c r="D924" s="11" t="s">
        <v>3349</v>
      </c>
      <c r="E924" s="5" t="s">
        <v>2313</v>
      </c>
      <c r="F924" s="1" t="s">
        <v>49</v>
      </c>
      <c r="G924" s="1" t="s">
        <v>2314</v>
      </c>
      <c r="H924" s="1" t="s">
        <v>3656</v>
      </c>
      <c r="I924" s="1" t="s">
        <v>3749</v>
      </c>
      <c r="J924" s="1"/>
      <c r="K924" s="1" t="s">
        <v>29</v>
      </c>
      <c r="L924" s="1" t="s">
        <v>30</v>
      </c>
      <c r="M924" s="1" t="s">
        <v>233</v>
      </c>
      <c r="N924" s="1" t="s">
        <v>234</v>
      </c>
      <c r="O924" s="1">
        <v>10009</v>
      </c>
      <c r="P924" s="1" t="s">
        <v>128</v>
      </c>
      <c r="Q924" s="1" t="s">
        <v>2317</v>
      </c>
      <c r="R924" s="1" t="s">
        <v>64</v>
      </c>
      <c r="S924" s="7">
        <v>21.99</v>
      </c>
      <c r="T924" s="1">
        <v>1</v>
      </c>
      <c r="U924" s="9">
        <v>21.1</v>
      </c>
      <c r="V924" s="9">
        <v>21.99</v>
      </c>
      <c r="W924" s="9">
        <v>21.1</v>
      </c>
      <c r="X924" s="12">
        <v>0.88999999999999702</v>
      </c>
      <c r="Y924" s="10">
        <v>2016</v>
      </c>
    </row>
    <row r="925" spans="1:25">
      <c r="A925" s="1" t="s">
        <v>2312</v>
      </c>
      <c r="B925" s="8">
        <v>42678</v>
      </c>
      <c r="C925" s="11" t="s">
        <v>3353</v>
      </c>
      <c r="D925" s="11" t="s">
        <v>3349</v>
      </c>
      <c r="E925" s="5" t="s">
        <v>2313</v>
      </c>
      <c r="F925" s="1" t="s">
        <v>49</v>
      </c>
      <c r="G925" s="1" t="s">
        <v>2314</v>
      </c>
      <c r="H925" s="1" t="s">
        <v>3656</v>
      </c>
      <c r="I925" s="1" t="s">
        <v>3749</v>
      </c>
      <c r="J925" s="1"/>
      <c r="K925" s="1" t="s">
        <v>29</v>
      </c>
      <c r="L925" s="1" t="s">
        <v>30</v>
      </c>
      <c r="M925" s="1" t="s">
        <v>233</v>
      </c>
      <c r="N925" s="1" t="s">
        <v>234</v>
      </c>
      <c r="O925" s="1">
        <v>10009</v>
      </c>
      <c r="P925" s="1" t="s">
        <v>128</v>
      </c>
      <c r="Q925" s="1" t="s">
        <v>2318</v>
      </c>
      <c r="R925" s="1" t="s">
        <v>46</v>
      </c>
      <c r="S925" s="7">
        <v>406.6</v>
      </c>
      <c r="T925" s="1">
        <v>1</v>
      </c>
      <c r="U925" s="9">
        <v>405.67</v>
      </c>
      <c r="V925" s="9">
        <v>406.6</v>
      </c>
      <c r="W925" s="9">
        <v>405.67</v>
      </c>
      <c r="X925" s="12">
        <v>0.93000000000000682</v>
      </c>
      <c r="Y925" s="10">
        <v>2016</v>
      </c>
    </row>
    <row r="926" spans="1:25">
      <c r="A926" s="1" t="s">
        <v>2319</v>
      </c>
      <c r="B926" s="8">
        <v>42993</v>
      </c>
      <c r="C926" s="11" t="s">
        <v>3356</v>
      </c>
      <c r="D926" s="11" t="s">
        <v>3345</v>
      </c>
      <c r="E926" s="5" t="s">
        <v>2320</v>
      </c>
      <c r="F926" s="1" t="s">
        <v>49</v>
      </c>
      <c r="G926" s="1" t="s">
        <v>2321</v>
      </c>
      <c r="H926" s="1" t="s">
        <v>3597</v>
      </c>
      <c r="I926" s="1" t="s">
        <v>3861</v>
      </c>
      <c r="J926" s="1"/>
      <c r="K926" s="1" t="s">
        <v>41</v>
      </c>
      <c r="L926" s="1" t="s">
        <v>30</v>
      </c>
      <c r="M926" s="1" t="s">
        <v>233</v>
      </c>
      <c r="N926" s="1" t="s">
        <v>234</v>
      </c>
      <c r="O926" s="1">
        <v>10011</v>
      </c>
      <c r="P926" s="1" t="s">
        <v>128</v>
      </c>
      <c r="Q926" s="1" t="s">
        <v>434</v>
      </c>
      <c r="R926" s="1" t="s">
        <v>46</v>
      </c>
      <c r="S926" s="7">
        <v>841.56799999999998</v>
      </c>
      <c r="T926" s="1">
        <v>1</v>
      </c>
      <c r="U926" s="9">
        <v>841.57</v>
      </c>
      <c r="V926" s="9">
        <v>841.56799999999998</v>
      </c>
      <c r="W926" s="9">
        <v>841.57</v>
      </c>
      <c r="X926" s="12">
        <v>-2.0000000000663931E-3</v>
      </c>
      <c r="Y926" s="10">
        <v>2017</v>
      </c>
    </row>
    <row r="927" spans="1:25">
      <c r="A927" s="1" t="s">
        <v>2323</v>
      </c>
      <c r="B927" s="8">
        <v>42260</v>
      </c>
      <c r="C927" s="11" t="s">
        <v>3356</v>
      </c>
      <c r="D927" s="11" t="s">
        <v>3345</v>
      </c>
      <c r="E927" s="5" t="s">
        <v>2324</v>
      </c>
      <c r="F927" s="1" t="s">
        <v>162</v>
      </c>
      <c r="G927" s="1" t="s">
        <v>2325</v>
      </c>
      <c r="H927" s="1" t="s">
        <v>3862</v>
      </c>
      <c r="I927" s="1" t="s">
        <v>3863</v>
      </c>
      <c r="J927" s="1"/>
      <c r="K927" s="1" t="s">
        <v>29</v>
      </c>
      <c r="L927" s="1" t="s">
        <v>30</v>
      </c>
      <c r="M927" s="1" t="s">
        <v>126</v>
      </c>
      <c r="N927" s="1" t="s">
        <v>127</v>
      </c>
      <c r="O927" s="1">
        <v>19143</v>
      </c>
      <c r="P927" s="1" t="s">
        <v>128</v>
      </c>
      <c r="Q927" s="1" t="s">
        <v>2327</v>
      </c>
      <c r="R927" s="1" t="s">
        <v>46</v>
      </c>
      <c r="S927" s="7">
        <v>15.552</v>
      </c>
      <c r="T927" s="1">
        <v>1</v>
      </c>
      <c r="U927" s="9">
        <v>14.8</v>
      </c>
      <c r="V927" s="9">
        <v>15.552</v>
      </c>
      <c r="W927" s="9">
        <v>14.8</v>
      </c>
      <c r="X927" s="12">
        <v>0.75199999999999889</v>
      </c>
      <c r="Y927" s="10">
        <v>2015</v>
      </c>
    </row>
    <row r="928" spans="1:25">
      <c r="A928" s="1" t="s">
        <v>2323</v>
      </c>
      <c r="B928" s="8">
        <v>42260</v>
      </c>
      <c r="C928" s="11" t="s">
        <v>3356</v>
      </c>
      <c r="D928" s="11" t="s">
        <v>3345</v>
      </c>
      <c r="E928" s="5" t="s">
        <v>2324</v>
      </c>
      <c r="F928" s="1" t="s">
        <v>162</v>
      </c>
      <c r="G928" s="1" t="s">
        <v>2325</v>
      </c>
      <c r="H928" s="1" t="s">
        <v>3862</v>
      </c>
      <c r="I928" s="1" t="s">
        <v>3863</v>
      </c>
      <c r="J928" s="1"/>
      <c r="K928" s="1" t="s">
        <v>29</v>
      </c>
      <c r="L928" s="1" t="s">
        <v>30</v>
      </c>
      <c r="M928" s="1" t="s">
        <v>126</v>
      </c>
      <c r="N928" s="1" t="s">
        <v>127</v>
      </c>
      <c r="O928" s="1">
        <v>19143</v>
      </c>
      <c r="P928" s="1" t="s">
        <v>128</v>
      </c>
      <c r="Q928" s="1" t="s">
        <v>2328</v>
      </c>
      <c r="R928" s="1" t="s">
        <v>64</v>
      </c>
      <c r="S928" s="7">
        <v>252</v>
      </c>
      <c r="T928" s="1">
        <v>1</v>
      </c>
      <c r="U928" s="9">
        <v>251.41</v>
      </c>
      <c r="V928" s="9">
        <v>252</v>
      </c>
      <c r="W928" s="9">
        <v>251.41</v>
      </c>
      <c r="X928" s="12">
        <v>0.59000000000000341</v>
      </c>
      <c r="Y928" s="10">
        <v>2015</v>
      </c>
    </row>
    <row r="929" spans="1:25">
      <c r="A929" s="1" t="s">
        <v>2329</v>
      </c>
      <c r="B929" s="8">
        <v>42500</v>
      </c>
      <c r="C929" s="11" t="s">
        <v>3363</v>
      </c>
      <c r="D929" s="11" t="s">
        <v>3360</v>
      </c>
      <c r="E929" s="5">
        <v>42623</v>
      </c>
      <c r="F929" s="1" t="s">
        <v>49</v>
      </c>
      <c r="G929" s="1" t="s">
        <v>2330</v>
      </c>
      <c r="H929" s="1" t="s">
        <v>3422</v>
      </c>
      <c r="I929" s="1" t="s">
        <v>3864</v>
      </c>
      <c r="J929" s="1"/>
      <c r="K929" s="1" t="s">
        <v>87</v>
      </c>
      <c r="L929" s="1" t="s">
        <v>30</v>
      </c>
      <c r="M929" s="1" t="s">
        <v>271</v>
      </c>
      <c r="N929" s="1" t="s">
        <v>272</v>
      </c>
      <c r="O929" s="1">
        <v>22153</v>
      </c>
      <c r="P929" s="1" t="s">
        <v>33</v>
      </c>
      <c r="Q929" s="1" t="s">
        <v>1069</v>
      </c>
      <c r="R929" s="1" t="s">
        <v>46</v>
      </c>
      <c r="S929" s="7">
        <v>46.2</v>
      </c>
      <c r="T929" s="1">
        <v>2</v>
      </c>
      <c r="U929" s="9">
        <v>45.48</v>
      </c>
      <c r="V929" s="9">
        <v>92.4</v>
      </c>
      <c r="W929" s="9">
        <v>90.96</v>
      </c>
      <c r="X929" s="12">
        <v>1.4400000000000119</v>
      </c>
      <c r="Y929" s="10">
        <v>2016</v>
      </c>
    </row>
    <row r="930" spans="1:25">
      <c r="A930" s="1" t="s">
        <v>2329</v>
      </c>
      <c r="B930" s="8">
        <v>42500</v>
      </c>
      <c r="C930" s="11" t="s">
        <v>3363</v>
      </c>
      <c r="D930" s="11" t="s">
        <v>3360</v>
      </c>
      <c r="E930" s="5">
        <v>42623</v>
      </c>
      <c r="F930" s="1" t="s">
        <v>49</v>
      </c>
      <c r="G930" s="1" t="s">
        <v>2330</v>
      </c>
      <c r="H930" s="1" t="s">
        <v>3422</v>
      </c>
      <c r="I930" s="1" t="s">
        <v>3864</v>
      </c>
      <c r="J930" s="1"/>
      <c r="K930" s="1" t="s">
        <v>87</v>
      </c>
      <c r="L930" s="1" t="s">
        <v>30</v>
      </c>
      <c r="M930" s="1" t="s">
        <v>271</v>
      </c>
      <c r="N930" s="1" t="s">
        <v>272</v>
      </c>
      <c r="O930" s="1">
        <v>22153</v>
      </c>
      <c r="P930" s="1" t="s">
        <v>33</v>
      </c>
      <c r="Q930" s="1" t="s">
        <v>1083</v>
      </c>
      <c r="R930" s="1" t="s">
        <v>46</v>
      </c>
      <c r="S930" s="7">
        <v>28.84</v>
      </c>
      <c r="T930" s="1">
        <v>2</v>
      </c>
      <c r="U930" s="9">
        <v>28.67</v>
      </c>
      <c r="V930" s="9">
        <v>57.68</v>
      </c>
      <c r="W930" s="9">
        <v>57.34</v>
      </c>
      <c r="X930" s="12">
        <v>0.33999999999999631</v>
      </c>
      <c r="Y930" s="10">
        <v>2016</v>
      </c>
    </row>
    <row r="931" spans="1:25">
      <c r="A931" s="1" t="s">
        <v>2332</v>
      </c>
      <c r="B931" s="8">
        <v>43204</v>
      </c>
      <c r="C931" s="11" t="s">
        <v>3359</v>
      </c>
      <c r="D931" s="11" t="s">
        <v>3360</v>
      </c>
      <c r="E931" s="5" t="s">
        <v>914</v>
      </c>
      <c r="F931" s="1" t="s">
        <v>162</v>
      </c>
      <c r="G931" s="1" t="s">
        <v>1832</v>
      </c>
      <c r="H931" s="1" t="s">
        <v>3468</v>
      </c>
      <c r="I931" s="1" t="s">
        <v>3777</v>
      </c>
      <c r="J931" s="1"/>
      <c r="K931" s="1" t="s">
        <v>29</v>
      </c>
      <c r="L931" s="1" t="s">
        <v>30</v>
      </c>
      <c r="M931" s="1" t="s">
        <v>2333</v>
      </c>
      <c r="N931" s="1" t="s">
        <v>421</v>
      </c>
      <c r="O931" s="1">
        <v>43615</v>
      </c>
      <c r="P931" s="1" t="s">
        <v>128</v>
      </c>
      <c r="Q931" s="1" t="s">
        <v>1539</v>
      </c>
      <c r="R931" s="1" t="s">
        <v>46</v>
      </c>
      <c r="S931" s="7">
        <v>14.592000000000001</v>
      </c>
      <c r="T931" s="1">
        <v>4</v>
      </c>
      <c r="U931" s="9">
        <v>13.71</v>
      </c>
      <c r="V931" s="9">
        <v>58.368000000000002</v>
      </c>
      <c r="W931" s="9">
        <v>54.84</v>
      </c>
      <c r="X931" s="12">
        <v>3.5279999999999987</v>
      </c>
      <c r="Y931" s="10">
        <v>2018</v>
      </c>
    </row>
    <row r="932" spans="1:25">
      <c r="A932" s="1" t="s">
        <v>2332</v>
      </c>
      <c r="B932" s="8">
        <v>43204</v>
      </c>
      <c r="C932" s="11" t="s">
        <v>3359</v>
      </c>
      <c r="D932" s="11" t="s">
        <v>3360</v>
      </c>
      <c r="E932" s="5" t="s">
        <v>914</v>
      </c>
      <c r="F932" s="1" t="s">
        <v>162</v>
      </c>
      <c r="G932" s="1" t="s">
        <v>1832</v>
      </c>
      <c r="H932" s="1" t="s">
        <v>3468</v>
      </c>
      <c r="I932" s="1" t="s">
        <v>3777</v>
      </c>
      <c r="J932" s="1"/>
      <c r="K932" s="1" t="s">
        <v>29</v>
      </c>
      <c r="L932" s="1" t="s">
        <v>30</v>
      </c>
      <c r="M932" s="1" t="s">
        <v>2333</v>
      </c>
      <c r="N932" s="1" t="s">
        <v>421</v>
      </c>
      <c r="O932" s="1">
        <v>43615</v>
      </c>
      <c r="P932" s="1" t="s">
        <v>128</v>
      </c>
      <c r="Q932" s="1" t="s">
        <v>2334</v>
      </c>
      <c r="R932" s="1" t="s">
        <v>46</v>
      </c>
      <c r="S932" s="7">
        <v>89.855999999999995</v>
      </c>
      <c r="T932" s="1">
        <v>4</v>
      </c>
      <c r="U932" s="9">
        <v>88.89</v>
      </c>
      <c r="V932" s="9">
        <v>359.42399999999998</v>
      </c>
      <c r="W932" s="9">
        <v>355.56</v>
      </c>
      <c r="X932" s="12">
        <v>3.8639999999999759</v>
      </c>
      <c r="Y932" s="10">
        <v>2018</v>
      </c>
    </row>
    <row r="933" spans="1:25">
      <c r="A933" s="1" t="s">
        <v>2332</v>
      </c>
      <c r="B933" s="8">
        <v>43204</v>
      </c>
      <c r="C933" s="11" t="s">
        <v>3359</v>
      </c>
      <c r="D933" s="11" t="s">
        <v>3360</v>
      </c>
      <c r="E933" s="5" t="s">
        <v>914</v>
      </c>
      <c r="F933" s="1" t="s">
        <v>162</v>
      </c>
      <c r="G933" s="1" t="s">
        <v>1832</v>
      </c>
      <c r="H933" s="1" t="s">
        <v>3468</v>
      </c>
      <c r="I933" s="1" t="s">
        <v>3777</v>
      </c>
      <c r="J933" s="1"/>
      <c r="K933" s="1" t="s">
        <v>29</v>
      </c>
      <c r="L933" s="1" t="s">
        <v>30</v>
      </c>
      <c r="M933" s="1" t="s">
        <v>2333</v>
      </c>
      <c r="N933" s="1" t="s">
        <v>421</v>
      </c>
      <c r="O933" s="1">
        <v>43615</v>
      </c>
      <c r="P933" s="1" t="s">
        <v>128</v>
      </c>
      <c r="Q933" s="1" t="s">
        <v>1938</v>
      </c>
      <c r="R933" s="1" t="s">
        <v>46</v>
      </c>
      <c r="S933" s="7">
        <v>13.872</v>
      </c>
      <c r="T933" s="1">
        <v>4</v>
      </c>
      <c r="U933" s="9">
        <v>13.46</v>
      </c>
      <c r="V933" s="9">
        <v>55.488</v>
      </c>
      <c r="W933" s="9">
        <v>53.84</v>
      </c>
      <c r="X933" s="12">
        <v>1.6479999999999961</v>
      </c>
      <c r="Y933" s="10">
        <v>2018</v>
      </c>
    </row>
    <row r="934" spans="1:25">
      <c r="A934" s="1" t="s">
        <v>2335</v>
      </c>
      <c r="B934" s="8">
        <v>43140</v>
      </c>
      <c r="C934" s="11" t="s">
        <v>3461</v>
      </c>
      <c r="D934" s="11" t="s">
        <v>3382</v>
      </c>
      <c r="E934" s="5">
        <v>43260</v>
      </c>
      <c r="F934" s="1" t="s">
        <v>49</v>
      </c>
      <c r="G934" s="1" t="s">
        <v>2336</v>
      </c>
      <c r="H934" s="1" t="s">
        <v>3773</v>
      </c>
      <c r="I934" s="1" t="s">
        <v>3604</v>
      </c>
      <c r="J934" s="1"/>
      <c r="K934" s="1" t="s">
        <v>29</v>
      </c>
      <c r="L934" s="1" t="s">
        <v>30</v>
      </c>
      <c r="M934" s="1" t="s">
        <v>126</v>
      </c>
      <c r="N934" s="1" t="s">
        <v>127</v>
      </c>
      <c r="O934" s="1">
        <v>19140</v>
      </c>
      <c r="P934" s="1" t="s">
        <v>128</v>
      </c>
      <c r="Q934" s="1" t="s">
        <v>2338</v>
      </c>
      <c r="R934" s="1" t="s">
        <v>46</v>
      </c>
      <c r="S934" s="7">
        <v>12.192</v>
      </c>
      <c r="T934" s="1">
        <v>1</v>
      </c>
      <c r="U934" s="9">
        <v>11.44</v>
      </c>
      <c r="V934" s="9">
        <v>12.192</v>
      </c>
      <c r="W934" s="9">
        <v>11.44</v>
      </c>
      <c r="X934" s="12">
        <v>0.75200000000000067</v>
      </c>
      <c r="Y934" s="10">
        <v>2018</v>
      </c>
    </row>
    <row r="935" spans="1:25">
      <c r="A935" s="1" t="s">
        <v>2339</v>
      </c>
      <c r="B935" s="8">
        <v>42906</v>
      </c>
      <c r="C935" s="11" t="s">
        <v>3403</v>
      </c>
      <c r="D935" s="11" t="s">
        <v>3360</v>
      </c>
      <c r="E935" s="5" t="s">
        <v>2340</v>
      </c>
      <c r="F935" s="1" t="s">
        <v>49</v>
      </c>
      <c r="G935" s="1" t="s">
        <v>2341</v>
      </c>
      <c r="H935" s="1" t="s">
        <v>3865</v>
      </c>
      <c r="I935" s="1" t="s">
        <v>3866</v>
      </c>
      <c r="J935" s="1"/>
      <c r="K935" s="1" t="s">
        <v>87</v>
      </c>
      <c r="L935" s="1" t="s">
        <v>30</v>
      </c>
      <c r="M935" s="1" t="s">
        <v>126</v>
      </c>
      <c r="N935" s="1" t="s">
        <v>127</v>
      </c>
      <c r="O935" s="1">
        <v>19120</v>
      </c>
      <c r="P935" s="1" t="s">
        <v>128</v>
      </c>
      <c r="Q935" s="1" t="s">
        <v>2343</v>
      </c>
      <c r="R935" s="1" t="s">
        <v>46</v>
      </c>
      <c r="S935" s="7">
        <v>45.055999999999997</v>
      </c>
      <c r="T935" s="1">
        <v>1</v>
      </c>
      <c r="U935" s="9">
        <v>44.63</v>
      </c>
      <c r="V935" s="9">
        <v>45.055999999999997</v>
      </c>
      <c r="W935" s="9">
        <v>44.63</v>
      </c>
      <c r="X935" s="12">
        <v>0.42599999999999483</v>
      </c>
      <c r="Y935" s="10">
        <v>2017</v>
      </c>
    </row>
    <row r="936" spans="1:25">
      <c r="A936" s="1" t="s">
        <v>2339</v>
      </c>
      <c r="B936" s="8">
        <v>42906</v>
      </c>
      <c r="C936" s="11" t="s">
        <v>3403</v>
      </c>
      <c r="D936" s="11" t="s">
        <v>3360</v>
      </c>
      <c r="E936" s="5" t="s">
        <v>2340</v>
      </c>
      <c r="F936" s="1" t="s">
        <v>49</v>
      </c>
      <c r="G936" s="1" t="s">
        <v>2341</v>
      </c>
      <c r="H936" s="1" t="s">
        <v>3865</v>
      </c>
      <c r="I936" s="1" t="s">
        <v>3866</v>
      </c>
      <c r="J936" s="1"/>
      <c r="K936" s="1" t="s">
        <v>87</v>
      </c>
      <c r="L936" s="1" t="s">
        <v>30</v>
      </c>
      <c r="M936" s="1" t="s">
        <v>126</v>
      </c>
      <c r="N936" s="1" t="s">
        <v>127</v>
      </c>
      <c r="O936" s="1">
        <v>19120</v>
      </c>
      <c r="P936" s="1" t="s">
        <v>128</v>
      </c>
      <c r="Q936" s="1" t="s">
        <v>2344</v>
      </c>
      <c r="R936" s="1" t="s">
        <v>46</v>
      </c>
      <c r="S936" s="7">
        <v>29.718</v>
      </c>
      <c r="T936" s="1">
        <v>1</v>
      </c>
      <c r="U936" s="9">
        <v>29.25</v>
      </c>
      <c r="V936" s="9">
        <v>29.718</v>
      </c>
      <c r="W936" s="9">
        <v>29.25</v>
      </c>
      <c r="X936" s="12">
        <v>0.46799999999999997</v>
      </c>
      <c r="Y936" s="10">
        <v>2017</v>
      </c>
    </row>
    <row r="937" spans="1:25">
      <c r="A937" s="1" t="s">
        <v>2339</v>
      </c>
      <c r="B937" s="8">
        <v>42906</v>
      </c>
      <c r="C937" s="11" t="s">
        <v>3403</v>
      </c>
      <c r="D937" s="11" t="s">
        <v>3360</v>
      </c>
      <c r="E937" s="5" t="s">
        <v>2340</v>
      </c>
      <c r="F937" s="1" t="s">
        <v>49</v>
      </c>
      <c r="G937" s="1" t="s">
        <v>2341</v>
      </c>
      <c r="H937" s="1" t="s">
        <v>3865</v>
      </c>
      <c r="I937" s="1" t="s">
        <v>3866</v>
      </c>
      <c r="J937" s="1"/>
      <c r="K937" s="1" t="s">
        <v>87</v>
      </c>
      <c r="L937" s="1" t="s">
        <v>30</v>
      </c>
      <c r="M937" s="1" t="s">
        <v>126</v>
      </c>
      <c r="N937" s="1" t="s">
        <v>127</v>
      </c>
      <c r="O937" s="1">
        <v>19120</v>
      </c>
      <c r="P937" s="1" t="s">
        <v>128</v>
      </c>
      <c r="Q937" s="1" t="s">
        <v>2166</v>
      </c>
      <c r="R937" s="1" t="s">
        <v>46</v>
      </c>
      <c r="S937" s="7">
        <v>15.552</v>
      </c>
      <c r="T937" s="1">
        <v>1</v>
      </c>
      <c r="U937" s="9">
        <v>14.89</v>
      </c>
      <c r="V937" s="9">
        <v>15.552</v>
      </c>
      <c r="W937" s="9">
        <v>14.89</v>
      </c>
      <c r="X937" s="12">
        <v>0.66199999999999903</v>
      </c>
      <c r="Y937" s="10">
        <v>2017</v>
      </c>
    </row>
    <row r="938" spans="1:25">
      <c r="A938" s="1" t="s">
        <v>2339</v>
      </c>
      <c r="B938" s="8">
        <v>42906</v>
      </c>
      <c r="C938" s="11" t="s">
        <v>3403</v>
      </c>
      <c r="D938" s="11" t="s">
        <v>3360</v>
      </c>
      <c r="E938" s="5" t="s">
        <v>2340</v>
      </c>
      <c r="F938" s="1" t="s">
        <v>49</v>
      </c>
      <c r="G938" s="1" t="s">
        <v>2341</v>
      </c>
      <c r="H938" s="1" t="s">
        <v>3865</v>
      </c>
      <c r="I938" s="1" t="s">
        <v>3866</v>
      </c>
      <c r="J938" s="1"/>
      <c r="K938" s="1" t="s">
        <v>87</v>
      </c>
      <c r="L938" s="1" t="s">
        <v>30</v>
      </c>
      <c r="M938" s="1" t="s">
        <v>126</v>
      </c>
      <c r="N938" s="1" t="s">
        <v>127</v>
      </c>
      <c r="O938" s="1">
        <v>19120</v>
      </c>
      <c r="P938" s="1" t="s">
        <v>128</v>
      </c>
      <c r="Q938" s="1" t="s">
        <v>496</v>
      </c>
      <c r="R938" s="1" t="s">
        <v>46</v>
      </c>
      <c r="S938" s="7">
        <v>447.69600000000003</v>
      </c>
      <c r="T938" s="1">
        <v>1</v>
      </c>
      <c r="U938" s="9">
        <v>446.88</v>
      </c>
      <c r="V938" s="9">
        <v>447.69600000000003</v>
      </c>
      <c r="W938" s="9">
        <v>446.88</v>
      </c>
      <c r="X938" s="12">
        <v>0.81600000000003092</v>
      </c>
      <c r="Y938" s="10">
        <v>2017</v>
      </c>
    </row>
    <row r="939" spans="1:25">
      <c r="A939" s="1" t="s">
        <v>2345</v>
      </c>
      <c r="B939" s="8">
        <v>43231</v>
      </c>
      <c r="C939" s="11" t="s">
        <v>3363</v>
      </c>
      <c r="D939" s="11" t="s">
        <v>3360</v>
      </c>
      <c r="E939" s="5">
        <v>43262</v>
      </c>
      <c r="F939" s="1" t="s">
        <v>162</v>
      </c>
      <c r="G939" s="1" t="s">
        <v>186</v>
      </c>
      <c r="H939" s="1" t="s">
        <v>3396</v>
      </c>
      <c r="I939" s="1" t="s">
        <v>3397</v>
      </c>
      <c r="J939" s="1"/>
      <c r="K939" s="1" t="s">
        <v>41</v>
      </c>
      <c r="L939" s="1" t="s">
        <v>30</v>
      </c>
      <c r="M939" s="1" t="s">
        <v>2346</v>
      </c>
      <c r="N939" s="1" t="s">
        <v>556</v>
      </c>
      <c r="O939" s="1">
        <v>87401</v>
      </c>
      <c r="P939" s="1" t="s">
        <v>44</v>
      </c>
      <c r="Q939" s="1" t="s">
        <v>1068</v>
      </c>
      <c r="R939" s="1" t="s">
        <v>64</v>
      </c>
      <c r="S939" s="7">
        <v>159.99</v>
      </c>
      <c r="T939" s="1">
        <v>8</v>
      </c>
      <c r="U939" s="9">
        <v>159.36000000000001</v>
      </c>
      <c r="V939" s="9">
        <v>1279.92</v>
      </c>
      <c r="W939" s="9">
        <v>1274.8800000000001</v>
      </c>
      <c r="X939" s="12">
        <v>5.0399999999999636</v>
      </c>
      <c r="Y939" s="10">
        <v>2018</v>
      </c>
    </row>
    <row r="940" spans="1:25">
      <c r="A940" s="1" t="s">
        <v>2347</v>
      </c>
      <c r="B940" s="8">
        <v>42717</v>
      </c>
      <c r="C940" s="11" t="s">
        <v>3348</v>
      </c>
      <c r="D940" s="11" t="s">
        <v>3349</v>
      </c>
      <c r="E940" s="5" t="s">
        <v>2348</v>
      </c>
      <c r="F940" s="1" t="s">
        <v>49</v>
      </c>
      <c r="G940" s="1" t="s">
        <v>2349</v>
      </c>
      <c r="H940" s="1" t="s">
        <v>3867</v>
      </c>
      <c r="I940" s="1" t="s">
        <v>3868</v>
      </c>
      <c r="J940" s="1"/>
      <c r="K940" s="1" t="s">
        <v>41</v>
      </c>
      <c r="L940" s="1" t="s">
        <v>30</v>
      </c>
      <c r="M940" s="1" t="s">
        <v>2351</v>
      </c>
      <c r="N940" s="1" t="s">
        <v>68</v>
      </c>
      <c r="O940" s="1">
        <v>92503</v>
      </c>
      <c r="P940" s="1" t="s">
        <v>44</v>
      </c>
      <c r="Q940" s="1" t="s">
        <v>2352</v>
      </c>
      <c r="R940" s="1" t="s">
        <v>46</v>
      </c>
      <c r="S940" s="7">
        <v>12.96</v>
      </c>
      <c r="T940" s="1">
        <v>9</v>
      </c>
      <c r="U940" s="9">
        <v>12.37</v>
      </c>
      <c r="V940" s="9">
        <v>116.64000000000001</v>
      </c>
      <c r="W940" s="9">
        <v>111.33</v>
      </c>
      <c r="X940" s="12">
        <v>5.3100000000000165</v>
      </c>
      <c r="Y940" s="10">
        <v>2016</v>
      </c>
    </row>
    <row r="941" spans="1:25">
      <c r="A941" s="1" t="s">
        <v>2347</v>
      </c>
      <c r="B941" s="8">
        <v>42717</v>
      </c>
      <c r="C941" s="11" t="s">
        <v>3348</v>
      </c>
      <c r="D941" s="11" t="s">
        <v>3349</v>
      </c>
      <c r="E941" s="5" t="s">
        <v>2348</v>
      </c>
      <c r="F941" s="1" t="s">
        <v>49</v>
      </c>
      <c r="G941" s="1" t="s">
        <v>2349</v>
      </c>
      <c r="H941" s="1" t="s">
        <v>3867</v>
      </c>
      <c r="I941" s="1" t="s">
        <v>3868</v>
      </c>
      <c r="J941" s="1"/>
      <c r="K941" s="1" t="s">
        <v>41</v>
      </c>
      <c r="L941" s="1" t="s">
        <v>30</v>
      </c>
      <c r="M941" s="1" t="s">
        <v>2351</v>
      </c>
      <c r="N941" s="1" t="s">
        <v>68</v>
      </c>
      <c r="O941" s="1">
        <v>92503</v>
      </c>
      <c r="P941" s="1" t="s">
        <v>44</v>
      </c>
      <c r="Q941" s="1" t="s">
        <v>2353</v>
      </c>
      <c r="R941" s="1" t="s">
        <v>46</v>
      </c>
      <c r="S941" s="7">
        <v>134.47999999999999</v>
      </c>
      <c r="T941" s="1">
        <v>9</v>
      </c>
      <c r="U941" s="9">
        <v>134.18</v>
      </c>
      <c r="V941" s="9">
        <v>1210.32</v>
      </c>
      <c r="W941" s="9">
        <v>1207.6200000000001</v>
      </c>
      <c r="X941" s="12">
        <v>2.6999999999998181</v>
      </c>
      <c r="Y941" s="10">
        <v>2016</v>
      </c>
    </row>
    <row r="942" spans="1:25">
      <c r="A942" s="1" t="s">
        <v>2354</v>
      </c>
      <c r="B942" s="8">
        <v>42905</v>
      </c>
      <c r="C942" s="11" t="s">
        <v>3403</v>
      </c>
      <c r="D942" s="11" t="s">
        <v>3360</v>
      </c>
      <c r="E942" s="5" t="s">
        <v>2355</v>
      </c>
      <c r="F942" s="1" t="s">
        <v>162</v>
      </c>
      <c r="G942" s="1" t="s">
        <v>2356</v>
      </c>
      <c r="H942" s="1" t="s">
        <v>3418</v>
      </c>
      <c r="I942" s="1" t="s">
        <v>3869</v>
      </c>
      <c r="J942" s="1"/>
      <c r="K942" s="1" t="s">
        <v>41</v>
      </c>
      <c r="L942" s="1" t="s">
        <v>30</v>
      </c>
      <c r="M942" s="1" t="s">
        <v>110</v>
      </c>
      <c r="N942" s="1" t="s">
        <v>68</v>
      </c>
      <c r="O942" s="1">
        <v>94110</v>
      </c>
      <c r="P942" s="1" t="s">
        <v>44</v>
      </c>
      <c r="Q942" s="1" t="s">
        <v>2358</v>
      </c>
      <c r="R942" s="1" t="s">
        <v>46</v>
      </c>
      <c r="S942" s="7">
        <v>17.12</v>
      </c>
      <c r="T942" s="1">
        <v>9</v>
      </c>
      <c r="U942" s="9">
        <v>17.11</v>
      </c>
      <c r="V942" s="9">
        <v>154.08000000000001</v>
      </c>
      <c r="W942" s="9">
        <v>153.99</v>
      </c>
      <c r="X942" s="12">
        <v>9.0000000000003411E-2</v>
      </c>
      <c r="Y942" s="10">
        <v>2017</v>
      </c>
    </row>
    <row r="943" spans="1:25">
      <c r="A943" s="1" t="s">
        <v>2359</v>
      </c>
      <c r="B943" s="8">
        <v>43082</v>
      </c>
      <c r="C943" s="11" t="s">
        <v>3348</v>
      </c>
      <c r="D943" s="11" t="s">
        <v>3349</v>
      </c>
      <c r="E943" s="5" t="s">
        <v>868</v>
      </c>
      <c r="F943" s="1" t="s">
        <v>49</v>
      </c>
      <c r="G943" s="1" t="s">
        <v>2307</v>
      </c>
      <c r="H943" s="1" t="s">
        <v>3693</v>
      </c>
      <c r="I943" s="1" t="s">
        <v>3860</v>
      </c>
      <c r="J943" s="1"/>
      <c r="K943" s="1" t="s">
        <v>41</v>
      </c>
      <c r="L943" s="1" t="s">
        <v>30</v>
      </c>
      <c r="M943" s="1" t="s">
        <v>2360</v>
      </c>
      <c r="N943" s="1" t="s">
        <v>68</v>
      </c>
      <c r="O943" s="1">
        <v>90503</v>
      </c>
      <c r="P943" s="1" t="s">
        <v>44</v>
      </c>
      <c r="Q943" s="1" t="s">
        <v>2361</v>
      </c>
      <c r="R943" s="1" t="s">
        <v>46</v>
      </c>
      <c r="S943" s="7">
        <v>6.0960000000000001</v>
      </c>
      <c r="T943" s="1">
        <v>9</v>
      </c>
      <c r="U943" s="9">
        <v>5.43</v>
      </c>
      <c r="V943" s="9">
        <v>54.864000000000004</v>
      </c>
      <c r="W943" s="9">
        <v>48.87</v>
      </c>
      <c r="X943" s="12">
        <v>5.9940000000000069</v>
      </c>
      <c r="Y943" s="10">
        <v>2017</v>
      </c>
    </row>
    <row r="944" spans="1:25">
      <c r="A944" s="1" t="s">
        <v>2359</v>
      </c>
      <c r="B944" s="8">
        <v>43082</v>
      </c>
      <c r="C944" s="11" t="s">
        <v>3348</v>
      </c>
      <c r="D944" s="11" t="s">
        <v>3349</v>
      </c>
      <c r="E944" s="5" t="s">
        <v>868</v>
      </c>
      <c r="F944" s="1" t="s">
        <v>49</v>
      </c>
      <c r="G944" s="1" t="s">
        <v>2307</v>
      </c>
      <c r="H944" s="1" t="s">
        <v>3693</v>
      </c>
      <c r="I944" s="1" t="s">
        <v>3860</v>
      </c>
      <c r="J944" s="1"/>
      <c r="K944" s="1" t="s">
        <v>41</v>
      </c>
      <c r="L944" s="1" t="s">
        <v>30</v>
      </c>
      <c r="M944" s="1" t="s">
        <v>2360</v>
      </c>
      <c r="N944" s="1" t="s">
        <v>68</v>
      </c>
      <c r="O944" s="1">
        <v>90503</v>
      </c>
      <c r="P944" s="1" t="s">
        <v>44</v>
      </c>
      <c r="Q944" s="1" t="s">
        <v>54</v>
      </c>
      <c r="R944" s="1" t="s">
        <v>35</v>
      </c>
      <c r="S944" s="7">
        <v>1114.2719999999999</v>
      </c>
      <c r="T944" s="1">
        <v>9</v>
      </c>
      <c r="U944" s="9">
        <v>1113.48</v>
      </c>
      <c r="V944" s="9">
        <v>10028.448</v>
      </c>
      <c r="W944" s="9">
        <v>10021.32</v>
      </c>
      <c r="X944" s="12">
        <v>7.1280000000006112</v>
      </c>
      <c r="Y944" s="10">
        <v>2017</v>
      </c>
    </row>
    <row r="945" spans="1:25">
      <c r="A945" s="1" t="s">
        <v>2362</v>
      </c>
      <c r="B945" s="8">
        <v>42519</v>
      </c>
      <c r="C945" s="11" t="s">
        <v>3363</v>
      </c>
      <c r="D945" s="11" t="s">
        <v>3360</v>
      </c>
      <c r="E945" s="5">
        <v>42435</v>
      </c>
      <c r="F945" s="1" t="s">
        <v>49</v>
      </c>
      <c r="G945" s="1" t="s">
        <v>978</v>
      </c>
      <c r="H945" s="1" t="s">
        <v>3589</v>
      </c>
      <c r="I945" s="1" t="s">
        <v>3590</v>
      </c>
      <c r="J945" s="1"/>
      <c r="K945" s="1" t="s">
        <v>29</v>
      </c>
      <c r="L945" s="1" t="s">
        <v>30</v>
      </c>
      <c r="M945" s="1" t="s">
        <v>80</v>
      </c>
      <c r="N945" s="1" t="s">
        <v>81</v>
      </c>
      <c r="O945" s="1">
        <v>98105</v>
      </c>
      <c r="P945" s="1" t="s">
        <v>44</v>
      </c>
      <c r="Q945" s="1" t="s">
        <v>1612</v>
      </c>
      <c r="R945" s="1" t="s">
        <v>46</v>
      </c>
      <c r="S945" s="7">
        <v>32.4</v>
      </c>
      <c r="T945" s="1">
        <v>9</v>
      </c>
      <c r="U945" s="9">
        <v>32.32</v>
      </c>
      <c r="V945" s="9">
        <v>291.59999999999997</v>
      </c>
      <c r="W945" s="9">
        <v>290.88</v>
      </c>
      <c r="X945" s="12">
        <v>0.71999999999997044</v>
      </c>
      <c r="Y945" s="10">
        <v>2016</v>
      </c>
    </row>
    <row r="946" spans="1:25">
      <c r="A946" s="1" t="s">
        <v>2362</v>
      </c>
      <c r="B946" s="8">
        <v>42519</v>
      </c>
      <c r="C946" s="11" t="s">
        <v>3363</v>
      </c>
      <c r="D946" s="11" t="s">
        <v>3360</v>
      </c>
      <c r="E946" s="5">
        <v>42435</v>
      </c>
      <c r="F946" s="1" t="s">
        <v>49</v>
      </c>
      <c r="G946" s="1" t="s">
        <v>978</v>
      </c>
      <c r="H946" s="1" t="s">
        <v>3589</v>
      </c>
      <c r="I946" s="1" t="s">
        <v>3590</v>
      </c>
      <c r="J946" s="1"/>
      <c r="K946" s="1" t="s">
        <v>29</v>
      </c>
      <c r="L946" s="1" t="s">
        <v>30</v>
      </c>
      <c r="M946" s="1" t="s">
        <v>80</v>
      </c>
      <c r="N946" s="1" t="s">
        <v>81</v>
      </c>
      <c r="O946" s="1">
        <v>98105</v>
      </c>
      <c r="P946" s="1" t="s">
        <v>44</v>
      </c>
      <c r="Q946" s="1" t="s">
        <v>2363</v>
      </c>
      <c r="R946" s="1" t="s">
        <v>46</v>
      </c>
      <c r="S946" s="7">
        <v>540.57000000000005</v>
      </c>
      <c r="T946" s="1">
        <v>9</v>
      </c>
      <c r="U946" s="9">
        <v>539.79999999999995</v>
      </c>
      <c r="V946" s="9">
        <v>4865.13</v>
      </c>
      <c r="W946" s="9">
        <v>4858.2</v>
      </c>
      <c r="X946" s="12">
        <v>6.930000000000291</v>
      </c>
      <c r="Y946" s="10">
        <v>2016</v>
      </c>
    </row>
    <row r="947" spans="1:25">
      <c r="A947" s="1" t="s">
        <v>2362</v>
      </c>
      <c r="B947" s="8">
        <v>42519</v>
      </c>
      <c r="C947" s="11" t="s">
        <v>3363</v>
      </c>
      <c r="D947" s="11" t="s">
        <v>3360</v>
      </c>
      <c r="E947" s="5">
        <v>42435</v>
      </c>
      <c r="F947" s="1" t="s">
        <v>49</v>
      </c>
      <c r="G947" s="1" t="s">
        <v>978</v>
      </c>
      <c r="H947" s="1" t="s">
        <v>3589</v>
      </c>
      <c r="I947" s="1" t="s">
        <v>3590</v>
      </c>
      <c r="J947" s="1"/>
      <c r="K947" s="1" t="s">
        <v>29</v>
      </c>
      <c r="L947" s="1" t="s">
        <v>30</v>
      </c>
      <c r="M947" s="1" t="s">
        <v>80</v>
      </c>
      <c r="N947" s="1" t="s">
        <v>81</v>
      </c>
      <c r="O947" s="1">
        <v>98105</v>
      </c>
      <c r="P947" s="1" t="s">
        <v>44</v>
      </c>
      <c r="Q947" s="1" t="s">
        <v>2364</v>
      </c>
      <c r="R947" s="1" t="s">
        <v>46</v>
      </c>
      <c r="S947" s="7">
        <v>167.76</v>
      </c>
      <c r="T947" s="1">
        <v>9</v>
      </c>
      <c r="U947" s="9">
        <v>167.02</v>
      </c>
      <c r="V947" s="9">
        <v>1509.84</v>
      </c>
      <c r="W947" s="9">
        <v>1503.18</v>
      </c>
      <c r="X947" s="12">
        <v>6.6599999999998545</v>
      </c>
      <c r="Y947" s="10">
        <v>2016</v>
      </c>
    </row>
    <row r="948" spans="1:25">
      <c r="A948" s="1" t="s">
        <v>2365</v>
      </c>
      <c r="B948" s="8">
        <v>42577</v>
      </c>
      <c r="C948" s="11" t="s">
        <v>3376</v>
      </c>
      <c r="D948" s="11" t="s">
        <v>3345</v>
      </c>
      <c r="E948" s="5" t="s">
        <v>2366</v>
      </c>
      <c r="F948" s="1" t="s">
        <v>162</v>
      </c>
      <c r="G948" s="1" t="s">
        <v>1552</v>
      </c>
      <c r="H948" s="1" t="s">
        <v>3455</v>
      </c>
      <c r="I948" s="1" t="s">
        <v>3708</v>
      </c>
      <c r="J948" s="1"/>
      <c r="K948" s="1" t="s">
        <v>29</v>
      </c>
      <c r="L948" s="1" t="s">
        <v>30</v>
      </c>
      <c r="M948" s="1" t="s">
        <v>1484</v>
      </c>
      <c r="N948" s="1" t="s">
        <v>265</v>
      </c>
      <c r="O948" s="1">
        <v>85204</v>
      </c>
      <c r="P948" s="1" t="s">
        <v>44</v>
      </c>
      <c r="Q948" s="1" t="s">
        <v>2367</v>
      </c>
      <c r="R948" s="1" t="s">
        <v>35</v>
      </c>
      <c r="S948" s="7">
        <v>393.16500000000002</v>
      </c>
      <c r="T948" s="1">
        <v>8</v>
      </c>
      <c r="U948" s="9">
        <v>392.86</v>
      </c>
      <c r="V948" s="9">
        <v>3145.32</v>
      </c>
      <c r="W948" s="9">
        <v>3142.88</v>
      </c>
      <c r="X948" s="12">
        <v>2.4400000000000546</v>
      </c>
      <c r="Y948" s="10">
        <v>2016</v>
      </c>
    </row>
    <row r="949" spans="1:25">
      <c r="A949" s="1" t="s">
        <v>2368</v>
      </c>
      <c r="B949" s="8">
        <v>43432</v>
      </c>
      <c r="C949" s="11" t="s">
        <v>3353</v>
      </c>
      <c r="D949" s="11" t="s">
        <v>3349</v>
      </c>
      <c r="E949" s="5">
        <v>43143</v>
      </c>
      <c r="F949" s="1" t="s">
        <v>49</v>
      </c>
      <c r="G949" s="1" t="s">
        <v>1230</v>
      </c>
      <c r="H949" s="1" t="s">
        <v>3646</v>
      </c>
      <c r="I949" s="1" t="s">
        <v>3647</v>
      </c>
      <c r="J949" s="1"/>
      <c r="K949" s="1" t="s">
        <v>87</v>
      </c>
      <c r="L949" s="1" t="s">
        <v>30</v>
      </c>
      <c r="M949" s="1" t="s">
        <v>126</v>
      </c>
      <c r="N949" s="1" t="s">
        <v>127</v>
      </c>
      <c r="O949" s="1">
        <v>19120</v>
      </c>
      <c r="P949" s="1" t="s">
        <v>128</v>
      </c>
      <c r="Q949" s="1" t="s">
        <v>2369</v>
      </c>
      <c r="R949" s="1" t="s">
        <v>35</v>
      </c>
      <c r="S949" s="7">
        <v>516.48800000000006</v>
      </c>
      <c r="T949" s="1">
        <v>1</v>
      </c>
      <c r="U949" s="9">
        <v>516.14</v>
      </c>
      <c r="V949" s="9">
        <v>516.48800000000006</v>
      </c>
      <c r="W949" s="9">
        <v>516.14</v>
      </c>
      <c r="X949" s="12">
        <v>0.34800000000007003</v>
      </c>
      <c r="Y949" s="10">
        <v>2018</v>
      </c>
    </row>
    <row r="950" spans="1:25">
      <c r="A950" s="1" t="s">
        <v>2368</v>
      </c>
      <c r="B950" s="8">
        <v>43432</v>
      </c>
      <c r="C950" s="11" t="s">
        <v>3353</v>
      </c>
      <c r="D950" s="11" t="s">
        <v>3349</v>
      </c>
      <c r="E950" s="5">
        <v>43143</v>
      </c>
      <c r="F950" s="1" t="s">
        <v>49</v>
      </c>
      <c r="G950" s="1" t="s">
        <v>1230</v>
      </c>
      <c r="H950" s="1" t="s">
        <v>3646</v>
      </c>
      <c r="I950" s="1" t="s">
        <v>3647</v>
      </c>
      <c r="J950" s="1"/>
      <c r="K950" s="1" t="s">
        <v>87</v>
      </c>
      <c r="L950" s="1" t="s">
        <v>30</v>
      </c>
      <c r="M950" s="1" t="s">
        <v>126</v>
      </c>
      <c r="N950" s="1" t="s">
        <v>127</v>
      </c>
      <c r="O950" s="1">
        <v>19120</v>
      </c>
      <c r="P950" s="1" t="s">
        <v>128</v>
      </c>
      <c r="Q950" s="1" t="s">
        <v>757</v>
      </c>
      <c r="R950" s="1" t="s">
        <v>35</v>
      </c>
      <c r="S950" s="7">
        <v>1007.232</v>
      </c>
      <c r="T950" s="1">
        <v>1</v>
      </c>
      <c r="U950" s="9">
        <v>1006.41</v>
      </c>
      <c r="V950" s="9">
        <v>1007.232</v>
      </c>
      <c r="W950" s="9">
        <v>1006.41</v>
      </c>
      <c r="X950" s="12">
        <v>0.82200000000000273</v>
      </c>
      <c r="Y950" s="10">
        <v>2018</v>
      </c>
    </row>
    <row r="951" spans="1:25">
      <c r="A951" s="1" t="s">
        <v>2368</v>
      </c>
      <c r="B951" s="8">
        <v>43432</v>
      </c>
      <c r="C951" s="11" t="s">
        <v>3353</v>
      </c>
      <c r="D951" s="11" t="s">
        <v>3349</v>
      </c>
      <c r="E951" s="5">
        <v>43143</v>
      </c>
      <c r="F951" s="1" t="s">
        <v>49</v>
      </c>
      <c r="G951" s="1" t="s">
        <v>1230</v>
      </c>
      <c r="H951" s="1" t="s">
        <v>3646</v>
      </c>
      <c r="I951" s="1" t="s">
        <v>3647</v>
      </c>
      <c r="J951" s="1"/>
      <c r="K951" s="1" t="s">
        <v>87</v>
      </c>
      <c r="L951" s="1" t="s">
        <v>30</v>
      </c>
      <c r="M951" s="1" t="s">
        <v>126</v>
      </c>
      <c r="N951" s="1" t="s">
        <v>127</v>
      </c>
      <c r="O951" s="1">
        <v>19120</v>
      </c>
      <c r="P951" s="1" t="s">
        <v>128</v>
      </c>
      <c r="Q951" s="1" t="s">
        <v>2370</v>
      </c>
      <c r="R951" s="1" t="s">
        <v>35</v>
      </c>
      <c r="S951" s="7">
        <v>2065.3200000000002</v>
      </c>
      <c r="T951" s="1">
        <v>1</v>
      </c>
      <c r="U951" s="9">
        <v>2065.16</v>
      </c>
      <c r="V951" s="9">
        <v>2065.3200000000002</v>
      </c>
      <c r="W951" s="9">
        <v>2065.16</v>
      </c>
      <c r="X951" s="12">
        <v>0.16000000000030923</v>
      </c>
      <c r="Y951" s="10">
        <v>2018</v>
      </c>
    </row>
    <row r="952" spans="1:25">
      <c r="A952" s="1" t="s">
        <v>2368</v>
      </c>
      <c r="B952" s="8">
        <v>43432</v>
      </c>
      <c r="C952" s="11" t="s">
        <v>3353</v>
      </c>
      <c r="D952" s="11" t="s">
        <v>3349</v>
      </c>
      <c r="E952" s="5">
        <v>43143</v>
      </c>
      <c r="F952" s="1" t="s">
        <v>49</v>
      </c>
      <c r="G952" s="1" t="s">
        <v>1230</v>
      </c>
      <c r="H952" s="1" t="s">
        <v>3646</v>
      </c>
      <c r="I952" s="1" t="s">
        <v>3647</v>
      </c>
      <c r="J952" s="1"/>
      <c r="K952" s="1" t="s">
        <v>87</v>
      </c>
      <c r="L952" s="1" t="s">
        <v>30</v>
      </c>
      <c r="M952" s="1" t="s">
        <v>126</v>
      </c>
      <c r="N952" s="1" t="s">
        <v>127</v>
      </c>
      <c r="O952" s="1">
        <v>19120</v>
      </c>
      <c r="P952" s="1" t="s">
        <v>128</v>
      </c>
      <c r="Q952" s="1" t="s">
        <v>2371</v>
      </c>
      <c r="R952" s="1" t="s">
        <v>46</v>
      </c>
      <c r="S952" s="7">
        <v>15.552</v>
      </c>
      <c r="T952" s="1">
        <v>1</v>
      </c>
      <c r="U952" s="9">
        <v>15.27</v>
      </c>
      <c r="V952" s="9">
        <v>15.552</v>
      </c>
      <c r="W952" s="9">
        <v>15.27</v>
      </c>
      <c r="X952" s="12">
        <v>0.28200000000000003</v>
      </c>
      <c r="Y952" s="10">
        <v>2018</v>
      </c>
    </row>
    <row r="953" spans="1:25">
      <c r="A953" s="1" t="s">
        <v>2368</v>
      </c>
      <c r="B953" s="8">
        <v>43432</v>
      </c>
      <c r="C953" s="11" t="s">
        <v>3353</v>
      </c>
      <c r="D953" s="11" t="s">
        <v>3349</v>
      </c>
      <c r="E953" s="5">
        <v>43143</v>
      </c>
      <c r="F953" s="1" t="s">
        <v>49</v>
      </c>
      <c r="G953" s="1" t="s">
        <v>1230</v>
      </c>
      <c r="H953" s="1" t="s">
        <v>3646</v>
      </c>
      <c r="I953" s="1" t="s">
        <v>3647</v>
      </c>
      <c r="J953" s="1"/>
      <c r="K953" s="1" t="s">
        <v>87</v>
      </c>
      <c r="L953" s="1" t="s">
        <v>30</v>
      </c>
      <c r="M953" s="1" t="s">
        <v>126</v>
      </c>
      <c r="N953" s="1" t="s">
        <v>127</v>
      </c>
      <c r="O953" s="1">
        <v>19120</v>
      </c>
      <c r="P953" s="1" t="s">
        <v>128</v>
      </c>
      <c r="Q953" s="1" t="s">
        <v>752</v>
      </c>
      <c r="R953" s="1" t="s">
        <v>46</v>
      </c>
      <c r="S953" s="7">
        <v>25.344000000000001</v>
      </c>
      <c r="T953" s="1">
        <v>1</v>
      </c>
      <c r="U953" s="9">
        <v>24.98</v>
      </c>
      <c r="V953" s="9">
        <v>25.344000000000001</v>
      </c>
      <c r="W953" s="9">
        <v>24.98</v>
      </c>
      <c r="X953" s="12">
        <v>0.36400000000000077</v>
      </c>
      <c r="Y953" s="10">
        <v>2018</v>
      </c>
    </row>
    <row r="954" spans="1:25">
      <c r="A954" s="1" t="s">
        <v>2372</v>
      </c>
      <c r="B954" s="8">
        <v>43163</v>
      </c>
      <c r="C954" s="11" t="s">
        <v>3429</v>
      </c>
      <c r="D954" s="11" t="s">
        <v>3382</v>
      </c>
      <c r="E954" s="5">
        <v>43285</v>
      </c>
      <c r="F954" s="1" t="s">
        <v>49</v>
      </c>
      <c r="G954" s="1" t="s">
        <v>2373</v>
      </c>
      <c r="H954" s="1" t="s">
        <v>3445</v>
      </c>
      <c r="I954" s="1" t="s">
        <v>3870</v>
      </c>
      <c r="J954" s="1"/>
      <c r="K954" s="1" t="s">
        <v>29</v>
      </c>
      <c r="L954" s="1" t="s">
        <v>30</v>
      </c>
      <c r="M954" s="1" t="s">
        <v>126</v>
      </c>
      <c r="N954" s="1" t="s">
        <v>127</v>
      </c>
      <c r="O954" s="1">
        <v>19143</v>
      </c>
      <c r="P954" s="1" t="s">
        <v>128</v>
      </c>
      <c r="Q954" s="1" t="s">
        <v>2375</v>
      </c>
      <c r="R954" s="1" t="s">
        <v>35</v>
      </c>
      <c r="S954" s="7">
        <v>25.472000000000001</v>
      </c>
      <c r="T954" s="1">
        <v>1</v>
      </c>
      <c r="U954" s="9">
        <v>24.85</v>
      </c>
      <c r="V954" s="9">
        <v>25.472000000000001</v>
      </c>
      <c r="W954" s="9">
        <v>24.85</v>
      </c>
      <c r="X954" s="12">
        <v>0.62199999999999989</v>
      </c>
      <c r="Y954" s="10">
        <v>2018</v>
      </c>
    </row>
    <row r="955" spans="1:25">
      <c r="A955" s="1" t="s">
        <v>2376</v>
      </c>
      <c r="B955" s="8">
        <v>43462</v>
      </c>
      <c r="C955" s="11" t="s">
        <v>3348</v>
      </c>
      <c r="D955" s="11" t="s">
        <v>3349</v>
      </c>
      <c r="E955" s="5">
        <v>43466</v>
      </c>
      <c r="F955" s="1" t="s">
        <v>49</v>
      </c>
      <c r="G955" s="1" t="s">
        <v>2377</v>
      </c>
      <c r="H955" s="1" t="s">
        <v>3464</v>
      </c>
      <c r="I955" s="1" t="s">
        <v>3819</v>
      </c>
      <c r="J955" s="1"/>
      <c r="K955" s="1" t="s">
        <v>29</v>
      </c>
      <c r="L955" s="1" t="s">
        <v>30</v>
      </c>
      <c r="M955" s="1" t="s">
        <v>2379</v>
      </c>
      <c r="N955" s="1" t="s">
        <v>89</v>
      </c>
      <c r="O955" s="1">
        <v>78664</v>
      </c>
      <c r="P955" s="1" t="s">
        <v>90</v>
      </c>
      <c r="Q955" s="1" t="s">
        <v>723</v>
      </c>
      <c r="R955" s="1" t="s">
        <v>46</v>
      </c>
      <c r="S955" s="7">
        <v>27.167999999999999</v>
      </c>
      <c r="T955" s="1">
        <v>7</v>
      </c>
      <c r="U955" s="9">
        <v>27.06</v>
      </c>
      <c r="V955" s="9">
        <v>190.17599999999999</v>
      </c>
      <c r="W955" s="9">
        <v>189.42</v>
      </c>
      <c r="X955" s="12">
        <v>0.75600000000000023</v>
      </c>
      <c r="Y955" s="10">
        <v>2018</v>
      </c>
    </row>
    <row r="956" spans="1:25">
      <c r="A956" s="1" t="s">
        <v>2376</v>
      </c>
      <c r="B956" s="8">
        <v>43462</v>
      </c>
      <c r="C956" s="11" t="s">
        <v>3348</v>
      </c>
      <c r="D956" s="11" t="s">
        <v>3349</v>
      </c>
      <c r="E956" s="5">
        <v>43466</v>
      </c>
      <c r="F956" s="1" t="s">
        <v>49</v>
      </c>
      <c r="G956" s="1" t="s">
        <v>2377</v>
      </c>
      <c r="H956" s="1" t="s">
        <v>3464</v>
      </c>
      <c r="I956" s="1" t="s">
        <v>3819</v>
      </c>
      <c r="J956" s="1"/>
      <c r="K956" s="1" t="s">
        <v>29</v>
      </c>
      <c r="L956" s="1" t="s">
        <v>30</v>
      </c>
      <c r="M956" s="1" t="s">
        <v>2379</v>
      </c>
      <c r="N956" s="1" t="s">
        <v>89</v>
      </c>
      <c r="O956" s="1">
        <v>78664</v>
      </c>
      <c r="P956" s="1" t="s">
        <v>90</v>
      </c>
      <c r="Q956" s="1" t="s">
        <v>880</v>
      </c>
      <c r="R956" s="1" t="s">
        <v>35</v>
      </c>
      <c r="S956" s="7">
        <v>78.852800000000002</v>
      </c>
      <c r="T956" s="1">
        <v>7</v>
      </c>
      <c r="U956" s="9">
        <v>78.510000000000005</v>
      </c>
      <c r="V956" s="9">
        <v>551.96960000000001</v>
      </c>
      <c r="W956" s="9">
        <v>549.57000000000005</v>
      </c>
      <c r="X956" s="12">
        <v>2.399599999999964</v>
      </c>
      <c r="Y956" s="10">
        <v>2018</v>
      </c>
    </row>
    <row r="957" spans="1:25">
      <c r="A957" s="1" t="s">
        <v>2380</v>
      </c>
      <c r="B957" s="8">
        <v>43434</v>
      </c>
      <c r="C957" s="11" t="s">
        <v>3353</v>
      </c>
      <c r="D957" s="11" t="s">
        <v>3349</v>
      </c>
      <c r="E957" s="5">
        <v>43202</v>
      </c>
      <c r="F957" s="1" t="s">
        <v>49</v>
      </c>
      <c r="G957" s="1" t="s">
        <v>2381</v>
      </c>
      <c r="H957" s="1" t="s">
        <v>3871</v>
      </c>
      <c r="I957" s="1" t="s">
        <v>3872</v>
      </c>
      <c r="J957" s="1"/>
      <c r="K957" s="1" t="s">
        <v>29</v>
      </c>
      <c r="L957" s="1" t="s">
        <v>30</v>
      </c>
      <c r="M957" s="1" t="s">
        <v>281</v>
      </c>
      <c r="N957" s="1" t="s">
        <v>1211</v>
      </c>
      <c r="O957" s="1">
        <v>39212</v>
      </c>
      <c r="P957" s="1" t="s">
        <v>33</v>
      </c>
      <c r="Q957" s="1" t="s">
        <v>242</v>
      </c>
      <c r="R957" s="1" t="s">
        <v>46</v>
      </c>
      <c r="S957" s="7">
        <v>173.8</v>
      </c>
      <c r="T957" s="1">
        <v>3</v>
      </c>
      <c r="U957" s="9">
        <v>173.33</v>
      </c>
      <c r="V957" s="9">
        <v>521.40000000000009</v>
      </c>
      <c r="W957" s="9">
        <v>519.99</v>
      </c>
      <c r="X957" s="12">
        <v>1.4100000000000819</v>
      </c>
      <c r="Y957" s="10">
        <v>2018</v>
      </c>
    </row>
    <row r="958" spans="1:25">
      <c r="A958" s="1" t="s">
        <v>2383</v>
      </c>
      <c r="B958" s="8">
        <v>43235</v>
      </c>
      <c r="C958" s="11" t="s">
        <v>3363</v>
      </c>
      <c r="D958" s="11" t="s">
        <v>3360</v>
      </c>
      <c r="E958" s="5" t="s">
        <v>2384</v>
      </c>
      <c r="F958" s="1" t="s">
        <v>26</v>
      </c>
      <c r="G958" s="1" t="s">
        <v>2385</v>
      </c>
      <c r="H958" s="1" t="s">
        <v>3535</v>
      </c>
      <c r="I958" s="1" t="s">
        <v>3873</v>
      </c>
      <c r="J958" s="1"/>
      <c r="K958" s="1" t="s">
        <v>29</v>
      </c>
      <c r="L958" s="1" t="s">
        <v>30</v>
      </c>
      <c r="M958" s="1" t="s">
        <v>457</v>
      </c>
      <c r="N958" s="1" t="s">
        <v>265</v>
      </c>
      <c r="O958" s="1">
        <v>85023</v>
      </c>
      <c r="P958" s="1" t="s">
        <v>44</v>
      </c>
      <c r="Q958" s="1" t="s">
        <v>2189</v>
      </c>
      <c r="R958" s="1" t="s">
        <v>64</v>
      </c>
      <c r="S958" s="7">
        <v>29.591999999999999</v>
      </c>
      <c r="T958" s="1">
        <v>8</v>
      </c>
      <c r="U958" s="9">
        <v>28.89</v>
      </c>
      <c r="V958" s="9">
        <v>236.73599999999999</v>
      </c>
      <c r="W958" s="9">
        <v>231.12</v>
      </c>
      <c r="X958" s="12">
        <v>5.6159999999999854</v>
      </c>
      <c r="Y958" s="10">
        <v>2018</v>
      </c>
    </row>
    <row r="959" spans="1:25">
      <c r="A959" s="1" t="s">
        <v>2383</v>
      </c>
      <c r="B959" s="8">
        <v>43235</v>
      </c>
      <c r="C959" s="11" t="s">
        <v>3363</v>
      </c>
      <c r="D959" s="11" t="s">
        <v>3360</v>
      </c>
      <c r="E959" s="5" t="s">
        <v>2384</v>
      </c>
      <c r="F959" s="1" t="s">
        <v>26</v>
      </c>
      <c r="G959" s="1" t="s">
        <v>2385</v>
      </c>
      <c r="H959" s="1" t="s">
        <v>3535</v>
      </c>
      <c r="I959" s="1" t="s">
        <v>3873</v>
      </c>
      <c r="J959" s="1"/>
      <c r="K959" s="1" t="s">
        <v>29</v>
      </c>
      <c r="L959" s="1" t="s">
        <v>30</v>
      </c>
      <c r="M959" s="1" t="s">
        <v>457</v>
      </c>
      <c r="N959" s="1" t="s">
        <v>265</v>
      </c>
      <c r="O959" s="1">
        <v>85023</v>
      </c>
      <c r="P959" s="1" t="s">
        <v>44</v>
      </c>
      <c r="Q959" s="1" t="s">
        <v>2387</v>
      </c>
      <c r="R959" s="1" t="s">
        <v>46</v>
      </c>
      <c r="S959" s="7">
        <v>4.7519999999999998</v>
      </c>
      <c r="T959" s="1">
        <v>8</v>
      </c>
      <c r="U959" s="9">
        <v>3.8</v>
      </c>
      <c r="V959" s="9">
        <v>38.015999999999998</v>
      </c>
      <c r="W959" s="9">
        <v>30.4</v>
      </c>
      <c r="X959" s="12">
        <v>7.6159999999999997</v>
      </c>
      <c r="Y959" s="10">
        <v>2018</v>
      </c>
    </row>
    <row r="960" spans="1:25">
      <c r="A960" s="1" t="s">
        <v>2383</v>
      </c>
      <c r="B960" s="8">
        <v>43235</v>
      </c>
      <c r="C960" s="11" t="s">
        <v>3363</v>
      </c>
      <c r="D960" s="11" t="s">
        <v>3360</v>
      </c>
      <c r="E960" s="5" t="s">
        <v>2384</v>
      </c>
      <c r="F960" s="1" t="s">
        <v>26</v>
      </c>
      <c r="G960" s="1" t="s">
        <v>2385</v>
      </c>
      <c r="H960" s="1" t="s">
        <v>3535</v>
      </c>
      <c r="I960" s="1" t="s">
        <v>3873</v>
      </c>
      <c r="J960" s="1"/>
      <c r="K960" s="1" t="s">
        <v>29</v>
      </c>
      <c r="L960" s="1" t="s">
        <v>30</v>
      </c>
      <c r="M960" s="1" t="s">
        <v>457</v>
      </c>
      <c r="N960" s="1" t="s">
        <v>265</v>
      </c>
      <c r="O960" s="1">
        <v>85023</v>
      </c>
      <c r="P960" s="1" t="s">
        <v>44</v>
      </c>
      <c r="Q960" s="1" t="s">
        <v>2388</v>
      </c>
      <c r="R960" s="1" t="s">
        <v>46</v>
      </c>
      <c r="S960" s="7">
        <v>15.552</v>
      </c>
      <c r="T960" s="1">
        <v>8</v>
      </c>
      <c r="U960" s="9">
        <v>15.55</v>
      </c>
      <c r="V960" s="9">
        <v>124.416</v>
      </c>
      <c r="W960" s="9">
        <v>124.4</v>
      </c>
      <c r="X960" s="12">
        <v>1.5999999999991132E-2</v>
      </c>
      <c r="Y960" s="10">
        <v>2018</v>
      </c>
    </row>
    <row r="961" spans="1:25">
      <c r="A961" s="1" t="s">
        <v>2389</v>
      </c>
      <c r="B961" s="8">
        <v>42635</v>
      </c>
      <c r="C961" s="11" t="s">
        <v>3356</v>
      </c>
      <c r="D961" s="11" t="s">
        <v>3345</v>
      </c>
      <c r="E961" s="5" t="s">
        <v>1581</v>
      </c>
      <c r="F961" s="1" t="s">
        <v>1050</v>
      </c>
      <c r="G961" s="1" t="s">
        <v>2390</v>
      </c>
      <c r="H961" s="1" t="s">
        <v>3874</v>
      </c>
      <c r="I961" s="1" t="s">
        <v>3875</v>
      </c>
      <c r="J961" s="1"/>
      <c r="K961" s="1" t="s">
        <v>29</v>
      </c>
      <c r="L961" s="1" t="s">
        <v>30</v>
      </c>
      <c r="M961" s="1" t="s">
        <v>1918</v>
      </c>
      <c r="N961" s="1" t="s">
        <v>68</v>
      </c>
      <c r="O961" s="1">
        <v>92054</v>
      </c>
      <c r="P961" s="1" t="s">
        <v>44</v>
      </c>
      <c r="Q961" s="1" t="s">
        <v>2392</v>
      </c>
      <c r="R961" s="1" t="s">
        <v>35</v>
      </c>
      <c r="S961" s="7">
        <v>204.6</v>
      </c>
      <c r="T961" s="1">
        <v>9</v>
      </c>
      <c r="U961" s="9">
        <v>204.29</v>
      </c>
      <c r="V961" s="9">
        <v>1841.3999999999999</v>
      </c>
      <c r="W961" s="9">
        <v>1838.61</v>
      </c>
      <c r="X961" s="12">
        <v>2.7899999999999636</v>
      </c>
      <c r="Y961" s="10">
        <v>2016</v>
      </c>
    </row>
    <row r="962" spans="1:25">
      <c r="A962" s="1" t="s">
        <v>2393</v>
      </c>
      <c r="B962" s="8">
        <v>43418</v>
      </c>
      <c r="C962" s="11" t="s">
        <v>3353</v>
      </c>
      <c r="D962" s="11" t="s">
        <v>3349</v>
      </c>
      <c r="E962" s="5" t="s">
        <v>2394</v>
      </c>
      <c r="F962" s="1" t="s">
        <v>49</v>
      </c>
      <c r="G962" s="1" t="s">
        <v>2395</v>
      </c>
      <c r="H962" s="1" t="s">
        <v>3473</v>
      </c>
      <c r="I962" s="1" t="s">
        <v>3860</v>
      </c>
      <c r="J962" s="1"/>
      <c r="K962" s="1" t="s">
        <v>41</v>
      </c>
      <c r="L962" s="1" t="s">
        <v>30</v>
      </c>
      <c r="M962" s="1" t="s">
        <v>110</v>
      </c>
      <c r="N962" s="1" t="s">
        <v>68</v>
      </c>
      <c r="O962" s="1">
        <v>94110</v>
      </c>
      <c r="P962" s="1" t="s">
        <v>44</v>
      </c>
      <c r="Q962" s="1" t="s">
        <v>773</v>
      </c>
      <c r="R962" s="1" t="s">
        <v>35</v>
      </c>
      <c r="S962" s="7">
        <v>321.56799999999998</v>
      </c>
      <c r="T962" s="1">
        <v>9</v>
      </c>
      <c r="U962" s="9">
        <v>321.44</v>
      </c>
      <c r="V962" s="9">
        <v>2894.1120000000001</v>
      </c>
      <c r="W962" s="9">
        <v>2892.96</v>
      </c>
      <c r="X962" s="12">
        <v>1.1520000000000437</v>
      </c>
      <c r="Y962" s="10">
        <v>2018</v>
      </c>
    </row>
    <row r="963" spans="1:25">
      <c r="A963" s="1" t="s">
        <v>2397</v>
      </c>
      <c r="B963" s="8">
        <v>42701</v>
      </c>
      <c r="C963" s="11" t="s">
        <v>3353</v>
      </c>
      <c r="D963" s="11" t="s">
        <v>3349</v>
      </c>
      <c r="E963" s="5">
        <v>42381</v>
      </c>
      <c r="F963" s="1" t="s">
        <v>49</v>
      </c>
      <c r="G963" s="1" t="s">
        <v>2398</v>
      </c>
      <c r="H963" s="1" t="s">
        <v>3577</v>
      </c>
      <c r="I963" s="1" t="s">
        <v>3876</v>
      </c>
      <c r="J963" s="1"/>
      <c r="K963" s="1" t="s">
        <v>87</v>
      </c>
      <c r="L963" s="1" t="s">
        <v>30</v>
      </c>
      <c r="M963" s="1" t="s">
        <v>1387</v>
      </c>
      <c r="N963" s="1" t="s">
        <v>1388</v>
      </c>
      <c r="O963" s="1">
        <v>72701</v>
      </c>
      <c r="P963" s="1" t="s">
        <v>33</v>
      </c>
      <c r="Q963" s="1" t="s">
        <v>2400</v>
      </c>
      <c r="R963" s="1" t="s">
        <v>46</v>
      </c>
      <c r="S963" s="7">
        <v>6.24</v>
      </c>
      <c r="T963" s="1">
        <v>7</v>
      </c>
      <c r="U963" s="9">
        <v>6.13</v>
      </c>
      <c r="V963" s="9">
        <v>43.68</v>
      </c>
      <c r="W963" s="9">
        <v>42.91</v>
      </c>
      <c r="X963" s="12">
        <v>0.77000000000000313</v>
      </c>
      <c r="Y963" s="10">
        <v>2016</v>
      </c>
    </row>
    <row r="964" spans="1:25">
      <c r="A964" s="1" t="s">
        <v>2401</v>
      </c>
      <c r="B964" s="8">
        <v>42744</v>
      </c>
      <c r="C964" s="11" t="s">
        <v>3381</v>
      </c>
      <c r="D964" s="11" t="s">
        <v>3382</v>
      </c>
      <c r="E964" s="5">
        <v>42834</v>
      </c>
      <c r="F964" s="1" t="s">
        <v>162</v>
      </c>
      <c r="G964" s="1" t="s">
        <v>406</v>
      </c>
      <c r="H964" s="1" t="s">
        <v>3455</v>
      </c>
      <c r="I964" s="1" t="s">
        <v>3456</v>
      </c>
      <c r="J964" s="1"/>
      <c r="K964" s="1" t="s">
        <v>41</v>
      </c>
      <c r="L964" s="1" t="s">
        <v>30</v>
      </c>
      <c r="M964" s="1" t="s">
        <v>110</v>
      </c>
      <c r="N964" s="1" t="s">
        <v>68</v>
      </c>
      <c r="O964" s="1">
        <v>94110</v>
      </c>
      <c r="P964" s="1" t="s">
        <v>44</v>
      </c>
      <c r="Q964" s="1" t="s">
        <v>1466</v>
      </c>
      <c r="R964" s="1" t="s">
        <v>46</v>
      </c>
      <c r="S964" s="7">
        <v>21.88</v>
      </c>
      <c r="T964" s="1">
        <v>9</v>
      </c>
      <c r="U964" s="9">
        <v>21.28</v>
      </c>
      <c r="V964" s="9">
        <v>196.92</v>
      </c>
      <c r="W964" s="9">
        <v>191.52</v>
      </c>
      <c r="X964" s="12">
        <v>5.3999999999999773</v>
      </c>
      <c r="Y964" s="10">
        <v>2017</v>
      </c>
    </row>
    <row r="965" spans="1:25">
      <c r="A965" s="1" t="s">
        <v>2402</v>
      </c>
      <c r="B965" s="8">
        <v>42269</v>
      </c>
      <c r="C965" s="11" t="s">
        <v>3356</v>
      </c>
      <c r="D965" s="11" t="s">
        <v>3345</v>
      </c>
      <c r="E965" s="5" t="s">
        <v>952</v>
      </c>
      <c r="F965" s="1" t="s">
        <v>26</v>
      </c>
      <c r="G965" s="1" t="s">
        <v>2268</v>
      </c>
      <c r="H965" s="1" t="s">
        <v>3679</v>
      </c>
      <c r="I965" s="1" t="s">
        <v>3853</v>
      </c>
      <c r="J965" s="1"/>
      <c r="K965" s="1" t="s">
        <v>29</v>
      </c>
      <c r="L965" s="1" t="s">
        <v>30</v>
      </c>
      <c r="M965" s="1" t="s">
        <v>2403</v>
      </c>
      <c r="N965" s="1" t="s">
        <v>194</v>
      </c>
      <c r="O965" s="1">
        <v>33433</v>
      </c>
      <c r="P965" s="1" t="s">
        <v>33</v>
      </c>
      <c r="Q965" s="1" t="s">
        <v>2404</v>
      </c>
      <c r="R965" s="1" t="s">
        <v>46</v>
      </c>
      <c r="S965" s="7">
        <v>4.6079999999999997</v>
      </c>
      <c r="T965" s="1">
        <v>3</v>
      </c>
      <c r="U965" s="9">
        <v>3.7</v>
      </c>
      <c r="V965" s="9">
        <v>13.823999999999998</v>
      </c>
      <c r="W965" s="9">
        <v>11.100000000000001</v>
      </c>
      <c r="X965" s="12">
        <v>2.7239999999999966</v>
      </c>
      <c r="Y965" s="10">
        <v>2015</v>
      </c>
    </row>
    <row r="966" spans="1:25">
      <c r="A966" s="1" t="s">
        <v>2405</v>
      </c>
      <c r="B966" s="8">
        <v>43347</v>
      </c>
      <c r="C966" s="11" t="s">
        <v>3356</v>
      </c>
      <c r="D966" s="11" t="s">
        <v>3345</v>
      </c>
      <c r="E966" s="5">
        <v>43408</v>
      </c>
      <c r="F966" s="1" t="s">
        <v>162</v>
      </c>
      <c r="G966" s="1" t="s">
        <v>2406</v>
      </c>
      <c r="H966" s="1" t="s">
        <v>3813</v>
      </c>
      <c r="I966" s="1" t="s">
        <v>3877</v>
      </c>
      <c r="J966" s="1"/>
      <c r="K966" s="1" t="s">
        <v>87</v>
      </c>
      <c r="L966" s="1" t="s">
        <v>30</v>
      </c>
      <c r="M966" s="1" t="s">
        <v>233</v>
      </c>
      <c r="N966" s="1" t="s">
        <v>234</v>
      </c>
      <c r="O966" s="1">
        <v>10011</v>
      </c>
      <c r="P966" s="1" t="s">
        <v>128</v>
      </c>
      <c r="Q966" s="1" t="s">
        <v>2408</v>
      </c>
      <c r="R966" s="1" t="s">
        <v>46</v>
      </c>
      <c r="S966" s="7">
        <v>9.82</v>
      </c>
      <c r="T966" s="1">
        <v>1</v>
      </c>
      <c r="U966" s="9">
        <v>9</v>
      </c>
      <c r="V966" s="9">
        <v>9.82</v>
      </c>
      <c r="W966" s="9">
        <v>9</v>
      </c>
      <c r="X966" s="12">
        <v>0.82000000000000028</v>
      </c>
      <c r="Y966" s="10">
        <v>2018</v>
      </c>
    </row>
    <row r="967" spans="1:25">
      <c r="A967" s="1" t="s">
        <v>2405</v>
      </c>
      <c r="B967" s="8">
        <v>43347</v>
      </c>
      <c r="C967" s="11" t="s">
        <v>3356</v>
      </c>
      <c r="D967" s="11" t="s">
        <v>3345</v>
      </c>
      <c r="E967" s="5">
        <v>43408</v>
      </c>
      <c r="F967" s="1" t="s">
        <v>162</v>
      </c>
      <c r="G967" s="1" t="s">
        <v>2406</v>
      </c>
      <c r="H967" s="1" t="s">
        <v>3813</v>
      </c>
      <c r="I967" s="1" t="s">
        <v>3877</v>
      </c>
      <c r="J967" s="1"/>
      <c r="K967" s="1" t="s">
        <v>87</v>
      </c>
      <c r="L967" s="1" t="s">
        <v>30</v>
      </c>
      <c r="M967" s="1" t="s">
        <v>233</v>
      </c>
      <c r="N967" s="1" t="s">
        <v>234</v>
      </c>
      <c r="O967" s="1">
        <v>10011</v>
      </c>
      <c r="P967" s="1" t="s">
        <v>128</v>
      </c>
      <c r="Q967" s="1" t="s">
        <v>1185</v>
      </c>
      <c r="R967" s="1" t="s">
        <v>46</v>
      </c>
      <c r="S967" s="7">
        <v>35.97</v>
      </c>
      <c r="T967" s="1">
        <v>1</v>
      </c>
      <c r="U967" s="9">
        <v>35.61</v>
      </c>
      <c r="V967" s="9">
        <v>35.97</v>
      </c>
      <c r="W967" s="9">
        <v>35.61</v>
      </c>
      <c r="X967" s="12">
        <v>0.35999999999999943</v>
      </c>
      <c r="Y967" s="10">
        <v>2018</v>
      </c>
    </row>
    <row r="968" spans="1:25">
      <c r="A968" s="1" t="s">
        <v>2405</v>
      </c>
      <c r="B968" s="8">
        <v>43347</v>
      </c>
      <c r="C968" s="11" t="s">
        <v>3356</v>
      </c>
      <c r="D968" s="11" t="s">
        <v>3345</v>
      </c>
      <c r="E968" s="5">
        <v>43408</v>
      </c>
      <c r="F968" s="1" t="s">
        <v>162</v>
      </c>
      <c r="G968" s="1" t="s">
        <v>2406</v>
      </c>
      <c r="H968" s="1" t="s">
        <v>3813</v>
      </c>
      <c r="I968" s="1" t="s">
        <v>3877</v>
      </c>
      <c r="J968" s="1"/>
      <c r="K968" s="1" t="s">
        <v>87</v>
      </c>
      <c r="L968" s="1" t="s">
        <v>30</v>
      </c>
      <c r="M968" s="1" t="s">
        <v>233</v>
      </c>
      <c r="N968" s="1" t="s">
        <v>234</v>
      </c>
      <c r="O968" s="1">
        <v>10011</v>
      </c>
      <c r="P968" s="1" t="s">
        <v>128</v>
      </c>
      <c r="Q968" s="1" t="s">
        <v>2409</v>
      </c>
      <c r="R968" s="1" t="s">
        <v>46</v>
      </c>
      <c r="S968" s="7">
        <v>12.96</v>
      </c>
      <c r="T968" s="1">
        <v>1</v>
      </c>
      <c r="U968" s="9">
        <v>12.91</v>
      </c>
      <c r="V968" s="9">
        <v>12.96</v>
      </c>
      <c r="W968" s="9">
        <v>12.91</v>
      </c>
      <c r="X968" s="12">
        <v>5.0000000000000711E-2</v>
      </c>
      <c r="Y968" s="10">
        <v>2018</v>
      </c>
    </row>
    <row r="969" spans="1:25">
      <c r="A969" s="1" t="s">
        <v>2405</v>
      </c>
      <c r="B969" s="8">
        <v>43347</v>
      </c>
      <c r="C969" s="11" t="s">
        <v>3356</v>
      </c>
      <c r="D969" s="11" t="s">
        <v>3345</v>
      </c>
      <c r="E969" s="5">
        <v>43408</v>
      </c>
      <c r="F969" s="1" t="s">
        <v>162</v>
      </c>
      <c r="G969" s="1" t="s">
        <v>2406</v>
      </c>
      <c r="H969" s="1" t="s">
        <v>3813</v>
      </c>
      <c r="I969" s="1" t="s">
        <v>3877</v>
      </c>
      <c r="J969" s="1"/>
      <c r="K969" s="1" t="s">
        <v>87</v>
      </c>
      <c r="L969" s="1" t="s">
        <v>30</v>
      </c>
      <c r="M969" s="1" t="s">
        <v>233</v>
      </c>
      <c r="N969" s="1" t="s">
        <v>234</v>
      </c>
      <c r="O969" s="1">
        <v>10011</v>
      </c>
      <c r="P969" s="1" t="s">
        <v>128</v>
      </c>
      <c r="Q969" s="1" t="s">
        <v>2410</v>
      </c>
      <c r="R969" s="1" t="s">
        <v>46</v>
      </c>
      <c r="S969" s="7">
        <v>191.6</v>
      </c>
      <c r="T969" s="1">
        <v>1</v>
      </c>
      <c r="U969" s="9">
        <v>191.09</v>
      </c>
      <c r="V969" s="9">
        <v>191.6</v>
      </c>
      <c r="W969" s="9">
        <v>191.09</v>
      </c>
      <c r="X969" s="12">
        <v>0.50999999999999091</v>
      </c>
      <c r="Y969" s="10">
        <v>2018</v>
      </c>
    </row>
    <row r="970" spans="1:25">
      <c r="A970" s="1" t="s">
        <v>2405</v>
      </c>
      <c r="B970" s="8">
        <v>43347</v>
      </c>
      <c r="C970" s="11" t="s">
        <v>3356</v>
      </c>
      <c r="D970" s="11" t="s">
        <v>3345</v>
      </c>
      <c r="E970" s="5">
        <v>43408</v>
      </c>
      <c r="F970" s="1" t="s">
        <v>162</v>
      </c>
      <c r="G970" s="1" t="s">
        <v>2406</v>
      </c>
      <c r="H970" s="1" t="s">
        <v>3813</v>
      </c>
      <c r="I970" s="1" t="s">
        <v>3877</v>
      </c>
      <c r="J970" s="1"/>
      <c r="K970" s="1" t="s">
        <v>87</v>
      </c>
      <c r="L970" s="1" t="s">
        <v>30</v>
      </c>
      <c r="M970" s="1" t="s">
        <v>233</v>
      </c>
      <c r="N970" s="1" t="s">
        <v>234</v>
      </c>
      <c r="O970" s="1">
        <v>10011</v>
      </c>
      <c r="P970" s="1" t="s">
        <v>128</v>
      </c>
      <c r="Q970" s="1" t="s">
        <v>2404</v>
      </c>
      <c r="R970" s="1" t="s">
        <v>46</v>
      </c>
      <c r="S970" s="7">
        <v>8.64</v>
      </c>
      <c r="T970" s="1">
        <v>1</v>
      </c>
      <c r="U970" s="9">
        <v>7.67</v>
      </c>
      <c r="V970" s="9">
        <v>8.64</v>
      </c>
      <c r="W970" s="9">
        <v>7.67</v>
      </c>
      <c r="X970" s="12">
        <v>0.97000000000000064</v>
      </c>
      <c r="Y970" s="10">
        <v>2018</v>
      </c>
    </row>
    <row r="971" spans="1:25">
      <c r="A971" s="1" t="s">
        <v>2405</v>
      </c>
      <c r="B971" s="8">
        <v>43347</v>
      </c>
      <c r="C971" s="11" t="s">
        <v>3356</v>
      </c>
      <c r="D971" s="11" t="s">
        <v>3345</v>
      </c>
      <c r="E971" s="5">
        <v>43408</v>
      </c>
      <c r="F971" s="1" t="s">
        <v>162</v>
      </c>
      <c r="G971" s="1" t="s">
        <v>2406</v>
      </c>
      <c r="H971" s="1" t="s">
        <v>3813</v>
      </c>
      <c r="I971" s="1" t="s">
        <v>3877</v>
      </c>
      <c r="J971" s="1"/>
      <c r="K971" s="1" t="s">
        <v>87</v>
      </c>
      <c r="L971" s="1" t="s">
        <v>30</v>
      </c>
      <c r="M971" s="1" t="s">
        <v>233</v>
      </c>
      <c r="N971" s="1" t="s">
        <v>234</v>
      </c>
      <c r="O971" s="1">
        <v>10011</v>
      </c>
      <c r="P971" s="1" t="s">
        <v>128</v>
      </c>
      <c r="Q971" s="1" t="s">
        <v>2411</v>
      </c>
      <c r="R971" s="1" t="s">
        <v>46</v>
      </c>
      <c r="S971" s="7">
        <v>501.81</v>
      </c>
      <c r="T971" s="1">
        <v>1</v>
      </c>
      <c r="U971" s="9">
        <v>501.68</v>
      </c>
      <c r="V971" s="9">
        <v>501.81</v>
      </c>
      <c r="W971" s="9">
        <v>501.68</v>
      </c>
      <c r="X971" s="12">
        <v>0.12999999999999545</v>
      </c>
      <c r="Y971" s="10">
        <v>2018</v>
      </c>
    </row>
    <row r="972" spans="1:25">
      <c r="A972" s="1" t="s">
        <v>2412</v>
      </c>
      <c r="B972" s="8">
        <v>42020</v>
      </c>
      <c r="C972" s="11" t="s">
        <v>3381</v>
      </c>
      <c r="D972" s="11" t="s">
        <v>3382</v>
      </c>
      <c r="E972" s="5" t="s">
        <v>2413</v>
      </c>
      <c r="F972" s="1" t="s">
        <v>26</v>
      </c>
      <c r="G972" s="1" t="s">
        <v>781</v>
      </c>
      <c r="H972" s="1" t="s">
        <v>3549</v>
      </c>
      <c r="I972" s="1" t="s">
        <v>3550</v>
      </c>
      <c r="J972" s="1"/>
      <c r="K972" s="1" t="s">
        <v>29</v>
      </c>
      <c r="L972" s="1" t="s">
        <v>30</v>
      </c>
      <c r="M972" s="1" t="s">
        <v>126</v>
      </c>
      <c r="N972" s="1" t="s">
        <v>127</v>
      </c>
      <c r="O972" s="1">
        <v>19134</v>
      </c>
      <c r="P972" s="1" t="s">
        <v>128</v>
      </c>
      <c r="Q972" s="1" t="s">
        <v>2414</v>
      </c>
      <c r="R972" s="1" t="s">
        <v>35</v>
      </c>
      <c r="S972" s="7">
        <v>127.104</v>
      </c>
      <c r="T972" s="1">
        <v>1</v>
      </c>
      <c r="U972" s="9">
        <v>126.74</v>
      </c>
      <c r="V972" s="9">
        <v>127.104</v>
      </c>
      <c r="W972" s="9">
        <v>126.74</v>
      </c>
      <c r="X972" s="12">
        <v>0.36400000000000432</v>
      </c>
      <c r="Y972" s="10">
        <v>2015</v>
      </c>
    </row>
    <row r="973" spans="1:25">
      <c r="A973" s="1" t="s">
        <v>2412</v>
      </c>
      <c r="B973" s="8">
        <v>42020</v>
      </c>
      <c r="C973" s="11" t="s">
        <v>3381</v>
      </c>
      <c r="D973" s="11" t="s">
        <v>3382</v>
      </c>
      <c r="E973" s="5" t="s">
        <v>2413</v>
      </c>
      <c r="F973" s="1" t="s">
        <v>26</v>
      </c>
      <c r="G973" s="1" t="s">
        <v>781</v>
      </c>
      <c r="H973" s="1" t="s">
        <v>3549</v>
      </c>
      <c r="I973" s="1" t="s">
        <v>3550</v>
      </c>
      <c r="J973" s="1"/>
      <c r="K973" s="1" t="s">
        <v>29</v>
      </c>
      <c r="L973" s="1" t="s">
        <v>30</v>
      </c>
      <c r="M973" s="1" t="s">
        <v>126</v>
      </c>
      <c r="N973" s="1" t="s">
        <v>127</v>
      </c>
      <c r="O973" s="1">
        <v>19134</v>
      </c>
      <c r="P973" s="1" t="s">
        <v>128</v>
      </c>
      <c r="Q973" s="1" t="s">
        <v>980</v>
      </c>
      <c r="R973" s="1" t="s">
        <v>64</v>
      </c>
      <c r="S973" s="7">
        <v>124.2</v>
      </c>
      <c r="T973" s="1">
        <v>1</v>
      </c>
      <c r="U973" s="9">
        <v>123.49</v>
      </c>
      <c r="V973" s="9">
        <v>124.2</v>
      </c>
      <c r="W973" s="9">
        <v>123.49</v>
      </c>
      <c r="X973" s="12">
        <v>0.71000000000000796</v>
      </c>
      <c r="Y973" s="10">
        <v>2015</v>
      </c>
    </row>
    <row r="974" spans="1:25">
      <c r="A974" s="1" t="s">
        <v>2412</v>
      </c>
      <c r="B974" s="8">
        <v>42020</v>
      </c>
      <c r="C974" s="11" t="s">
        <v>3381</v>
      </c>
      <c r="D974" s="11" t="s">
        <v>3382</v>
      </c>
      <c r="E974" s="5" t="s">
        <v>2413</v>
      </c>
      <c r="F974" s="1" t="s">
        <v>26</v>
      </c>
      <c r="G974" s="1" t="s">
        <v>781</v>
      </c>
      <c r="H974" s="1" t="s">
        <v>3549</v>
      </c>
      <c r="I974" s="1" t="s">
        <v>3550</v>
      </c>
      <c r="J974" s="1"/>
      <c r="K974" s="1" t="s">
        <v>29</v>
      </c>
      <c r="L974" s="1" t="s">
        <v>30</v>
      </c>
      <c r="M974" s="1" t="s">
        <v>126</v>
      </c>
      <c r="N974" s="1" t="s">
        <v>127</v>
      </c>
      <c r="O974" s="1">
        <v>19134</v>
      </c>
      <c r="P974" s="1" t="s">
        <v>128</v>
      </c>
      <c r="Q974" s="1" t="s">
        <v>1844</v>
      </c>
      <c r="R974" s="1" t="s">
        <v>46</v>
      </c>
      <c r="S974" s="7">
        <v>18.588000000000001</v>
      </c>
      <c r="T974" s="1">
        <v>1</v>
      </c>
      <c r="U974" s="9">
        <v>18.21</v>
      </c>
      <c r="V974" s="9">
        <v>18.588000000000001</v>
      </c>
      <c r="W974" s="9">
        <v>18.21</v>
      </c>
      <c r="X974" s="12">
        <v>0.37800000000000011</v>
      </c>
      <c r="Y974" s="10">
        <v>2015</v>
      </c>
    </row>
    <row r="975" spans="1:25">
      <c r="A975" s="1" t="s">
        <v>2412</v>
      </c>
      <c r="B975" s="8">
        <v>42020</v>
      </c>
      <c r="C975" s="11" t="s">
        <v>3381</v>
      </c>
      <c r="D975" s="11" t="s">
        <v>3382</v>
      </c>
      <c r="E975" s="5" t="s">
        <v>2413</v>
      </c>
      <c r="F975" s="1" t="s">
        <v>26</v>
      </c>
      <c r="G975" s="1" t="s">
        <v>781</v>
      </c>
      <c r="H975" s="1" t="s">
        <v>3549</v>
      </c>
      <c r="I975" s="1" t="s">
        <v>3550</v>
      </c>
      <c r="J975" s="1"/>
      <c r="K975" s="1" t="s">
        <v>29</v>
      </c>
      <c r="L975" s="1" t="s">
        <v>30</v>
      </c>
      <c r="M975" s="1" t="s">
        <v>126</v>
      </c>
      <c r="N975" s="1" t="s">
        <v>127</v>
      </c>
      <c r="O975" s="1">
        <v>19134</v>
      </c>
      <c r="P975" s="1" t="s">
        <v>128</v>
      </c>
      <c r="Q975" s="1" t="s">
        <v>974</v>
      </c>
      <c r="R975" s="1" t="s">
        <v>46</v>
      </c>
      <c r="S975" s="7">
        <v>30.071999999999999</v>
      </c>
      <c r="T975" s="1">
        <v>1</v>
      </c>
      <c r="U975" s="9">
        <v>29.51</v>
      </c>
      <c r="V975" s="9">
        <v>30.071999999999999</v>
      </c>
      <c r="W975" s="9">
        <v>29.51</v>
      </c>
      <c r="X975" s="12">
        <v>0.56199999999999761</v>
      </c>
      <c r="Y975" s="10">
        <v>2015</v>
      </c>
    </row>
    <row r="976" spans="1:25">
      <c r="A976" s="1" t="s">
        <v>2415</v>
      </c>
      <c r="B976" s="8">
        <v>43230</v>
      </c>
      <c r="C976" s="11" t="s">
        <v>3363</v>
      </c>
      <c r="D976" s="11" t="s">
        <v>3360</v>
      </c>
      <c r="E976" s="5">
        <v>43322</v>
      </c>
      <c r="F976" s="1" t="s">
        <v>26</v>
      </c>
      <c r="G976" s="1" t="s">
        <v>1931</v>
      </c>
      <c r="H976" s="1" t="s">
        <v>3796</v>
      </c>
      <c r="I976" s="1" t="s">
        <v>3797</v>
      </c>
      <c r="J976" s="1"/>
      <c r="K976" s="1" t="s">
        <v>87</v>
      </c>
      <c r="L976" s="1" t="s">
        <v>30</v>
      </c>
      <c r="M976" s="1" t="s">
        <v>233</v>
      </c>
      <c r="N976" s="1" t="s">
        <v>234</v>
      </c>
      <c r="O976" s="1">
        <v>10011</v>
      </c>
      <c r="P976" s="1" t="s">
        <v>128</v>
      </c>
      <c r="Q976" s="1" t="s">
        <v>1450</v>
      </c>
      <c r="R976" s="1" t="s">
        <v>64</v>
      </c>
      <c r="S976" s="7">
        <v>160.93</v>
      </c>
      <c r="T976" s="1">
        <v>1</v>
      </c>
      <c r="U976" s="9">
        <v>160.25</v>
      </c>
      <c r="V976" s="9">
        <v>160.93</v>
      </c>
      <c r="W976" s="9">
        <v>160.25</v>
      </c>
      <c r="X976" s="12">
        <v>0.68000000000000682</v>
      </c>
      <c r="Y976" s="10">
        <v>2018</v>
      </c>
    </row>
    <row r="977" spans="1:25">
      <c r="A977" s="1" t="s">
        <v>2415</v>
      </c>
      <c r="B977" s="8">
        <v>43230</v>
      </c>
      <c r="C977" s="11" t="s">
        <v>3363</v>
      </c>
      <c r="D977" s="11" t="s">
        <v>3360</v>
      </c>
      <c r="E977" s="5">
        <v>43322</v>
      </c>
      <c r="F977" s="1" t="s">
        <v>26</v>
      </c>
      <c r="G977" s="1" t="s">
        <v>1931</v>
      </c>
      <c r="H977" s="1" t="s">
        <v>3796</v>
      </c>
      <c r="I977" s="1" t="s">
        <v>3797</v>
      </c>
      <c r="J977" s="1"/>
      <c r="K977" s="1" t="s">
        <v>87</v>
      </c>
      <c r="L977" s="1" t="s">
        <v>30</v>
      </c>
      <c r="M977" s="1" t="s">
        <v>233</v>
      </c>
      <c r="N977" s="1" t="s">
        <v>234</v>
      </c>
      <c r="O977" s="1">
        <v>10011</v>
      </c>
      <c r="P977" s="1" t="s">
        <v>128</v>
      </c>
      <c r="Q977" s="1" t="s">
        <v>1135</v>
      </c>
      <c r="R977" s="1" t="s">
        <v>46</v>
      </c>
      <c r="S977" s="7">
        <v>75.792000000000002</v>
      </c>
      <c r="T977" s="1">
        <v>1</v>
      </c>
      <c r="U977" s="9">
        <v>75.599999999999994</v>
      </c>
      <c r="V977" s="9">
        <v>75.792000000000002</v>
      </c>
      <c r="W977" s="9">
        <v>75.599999999999994</v>
      </c>
      <c r="X977" s="12">
        <v>0.19200000000000728</v>
      </c>
      <c r="Y977" s="10">
        <v>2018</v>
      </c>
    </row>
    <row r="978" spans="1:25">
      <c r="A978" s="1" t="s">
        <v>2416</v>
      </c>
      <c r="B978" s="8">
        <v>43350</v>
      </c>
      <c r="C978" s="11" t="s">
        <v>3356</v>
      </c>
      <c r="D978" s="11" t="s">
        <v>3345</v>
      </c>
      <c r="E978" s="5" t="s">
        <v>2417</v>
      </c>
      <c r="F978" s="1" t="s">
        <v>49</v>
      </c>
      <c r="G978" s="1" t="s">
        <v>1011</v>
      </c>
      <c r="H978" s="1" t="s">
        <v>3488</v>
      </c>
      <c r="I978" s="1" t="s">
        <v>3596</v>
      </c>
      <c r="J978" s="1"/>
      <c r="K978" s="1" t="s">
        <v>29</v>
      </c>
      <c r="L978" s="1" t="s">
        <v>30</v>
      </c>
      <c r="M978" s="1" t="s">
        <v>354</v>
      </c>
      <c r="N978" s="1" t="s">
        <v>355</v>
      </c>
      <c r="O978" s="1">
        <v>97206</v>
      </c>
      <c r="P978" s="1" t="s">
        <v>44</v>
      </c>
      <c r="Q978" s="1" t="s">
        <v>2418</v>
      </c>
      <c r="R978" s="1" t="s">
        <v>46</v>
      </c>
      <c r="S978" s="7">
        <v>1.08</v>
      </c>
      <c r="T978" s="1">
        <v>9</v>
      </c>
      <c r="U978" s="9">
        <v>0.62</v>
      </c>
      <c r="V978" s="9">
        <v>9.7200000000000006</v>
      </c>
      <c r="W978" s="9">
        <v>5.58</v>
      </c>
      <c r="X978" s="12">
        <v>4.1400000000000006</v>
      </c>
      <c r="Y978" s="10">
        <v>2018</v>
      </c>
    </row>
    <row r="979" spans="1:25">
      <c r="A979" s="1" t="s">
        <v>2419</v>
      </c>
      <c r="B979" s="8">
        <v>43282</v>
      </c>
      <c r="C979" s="11" t="s">
        <v>3376</v>
      </c>
      <c r="D979" s="11" t="s">
        <v>3345</v>
      </c>
      <c r="E979" s="5">
        <v>43374</v>
      </c>
      <c r="F979" s="1" t="s">
        <v>162</v>
      </c>
      <c r="G979" s="1" t="s">
        <v>2091</v>
      </c>
      <c r="H979" s="1" t="s">
        <v>3625</v>
      </c>
      <c r="I979" s="1" t="s">
        <v>3825</v>
      </c>
      <c r="J979" s="1"/>
      <c r="K979" s="1" t="s">
        <v>41</v>
      </c>
      <c r="L979" s="1" t="s">
        <v>30</v>
      </c>
      <c r="M979" s="1" t="s">
        <v>728</v>
      </c>
      <c r="N979" s="1" t="s">
        <v>209</v>
      </c>
      <c r="O979" s="1">
        <v>48205</v>
      </c>
      <c r="P979" s="1" t="s">
        <v>90</v>
      </c>
      <c r="Q979" s="1" t="s">
        <v>567</v>
      </c>
      <c r="R979" s="1" t="s">
        <v>64</v>
      </c>
      <c r="S979" s="7">
        <v>3059.982</v>
      </c>
      <c r="T979" s="1">
        <v>4</v>
      </c>
      <c r="U979" s="9">
        <v>3059.46</v>
      </c>
      <c r="V979" s="9">
        <v>12239.928</v>
      </c>
      <c r="W979" s="9">
        <v>12237.84</v>
      </c>
      <c r="X979" s="12">
        <v>2.0879999999997381</v>
      </c>
      <c r="Y979" s="10">
        <v>2018</v>
      </c>
    </row>
    <row r="980" spans="1:25">
      <c r="A980" s="1" t="s">
        <v>2420</v>
      </c>
      <c r="B980" s="8">
        <v>42885</v>
      </c>
      <c r="C980" s="11" t="s">
        <v>3363</v>
      </c>
      <c r="D980" s="11" t="s">
        <v>3360</v>
      </c>
      <c r="E980" s="5" t="s">
        <v>2421</v>
      </c>
      <c r="F980" s="1" t="s">
        <v>162</v>
      </c>
      <c r="G980" s="1" t="s">
        <v>2422</v>
      </c>
      <c r="H980" s="1" t="s">
        <v>3510</v>
      </c>
      <c r="I980" s="1" t="s">
        <v>3878</v>
      </c>
      <c r="J980" s="1"/>
      <c r="K980" s="1" t="s">
        <v>29</v>
      </c>
      <c r="L980" s="1" t="s">
        <v>30</v>
      </c>
      <c r="M980" s="1" t="s">
        <v>438</v>
      </c>
      <c r="N980" s="1" t="s">
        <v>75</v>
      </c>
      <c r="O980" s="1">
        <v>28403</v>
      </c>
      <c r="P980" s="1" t="s">
        <v>33</v>
      </c>
      <c r="Q980" s="1" t="s">
        <v>1645</v>
      </c>
      <c r="R980" s="1" t="s">
        <v>46</v>
      </c>
      <c r="S980" s="7">
        <v>3.282</v>
      </c>
      <c r="T980" s="1">
        <v>2</v>
      </c>
      <c r="U980" s="9">
        <v>2.42</v>
      </c>
      <c r="V980" s="9">
        <v>6.5640000000000001</v>
      </c>
      <c r="W980" s="9">
        <v>4.84</v>
      </c>
      <c r="X980" s="12">
        <v>1.7240000000000002</v>
      </c>
      <c r="Y980" s="10">
        <v>2017</v>
      </c>
    </row>
    <row r="981" spans="1:25">
      <c r="A981" s="1" t="s">
        <v>2424</v>
      </c>
      <c r="B981" s="8">
        <v>42625</v>
      </c>
      <c r="C981" s="11" t="s">
        <v>3356</v>
      </c>
      <c r="D981" s="11" t="s">
        <v>3345</v>
      </c>
      <c r="E981" s="5">
        <v>42716</v>
      </c>
      <c r="F981" s="1" t="s">
        <v>162</v>
      </c>
      <c r="G981" s="1" t="s">
        <v>292</v>
      </c>
      <c r="H981" s="1" t="s">
        <v>3374</v>
      </c>
      <c r="I981" s="1" t="s">
        <v>3424</v>
      </c>
      <c r="J981" s="1"/>
      <c r="K981" s="1" t="s">
        <v>41</v>
      </c>
      <c r="L981" s="1" t="s">
        <v>30</v>
      </c>
      <c r="M981" s="1" t="s">
        <v>420</v>
      </c>
      <c r="N981" s="1" t="s">
        <v>224</v>
      </c>
      <c r="O981" s="1">
        <v>47201</v>
      </c>
      <c r="P981" s="1" t="s">
        <v>90</v>
      </c>
      <c r="Q981" s="1" t="s">
        <v>2425</v>
      </c>
      <c r="R981" s="1" t="s">
        <v>46</v>
      </c>
      <c r="S981" s="7">
        <v>34.020000000000003</v>
      </c>
      <c r="T981" s="1">
        <v>4</v>
      </c>
      <c r="U981" s="9">
        <v>33.18</v>
      </c>
      <c r="V981" s="9">
        <v>136.08000000000001</v>
      </c>
      <c r="W981" s="9">
        <v>132.72</v>
      </c>
      <c r="X981" s="12">
        <v>3.3600000000000136</v>
      </c>
      <c r="Y981" s="10">
        <v>2016</v>
      </c>
    </row>
    <row r="982" spans="1:25">
      <c r="A982" s="1" t="s">
        <v>2426</v>
      </c>
      <c r="B982" s="8">
        <v>42804</v>
      </c>
      <c r="C982" s="11" t="s">
        <v>3429</v>
      </c>
      <c r="D982" s="11" t="s">
        <v>3382</v>
      </c>
      <c r="E982" s="5">
        <v>42957</v>
      </c>
      <c r="F982" s="1" t="s">
        <v>49</v>
      </c>
      <c r="G982" s="1" t="s">
        <v>132</v>
      </c>
      <c r="H982" s="1" t="s">
        <v>3379</v>
      </c>
      <c r="I982" s="1" t="s">
        <v>3380</v>
      </c>
      <c r="J982" s="1"/>
      <c r="K982" s="1" t="s">
        <v>29</v>
      </c>
      <c r="L982" s="1" t="s">
        <v>30</v>
      </c>
      <c r="M982" s="1" t="s">
        <v>233</v>
      </c>
      <c r="N982" s="1" t="s">
        <v>234</v>
      </c>
      <c r="O982" s="1">
        <v>10035</v>
      </c>
      <c r="P982" s="1" t="s">
        <v>128</v>
      </c>
      <c r="Q982" s="1" t="s">
        <v>2031</v>
      </c>
      <c r="R982" s="1" t="s">
        <v>35</v>
      </c>
      <c r="S982" s="7">
        <v>599.29200000000003</v>
      </c>
      <c r="T982" s="1">
        <v>1</v>
      </c>
      <c r="U982" s="9">
        <v>599.26</v>
      </c>
      <c r="V982" s="9">
        <v>599.29200000000003</v>
      </c>
      <c r="W982" s="9">
        <v>599.26</v>
      </c>
      <c r="X982" s="12">
        <v>3.2000000000039108E-2</v>
      </c>
      <c r="Y982" s="10">
        <v>2017</v>
      </c>
    </row>
    <row r="983" spans="1:25">
      <c r="A983" s="1" t="s">
        <v>2427</v>
      </c>
      <c r="B983" s="8">
        <v>42319</v>
      </c>
      <c r="C983" s="11" t="s">
        <v>3353</v>
      </c>
      <c r="D983" s="11" t="s">
        <v>3349</v>
      </c>
      <c r="E983" s="5" t="s">
        <v>2428</v>
      </c>
      <c r="F983" s="1" t="s">
        <v>26</v>
      </c>
      <c r="G983" s="1" t="s">
        <v>2429</v>
      </c>
      <c r="H983" s="1" t="s">
        <v>3385</v>
      </c>
      <c r="I983" s="1" t="s">
        <v>3879</v>
      </c>
      <c r="J983" s="1"/>
      <c r="K983" s="1" t="s">
        <v>29</v>
      </c>
      <c r="L983" s="1" t="s">
        <v>30</v>
      </c>
      <c r="M983" s="1" t="s">
        <v>1199</v>
      </c>
      <c r="N983" s="1" t="s">
        <v>386</v>
      </c>
      <c r="O983" s="1">
        <v>80027</v>
      </c>
      <c r="P983" s="1" t="s">
        <v>44</v>
      </c>
      <c r="Q983" s="1" t="s">
        <v>2431</v>
      </c>
      <c r="R983" s="1" t="s">
        <v>46</v>
      </c>
      <c r="S983" s="7">
        <v>3.3919999999999999</v>
      </c>
      <c r="T983" s="1">
        <v>8</v>
      </c>
      <c r="U983" s="9">
        <v>3.21</v>
      </c>
      <c r="V983" s="9">
        <v>27.135999999999999</v>
      </c>
      <c r="W983" s="9">
        <v>25.68</v>
      </c>
      <c r="X983" s="12">
        <v>1.4559999999999995</v>
      </c>
      <c r="Y983" s="10">
        <v>2015</v>
      </c>
    </row>
    <row r="984" spans="1:25">
      <c r="A984" s="1" t="s">
        <v>2427</v>
      </c>
      <c r="B984" s="8">
        <v>42319</v>
      </c>
      <c r="C984" s="11" t="s">
        <v>3353</v>
      </c>
      <c r="D984" s="11" t="s">
        <v>3349</v>
      </c>
      <c r="E984" s="5" t="s">
        <v>2428</v>
      </c>
      <c r="F984" s="1" t="s">
        <v>26</v>
      </c>
      <c r="G984" s="1" t="s">
        <v>2429</v>
      </c>
      <c r="H984" s="1" t="s">
        <v>3385</v>
      </c>
      <c r="I984" s="1" t="s">
        <v>3879</v>
      </c>
      <c r="J984" s="1"/>
      <c r="K984" s="1" t="s">
        <v>29</v>
      </c>
      <c r="L984" s="1" t="s">
        <v>30</v>
      </c>
      <c r="M984" s="1" t="s">
        <v>1199</v>
      </c>
      <c r="N984" s="1" t="s">
        <v>386</v>
      </c>
      <c r="O984" s="1">
        <v>80027</v>
      </c>
      <c r="P984" s="1" t="s">
        <v>44</v>
      </c>
      <c r="Q984" s="1" t="s">
        <v>2432</v>
      </c>
      <c r="R984" s="1" t="s">
        <v>64</v>
      </c>
      <c r="S984" s="7">
        <v>559.98400000000004</v>
      </c>
      <c r="T984" s="1">
        <v>8</v>
      </c>
      <c r="U984" s="9">
        <v>559.5</v>
      </c>
      <c r="V984" s="9">
        <v>4479.8720000000003</v>
      </c>
      <c r="W984" s="9">
        <v>4476</v>
      </c>
      <c r="X984" s="12">
        <v>3.8720000000002983</v>
      </c>
      <c r="Y984" s="10">
        <v>2015</v>
      </c>
    </row>
    <row r="985" spans="1:25">
      <c r="A985" s="1" t="s">
        <v>2427</v>
      </c>
      <c r="B985" s="8">
        <v>42319</v>
      </c>
      <c r="C985" s="11" t="s">
        <v>3353</v>
      </c>
      <c r="D985" s="11" t="s">
        <v>3349</v>
      </c>
      <c r="E985" s="5" t="s">
        <v>2428</v>
      </c>
      <c r="F985" s="1" t="s">
        <v>26</v>
      </c>
      <c r="G985" s="1" t="s">
        <v>2429</v>
      </c>
      <c r="H985" s="1" t="s">
        <v>3385</v>
      </c>
      <c r="I985" s="1" t="s">
        <v>3879</v>
      </c>
      <c r="J985" s="1"/>
      <c r="K985" s="1" t="s">
        <v>29</v>
      </c>
      <c r="L985" s="1" t="s">
        <v>30</v>
      </c>
      <c r="M985" s="1" t="s">
        <v>1199</v>
      </c>
      <c r="N985" s="1" t="s">
        <v>386</v>
      </c>
      <c r="O985" s="1">
        <v>80027</v>
      </c>
      <c r="P985" s="1" t="s">
        <v>44</v>
      </c>
      <c r="Q985" s="1" t="s">
        <v>2118</v>
      </c>
      <c r="R985" s="1" t="s">
        <v>35</v>
      </c>
      <c r="S985" s="7">
        <v>603.91999999999996</v>
      </c>
      <c r="T985" s="1">
        <v>8</v>
      </c>
      <c r="U985" s="9">
        <v>603.59</v>
      </c>
      <c r="V985" s="9">
        <v>4831.3599999999997</v>
      </c>
      <c r="W985" s="9">
        <v>4828.72</v>
      </c>
      <c r="X985" s="12">
        <v>2.6399999999994179</v>
      </c>
      <c r="Y985" s="10">
        <v>2015</v>
      </c>
    </row>
    <row r="986" spans="1:25">
      <c r="A986" s="1" t="s">
        <v>2433</v>
      </c>
      <c r="B986" s="8">
        <v>43372</v>
      </c>
      <c r="C986" s="11" t="s">
        <v>3356</v>
      </c>
      <c r="D986" s="11" t="s">
        <v>3345</v>
      </c>
      <c r="E986" s="5">
        <v>43230</v>
      </c>
      <c r="F986" s="1" t="s">
        <v>49</v>
      </c>
      <c r="G986" s="1" t="s">
        <v>2434</v>
      </c>
      <c r="H986" s="1" t="s">
        <v>3670</v>
      </c>
      <c r="I986" s="1" t="s">
        <v>3880</v>
      </c>
      <c r="J986" s="1"/>
      <c r="K986" s="1" t="s">
        <v>87</v>
      </c>
      <c r="L986" s="1" t="s">
        <v>30</v>
      </c>
      <c r="M986" s="1" t="s">
        <v>500</v>
      </c>
      <c r="N986" s="1" t="s">
        <v>89</v>
      </c>
      <c r="O986" s="1">
        <v>77506</v>
      </c>
      <c r="P986" s="1" t="s">
        <v>90</v>
      </c>
      <c r="Q986" s="1" t="s">
        <v>2042</v>
      </c>
      <c r="R986" s="1" t="s">
        <v>46</v>
      </c>
      <c r="S986" s="7">
        <v>7.968</v>
      </c>
      <c r="T986" s="1">
        <v>7</v>
      </c>
      <c r="U986" s="9">
        <v>7.61</v>
      </c>
      <c r="V986" s="9">
        <v>55.775999999999996</v>
      </c>
      <c r="W986" s="9">
        <v>53.27</v>
      </c>
      <c r="X986" s="12">
        <v>2.5059999999999931</v>
      </c>
      <c r="Y986" s="10">
        <v>2018</v>
      </c>
    </row>
    <row r="987" spans="1:25">
      <c r="A987" s="1" t="s">
        <v>2433</v>
      </c>
      <c r="B987" s="8">
        <v>43372</v>
      </c>
      <c r="C987" s="11" t="s">
        <v>3356</v>
      </c>
      <c r="D987" s="11" t="s">
        <v>3345</v>
      </c>
      <c r="E987" s="5">
        <v>43230</v>
      </c>
      <c r="F987" s="1" t="s">
        <v>49</v>
      </c>
      <c r="G987" s="1" t="s">
        <v>2434</v>
      </c>
      <c r="H987" s="1" t="s">
        <v>3670</v>
      </c>
      <c r="I987" s="1" t="s">
        <v>3880</v>
      </c>
      <c r="J987" s="1"/>
      <c r="K987" s="1" t="s">
        <v>87</v>
      </c>
      <c r="L987" s="1" t="s">
        <v>30</v>
      </c>
      <c r="M987" s="1" t="s">
        <v>500</v>
      </c>
      <c r="N987" s="1" t="s">
        <v>89</v>
      </c>
      <c r="O987" s="1">
        <v>77506</v>
      </c>
      <c r="P987" s="1" t="s">
        <v>90</v>
      </c>
      <c r="Q987" s="1" t="s">
        <v>2436</v>
      </c>
      <c r="R987" s="1" t="s">
        <v>46</v>
      </c>
      <c r="S987" s="7">
        <v>27.968</v>
      </c>
      <c r="T987" s="1">
        <v>7</v>
      </c>
      <c r="U987" s="9">
        <v>27.75</v>
      </c>
      <c r="V987" s="9">
        <v>195.77600000000001</v>
      </c>
      <c r="W987" s="9">
        <v>194.25</v>
      </c>
      <c r="X987" s="12">
        <v>1.5260000000000105</v>
      </c>
      <c r="Y987" s="10">
        <v>2018</v>
      </c>
    </row>
    <row r="988" spans="1:25">
      <c r="A988" s="1" t="s">
        <v>2433</v>
      </c>
      <c r="B988" s="8">
        <v>43372</v>
      </c>
      <c r="C988" s="11" t="s">
        <v>3356</v>
      </c>
      <c r="D988" s="11" t="s">
        <v>3345</v>
      </c>
      <c r="E988" s="5">
        <v>43230</v>
      </c>
      <c r="F988" s="1" t="s">
        <v>49</v>
      </c>
      <c r="G988" s="1" t="s">
        <v>2434</v>
      </c>
      <c r="H988" s="1" t="s">
        <v>3670</v>
      </c>
      <c r="I988" s="1" t="s">
        <v>3880</v>
      </c>
      <c r="J988" s="1"/>
      <c r="K988" s="1" t="s">
        <v>87</v>
      </c>
      <c r="L988" s="1" t="s">
        <v>30</v>
      </c>
      <c r="M988" s="1" t="s">
        <v>500</v>
      </c>
      <c r="N988" s="1" t="s">
        <v>89</v>
      </c>
      <c r="O988" s="1">
        <v>77506</v>
      </c>
      <c r="P988" s="1" t="s">
        <v>90</v>
      </c>
      <c r="Q988" s="1" t="s">
        <v>2437</v>
      </c>
      <c r="R988" s="1" t="s">
        <v>64</v>
      </c>
      <c r="S988" s="7">
        <v>336.51</v>
      </c>
      <c r="T988" s="1">
        <v>7</v>
      </c>
      <c r="U988" s="9">
        <v>336.1</v>
      </c>
      <c r="V988" s="9">
        <v>2355.5699999999997</v>
      </c>
      <c r="W988" s="9">
        <v>2352.7000000000003</v>
      </c>
      <c r="X988" s="12">
        <v>2.8699999999994361</v>
      </c>
      <c r="Y988" s="10">
        <v>2018</v>
      </c>
    </row>
    <row r="989" spans="1:25">
      <c r="A989" s="1" t="s">
        <v>2438</v>
      </c>
      <c r="B989" s="8">
        <v>42646</v>
      </c>
      <c r="C989" s="11" t="s">
        <v>3387</v>
      </c>
      <c r="D989" s="11" t="s">
        <v>3349</v>
      </c>
      <c r="E989" s="5">
        <v>42646</v>
      </c>
      <c r="F989" s="1" t="s">
        <v>1050</v>
      </c>
      <c r="G989" s="1" t="s">
        <v>2439</v>
      </c>
      <c r="H989" s="1" t="s">
        <v>3826</v>
      </c>
      <c r="I989" s="1" t="s">
        <v>3881</v>
      </c>
      <c r="J989" s="1"/>
      <c r="K989" s="1" t="s">
        <v>29</v>
      </c>
      <c r="L989" s="1" t="s">
        <v>30</v>
      </c>
      <c r="M989" s="1" t="s">
        <v>172</v>
      </c>
      <c r="N989" s="1" t="s">
        <v>89</v>
      </c>
      <c r="O989" s="1">
        <v>77041</v>
      </c>
      <c r="P989" s="1" t="s">
        <v>90</v>
      </c>
      <c r="Q989" s="1" t="s">
        <v>2441</v>
      </c>
      <c r="R989" s="1" t="s">
        <v>46</v>
      </c>
      <c r="S989" s="7">
        <v>1.1120000000000001</v>
      </c>
      <c r="T989" s="1">
        <v>7</v>
      </c>
      <c r="U989" s="9">
        <v>0.28000000000000003</v>
      </c>
      <c r="V989" s="9">
        <v>7.7840000000000007</v>
      </c>
      <c r="W989" s="9">
        <v>1.9600000000000002</v>
      </c>
      <c r="X989" s="12">
        <v>5.8240000000000007</v>
      </c>
      <c r="Y989" s="10">
        <v>2016</v>
      </c>
    </row>
    <row r="990" spans="1:25">
      <c r="A990" s="1" t="s">
        <v>2442</v>
      </c>
      <c r="B990" s="8">
        <v>43241</v>
      </c>
      <c r="C990" s="11" t="s">
        <v>3363</v>
      </c>
      <c r="D990" s="11" t="s">
        <v>3360</v>
      </c>
      <c r="E990" s="5" t="s">
        <v>2443</v>
      </c>
      <c r="F990" s="1" t="s">
        <v>49</v>
      </c>
      <c r="G990" s="1" t="s">
        <v>1338</v>
      </c>
      <c r="H990" s="1" t="s">
        <v>3589</v>
      </c>
      <c r="I990" s="1" t="s">
        <v>3664</v>
      </c>
      <c r="J990" s="1"/>
      <c r="K990" s="1" t="s">
        <v>41</v>
      </c>
      <c r="L990" s="1" t="s">
        <v>30</v>
      </c>
      <c r="M990" s="1" t="s">
        <v>1272</v>
      </c>
      <c r="N990" s="1" t="s">
        <v>234</v>
      </c>
      <c r="O990" s="1">
        <v>13021</v>
      </c>
      <c r="P990" s="1" t="s">
        <v>128</v>
      </c>
      <c r="Q990" s="1" t="s">
        <v>1829</v>
      </c>
      <c r="R990" s="1" t="s">
        <v>35</v>
      </c>
      <c r="S990" s="7">
        <v>520.04999999999995</v>
      </c>
      <c r="T990" s="1">
        <v>1</v>
      </c>
      <c r="U990" s="9">
        <v>519.67999999999995</v>
      </c>
      <c r="V990" s="9">
        <v>520.04999999999995</v>
      </c>
      <c r="W990" s="9">
        <v>519.67999999999995</v>
      </c>
      <c r="X990" s="12">
        <v>0.37000000000000455</v>
      </c>
      <c r="Y990" s="10">
        <v>2018</v>
      </c>
    </row>
    <row r="991" spans="1:25">
      <c r="A991" s="1" t="s">
        <v>2442</v>
      </c>
      <c r="B991" s="8">
        <v>43241</v>
      </c>
      <c r="C991" s="11" t="s">
        <v>3363</v>
      </c>
      <c r="D991" s="11" t="s">
        <v>3360</v>
      </c>
      <c r="E991" s="5" t="s">
        <v>2443</v>
      </c>
      <c r="F991" s="1" t="s">
        <v>49</v>
      </c>
      <c r="G991" s="1" t="s">
        <v>1338</v>
      </c>
      <c r="H991" s="1" t="s">
        <v>3589</v>
      </c>
      <c r="I991" s="1" t="s">
        <v>3664</v>
      </c>
      <c r="J991" s="1"/>
      <c r="K991" s="1" t="s">
        <v>41</v>
      </c>
      <c r="L991" s="1" t="s">
        <v>30</v>
      </c>
      <c r="M991" s="1" t="s">
        <v>1272</v>
      </c>
      <c r="N991" s="1" t="s">
        <v>234</v>
      </c>
      <c r="O991" s="1">
        <v>13021</v>
      </c>
      <c r="P991" s="1" t="s">
        <v>128</v>
      </c>
      <c r="Q991" s="1" t="s">
        <v>2444</v>
      </c>
      <c r="R991" s="1" t="s">
        <v>46</v>
      </c>
      <c r="S991" s="7">
        <v>17.97</v>
      </c>
      <c r="T991" s="1">
        <v>1</v>
      </c>
      <c r="U991" s="9">
        <v>17.52</v>
      </c>
      <c r="V991" s="9">
        <v>17.97</v>
      </c>
      <c r="W991" s="9">
        <v>17.52</v>
      </c>
      <c r="X991" s="12">
        <v>0.44999999999999929</v>
      </c>
      <c r="Y991" s="10">
        <v>2018</v>
      </c>
    </row>
    <row r="992" spans="1:25">
      <c r="A992" s="1" t="s">
        <v>2445</v>
      </c>
      <c r="B992" s="8">
        <v>42458</v>
      </c>
      <c r="C992" s="11" t="s">
        <v>3429</v>
      </c>
      <c r="D992" s="11" t="s">
        <v>3382</v>
      </c>
      <c r="E992" s="5" t="s">
        <v>2446</v>
      </c>
      <c r="F992" s="1" t="s">
        <v>26</v>
      </c>
      <c r="G992" s="1" t="s">
        <v>2447</v>
      </c>
      <c r="H992" s="1" t="s">
        <v>3882</v>
      </c>
      <c r="I992" s="1" t="s">
        <v>3883</v>
      </c>
      <c r="J992" s="1"/>
      <c r="K992" s="1" t="s">
        <v>87</v>
      </c>
      <c r="L992" s="1" t="s">
        <v>30</v>
      </c>
      <c r="M992" s="1" t="s">
        <v>1241</v>
      </c>
      <c r="N992" s="1" t="s">
        <v>194</v>
      </c>
      <c r="O992" s="1">
        <v>32216</v>
      </c>
      <c r="P992" s="1" t="s">
        <v>33</v>
      </c>
      <c r="Q992" s="1" t="s">
        <v>925</v>
      </c>
      <c r="R992" s="1" t="s">
        <v>35</v>
      </c>
      <c r="S992" s="7">
        <v>1166.92</v>
      </c>
      <c r="T992" s="1">
        <v>3</v>
      </c>
      <c r="U992" s="9">
        <v>1166.52</v>
      </c>
      <c r="V992" s="9">
        <v>3500.76</v>
      </c>
      <c r="W992" s="9">
        <v>3499.56</v>
      </c>
      <c r="X992" s="12">
        <v>1.2000000000002728</v>
      </c>
      <c r="Y992" s="10">
        <v>2016</v>
      </c>
    </row>
    <row r="993" spans="1:25">
      <c r="A993" s="1" t="s">
        <v>2449</v>
      </c>
      <c r="B993" s="8">
        <v>42987</v>
      </c>
      <c r="C993" s="11" t="s">
        <v>3356</v>
      </c>
      <c r="D993" s="11" t="s">
        <v>3345</v>
      </c>
      <c r="E993" s="5">
        <v>43048</v>
      </c>
      <c r="F993" s="1" t="s">
        <v>162</v>
      </c>
      <c r="G993" s="1" t="s">
        <v>455</v>
      </c>
      <c r="H993" s="1" t="s">
        <v>241</v>
      </c>
      <c r="I993" s="1" t="s">
        <v>3472</v>
      </c>
      <c r="J993" s="1"/>
      <c r="K993" s="1" t="s">
        <v>29</v>
      </c>
      <c r="L993" s="1" t="s">
        <v>30</v>
      </c>
      <c r="M993" s="1" t="s">
        <v>233</v>
      </c>
      <c r="N993" s="1" t="s">
        <v>234</v>
      </c>
      <c r="O993" s="1">
        <v>10024</v>
      </c>
      <c r="P993" s="1" t="s">
        <v>128</v>
      </c>
      <c r="Q993" s="1" t="s">
        <v>1999</v>
      </c>
      <c r="R993" s="1" t="s">
        <v>46</v>
      </c>
      <c r="S993" s="7">
        <v>14.624000000000001</v>
      </c>
      <c r="T993" s="1">
        <v>1</v>
      </c>
      <c r="U993" s="9">
        <v>14.58</v>
      </c>
      <c r="V993" s="9">
        <v>14.624000000000001</v>
      </c>
      <c r="W993" s="9">
        <v>14.58</v>
      </c>
      <c r="X993" s="12">
        <v>4.4000000000000483E-2</v>
      </c>
      <c r="Y993" s="10">
        <v>2017</v>
      </c>
    </row>
    <row r="994" spans="1:25">
      <c r="A994" s="1" t="s">
        <v>2450</v>
      </c>
      <c r="B994" s="8">
        <v>42973</v>
      </c>
      <c r="C994" s="11" t="s">
        <v>3344</v>
      </c>
      <c r="D994" s="11" t="s">
        <v>3345</v>
      </c>
      <c r="E994" s="5" t="s">
        <v>2451</v>
      </c>
      <c r="F994" s="1" t="s">
        <v>162</v>
      </c>
      <c r="G994" s="1" t="s">
        <v>1948</v>
      </c>
      <c r="H994" s="1" t="s">
        <v>3785</v>
      </c>
      <c r="I994" s="1" t="s">
        <v>3801</v>
      </c>
      <c r="J994" s="1"/>
      <c r="K994" s="1" t="s">
        <v>29</v>
      </c>
      <c r="L994" s="1" t="s">
        <v>30</v>
      </c>
      <c r="M994" s="1" t="s">
        <v>524</v>
      </c>
      <c r="N994" s="1" t="s">
        <v>68</v>
      </c>
      <c r="O994" s="1">
        <v>95123</v>
      </c>
      <c r="P994" s="1" t="s">
        <v>44</v>
      </c>
      <c r="Q994" s="1" t="s">
        <v>877</v>
      </c>
      <c r="R994" s="1" t="s">
        <v>46</v>
      </c>
      <c r="S994" s="7">
        <v>10.23</v>
      </c>
      <c r="T994" s="1">
        <v>9</v>
      </c>
      <c r="U994" s="9">
        <v>9.92</v>
      </c>
      <c r="V994" s="9">
        <v>92.070000000000007</v>
      </c>
      <c r="W994" s="9">
        <v>89.28</v>
      </c>
      <c r="X994" s="12">
        <v>2.7900000000000063</v>
      </c>
      <c r="Y994" s="10">
        <v>2017</v>
      </c>
    </row>
    <row r="995" spans="1:25">
      <c r="A995" s="1" t="s">
        <v>2450</v>
      </c>
      <c r="B995" s="8">
        <v>42973</v>
      </c>
      <c r="C995" s="11" t="s">
        <v>3344</v>
      </c>
      <c r="D995" s="11" t="s">
        <v>3345</v>
      </c>
      <c r="E995" s="5" t="s">
        <v>2451</v>
      </c>
      <c r="F995" s="1" t="s">
        <v>162</v>
      </c>
      <c r="G995" s="1" t="s">
        <v>1948</v>
      </c>
      <c r="H995" s="1" t="s">
        <v>3785</v>
      </c>
      <c r="I995" s="1" t="s">
        <v>3801</v>
      </c>
      <c r="J995" s="1"/>
      <c r="K995" s="1" t="s">
        <v>29</v>
      </c>
      <c r="L995" s="1" t="s">
        <v>30</v>
      </c>
      <c r="M995" s="1" t="s">
        <v>524</v>
      </c>
      <c r="N995" s="1" t="s">
        <v>68</v>
      </c>
      <c r="O995" s="1">
        <v>95123</v>
      </c>
      <c r="P995" s="1" t="s">
        <v>44</v>
      </c>
      <c r="Q995" s="1" t="s">
        <v>2452</v>
      </c>
      <c r="R995" s="1" t="s">
        <v>46</v>
      </c>
      <c r="S995" s="7">
        <v>154.9</v>
      </c>
      <c r="T995" s="1">
        <v>9</v>
      </c>
      <c r="U995" s="9">
        <v>154.33000000000001</v>
      </c>
      <c r="V995" s="9">
        <v>1394.1000000000001</v>
      </c>
      <c r="W995" s="9">
        <v>1388.97</v>
      </c>
      <c r="X995" s="12">
        <v>5.1300000000001091</v>
      </c>
      <c r="Y995" s="10">
        <v>2017</v>
      </c>
    </row>
    <row r="996" spans="1:25">
      <c r="A996" s="1" t="s">
        <v>2453</v>
      </c>
      <c r="B996" s="8">
        <v>42145</v>
      </c>
      <c r="C996" s="11" t="s">
        <v>3363</v>
      </c>
      <c r="D996" s="11" t="s">
        <v>3360</v>
      </c>
      <c r="E996" s="5" t="s">
        <v>2454</v>
      </c>
      <c r="F996" s="1" t="s">
        <v>49</v>
      </c>
      <c r="G996" s="1" t="s">
        <v>2455</v>
      </c>
      <c r="H996" s="1" t="s">
        <v>3884</v>
      </c>
      <c r="I996" s="1" t="s">
        <v>3489</v>
      </c>
      <c r="J996" s="1"/>
      <c r="K996" s="1" t="s">
        <v>41</v>
      </c>
      <c r="L996" s="1" t="s">
        <v>30</v>
      </c>
      <c r="M996" s="1" t="s">
        <v>2457</v>
      </c>
      <c r="N996" s="1" t="s">
        <v>272</v>
      </c>
      <c r="O996" s="1">
        <v>23464</v>
      </c>
      <c r="P996" s="1" t="s">
        <v>33</v>
      </c>
      <c r="Q996" s="1" t="s">
        <v>2458</v>
      </c>
      <c r="R996" s="1" t="s">
        <v>46</v>
      </c>
      <c r="S996" s="7">
        <v>2715.93</v>
      </c>
      <c r="T996" s="1">
        <v>2</v>
      </c>
      <c r="U996" s="9">
        <v>2715.43</v>
      </c>
      <c r="V996" s="9">
        <v>5431.86</v>
      </c>
      <c r="W996" s="9">
        <v>5430.86</v>
      </c>
      <c r="X996" s="12">
        <v>1</v>
      </c>
      <c r="Y996" s="10">
        <v>2015</v>
      </c>
    </row>
    <row r="997" spans="1:25">
      <c r="A997" s="1" t="s">
        <v>2453</v>
      </c>
      <c r="B997" s="8">
        <v>42145</v>
      </c>
      <c r="C997" s="11" t="s">
        <v>3363</v>
      </c>
      <c r="D997" s="11" t="s">
        <v>3360</v>
      </c>
      <c r="E997" s="5" t="s">
        <v>2454</v>
      </c>
      <c r="F997" s="1" t="s">
        <v>49</v>
      </c>
      <c r="G997" s="1" t="s">
        <v>2455</v>
      </c>
      <c r="H997" s="1" t="s">
        <v>3884</v>
      </c>
      <c r="I997" s="1" t="s">
        <v>3489</v>
      </c>
      <c r="J997" s="1"/>
      <c r="K997" s="1" t="s">
        <v>41</v>
      </c>
      <c r="L997" s="1" t="s">
        <v>30</v>
      </c>
      <c r="M997" s="1" t="s">
        <v>2457</v>
      </c>
      <c r="N997" s="1" t="s">
        <v>272</v>
      </c>
      <c r="O997" s="1">
        <v>23464</v>
      </c>
      <c r="P997" s="1" t="s">
        <v>33</v>
      </c>
      <c r="Q997" s="1" t="s">
        <v>2037</v>
      </c>
      <c r="R997" s="1" t="s">
        <v>64</v>
      </c>
      <c r="S997" s="7">
        <v>617.97</v>
      </c>
      <c r="T997" s="1">
        <v>2</v>
      </c>
      <c r="U997" s="9">
        <v>617.11</v>
      </c>
      <c r="V997" s="9">
        <v>1235.94</v>
      </c>
      <c r="W997" s="9">
        <v>1234.22</v>
      </c>
      <c r="X997" s="12">
        <v>1.7200000000000273</v>
      </c>
      <c r="Y997" s="10">
        <v>2015</v>
      </c>
    </row>
    <row r="998" spans="1:25">
      <c r="A998" s="1" t="s">
        <v>2459</v>
      </c>
      <c r="B998" s="8">
        <v>42671</v>
      </c>
      <c r="C998" s="11" t="s">
        <v>3387</v>
      </c>
      <c r="D998" s="11" t="s">
        <v>3349</v>
      </c>
      <c r="E998" s="5">
        <v>42440</v>
      </c>
      <c r="F998" s="1" t="s">
        <v>49</v>
      </c>
      <c r="G998" s="1" t="s">
        <v>2460</v>
      </c>
      <c r="H998" s="1" t="s">
        <v>3693</v>
      </c>
      <c r="I998" s="1" t="s">
        <v>3885</v>
      </c>
      <c r="J998" s="1"/>
      <c r="K998" s="1" t="s">
        <v>29</v>
      </c>
      <c r="L998" s="1" t="s">
        <v>30</v>
      </c>
      <c r="M998" s="1" t="s">
        <v>31</v>
      </c>
      <c r="N998" s="1" t="s">
        <v>32</v>
      </c>
      <c r="O998" s="1">
        <v>42420</v>
      </c>
      <c r="P998" s="1" t="s">
        <v>33</v>
      </c>
      <c r="Q998" s="1" t="s">
        <v>2462</v>
      </c>
      <c r="R998" s="1" t="s">
        <v>46</v>
      </c>
      <c r="S998" s="7">
        <v>10.67</v>
      </c>
      <c r="T998" s="1">
        <v>4</v>
      </c>
      <c r="U998" s="9">
        <v>10</v>
      </c>
      <c r="V998" s="9">
        <v>42.68</v>
      </c>
      <c r="W998" s="9">
        <v>40</v>
      </c>
      <c r="X998" s="12">
        <v>2.6799999999999997</v>
      </c>
      <c r="Y998" s="10">
        <v>2016</v>
      </c>
    </row>
    <row r="999" spans="1:25">
      <c r="A999" s="1" t="s">
        <v>2459</v>
      </c>
      <c r="B999" s="8">
        <v>42671</v>
      </c>
      <c r="C999" s="11" t="s">
        <v>3387</v>
      </c>
      <c r="D999" s="11" t="s">
        <v>3349</v>
      </c>
      <c r="E999" s="5">
        <v>42440</v>
      </c>
      <c r="F999" s="1" t="s">
        <v>49</v>
      </c>
      <c r="G999" s="1" t="s">
        <v>2460</v>
      </c>
      <c r="H999" s="1" t="s">
        <v>3693</v>
      </c>
      <c r="I999" s="1" t="s">
        <v>3885</v>
      </c>
      <c r="J999" s="1"/>
      <c r="K999" s="1" t="s">
        <v>29</v>
      </c>
      <c r="L999" s="1" t="s">
        <v>30</v>
      </c>
      <c r="M999" s="1" t="s">
        <v>31</v>
      </c>
      <c r="N999" s="1" t="s">
        <v>32</v>
      </c>
      <c r="O999" s="1">
        <v>42420</v>
      </c>
      <c r="P999" s="1" t="s">
        <v>33</v>
      </c>
      <c r="Q999" s="1" t="s">
        <v>2463</v>
      </c>
      <c r="R999" s="1" t="s">
        <v>46</v>
      </c>
      <c r="S999" s="7">
        <v>36.630000000000003</v>
      </c>
      <c r="T999" s="1">
        <v>4</v>
      </c>
      <c r="U999" s="9">
        <v>36.44</v>
      </c>
      <c r="V999" s="9">
        <v>146.52000000000001</v>
      </c>
      <c r="W999" s="9">
        <v>145.76</v>
      </c>
      <c r="X999" s="12">
        <v>0.76000000000001933</v>
      </c>
      <c r="Y999" s="10">
        <v>2016</v>
      </c>
    </row>
    <row r="1000" spans="1:25">
      <c r="A1000" s="1" t="s">
        <v>2459</v>
      </c>
      <c r="B1000" s="8">
        <v>42671</v>
      </c>
      <c r="C1000" s="11" t="s">
        <v>3387</v>
      </c>
      <c r="D1000" s="11" t="s">
        <v>3349</v>
      </c>
      <c r="E1000" s="5">
        <v>42440</v>
      </c>
      <c r="F1000" s="1" t="s">
        <v>49</v>
      </c>
      <c r="G1000" s="1" t="s">
        <v>2460</v>
      </c>
      <c r="H1000" s="1" t="s">
        <v>3693</v>
      </c>
      <c r="I1000" s="1" t="s">
        <v>3885</v>
      </c>
      <c r="J1000" s="1"/>
      <c r="K1000" s="1" t="s">
        <v>29</v>
      </c>
      <c r="L1000" s="1" t="s">
        <v>30</v>
      </c>
      <c r="M1000" s="1" t="s">
        <v>31</v>
      </c>
      <c r="N1000" s="1" t="s">
        <v>32</v>
      </c>
      <c r="O1000" s="1">
        <v>42420</v>
      </c>
      <c r="P1000" s="1" t="s">
        <v>33</v>
      </c>
      <c r="Q1000" s="1" t="s">
        <v>2464</v>
      </c>
      <c r="R1000" s="1" t="s">
        <v>35</v>
      </c>
      <c r="S1000" s="7">
        <v>24.1</v>
      </c>
      <c r="T1000" s="1">
        <v>4</v>
      </c>
      <c r="U1000" s="9">
        <v>23.4</v>
      </c>
      <c r="V1000" s="9">
        <v>96.4</v>
      </c>
      <c r="W1000" s="9">
        <v>93.6</v>
      </c>
      <c r="X1000" s="12">
        <v>2.8000000000000114</v>
      </c>
      <c r="Y1000" s="10">
        <v>2016</v>
      </c>
    </row>
    <row r="1001" spans="1:25">
      <c r="A1001" s="1" t="s">
        <v>2459</v>
      </c>
      <c r="B1001" s="8">
        <v>42671</v>
      </c>
      <c r="C1001" s="11" t="s">
        <v>3387</v>
      </c>
      <c r="D1001" s="11" t="s">
        <v>3349</v>
      </c>
      <c r="E1001" s="5">
        <v>42440</v>
      </c>
      <c r="F1001" s="1" t="s">
        <v>49</v>
      </c>
      <c r="G1001" s="1" t="s">
        <v>2460</v>
      </c>
      <c r="H1001" s="1" t="s">
        <v>3693</v>
      </c>
      <c r="I1001" s="1" t="s">
        <v>3885</v>
      </c>
      <c r="J1001" s="1"/>
      <c r="K1001" s="1" t="s">
        <v>29</v>
      </c>
      <c r="L1001" s="1" t="s">
        <v>30</v>
      </c>
      <c r="M1001" s="1" t="s">
        <v>31</v>
      </c>
      <c r="N1001" s="1" t="s">
        <v>32</v>
      </c>
      <c r="O1001" s="1">
        <v>42420</v>
      </c>
      <c r="P1001" s="1" t="s">
        <v>33</v>
      </c>
      <c r="Q1001" s="1" t="s">
        <v>924</v>
      </c>
      <c r="R1001" s="1" t="s">
        <v>35</v>
      </c>
      <c r="S1001" s="7">
        <v>33.11</v>
      </c>
      <c r="T1001" s="1">
        <v>4</v>
      </c>
      <c r="U1001" s="9">
        <v>32.61</v>
      </c>
      <c r="V1001" s="9">
        <v>132.44</v>
      </c>
      <c r="W1001" s="9">
        <v>130.44</v>
      </c>
      <c r="X1001" s="12">
        <v>2</v>
      </c>
      <c r="Y1001" s="10">
        <v>2016</v>
      </c>
    </row>
    <row r="1002" spans="1:25">
      <c r="A1002" s="1" t="s">
        <v>2465</v>
      </c>
      <c r="B1002" s="8">
        <v>43052</v>
      </c>
      <c r="C1002" s="11" t="s">
        <v>3353</v>
      </c>
      <c r="D1002" s="11" t="s">
        <v>3349</v>
      </c>
      <c r="E1002" s="5" t="s">
        <v>2466</v>
      </c>
      <c r="F1002" s="1" t="s">
        <v>49</v>
      </c>
      <c r="G1002" s="1" t="s">
        <v>621</v>
      </c>
      <c r="H1002" s="1" t="s">
        <v>3513</v>
      </c>
      <c r="I1002" s="1" t="s">
        <v>3514</v>
      </c>
      <c r="J1002" s="1"/>
      <c r="K1002" s="1" t="s">
        <v>87</v>
      </c>
      <c r="L1002" s="1" t="s">
        <v>30</v>
      </c>
      <c r="M1002" s="1" t="s">
        <v>1749</v>
      </c>
      <c r="N1002" s="1" t="s">
        <v>81</v>
      </c>
      <c r="O1002" s="1">
        <v>98661</v>
      </c>
      <c r="P1002" s="1" t="s">
        <v>44</v>
      </c>
      <c r="Q1002" s="1" t="s">
        <v>2124</v>
      </c>
      <c r="R1002" s="1" t="s">
        <v>46</v>
      </c>
      <c r="S1002" s="7">
        <v>44.02</v>
      </c>
      <c r="T1002" s="1">
        <v>9</v>
      </c>
      <c r="U1002" s="9">
        <v>43.34</v>
      </c>
      <c r="V1002" s="9">
        <v>396.18</v>
      </c>
      <c r="W1002" s="9">
        <v>390.06000000000006</v>
      </c>
      <c r="X1002" s="12">
        <v>6.1199999999999477</v>
      </c>
      <c r="Y1002" s="10">
        <v>2017</v>
      </c>
    </row>
    <row r="1003" spans="1:25">
      <c r="A1003" s="1" t="s">
        <v>2467</v>
      </c>
      <c r="B1003" s="8">
        <v>42582</v>
      </c>
      <c r="C1003" s="11" t="s">
        <v>3376</v>
      </c>
      <c r="D1003" s="11" t="s">
        <v>3345</v>
      </c>
      <c r="E1003" s="5" t="s">
        <v>837</v>
      </c>
      <c r="F1003" s="1" t="s">
        <v>1050</v>
      </c>
      <c r="G1003" s="1" t="s">
        <v>2044</v>
      </c>
      <c r="H1003" s="1" t="s">
        <v>3449</v>
      </c>
      <c r="I1003" s="1" t="s">
        <v>3819</v>
      </c>
      <c r="J1003" s="1"/>
      <c r="K1003" s="1" t="s">
        <v>29</v>
      </c>
      <c r="L1003" s="1" t="s">
        <v>30</v>
      </c>
      <c r="M1003" s="1" t="s">
        <v>233</v>
      </c>
      <c r="N1003" s="1" t="s">
        <v>234</v>
      </c>
      <c r="O1003" s="1">
        <v>10024</v>
      </c>
      <c r="P1003" s="1" t="s">
        <v>128</v>
      </c>
      <c r="Q1003" s="1" t="s">
        <v>2468</v>
      </c>
      <c r="R1003" s="1" t="s">
        <v>64</v>
      </c>
      <c r="S1003" s="7">
        <v>2309.65</v>
      </c>
      <c r="T1003" s="1">
        <v>1</v>
      </c>
      <c r="U1003" s="9">
        <v>2308.89</v>
      </c>
      <c r="V1003" s="9">
        <v>2309.65</v>
      </c>
      <c r="W1003" s="9">
        <v>2308.89</v>
      </c>
      <c r="X1003" s="12">
        <v>0.76000000000021828</v>
      </c>
      <c r="Y1003" s="10">
        <v>2016</v>
      </c>
    </row>
    <row r="1004" spans="1:25">
      <c r="A1004" s="1" t="s">
        <v>2467</v>
      </c>
      <c r="B1004" s="8">
        <v>42582</v>
      </c>
      <c r="C1004" s="11" t="s">
        <v>3376</v>
      </c>
      <c r="D1004" s="11" t="s">
        <v>3345</v>
      </c>
      <c r="E1004" s="5" t="s">
        <v>837</v>
      </c>
      <c r="F1004" s="1" t="s">
        <v>1050</v>
      </c>
      <c r="G1004" s="1" t="s">
        <v>2044</v>
      </c>
      <c r="H1004" s="1" t="s">
        <v>3449</v>
      </c>
      <c r="I1004" s="1" t="s">
        <v>3819</v>
      </c>
      <c r="J1004" s="1"/>
      <c r="K1004" s="1" t="s">
        <v>29</v>
      </c>
      <c r="L1004" s="1" t="s">
        <v>30</v>
      </c>
      <c r="M1004" s="1" t="s">
        <v>233</v>
      </c>
      <c r="N1004" s="1" t="s">
        <v>234</v>
      </c>
      <c r="O1004" s="1">
        <v>10024</v>
      </c>
      <c r="P1004" s="1" t="s">
        <v>128</v>
      </c>
      <c r="Q1004" s="1" t="s">
        <v>862</v>
      </c>
      <c r="R1004" s="1" t="s">
        <v>35</v>
      </c>
      <c r="S1004" s="7">
        <v>1090.7819999999999</v>
      </c>
      <c r="T1004" s="1">
        <v>1</v>
      </c>
      <c r="U1004" s="9">
        <v>1090.27</v>
      </c>
      <c r="V1004" s="9">
        <v>1090.7819999999999</v>
      </c>
      <c r="W1004" s="9">
        <v>1090.27</v>
      </c>
      <c r="X1004" s="12">
        <v>0.51199999999994361</v>
      </c>
      <c r="Y1004" s="10">
        <v>2016</v>
      </c>
    </row>
    <row r="1005" spans="1:25">
      <c r="A1005" s="1" t="s">
        <v>2467</v>
      </c>
      <c r="B1005" s="8">
        <v>42582</v>
      </c>
      <c r="C1005" s="11" t="s">
        <v>3376</v>
      </c>
      <c r="D1005" s="11" t="s">
        <v>3345</v>
      </c>
      <c r="E1005" s="5" t="s">
        <v>837</v>
      </c>
      <c r="F1005" s="1" t="s">
        <v>1050</v>
      </c>
      <c r="G1005" s="1" t="s">
        <v>2044</v>
      </c>
      <c r="H1005" s="1" t="s">
        <v>3449</v>
      </c>
      <c r="I1005" s="1" t="s">
        <v>3819</v>
      </c>
      <c r="J1005" s="1"/>
      <c r="K1005" s="1" t="s">
        <v>29</v>
      </c>
      <c r="L1005" s="1" t="s">
        <v>30</v>
      </c>
      <c r="M1005" s="1" t="s">
        <v>233</v>
      </c>
      <c r="N1005" s="1" t="s">
        <v>234</v>
      </c>
      <c r="O1005" s="1">
        <v>10024</v>
      </c>
      <c r="P1005" s="1" t="s">
        <v>128</v>
      </c>
      <c r="Q1005" s="1" t="s">
        <v>2409</v>
      </c>
      <c r="R1005" s="1" t="s">
        <v>46</v>
      </c>
      <c r="S1005" s="7">
        <v>19.440000000000001</v>
      </c>
      <c r="T1005" s="1">
        <v>1</v>
      </c>
      <c r="U1005" s="9">
        <v>18.98</v>
      </c>
      <c r="V1005" s="9">
        <v>19.440000000000001</v>
      </c>
      <c r="W1005" s="9">
        <v>18.98</v>
      </c>
      <c r="X1005" s="12">
        <v>0.46000000000000085</v>
      </c>
      <c r="Y1005" s="10">
        <v>2016</v>
      </c>
    </row>
    <row r="1006" spans="1:25">
      <c r="A1006" s="1" t="s">
        <v>2469</v>
      </c>
      <c r="B1006" s="8">
        <v>42609</v>
      </c>
      <c r="C1006" s="11" t="s">
        <v>3344</v>
      </c>
      <c r="D1006" s="11" t="s">
        <v>3345</v>
      </c>
      <c r="E1006" s="5" t="s">
        <v>2470</v>
      </c>
      <c r="F1006" s="1" t="s">
        <v>49</v>
      </c>
      <c r="G1006" s="1" t="s">
        <v>2471</v>
      </c>
      <c r="H1006" s="1" t="s">
        <v>3459</v>
      </c>
      <c r="I1006" s="1" t="s">
        <v>3886</v>
      </c>
      <c r="J1006" s="1"/>
      <c r="K1006" s="1" t="s">
        <v>29</v>
      </c>
      <c r="L1006" s="1" t="s">
        <v>30</v>
      </c>
      <c r="M1006" s="1" t="s">
        <v>2473</v>
      </c>
      <c r="N1006" s="1" t="s">
        <v>68</v>
      </c>
      <c r="O1006" s="1">
        <v>92563</v>
      </c>
      <c r="P1006" s="1" t="s">
        <v>44</v>
      </c>
      <c r="Q1006" s="1" t="s">
        <v>2474</v>
      </c>
      <c r="R1006" s="1" t="s">
        <v>46</v>
      </c>
      <c r="S1006" s="7">
        <v>484.65</v>
      </c>
      <c r="T1006" s="1">
        <v>9</v>
      </c>
      <c r="U1006" s="9">
        <v>484.04</v>
      </c>
      <c r="V1006" s="9">
        <v>4361.8499999999995</v>
      </c>
      <c r="W1006" s="9">
        <v>4356.3600000000006</v>
      </c>
      <c r="X1006" s="12">
        <v>5.4899999999988722</v>
      </c>
      <c r="Y1006" s="10">
        <v>2016</v>
      </c>
    </row>
    <row r="1007" spans="1:25">
      <c r="A1007" s="1" t="s">
        <v>2475</v>
      </c>
      <c r="B1007" s="8">
        <v>42687</v>
      </c>
      <c r="C1007" s="11" t="s">
        <v>3353</v>
      </c>
      <c r="D1007" s="11" t="s">
        <v>3349</v>
      </c>
      <c r="E1007" s="5" t="s">
        <v>382</v>
      </c>
      <c r="F1007" s="1" t="s">
        <v>49</v>
      </c>
      <c r="G1007" s="1" t="s">
        <v>2034</v>
      </c>
      <c r="H1007" s="1" t="s">
        <v>3816</v>
      </c>
      <c r="I1007" s="1" t="s">
        <v>3817</v>
      </c>
      <c r="J1007" s="1"/>
      <c r="K1007" s="1" t="s">
        <v>29</v>
      </c>
      <c r="L1007" s="1" t="s">
        <v>30</v>
      </c>
      <c r="M1007" s="1" t="s">
        <v>1241</v>
      </c>
      <c r="N1007" s="1" t="s">
        <v>75</v>
      </c>
      <c r="O1007" s="1">
        <v>28540</v>
      </c>
      <c r="P1007" s="1" t="s">
        <v>33</v>
      </c>
      <c r="Q1007" s="1" t="s">
        <v>2216</v>
      </c>
      <c r="R1007" s="1" t="s">
        <v>46</v>
      </c>
      <c r="S1007" s="7">
        <v>115.29600000000001</v>
      </c>
      <c r="T1007" s="1">
        <v>2</v>
      </c>
      <c r="U1007" s="9">
        <v>114.51</v>
      </c>
      <c r="V1007" s="9">
        <v>230.59200000000001</v>
      </c>
      <c r="W1007" s="9">
        <v>229.02</v>
      </c>
      <c r="X1007" s="12">
        <v>1.5720000000000027</v>
      </c>
      <c r="Y1007" s="10">
        <v>2016</v>
      </c>
    </row>
    <row r="1008" spans="1:25">
      <c r="A1008" s="1" t="s">
        <v>2476</v>
      </c>
      <c r="B1008" s="8">
        <v>42532</v>
      </c>
      <c r="C1008" s="11" t="s">
        <v>3403</v>
      </c>
      <c r="D1008" s="11" t="s">
        <v>3360</v>
      </c>
      <c r="E1008" s="5">
        <v>42624</v>
      </c>
      <c r="F1008" s="1" t="s">
        <v>162</v>
      </c>
      <c r="G1008" s="1" t="s">
        <v>2477</v>
      </c>
      <c r="H1008" s="1" t="s">
        <v>3743</v>
      </c>
      <c r="I1008" s="1" t="s">
        <v>3887</v>
      </c>
      <c r="J1008" s="1"/>
      <c r="K1008" s="1" t="s">
        <v>29</v>
      </c>
      <c r="L1008" s="1" t="s">
        <v>30</v>
      </c>
      <c r="M1008" s="1" t="s">
        <v>518</v>
      </c>
      <c r="N1008" s="1" t="s">
        <v>265</v>
      </c>
      <c r="O1008" s="1">
        <v>85254</v>
      </c>
      <c r="P1008" s="1" t="s">
        <v>44</v>
      </c>
      <c r="Q1008" s="1" t="s">
        <v>423</v>
      </c>
      <c r="R1008" s="1" t="s">
        <v>46</v>
      </c>
      <c r="S1008" s="7">
        <v>7.08</v>
      </c>
      <c r="T1008" s="1">
        <v>8</v>
      </c>
      <c r="U1008" s="9">
        <v>6.22</v>
      </c>
      <c r="V1008" s="9">
        <v>56.64</v>
      </c>
      <c r="W1008" s="9">
        <v>49.76</v>
      </c>
      <c r="X1008" s="12">
        <v>6.8800000000000026</v>
      </c>
      <c r="Y1008" s="10">
        <v>2016</v>
      </c>
    </row>
    <row r="1009" spans="1:25">
      <c r="A1009" s="1" t="s">
        <v>2476</v>
      </c>
      <c r="B1009" s="8">
        <v>42532</v>
      </c>
      <c r="C1009" s="11" t="s">
        <v>3403</v>
      </c>
      <c r="D1009" s="11" t="s">
        <v>3360</v>
      </c>
      <c r="E1009" s="5">
        <v>42624</v>
      </c>
      <c r="F1009" s="1" t="s">
        <v>162</v>
      </c>
      <c r="G1009" s="1" t="s">
        <v>2477</v>
      </c>
      <c r="H1009" s="1" t="s">
        <v>3743</v>
      </c>
      <c r="I1009" s="1" t="s">
        <v>3887</v>
      </c>
      <c r="J1009" s="1"/>
      <c r="K1009" s="1" t="s">
        <v>29</v>
      </c>
      <c r="L1009" s="1" t="s">
        <v>30</v>
      </c>
      <c r="M1009" s="1" t="s">
        <v>518</v>
      </c>
      <c r="N1009" s="1" t="s">
        <v>265</v>
      </c>
      <c r="O1009" s="1">
        <v>85254</v>
      </c>
      <c r="P1009" s="1" t="s">
        <v>44</v>
      </c>
      <c r="Q1009" s="1" t="s">
        <v>2479</v>
      </c>
      <c r="R1009" s="1" t="s">
        <v>46</v>
      </c>
      <c r="S1009" s="7">
        <v>4.4009999999999998</v>
      </c>
      <c r="T1009" s="1">
        <v>8</v>
      </c>
      <c r="U1009" s="9">
        <v>4.01</v>
      </c>
      <c r="V1009" s="9">
        <v>35.207999999999998</v>
      </c>
      <c r="W1009" s="9">
        <v>32.08</v>
      </c>
      <c r="X1009" s="12">
        <v>3.1280000000000001</v>
      </c>
      <c r="Y1009" s="10">
        <v>2016</v>
      </c>
    </row>
    <row r="1010" spans="1:25">
      <c r="A1010" s="1" t="s">
        <v>2480</v>
      </c>
      <c r="B1010" s="8">
        <v>43460</v>
      </c>
      <c r="C1010" s="11" t="s">
        <v>3348</v>
      </c>
      <c r="D1010" s="11" t="s">
        <v>3349</v>
      </c>
      <c r="E1010" s="5">
        <v>43466</v>
      </c>
      <c r="F1010" s="1" t="s">
        <v>49</v>
      </c>
      <c r="G1010" s="1" t="s">
        <v>969</v>
      </c>
      <c r="H1010" s="1" t="s">
        <v>3402</v>
      </c>
      <c r="I1010" s="1" t="s">
        <v>3588</v>
      </c>
      <c r="J1010" s="1"/>
      <c r="K1010" s="1" t="s">
        <v>29</v>
      </c>
      <c r="L1010" s="1" t="s">
        <v>30</v>
      </c>
      <c r="M1010" s="1" t="s">
        <v>1814</v>
      </c>
      <c r="N1010" s="1" t="s">
        <v>413</v>
      </c>
      <c r="O1010" s="1">
        <v>52601</v>
      </c>
      <c r="P1010" s="1" t="s">
        <v>90</v>
      </c>
      <c r="Q1010" s="1" t="s">
        <v>1329</v>
      </c>
      <c r="R1010" s="1" t="s">
        <v>46</v>
      </c>
      <c r="S1010" s="7">
        <v>44.75</v>
      </c>
      <c r="T1010" s="1">
        <v>5</v>
      </c>
      <c r="U1010" s="9">
        <v>44.31</v>
      </c>
      <c r="V1010" s="9">
        <v>223.75</v>
      </c>
      <c r="W1010" s="9">
        <v>221.55</v>
      </c>
      <c r="X1010" s="12">
        <v>2.1999999999999886</v>
      </c>
      <c r="Y1010" s="10">
        <v>2018</v>
      </c>
    </row>
    <row r="1011" spans="1:25">
      <c r="A1011" s="1" t="s">
        <v>2481</v>
      </c>
      <c r="B1011" s="8">
        <v>43108</v>
      </c>
      <c r="C1011" s="11" t="s">
        <v>3381</v>
      </c>
      <c r="D1011" s="11" t="s">
        <v>3382</v>
      </c>
      <c r="E1011" s="5">
        <v>43167</v>
      </c>
      <c r="F1011" s="1" t="s">
        <v>162</v>
      </c>
      <c r="G1011" s="1" t="s">
        <v>1688</v>
      </c>
      <c r="H1011" s="1" t="s">
        <v>3745</v>
      </c>
      <c r="I1011" s="1" t="s">
        <v>3746</v>
      </c>
      <c r="J1011" s="1"/>
      <c r="K1011" s="1" t="s">
        <v>29</v>
      </c>
      <c r="L1011" s="1" t="s">
        <v>30</v>
      </c>
      <c r="M1011" s="1" t="s">
        <v>259</v>
      </c>
      <c r="N1011" s="1" t="s">
        <v>182</v>
      </c>
      <c r="O1011" s="1">
        <v>60653</v>
      </c>
      <c r="P1011" s="1" t="s">
        <v>90</v>
      </c>
      <c r="Q1011" s="1" t="s">
        <v>572</v>
      </c>
      <c r="R1011" s="1" t="s">
        <v>64</v>
      </c>
      <c r="S1011" s="7">
        <v>95.983999999999995</v>
      </c>
      <c r="T1011" s="1">
        <v>6</v>
      </c>
      <c r="U1011" s="9">
        <v>95.29</v>
      </c>
      <c r="V1011" s="9">
        <v>575.904</v>
      </c>
      <c r="W1011" s="9">
        <v>571.74</v>
      </c>
      <c r="X1011" s="12">
        <v>4.1639999999999873</v>
      </c>
      <c r="Y1011" s="10">
        <v>2018</v>
      </c>
    </row>
    <row r="1012" spans="1:25">
      <c r="A1012" s="1" t="s">
        <v>2482</v>
      </c>
      <c r="B1012" s="8">
        <v>42332</v>
      </c>
      <c r="C1012" s="11" t="s">
        <v>3353</v>
      </c>
      <c r="D1012" s="11" t="s">
        <v>3349</v>
      </c>
      <c r="E1012" s="5" t="s">
        <v>1109</v>
      </c>
      <c r="F1012" s="1" t="s">
        <v>162</v>
      </c>
      <c r="G1012" s="1" t="s">
        <v>2483</v>
      </c>
      <c r="H1012" s="1" t="s">
        <v>3888</v>
      </c>
      <c r="I1012" s="1" t="s">
        <v>3434</v>
      </c>
      <c r="J1012" s="1"/>
      <c r="K1012" s="1" t="s">
        <v>29</v>
      </c>
      <c r="L1012" s="1" t="s">
        <v>30</v>
      </c>
      <c r="M1012" s="1" t="s">
        <v>778</v>
      </c>
      <c r="N1012" s="1" t="s">
        <v>68</v>
      </c>
      <c r="O1012" s="1">
        <v>92037</v>
      </c>
      <c r="P1012" s="1" t="s">
        <v>44</v>
      </c>
      <c r="Q1012" s="1" t="s">
        <v>2485</v>
      </c>
      <c r="R1012" s="1" t="s">
        <v>35</v>
      </c>
      <c r="S1012" s="7">
        <v>151.72</v>
      </c>
      <c r="T1012" s="1">
        <v>9</v>
      </c>
      <c r="U1012" s="9">
        <v>151.56</v>
      </c>
      <c r="V1012" s="9">
        <v>1365.48</v>
      </c>
      <c r="W1012" s="9">
        <v>1364.04</v>
      </c>
      <c r="X1012" s="12">
        <v>1.4400000000000546</v>
      </c>
      <c r="Y1012" s="10">
        <v>2015</v>
      </c>
    </row>
    <row r="1013" spans="1:25">
      <c r="A1013" s="1" t="s">
        <v>2486</v>
      </c>
      <c r="B1013" s="8">
        <v>43268</v>
      </c>
      <c r="C1013" s="11" t="s">
        <v>3403</v>
      </c>
      <c r="D1013" s="11" t="s">
        <v>3360</v>
      </c>
      <c r="E1013" s="5" t="s">
        <v>2116</v>
      </c>
      <c r="F1013" s="1" t="s">
        <v>26</v>
      </c>
      <c r="G1013" s="1" t="s">
        <v>450</v>
      </c>
      <c r="H1013" s="1" t="s">
        <v>3470</v>
      </c>
      <c r="I1013" s="1" t="s">
        <v>3471</v>
      </c>
      <c r="J1013" s="1"/>
      <c r="K1013" s="1" t="s">
        <v>29</v>
      </c>
      <c r="L1013" s="1" t="s">
        <v>30</v>
      </c>
      <c r="M1013" s="1" t="s">
        <v>2487</v>
      </c>
      <c r="N1013" s="1" t="s">
        <v>81</v>
      </c>
      <c r="O1013" s="1">
        <v>98502</v>
      </c>
      <c r="P1013" s="1" t="s">
        <v>44</v>
      </c>
      <c r="Q1013" s="1" t="s">
        <v>150</v>
      </c>
      <c r="R1013" s="1" t="s">
        <v>35</v>
      </c>
      <c r="S1013" s="7">
        <v>155.25</v>
      </c>
      <c r="T1013" s="1">
        <v>9</v>
      </c>
      <c r="U1013" s="9">
        <v>155.13999999999999</v>
      </c>
      <c r="V1013" s="9">
        <v>1397.25</v>
      </c>
      <c r="W1013" s="9">
        <v>1396.2599999999998</v>
      </c>
      <c r="X1013" s="12">
        <v>0.99000000000023647</v>
      </c>
      <c r="Y1013" s="10">
        <v>2018</v>
      </c>
    </row>
    <row r="1014" spans="1:25">
      <c r="A1014" s="1" t="s">
        <v>2486</v>
      </c>
      <c r="B1014" s="8">
        <v>43268</v>
      </c>
      <c r="C1014" s="11" t="s">
        <v>3403</v>
      </c>
      <c r="D1014" s="11" t="s">
        <v>3360</v>
      </c>
      <c r="E1014" s="5" t="s">
        <v>2116</v>
      </c>
      <c r="F1014" s="1" t="s">
        <v>26</v>
      </c>
      <c r="G1014" s="1" t="s">
        <v>450</v>
      </c>
      <c r="H1014" s="1" t="s">
        <v>3470</v>
      </c>
      <c r="I1014" s="1" t="s">
        <v>3471</v>
      </c>
      <c r="J1014" s="1"/>
      <c r="K1014" s="1" t="s">
        <v>29</v>
      </c>
      <c r="L1014" s="1" t="s">
        <v>30</v>
      </c>
      <c r="M1014" s="1" t="s">
        <v>2487</v>
      </c>
      <c r="N1014" s="1" t="s">
        <v>81</v>
      </c>
      <c r="O1014" s="1">
        <v>98502</v>
      </c>
      <c r="P1014" s="1" t="s">
        <v>44</v>
      </c>
      <c r="Q1014" s="1" t="s">
        <v>2488</v>
      </c>
      <c r="R1014" s="1" t="s">
        <v>46</v>
      </c>
      <c r="S1014" s="7">
        <v>14.03</v>
      </c>
      <c r="T1014" s="1">
        <v>9</v>
      </c>
      <c r="U1014" s="9">
        <v>13.25</v>
      </c>
      <c r="V1014" s="9">
        <v>126.27</v>
      </c>
      <c r="W1014" s="9">
        <v>119.25</v>
      </c>
      <c r="X1014" s="12">
        <v>7.019999999999996</v>
      </c>
      <c r="Y1014" s="10">
        <v>2018</v>
      </c>
    </row>
    <row r="1015" spans="1:25">
      <c r="A1015" s="1" t="s">
        <v>2489</v>
      </c>
      <c r="B1015" s="8">
        <v>42725</v>
      </c>
      <c r="C1015" s="11" t="s">
        <v>3348</v>
      </c>
      <c r="D1015" s="11" t="s">
        <v>3349</v>
      </c>
      <c r="E1015" s="5" t="s">
        <v>1004</v>
      </c>
      <c r="F1015" s="1" t="s">
        <v>26</v>
      </c>
      <c r="G1015" s="1" t="s">
        <v>2490</v>
      </c>
      <c r="H1015" s="1" t="s">
        <v>3589</v>
      </c>
      <c r="I1015" s="1" t="s">
        <v>3415</v>
      </c>
      <c r="J1015" s="1"/>
      <c r="K1015" s="1" t="s">
        <v>29</v>
      </c>
      <c r="L1015" s="1" t="s">
        <v>30</v>
      </c>
      <c r="M1015" s="1" t="s">
        <v>80</v>
      </c>
      <c r="N1015" s="1" t="s">
        <v>81</v>
      </c>
      <c r="O1015" s="1">
        <v>98103</v>
      </c>
      <c r="P1015" s="1" t="s">
        <v>44</v>
      </c>
      <c r="Q1015" s="1" t="s">
        <v>730</v>
      </c>
      <c r="R1015" s="1" t="s">
        <v>35</v>
      </c>
      <c r="S1015" s="7">
        <v>1618.37</v>
      </c>
      <c r="T1015" s="1">
        <v>9</v>
      </c>
      <c r="U1015" s="9">
        <v>1618.18</v>
      </c>
      <c r="V1015" s="9">
        <v>14565.329999999998</v>
      </c>
      <c r="W1015" s="9">
        <v>14563.62</v>
      </c>
      <c r="X1015" s="12">
        <v>1.7099999999973079</v>
      </c>
      <c r="Y1015" s="10">
        <v>2016</v>
      </c>
    </row>
    <row r="1016" spans="1:25">
      <c r="A1016" s="1" t="s">
        <v>2489</v>
      </c>
      <c r="B1016" s="8">
        <v>42725</v>
      </c>
      <c r="C1016" s="11" t="s">
        <v>3348</v>
      </c>
      <c r="D1016" s="11" t="s">
        <v>3349</v>
      </c>
      <c r="E1016" s="5" t="s">
        <v>1004</v>
      </c>
      <c r="F1016" s="1" t="s">
        <v>26</v>
      </c>
      <c r="G1016" s="1" t="s">
        <v>2490</v>
      </c>
      <c r="H1016" s="1" t="s">
        <v>3589</v>
      </c>
      <c r="I1016" s="1" t="s">
        <v>3415</v>
      </c>
      <c r="J1016" s="1"/>
      <c r="K1016" s="1" t="s">
        <v>29</v>
      </c>
      <c r="L1016" s="1" t="s">
        <v>30</v>
      </c>
      <c r="M1016" s="1" t="s">
        <v>80</v>
      </c>
      <c r="N1016" s="1" t="s">
        <v>81</v>
      </c>
      <c r="O1016" s="1">
        <v>98103</v>
      </c>
      <c r="P1016" s="1" t="s">
        <v>44</v>
      </c>
      <c r="Q1016" s="1" t="s">
        <v>2492</v>
      </c>
      <c r="R1016" s="1" t="s">
        <v>64</v>
      </c>
      <c r="S1016" s="7">
        <v>99.6</v>
      </c>
      <c r="T1016" s="1">
        <v>9</v>
      </c>
      <c r="U1016" s="9">
        <v>98.63</v>
      </c>
      <c r="V1016" s="9">
        <v>896.4</v>
      </c>
      <c r="W1016" s="9">
        <v>887.67</v>
      </c>
      <c r="X1016" s="12">
        <v>8.7300000000000182</v>
      </c>
      <c r="Y1016" s="10">
        <v>2016</v>
      </c>
    </row>
    <row r="1017" spans="1:25">
      <c r="A1017" s="1" t="s">
        <v>2493</v>
      </c>
      <c r="B1017" s="8">
        <v>42630</v>
      </c>
      <c r="C1017" s="11" t="s">
        <v>3356</v>
      </c>
      <c r="D1017" s="11" t="s">
        <v>3345</v>
      </c>
      <c r="E1017" s="5" t="s">
        <v>2494</v>
      </c>
      <c r="F1017" s="1" t="s">
        <v>26</v>
      </c>
      <c r="G1017" s="1" t="s">
        <v>1683</v>
      </c>
      <c r="H1017" s="1" t="s">
        <v>3743</v>
      </c>
      <c r="I1017" s="1" t="s">
        <v>3744</v>
      </c>
      <c r="J1017" s="1"/>
      <c r="K1017" s="1" t="s">
        <v>87</v>
      </c>
      <c r="L1017" s="1" t="s">
        <v>30</v>
      </c>
      <c r="M1017" s="1" t="s">
        <v>42</v>
      </c>
      <c r="N1017" s="1" t="s">
        <v>68</v>
      </c>
      <c r="O1017" s="1">
        <v>90036</v>
      </c>
      <c r="P1017" s="1" t="s">
        <v>44</v>
      </c>
      <c r="Q1017" s="1" t="s">
        <v>866</v>
      </c>
      <c r="R1017" s="1" t="s">
        <v>46</v>
      </c>
      <c r="S1017" s="7">
        <v>32.4</v>
      </c>
      <c r="T1017" s="1">
        <v>9</v>
      </c>
      <c r="U1017" s="9">
        <v>31.92</v>
      </c>
      <c r="V1017" s="9">
        <v>291.59999999999997</v>
      </c>
      <c r="W1017" s="9">
        <v>287.28000000000003</v>
      </c>
      <c r="X1017" s="12">
        <v>4.3199999999999363</v>
      </c>
      <c r="Y1017" s="10">
        <v>2016</v>
      </c>
    </row>
    <row r="1018" spans="1:25">
      <c r="A1018" s="1" t="s">
        <v>2495</v>
      </c>
      <c r="B1018" s="8">
        <v>42528</v>
      </c>
      <c r="C1018" s="11" t="s">
        <v>3403</v>
      </c>
      <c r="D1018" s="11" t="s">
        <v>3360</v>
      </c>
      <c r="E1018" s="5">
        <v>42650</v>
      </c>
      <c r="F1018" s="1" t="s">
        <v>49</v>
      </c>
      <c r="G1018" s="1" t="s">
        <v>2496</v>
      </c>
      <c r="H1018" s="1" t="s">
        <v>3889</v>
      </c>
      <c r="I1018" s="1" t="s">
        <v>3890</v>
      </c>
      <c r="J1018" s="1"/>
      <c r="K1018" s="1" t="s">
        <v>41</v>
      </c>
      <c r="L1018" s="1" t="s">
        <v>30</v>
      </c>
      <c r="M1018" s="1" t="s">
        <v>233</v>
      </c>
      <c r="N1018" s="1" t="s">
        <v>234</v>
      </c>
      <c r="O1018" s="1">
        <v>10011</v>
      </c>
      <c r="P1018" s="1" t="s">
        <v>128</v>
      </c>
      <c r="Q1018" s="1" t="s">
        <v>2498</v>
      </c>
      <c r="R1018" s="1" t="s">
        <v>35</v>
      </c>
      <c r="S1018" s="7">
        <v>13.96</v>
      </c>
      <c r="T1018" s="1">
        <v>1</v>
      </c>
      <c r="U1018" s="9">
        <v>13.03</v>
      </c>
      <c r="V1018" s="9">
        <v>13.96</v>
      </c>
      <c r="W1018" s="9">
        <v>13.03</v>
      </c>
      <c r="X1018" s="12">
        <v>0.93000000000000149</v>
      </c>
      <c r="Y1018" s="10">
        <v>2016</v>
      </c>
    </row>
    <row r="1019" spans="1:25">
      <c r="A1019" s="1" t="s">
        <v>2495</v>
      </c>
      <c r="B1019" s="8">
        <v>42528</v>
      </c>
      <c r="C1019" s="11" t="s">
        <v>3403</v>
      </c>
      <c r="D1019" s="11" t="s">
        <v>3360</v>
      </c>
      <c r="E1019" s="5">
        <v>42650</v>
      </c>
      <c r="F1019" s="1" t="s">
        <v>49</v>
      </c>
      <c r="G1019" s="1" t="s">
        <v>2496</v>
      </c>
      <c r="H1019" s="1" t="s">
        <v>3889</v>
      </c>
      <c r="I1019" s="1" t="s">
        <v>3890</v>
      </c>
      <c r="J1019" s="1"/>
      <c r="K1019" s="1" t="s">
        <v>41</v>
      </c>
      <c r="L1019" s="1" t="s">
        <v>30</v>
      </c>
      <c r="M1019" s="1" t="s">
        <v>233</v>
      </c>
      <c r="N1019" s="1" t="s">
        <v>234</v>
      </c>
      <c r="O1019" s="1">
        <v>10011</v>
      </c>
      <c r="P1019" s="1" t="s">
        <v>128</v>
      </c>
      <c r="Q1019" s="1" t="s">
        <v>2194</v>
      </c>
      <c r="R1019" s="1" t="s">
        <v>35</v>
      </c>
      <c r="S1019" s="7">
        <v>155.82</v>
      </c>
      <c r="T1019" s="1">
        <v>1</v>
      </c>
      <c r="U1019" s="9">
        <v>155.71</v>
      </c>
      <c r="V1019" s="9">
        <v>155.82</v>
      </c>
      <c r="W1019" s="9">
        <v>155.71</v>
      </c>
      <c r="X1019" s="12">
        <v>0.10999999999998522</v>
      </c>
      <c r="Y1019" s="10">
        <v>2016</v>
      </c>
    </row>
    <row r="1020" spans="1:25">
      <c r="A1020" s="1" t="s">
        <v>2495</v>
      </c>
      <c r="B1020" s="8">
        <v>42528</v>
      </c>
      <c r="C1020" s="11" t="s">
        <v>3403</v>
      </c>
      <c r="D1020" s="11" t="s">
        <v>3360</v>
      </c>
      <c r="E1020" s="5">
        <v>42650</v>
      </c>
      <c r="F1020" s="1" t="s">
        <v>49</v>
      </c>
      <c r="G1020" s="1" t="s">
        <v>2496</v>
      </c>
      <c r="H1020" s="1" t="s">
        <v>3889</v>
      </c>
      <c r="I1020" s="1" t="s">
        <v>3890</v>
      </c>
      <c r="J1020" s="1"/>
      <c r="K1020" s="1" t="s">
        <v>41</v>
      </c>
      <c r="L1020" s="1" t="s">
        <v>30</v>
      </c>
      <c r="M1020" s="1" t="s">
        <v>233</v>
      </c>
      <c r="N1020" s="1" t="s">
        <v>234</v>
      </c>
      <c r="O1020" s="1">
        <v>10011</v>
      </c>
      <c r="P1020" s="1" t="s">
        <v>128</v>
      </c>
      <c r="Q1020" s="1" t="s">
        <v>2499</v>
      </c>
      <c r="R1020" s="1" t="s">
        <v>64</v>
      </c>
      <c r="S1020" s="7">
        <v>124.95</v>
      </c>
      <c r="T1020" s="1">
        <v>1</v>
      </c>
      <c r="U1020" s="9">
        <v>124.66</v>
      </c>
      <c r="V1020" s="9">
        <v>124.95</v>
      </c>
      <c r="W1020" s="9">
        <v>124.66</v>
      </c>
      <c r="X1020" s="12">
        <v>0.29000000000000625</v>
      </c>
      <c r="Y1020" s="10">
        <v>2016</v>
      </c>
    </row>
    <row r="1021" spans="1:25">
      <c r="A1021" s="1" t="s">
        <v>2495</v>
      </c>
      <c r="B1021" s="8">
        <v>42528</v>
      </c>
      <c r="C1021" s="11" t="s">
        <v>3403</v>
      </c>
      <c r="D1021" s="11" t="s">
        <v>3360</v>
      </c>
      <c r="E1021" s="5">
        <v>42650</v>
      </c>
      <c r="F1021" s="1" t="s">
        <v>49</v>
      </c>
      <c r="G1021" s="1" t="s">
        <v>2496</v>
      </c>
      <c r="H1021" s="1" t="s">
        <v>3889</v>
      </c>
      <c r="I1021" s="1" t="s">
        <v>3890</v>
      </c>
      <c r="J1021" s="1"/>
      <c r="K1021" s="1" t="s">
        <v>41</v>
      </c>
      <c r="L1021" s="1" t="s">
        <v>30</v>
      </c>
      <c r="M1021" s="1" t="s">
        <v>233</v>
      </c>
      <c r="N1021" s="1" t="s">
        <v>234</v>
      </c>
      <c r="O1021" s="1">
        <v>10011</v>
      </c>
      <c r="P1021" s="1" t="s">
        <v>128</v>
      </c>
      <c r="Q1021" s="1" t="s">
        <v>2500</v>
      </c>
      <c r="R1021" s="1" t="s">
        <v>46</v>
      </c>
      <c r="S1021" s="7">
        <v>601.65</v>
      </c>
      <c r="T1021" s="1">
        <v>1</v>
      </c>
      <c r="U1021" s="9">
        <v>601.54999999999995</v>
      </c>
      <c r="V1021" s="9">
        <v>601.65</v>
      </c>
      <c r="W1021" s="9">
        <v>601.54999999999995</v>
      </c>
      <c r="X1021" s="12">
        <v>0.10000000000002274</v>
      </c>
      <c r="Y1021" s="10">
        <v>2016</v>
      </c>
    </row>
    <row r="1022" spans="1:25">
      <c r="A1022" s="1" t="s">
        <v>2501</v>
      </c>
      <c r="B1022" s="8">
        <v>42487</v>
      </c>
      <c r="C1022" s="11" t="s">
        <v>3359</v>
      </c>
      <c r="D1022" s="11" t="s">
        <v>3360</v>
      </c>
      <c r="E1022" s="5">
        <v>42434</v>
      </c>
      <c r="F1022" s="1" t="s">
        <v>49</v>
      </c>
      <c r="G1022" s="1" t="s">
        <v>1530</v>
      </c>
      <c r="H1022" s="1" t="s">
        <v>3464</v>
      </c>
      <c r="I1022" s="1" t="s">
        <v>3668</v>
      </c>
      <c r="J1022" s="1"/>
      <c r="K1022" s="1" t="s">
        <v>29</v>
      </c>
      <c r="L1022" s="1" t="s">
        <v>30</v>
      </c>
      <c r="M1022" s="1" t="s">
        <v>81</v>
      </c>
      <c r="N1022" s="1" t="s">
        <v>3891</v>
      </c>
      <c r="O1022" s="1">
        <v>20016</v>
      </c>
      <c r="P1022" s="1" t="s">
        <v>128</v>
      </c>
      <c r="Q1022" s="1" t="s">
        <v>2503</v>
      </c>
      <c r="R1022" s="1" t="s">
        <v>46</v>
      </c>
      <c r="S1022" s="7">
        <v>22.74</v>
      </c>
      <c r="T1022" s="1">
        <v>2</v>
      </c>
      <c r="U1022" s="9">
        <v>22.15</v>
      </c>
      <c r="V1022" s="9">
        <v>45.48</v>
      </c>
      <c r="W1022" s="9">
        <v>44.3</v>
      </c>
      <c r="X1022" s="12">
        <v>1.1799999999999997</v>
      </c>
      <c r="Y1022" s="10">
        <v>2016</v>
      </c>
    </row>
    <row r="1023" spans="1:25">
      <c r="A1023" s="1" t="s">
        <v>2501</v>
      </c>
      <c r="B1023" s="8">
        <v>42487</v>
      </c>
      <c r="C1023" s="11" t="s">
        <v>3359</v>
      </c>
      <c r="D1023" s="11" t="s">
        <v>3360</v>
      </c>
      <c r="E1023" s="5">
        <v>42434</v>
      </c>
      <c r="F1023" s="1" t="s">
        <v>49</v>
      </c>
      <c r="G1023" s="1" t="s">
        <v>1530</v>
      </c>
      <c r="H1023" s="1" t="s">
        <v>3464</v>
      </c>
      <c r="I1023" s="1" t="s">
        <v>3668</v>
      </c>
      <c r="J1023" s="1"/>
      <c r="K1023" s="1" t="s">
        <v>29</v>
      </c>
      <c r="L1023" s="1" t="s">
        <v>30</v>
      </c>
      <c r="M1023" s="1" t="s">
        <v>81</v>
      </c>
      <c r="N1023" s="1" t="s">
        <v>3891</v>
      </c>
      <c r="O1023" s="1">
        <v>20016</v>
      </c>
      <c r="P1023" s="1" t="s">
        <v>128</v>
      </c>
      <c r="Q1023" s="1" t="s">
        <v>2504</v>
      </c>
      <c r="R1023" s="1" t="s">
        <v>35</v>
      </c>
      <c r="S1023" s="7">
        <v>1267.53</v>
      </c>
      <c r="T1023" s="1">
        <v>2</v>
      </c>
      <c r="U1023" s="9">
        <v>1267.26</v>
      </c>
      <c r="V1023" s="9">
        <v>2535.06</v>
      </c>
      <c r="W1023" s="9">
        <v>2534.52</v>
      </c>
      <c r="X1023" s="12">
        <v>0.53999999999996362</v>
      </c>
      <c r="Y1023" s="10">
        <v>2016</v>
      </c>
    </row>
    <row r="1024" spans="1:25">
      <c r="A1024" s="1" t="s">
        <v>2501</v>
      </c>
      <c r="B1024" s="8">
        <v>42487</v>
      </c>
      <c r="C1024" s="11" t="s">
        <v>3359</v>
      </c>
      <c r="D1024" s="11" t="s">
        <v>3360</v>
      </c>
      <c r="E1024" s="5">
        <v>42434</v>
      </c>
      <c r="F1024" s="1" t="s">
        <v>49</v>
      </c>
      <c r="G1024" s="1" t="s">
        <v>1530</v>
      </c>
      <c r="H1024" s="1" t="s">
        <v>3464</v>
      </c>
      <c r="I1024" s="1" t="s">
        <v>3668</v>
      </c>
      <c r="J1024" s="1"/>
      <c r="K1024" s="1" t="s">
        <v>29</v>
      </c>
      <c r="L1024" s="1" t="s">
        <v>30</v>
      </c>
      <c r="M1024" s="1" t="s">
        <v>81</v>
      </c>
      <c r="N1024" s="1" t="s">
        <v>3891</v>
      </c>
      <c r="O1024" s="1">
        <v>20016</v>
      </c>
      <c r="P1024" s="1" t="s">
        <v>128</v>
      </c>
      <c r="Q1024" s="1" t="s">
        <v>2505</v>
      </c>
      <c r="R1024" s="1" t="s">
        <v>64</v>
      </c>
      <c r="S1024" s="7">
        <v>1379.92</v>
      </c>
      <c r="T1024" s="1">
        <v>2</v>
      </c>
      <c r="U1024" s="9">
        <v>1379.42</v>
      </c>
      <c r="V1024" s="9">
        <v>2759.84</v>
      </c>
      <c r="W1024" s="9">
        <v>2758.84</v>
      </c>
      <c r="X1024" s="12">
        <v>1</v>
      </c>
      <c r="Y1024" s="10">
        <v>2016</v>
      </c>
    </row>
    <row r="1025" spans="1:25">
      <c r="A1025" s="1" t="s">
        <v>2506</v>
      </c>
      <c r="B1025" s="8">
        <v>42537</v>
      </c>
      <c r="C1025" s="11" t="s">
        <v>3403</v>
      </c>
      <c r="D1025" s="11" t="s">
        <v>3360</v>
      </c>
      <c r="E1025" s="5" t="s">
        <v>2507</v>
      </c>
      <c r="F1025" s="1" t="s">
        <v>49</v>
      </c>
      <c r="G1025" s="1" t="s">
        <v>1188</v>
      </c>
      <c r="H1025" s="1" t="s">
        <v>3470</v>
      </c>
      <c r="I1025" s="1" t="s">
        <v>3642</v>
      </c>
      <c r="J1025" s="1"/>
      <c r="K1025" s="1" t="s">
        <v>29</v>
      </c>
      <c r="L1025" s="1" t="s">
        <v>30</v>
      </c>
      <c r="M1025" s="1" t="s">
        <v>126</v>
      </c>
      <c r="N1025" s="1" t="s">
        <v>127</v>
      </c>
      <c r="O1025" s="1">
        <v>19134</v>
      </c>
      <c r="P1025" s="1" t="s">
        <v>128</v>
      </c>
      <c r="Q1025" s="1" t="s">
        <v>2508</v>
      </c>
      <c r="R1025" s="1" t="s">
        <v>46</v>
      </c>
      <c r="S1025" s="7">
        <v>6.2080000000000002</v>
      </c>
      <c r="T1025" s="1">
        <v>1</v>
      </c>
      <c r="U1025" s="9">
        <v>6.04</v>
      </c>
      <c r="V1025" s="9">
        <v>6.2080000000000002</v>
      </c>
      <c r="W1025" s="9">
        <v>6.04</v>
      </c>
      <c r="X1025" s="12">
        <v>0.16800000000000015</v>
      </c>
      <c r="Y1025" s="10">
        <v>2016</v>
      </c>
    </row>
    <row r="1026" spans="1:25">
      <c r="A1026" s="1" t="s">
        <v>2509</v>
      </c>
      <c r="B1026" s="8">
        <v>43451</v>
      </c>
      <c r="C1026" s="11" t="s">
        <v>3348</v>
      </c>
      <c r="D1026" s="11" t="s">
        <v>3349</v>
      </c>
      <c r="E1026" s="5" t="s">
        <v>2510</v>
      </c>
      <c r="F1026" s="1" t="s">
        <v>162</v>
      </c>
      <c r="G1026" s="1" t="s">
        <v>2511</v>
      </c>
      <c r="H1026" s="1" t="s">
        <v>3892</v>
      </c>
      <c r="I1026" s="1" t="s">
        <v>3893</v>
      </c>
      <c r="J1026" s="1"/>
      <c r="K1026" s="1" t="s">
        <v>87</v>
      </c>
      <c r="L1026" s="1" t="s">
        <v>30</v>
      </c>
      <c r="M1026" s="1" t="s">
        <v>42</v>
      </c>
      <c r="N1026" s="1" t="s">
        <v>68</v>
      </c>
      <c r="O1026" s="1">
        <v>90045</v>
      </c>
      <c r="P1026" s="1" t="s">
        <v>44</v>
      </c>
      <c r="Q1026" s="1" t="s">
        <v>2513</v>
      </c>
      <c r="R1026" s="1" t="s">
        <v>46</v>
      </c>
      <c r="S1026" s="7">
        <v>11.808</v>
      </c>
      <c r="T1026" s="1">
        <v>9</v>
      </c>
      <c r="U1026" s="9">
        <v>11.56</v>
      </c>
      <c r="V1026" s="9">
        <v>106.27199999999999</v>
      </c>
      <c r="W1026" s="9">
        <v>104.04</v>
      </c>
      <c r="X1026" s="12">
        <v>2.2319999999999851</v>
      </c>
      <c r="Y1026" s="10">
        <v>2018</v>
      </c>
    </row>
    <row r="1027" spans="1:25">
      <c r="A1027" s="1" t="s">
        <v>2514</v>
      </c>
      <c r="B1027" s="8">
        <v>43040</v>
      </c>
      <c r="C1027" s="11" t="s">
        <v>3353</v>
      </c>
      <c r="D1027" s="11" t="s">
        <v>3349</v>
      </c>
      <c r="E1027" s="5" t="s">
        <v>2515</v>
      </c>
      <c r="F1027" s="1" t="s">
        <v>26</v>
      </c>
      <c r="G1027" s="1" t="s">
        <v>2516</v>
      </c>
      <c r="H1027" s="1" t="s">
        <v>3894</v>
      </c>
      <c r="I1027" s="1" t="s">
        <v>3895</v>
      </c>
      <c r="J1027" s="1"/>
      <c r="K1027" s="1" t="s">
        <v>87</v>
      </c>
      <c r="L1027" s="1" t="s">
        <v>30</v>
      </c>
      <c r="M1027" s="1" t="s">
        <v>271</v>
      </c>
      <c r="N1027" s="1" t="s">
        <v>421</v>
      </c>
      <c r="O1027" s="1">
        <v>45503</v>
      </c>
      <c r="P1027" s="1" t="s">
        <v>128</v>
      </c>
      <c r="Q1027" s="1" t="s">
        <v>2518</v>
      </c>
      <c r="R1027" s="1" t="s">
        <v>46</v>
      </c>
      <c r="S1027" s="7">
        <v>15.552</v>
      </c>
      <c r="T1027" s="1">
        <v>4</v>
      </c>
      <c r="U1027" s="9">
        <v>15.04</v>
      </c>
      <c r="V1027" s="9">
        <v>62.207999999999998</v>
      </c>
      <c r="W1027" s="9">
        <v>60.16</v>
      </c>
      <c r="X1027" s="12">
        <v>2.0480000000000018</v>
      </c>
      <c r="Y1027" s="10">
        <v>2017</v>
      </c>
    </row>
    <row r="1028" spans="1:25">
      <c r="A1028" s="1" t="s">
        <v>2514</v>
      </c>
      <c r="B1028" s="8">
        <v>43040</v>
      </c>
      <c r="C1028" s="11" t="s">
        <v>3353</v>
      </c>
      <c r="D1028" s="11" t="s">
        <v>3349</v>
      </c>
      <c r="E1028" s="5" t="s">
        <v>2515</v>
      </c>
      <c r="F1028" s="1" t="s">
        <v>26</v>
      </c>
      <c r="G1028" s="1" t="s">
        <v>2516</v>
      </c>
      <c r="H1028" s="1" t="s">
        <v>3894</v>
      </c>
      <c r="I1028" s="1" t="s">
        <v>3895</v>
      </c>
      <c r="J1028" s="1"/>
      <c r="K1028" s="1" t="s">
        <v>87</v>
      </c>
      <c r="L1028" s="1" t="s">
        <v>30</v>
      </c>
      <c r="M1028" s="1" t="s">
        <v>271</v>
      </c>
      <c r="N1028" s="1" t="s">
        <v>421</v>
      </c>
      <c r="O1028" s="1">
        <v>45503</v>
      </c>
      <c r="P1028" s="1" t="s">
        <v>128</v>
      </c>
      <c r="Q1028" s="1" t="s">
        <v>2519</v>
      </c>
      <c r="R1028" s="1" t="s">
        <v>46</v>
      </c>
      <c r="S1028" s="7">
        <v>63.311999999999998</v>
      </c>
      <c r="T1028" s="1">
        <v>4</v>
      </c>
      <c r="U1028" s="9">
        <v>63.23</v>
      </c>
      <c r="V1028" s="9">
        <v>253.24799999999999</v>
      </c>
      <c r="W1028" s="9">
        <v>252.92</v>
      </c>
      <c r="X1028" s="12">
        <v>0.32800000000000296</v>
      </c>
      <c r="Y1028" s="10">
        <v>2017</v>
      </c>
    </row>
    <row r="1029" spans="1:25">
      <c r="A1029" s="1" t="s">
        <v>2514</v>
      </c>
      <c r="B1029" s="8">
        <v>43040</v>
      </c>
      <c r="C1029" s="11" t="s">
        <v>3353</v>
      </c>
      <c r="D1029" s="11" t="s">
        <v>3349</v>
      </c>
      <c r="E1029" s="5" t="s">
        <v>2515</v>
      </c>
      <c r="F1029" s="1" t="s">
        <v>26</v>
      </c>
      <c r="G1029" s="1" t="s">
        <v>2516</v>
      </c>
      <c r="H1029" s="1" t="s">
        <v>3894</v>
      </c>
      <c r="I1029" s="1" t="s">
        <v>3895</v>
      </c>
      <c r="J1029" s="1"/>
      <c r="K1029" s="1" t="s">
        <v>87</v>
      </c>
      <c r="L1029" s="1" t="s">
        <v>30</v>
      </c>
      <c r="M1029" s="1" t="s">
        <v>271</v>
      </c>
      <c r="N1029" s="1" t="s">
        <v>421</v>
      </c>
      <c r="O1029" s="1">
        <v>45503</v>
      </c>
      <c r="P1029" s="1" t="s">
        <v>128</v>
      </c>
      <c r="Q1029" s="1" t="s">
        <v>2520</v>
      </c>
      <c r="R1029" s="1" t="s">
        <v>64</v>
      </c>
      <c r="S1029" s="7">
        <v>15.587999999999999</v>
      </c>
      <c r="T1029" s="1">
        <v>4</v>
      </c>
      <c r="U1029" s="9">
        <v>15.5</v>
      </c>
      <c r="V1029" s="9">
        <v>62.351999999999997</v>
      </c>
      <c r="W1029" s="9">
        <v>62</v>
      </c>
      <c r="X1029" s="12">
        <v>0.35199999999999676</v>
      </c>
      <c r="Y1029" s="10">
        <v>2017</v>
      </c>
    </row>
    <row r="1030" spans="1:25">
      <c r="A1030" s="1" t="s">
        <v>2521</v>
      </c>
      <c r="B1030" s="8">
        <v>42315</v>
      </c>
      <c r="C1030" s="11" t="s">
        <v>3353</v>
      </c>
      <c r="D1030" s="11" t="s">
        <v>3349</v>
      </c>
      <c r="E1030" s="5" t="s">
        <v>2522</v>
      </c>
      <c r="F1030" s="1" t="s">
        <v>49</v>
      </c>
      <c r="G1030" s="1" t="s">
        <v>1094</v>
      </c>
      <c r="H1030" s="1" t="s">
        <v>3615</v>
      </c>
      <c r="I1030" s="1" t="s">
        <v>3454</v>
      </c>
      <c r="J1030" s="1"/>
      <c r="K1030" s="1" t="s">
        <v>41</v>
      </c>
      <c r="L1030" s="1" t="s">
        <v>30</v>
      </c>
      <c r="M1030" s="1" t="s">
        <v>931</v>
      </c>
      <c r="N1030" s="1" t="s">
        <v>653</v>
      </c>
      <c r="O1030" s="1">
        <v>7601</v>
      </c>
      <c r="P1030" s="1" t="s">
        <v>128</v>
      </c>
      <c r="Q1030" s="1" t="s">
        <v>864</v>
      </c>
      <c r="R1030" s="1" t="s">
        <v>46</v>
      </c>
      <c r="S1030" s="7">
        <v>177.2</v>
      </c>
      <c r="T1030" s="1">
        <v>7</v>
      </c>
      <c r="U1030" s="9">
        <v>176.99</v>
      </c>
      <c r="V1030" s="9">
        <v>1240.3999999999999</v>
      </c>
      <c r="W1030" s="9">
        <v>1238.93</v>
      </c>
      <c r="X1030" s="12">
        <v>1.4699999999997999</v>
      </c>
      <c r="Y1030" s="10">
        <v>2015</v>
      </c>
    </row>
    <row r="1031" spans="1:25">
      <c r="A1031" s="1" t="s">
        <v>2521</v>
      </c>
      <c r="B1031" s="8">
        <v>42315</v>
      </c>
      <c r="C1031" s="11" t="s">
        <v>3353</v>
      </c>
      <c r="D1031" s="11" t="s">
        <v>3349</v>
      </c>
      <c r="E1031" s="5" t="s">
        <v>2522</v>
      </c>
      <c r="F1031" s="1" t="s">
        <v>49</v>
      </c>
      <c r="G1031" s="1" t="s">
        <v>1094</v>
      </c>
      <c r="H1031" s="1" t="s">
        <v>3615</v>
      </c>
      <c r="I1031" s="1" t="s">
        <v>3454</v>
      </c>
      <c r="J1031" s="1"/>
      <c r="K1031" s="1" t="s">
        <v>41</v>
      </c>
      <c r="L1031" s="1" t="s">
        <v>30</v>
      </c>
      <c r="M1031" s="1" t="s">
        <v>931</v>
      </c>
      <c r="N1031" s="1" t="s">
        <v>653</v>
      </c>
      <c r="O1031" s="1">
        <v>7601</v>
      </c>
      <c r="P1031" s="1" t="s">
        <v>128</v>
      </c>
      <c r="Q1031" s="1" t="s">
        <v>2523</v>
      </c>
      <c r="R1031" s="1" t="s">
        <v>64</v>
      </c>
      <c r="S1031" s="7">
        <v>197.97</v>
      </c>
      <c r="T1031" s="1">
        <v>7</v>
      </c>
      <c r="U1031" s="9">
        <v>197.65</v>
      </c>
      <c r="V1031" s="9">
        <v>1385.79</v>
      </c>
      <c r="W1031" s="9">
        <v>1383.55</v>
      </c>
      <c r="X1031" s="12">
        <v>2.2400000000000091</v>
      </c>
      <c r="Y1031" s="10">
        <v>2015</v>
      </c>
    </row>
    <row r="1032" spans="1:25">
      <c r="A1032" s="1" t="s">
        <v>2521</v>
      </c>
      <c r="B1032" s="8">
        <v>42315</v>
      </c>
      <c r="C1032" s="11" t="s">
        <v>3353</v>
      </c>
      <c r="D1032" s="11" t="s">
        <v>3349</v>
      </c>
      <c r="E1032" s="5" t="s">
        <v>2522</v>
      </c>
      <c r="F1032" s="1" t="s">
        <v>49</v>
      </c>
      <c r="G1032" s="1" t="s">
        <v>1094</v>
      </c>
      <c r="H1032" s="1" t="s">
        <v>3615</v>
      </c>
      <c r="I1032" s="1" t="s">
        <v>3454</v>
      </c>
      <c r="J1032" s="1"/>
      <c r="K1032" s="1" t="s">
        <v>41</v>
      </c>
      <c r="L1032" s="1" t="s">
        <v>30</v>
      </c>
      <c r="M1032" s="1" t="s">
        <v>931</v>
      </c>
      <c r="N1032" s="1" t="s">
        <v>653</v>
      </c>
      <c r="O1032" s="1">
        <v>7601</v>
      </c>
      <c r="P1032" s="1" t="s">
        <v>128</v>
      </c>
      <c r="Q1032" s="1" t="s">
        <v>1460</v>
      </c>
      <c r="R1032" s="1" t="s">
        <v>35</v>
      </c>
      <c r="S1032" s="7">
        <v>854.94</v>
      </c>
      <c r="T1032" s="1">
        <v>7</v>
      </c>
      <c r="U1032" s="9">
        <v>854.7</v>
      </c>
      <c r="V1032" s="9">
        <v>5984.58</v>
      </c>
      <c r="W1032" s="9">
        <v>5982.9000000000005</v>
      </c>
      <c r="X1032" s="12">
        <v>1.6799999999993815</v>
      </c>
      <c r="Y1032" s="10">
        <v>2015</v>
      </c>
    </row>
    <row r="1033" spans="1:25">
      <c r="A1033" s="1" t="s">
        <v>2521</v>
      </c>
      <c r="B1033" s="8">
        <v>42315</v>
      </c>
      <c r="C1033" s="11" t="s">
        <v>3353</v>
      </c>
      <c r="D1033" s="11" t="s">
        <v>3349</v>
      </c>
      <c r="E1033" s="5" t="s">
        <v>2522</v>
      </c>
      <c r="F1033" s="1" t="s">
        <v>49</v>
      </c>
      <c r="G1033" s="1" t="s">
        <v>1094</v>
      </c>
      <c r="H1033" s="1" t="s">
        <v>3615</v>
      </c>
      <c r="I1033" s="1" t="s">
        <v>3454</v>
      </c>
      <c r="J1033" s="1"/>
      <c r="K1033" s="1" t="s">
        <v>41</v>
      </c>
      <c r="L1033" s="1" t="s">
        <v>30</v>
      </c>
      <c r="M1033" s="1" t="s">
        <v>931</v>
      </c>
      <c r="N1033" s="1" t="s">
        <v>653</v>
      </c>
      <c r="O1033" s="1">
        <v>7601</v>
      </c>
      <c r="P1033" s="1" t="s">
        <v>128</v>
      </c>
      <c r="Q1033" s="1" t="s">
        <v>360</v>
      </c>
      <c r="R1033" s="1" t="s">
        <v>35</v>
      </c>
      <c r="S1033" s="7">
        <v>124.11</v>
      </c>
      <c r="T1033" s="1">
        <v>7</v>
      </c>
      <c r="U1033" s="9">
        <v>123.48</v>
      </c>
      <c r="V1033" s="9">
        <v>868.77</v>
      </c>
      <c r="W1033" s="9">
        <v>864.36</v>
      </c>
      <c r="X1033" s="12">
        <v>4.4099999999999682</v>
      </c>
      <c r="Y1033" s="10">
        <v>2015</v>
      </c>
    </row>
    <row r="1034" spans="1:25">
      <c r="A1034" s="1" t="s">
        <v>2521</v>
      </c>
      <c r="B1034" s="8">
        <v>42315</v>
      </c>
      <c r="C1034" s="11" t="s">
        <v>3353</v>
      </c>
      <c r="D1034" s="11" t="s">
        <v>3349</v>
      </c>
      <c r="E1034" s="5" t="s">
        <v>2522</v>
      </c>
      <c r="F1034" s="1" t="s">
        <v>49</v>
      </c>
      <c r="G1034" s="1" t="s">
        <v>1094</v>
      </c>
      <c r="H1034" s="1" t="s">
        <v>3615</v>
      </c>
      <c r="I1034" s="1" t="s">
        <v>3454</v>
      </c>
      <c r="J1034" s="1"/>
      <c r="K1034" s="1" t="s">
        <v>41</v>
      </c>
      <c r="L1034" s="1" t="s">
        <v>30</v>
      </c>
      <c r="M1034" s="1" t="s">
        <v>931</v>
      </c>
      <c r="N1034" s="1" t="s">
        <v>653</v>
      </c>
      <c r="O1034" s="1">
        <v>7601</v>
      </c>
      <c r="P1034" s="1" t="s">
        <v>128</v>
      </c>
      <c r="Q1034" s="1" t="s">
        <v>2524</v>
      </c>
      <c r="R1034" s="1" t="s">
        <v>46</v>
      </c>
      <c r="S1034" s="7">
        <v>14.4</v>
      </c>
      <c r="T1034" s="1">
        <v>7</v>
      </c>
      <c r="U1034" s="9">
        <v>13.61</v>
      </c>
      <c r="V1034" s="9">
        <v>100.8</v>
      </c>
      <c r="W1034" s="9">
        <v>95.27</v>
      </c>
      <c r="X1034" s="12">
        <v>5.5300000000000011</v>
      </c>
      <c r="Y1034" s="10">
        <v>2015</v>
      </c>
    </row>
    <row r="1035" spans="1:25">
      <c r="A1035" s="1" t="s">
        <v>2525</v>
      </c>
      <c r="B1035" s="8">
        <v>43059</v>
      </c>
      <c r="C1035" s="11" t="s">
        <v>3353</v>
      </c>
      <c r="D1035" s="11" t="s">
        <v>3349</v>
      </c>
      <c r="E1035" s="5" t="s">
        <v>2526</v>
      </c>
      <c r="F1035" s="1" t="s">
        <v>162</v>
      </c>
      <c r="G1035" s="1" t="s">
        <v>2527</v>
      </c>
      <c r="H1035" s="1" t="s">
        <v>3362</v>
      </c>
      <c r="I1035" s="1" t="s">
        <v>3896</v>
      </c>
      <c r="J1035" s="1"/>
      <c r="K1035" s="1" t="s">
        <v>29</v>
      </c>
      <c r="L1035" s="1" t="s">
        <v>30</v>
      </c>
      <c r="M1035" s="1" t="s">
        <v>829</v>
      </c>
      <c r="N1035" s="1" t="s">
        <v>421</v>
      </c>
      <c r="O1035" s="1">
        <v>45231</v>
      </c>
      <c r="P1035" s="1" t="s">
        <v>128</v>
      </c>
      <c r="Q1035" s="1" t="s">
        <v>2529</v>
      </c>
      <c r="R1035" s="1" t="s">
        <v>46</v>
      </c>
      <c r="S1035" s="7">
        <v>15.696</v>
      </c>
      <c r="T1035" s="1">
        <v>4</v>
      </c>
      <c r="U1035" s="9">
        <v>15.49</v>
      </c>
      <c r="V1035" s="9">
        <v>62.783999999999999</v>
      </c>
      <c r="W1035" s="9">
        <v>61.96</v>
      </c>
      <c r="X1035" s="12">
        <v>0.82399999999999807</v>
      </c>
      <c r="Y1035" s="10">
        <v>2017</v>
      </c>
    </row>
    <row r="1036" spans="1:25">
      <c r="A1036" s="1" t="s">
        <v>2525</v>
      </c>
      <c r="B1036" s="8">
        <v>43059</v>
      </c>
      <c r="C1036" s="11" t="s">
        <v>3353</v>
      </c>
      <c r="D1036" s="11" t="s">
        <v>3349</v>
      </c>
      <c r="E1036" s="5" t="s">
        <v>2526</v>
      </c>
      <c r="F1036" s="1" t="s">
        <v>162</v>
      </c>
      <c r="G1036" s="1" t="s">
        <v>2527</v>
      </c>
      <c r="H1036" s="1" t="s">
        <v>3362</v>
      </c>
      <c r="I1036" s="1" t="s">
        <v>3896</v>
      </c>
      <c r="J1036" s="1"/>
      <c r="K1036" s="1" t="s">
        <v>29</v>
      </c>
      <c r="L1036" s="1" t="s">
        <v>30</v>
      </c>
      <c r="M1036" s="1" t="s">
        <v>829</v>
      </c>
      <c r="N1036" s="1" t="s">
        <v>421</v>
      </c>
      <c r="O1036" s="1">
        <v>45231</v>
      </c>
      <c r="P1036" s="1" t="s">
        <v>128</v>
      </c>
      <c r="Q1036" s="1" t="s">
        <v>795</v>
      </c>
      <c r="R1036" s="1" t="s">
        <v>46</v>
      </c>
      <c r="S1036" s="7">
        <v>2.6280000000000001</v>
      </c>
      <c r="T1036" s="1">
        <v>4</v>
      </c>
      <c r="U1036" s="9">
        <v>2.4300000000000002</v>
      </c>
      <c r="V1036" s="9">
        <v>10.512</v>
      </c>
      <c r="W1036" s="9">
        <v>9.7200000000000006</v>
      </c>
      <c r="X1036" s="12">
        <v>0.79199999999999982</v>
      </c>
      <c r="Y1036" s="10">
        <v>2017</v>
      </c>
    </row>
    <row r="1037" spans="1:25">
      <c r="A1037" s="1" t="s">
        <v>2525</v>
      </c>
      <c r="B1037" s="8">
        <v>43059</v>
      </c>
      <c r="C1037" s="11" t="s">
        <v>3353</v>
      </c>
      <c r="D1037" s="11" t="s">
        <v>3349</v>
      </c>
      <c r="E1037" s="5" t="s">
        <v>2526</v>
      </c>
      <c r="F1037" s="1" t="s">
        <v>162</v>
      </c>
      <c r="G1037" s="1" t="s">
        <v>2527</v>
      </c>
      <c r="H1037" s="1" t="s">
        <v>3362</v>
      </c>
      <c r="I1037" s="1" t="s">
        <v>3896</v>
      </c>
      <c r="J1037" s="1"/>
      <c r="K1037" s="1" t="s">
        <v>29</v>
      </c>
      <c r="L1037" s="1" t="s">
        <v>30</v>
      </c>
      <c r="M1037" s="1" t="s">
        <v>829</v>
      </c>
      <c r="N1037" s="1" t="s">
        <v>421</v>
      </c>
      <c r="O1037" s="1">
        <v>45231</v>
      </c>
      <c r="P1037" s="1" t="s">
        <v>128</v>
      </c>
      <c r="Q1037" s="1" t="s">
        <v>149</v>
      </c>
      <c r="R1037" s="1" t="s">
        <v>46</v>
      </c>
      <c r="S1037" s="7">
        <v>14.427</v>
      </c>
      <c r="T1037" s="1">
        <v>4</v>
      </c>
      <c r="U1037" s="9">
        <v>13.89</v>
      </c>
      <c r="V1037" s="9">
        <v>57.707999999999998</v>
      </c>
      <c r="W1037" s="9">
        <v>55.56</v>
      </c>
      <c r="X1037" s="12">
        <v>2.1479999999999961</v>
      </c>
      <c r="Y1037" s="10">
        <v>2017</v>
      </c>
    </row>
    <row r="1038" spans="1:25">
      <c r="A1038" s="1" t="s">
        <v>2530</v>
      </c>
      <c r="B1038" s="8">
        <v>42847</v>
      </c>
      <c r="C1038" s="11" t="s">
        <v>3359</v>
      </c>
      <c r="D1038" s="11" t="s">
        <v>3360</v>
      </c>
      <c r="E1038" s="5" t="s">
        <v>2531</v>
      </c>
      <c r="F1038" s="1" t="s">
        <v>49</v>
      </c>
      <c r="G1038" s="1" t="s">
        <v>2246</v>
      </c>
      <c r="H1038" s="1" t="s">
        <v>3655</v>
      </c>
      <c r="I1038" s="1" t="s">
        <v>3848</v>
      </c>
      <c r="J1038" s="1"/>
      <c r="K1038" s="1" t="s">
        <v>87</v>
      </c>
      <c r="L1038" s="1" t="s">
        <v>30</v>
      </c>
      <c r="M1038" s="1" t="s">
        <v>2532</v>
      </c>
      <c r="N1038" s="1" t="s">
        <v>495</v>
      </c>
      <c r="O1038" s="1">
        <v>65109</v>
      </c>
      <c r="P1038" s="1" t="s">
        <v>90</v>
      </c>
      <c r="Q1038" s="1" t="s">
        <v>2533</v>
      </c>
      <c r="R1038" s="1" t="s">
        <v>35</v>
      </c>
      <c r="S1038" s="7">
        <v>86.62</v>
      </c>
      <c r="T1038" s="1">
        <v>6</v>
      </c>
      <c r="U1038" s="9">
        <v>86.12</v>
      </c>
      <c r="V1038" s="9">
        <v>519.72</v>
      </c>
      <c r="W1038" s="9">
        <v>516.72</v>
      </c>
      <c r="X1038" s="12">
        <v>3</v>
      </c>
      <c r="Y1038" s="10">
        <v>2017</v>
      </c>
    </row>
    <row r="1039" spans="1:25">
      <c r="A1039" s="1" t="s">
        <v>2534</v>
      </c>
      <c r="B1039" s="8">
        <v>42534</v>
      </c>
      <c r="C1039" s="11" t="s">
        <v>3403</v>
      </c>
      <c r="D1039" s="11" t="s">
        <v>3360</v>
      </c>
      <c r="E1039" s="5" t="s">
        <v>2535</v>
      </c>
      <c r="F1039" s="1" t="s">
        <v>162</v>
      </c>
      <c r="G1039" s="1" t="s">
        <v>2536</v>
      </c>
      <c r="H1039" s="1" t="s">
        <v>3505</v>
      </c>
      <c r="I1039" s="1" t="s">
        <v>281</v>
      </c>
      <c r="J1039" s="1"/>
      <c r="K1039" s="1" t="s">
        <v>29</v>
      </c>
      <c r="L1039" s="1" t="s">
        <v>30</v>
      </c>
      <c r="M1039" s="1" t="s">
        <v>42</v>
      </c>
      <c r="N1039" s="1" t="s">
        <v>68</v>
      </c>
      <c r="O1039" s="1">
        <v>90004</v>
      </c>
      <c r="P1039" s="1" t="s">
        <v>44</v>
      </c>
      <c r="Q1039" s="1" t="s">
        <v>2538</v>
      </c>
      <c r="R1039" s="1" t="s">
        <v>46</v>
      </c>
      <c r="S1039" s="7">
        <v>36.624000000000002</v>
      </c>
      <c r="T1039" s="1">
        <v>9</v>
      </c>
      <c r="U1039" s="9">
        <v>35.71</v>
      </c>
      <c r="V1039" s="9">
        <v>329.61600000000004</v>
      </c>
      <c r="W1039" s="9">
        <v>321.39</v>
      </c>
      <c r="X1039" s="12">
        <v>8.2260000000000559</v>
      </c>
      <c r="Y1039" s="10">
        <v>2016</v>
      </c>
    </row>
    <row r="1040" spans="1:25">
      <c r="A1040" s="1" t="s">
        <v>2539</v>
      </c>
      <c r="B1040" s="8">
        <v>43424</v>
      </c>
      <c r="C1040" s="11" t="s">
        <v>3353</v>
      </c>
      <c r="D1040" s="11" t="s">
        <v>3349</v>
      </c>
      <c r="E1040" s="5" t="s">
        <v>2540</v>
      </c>
      <c r="F1040" s="1" t="s">
        <v>162</v>
      </c>
      <c r="G1040" s="1" t="s">
        <v>2541</v>
      </c>
      <c r="H1040" s="1" t="s">
        <v>3505</v>
      </c>
      <c r="I1040" s="1" t="s">
        <v>3897</v>
      </c>
      <c r="J1040" s="1"/>
      <c r="K1040" s="1" t="s">
        <v>29</v>
      </c>
      <c r="L1040" s="1" t="s">
        <v>30</v>
      </c>
      <c r="M1040" s="1" t="s">
        <v>1814</v>
      </c>
      <c r="N1040" s="1" t="s">
        <v>75</v>
      </c>
      <c r="O1040" s="1">
        <v>27217</v>
      </c>
      <c r="P1040" s="1" t="s">
        <v>33</v>
      </c>
      <c r="Q1040" s="1" t="s">
        <v>2543</v>
      </c>
      <c r="R1040" s="1" t="s">
        <v>46</v>
      </c>
      <c r="S1040" s="7">
        <v>23.968</v>
      </c>
      <c r="T1040" s="1">
        <v>2</v>
      </c>
      <c r="U1040" s="9">
        <v>23.57</v>
      </c>
      <c r="V1040" s="9">
        <v>47.936</v>
      </c>
      <c r="W1040" s="9">
        <v>47.14</v>
      </c>
      <c r="X1040" s="12">
        <v>0.79599999999999937</v>
      </c>
      <c r="Y1040" s="10">
        <v>2018</v>
      </c>
    </row>
    <row r="1041" spans="1:25">
      <c r="A1041" s="1" t="s">
        <v>2539</v>
      </c>
      <c r="B1041" s="8">
        <v>43424</v>
      </c>
      <c r="C1041" s="11" t="s">
        <v>3353</v>
      </c>
      <c r="D1041" s="11" t="s">
        <v>3349</v>
      </c>
      <c r="E1041" s="5" t="s">
        <v>2540</v>
      </c>
      <c r="F1041" s="1" t="s">
        <v>162</v>
      </c>
      <c r="G1041" s="1" t="s">
        <v>2541</v>
      </c>
      <c r="H1041" s="1" t="s">
        <v>3505</v>
      </c>
      <c r="I1041" s="1" t="s">
        <v>3897</v>
      </c>
      <c r="J1041" s="1"/>
      <c r="K1041" s="1" t="s">
        <v>29</v>
      </c>
      <c r="L1041" s="1" t="s">
        <v>30</v>
      </c>
      <c r="M1041" s="1" t="s">
        <v>1814</v>
      </c>
      <c r="N1041" s="1" t="s">
        <v>75</v>
      </c>
      <c r="O1041" s="1">
        <v>27217</v>
      </c>
      <c r="P1041" s="1" t="s">
        <v>33</v>
      </c>
      <c r="Q1041" s="1" t="s">
        <v>2544</v>
      </c>
      <c r="R1041" s="1" t="s">
        <v>46</v>
      </c>
      <c r="S1041" s="7">
        <v>28.728000000000002</v>
      </c>
      <c r="T1041" s="1">
        <v>2</v>
      </c>
      <c r="U1041" s="9">
        <v>28.47</v>
      </c>
      <c r="V1041" s="9">
        <v>57.456000000000003</v>
      </c>
      <c r="W1041" s="9">
        <v>56.94</v>
      </c>
      <c r="X1041" s="12">
        <v>0.51600000000000534</v>
      </c>
      <c r="Y1041" s="10">
        <v>2018</v>
      </c>
    </row>
    <row r="1042" spans="1:25">
      <c r="A1042" s="1" t="s">
        <v>2545</v>
      </c>
      <c r="B1042" s="8">
        <v>42814</v>
      </c>
      <c r="C1042" s="11" t="s">
        <v>3429</v>
      </c>
      <c r="D1042" s="11" t="s">
        <v>3382</v>
      </c>
      <c r="E1042" s="5" t="s">
        <v>1606</v>
      </c>
      <c r="F1042" s="1" t="s">
        <v>49</v>
      </c>
      <c r="G1042" s="1" t="s">
        <v>2546</v>
      </c>
      <c r="H1042" s="1" t="s">
        <v>3510</v>
      </c>
      <c r="I1042" s="1" t="s">
        <v>3898</v>
      </c>
      <c r="J1042" s="1"/>
      <c r="K1042" s="1" t="s">
        <v>87</v>
      </c>
      <c r="L1042" s="1" t="s">
        <v>30</v>
      </c>
      <c r="M1042" s="1" t="s">
        <v>2548</v>
      </c>
      <c r="N1042" s="1" t="s">
        <v>495</v>
      </c>
      <c r="O1042" s="1">
        <v>63376</v>
      </c>
      <c r="P1042" s="1" t="s">
        <v>90</v>
      </c>
      <c r="Q1042" s="1" t="s">
        <v>1960</v>
      </c>
      <c r="R1042" s="1" t="s">
        <v>35</v>
      </c>
      <c r="S1042" s="7">
        <v>697.16</v>
      </c>
      <c r="T1042" s="1">
        <v>6</v>
      </c>
      <c r="U1042" s="9">
        <v>697.14</v>
      </c>
      <c r="V1042" s="9">
        <v>4182.96</v>
      </c>
      <c r="W1042" s="9">
        <v>4182.84</v>
      </c>
      <c r="X1042" s="12">
        <v>0.11999999999989086</v>
      </c>
      <c r="Y1042" s="10">
        <v>2017</v>
      </c>
    </row>
    <row r="1043" spans="1:25">
      <c r="A1043" s="1" t="s">
        <v>2549</v>
      </c>
      <c r="B1043" s="8">
        <v>42895</v>
      </c>
      <c r="C1043" s="11" t="s">
        <v>3403</v>
      </c>
      <c r="D1043" s="11" t="s">
        <v>3360</v>
      </c>
      <c r="E1043" s="5">
        <v>42987</v>
      </c>
      <c r="F1043" s="1" t="s">
        <v>26</v>
      </c>
      <c r="G1043" s="1" t="s">
        <v>2550</v>
      </c>
      <c r="H1043" s="1" t="s">
        <v>3519</v>
      </c>
      <c r="I1043" s="1" t="s">
        <v>3899</v>
      </c>
      <c r="J1043" s="1"/>
      <c r="K1043" s="1" t="s">
        <v>29</v>
      </c>
      <c r="L1043" s="1" t="s">
        <v>30</v>
      </c>
      <c r="M1043" s="1" t="s">
        <v>233</v>
      </c>
      <c r="N1043" s="1" t="s">
        <v>234</v>
      </c>
      <c r="O1043" s="1">
        <v>10035</v>
      </c>
      <c r="P1043" s="1" t="s">
        <v>128</v>
      </c>
      <c r="Q1043" s="1" t="s">
        <v>2552</v>
      </c>
      <c r="R1043" s="1" t="s">
        <v>64</v>
      </c>
      <c r="S1043" s="7">
        <v>31.86</v>
      </c>
      <c r="T1043" s="1">
        <v>1</v>
      </c>
      <c r="U1043" s="9">
        <v>31.06</v>
      </c>
      <c r="V1043" s="9">
        <v>31.86</v>
      </c>
      <c r="W1043" s="9">
        <v>31.06</v>
      </c>
      <c r="X1043" s="12">
        <v>0.80000000000000071</v>
      </c>
      <c r="Y1043" s="10">
        <v>2017</v>
      </c>
    </row>
    <row r="1044" spans="1:25">
      <c r="A1044" s="1" t="s">
        <v>2549</v>
      </c>
      <c r="B1044" s="8">
        <v>42895</v>
      </c>
      <c r="C1044" s="11" t="s">
        <v>3403</v>
      </c>
      <c r="D1044" s="11" t="s">
        <v>3360</v>
      </c>
      <c r="E1044" s="5">
        <v>42987</v>
      </c>
      <c r="F1044" s="1" t="s">
        <v>26</v>
      </c>
      <c r="G1044" s="1" t="s">
        <v>2550</v>
      </c>
      <c r="H1044" s="1" t="s">
        <v>3519</v>
      </c>
      <c r="I1044" s="1" t="s">
        <v>3899</v>
      </c>
      <c r="J1044" s="1"/>
      <c r="K1044" s="1" t="s">
        <v>29</v>
      </c>
      <c r="L1044" s="1" t="s">
        <v>30</v>
      </c>
      <c r="M1044" s="1" t="s">
        <v>233</v>
      </c>
      <c r="N1044" s="1" t="s">
        <v>234</v>
      </c>
      <c r="O1044" s="1">
        <v>10035</v>
      </c>
      <c r="P1044" s="1" t="s">
        <v>128</v>
      </c>
      <c r="Q1044" s="1" t="s">
        <v>2553</v>
      </c>
      <c r="R1044" s="1" t="s">
        <v>35</v>
      </c>
      <c r="S1044" s="7">
        <v>722.35199999999998</v>
      </c>
      <c r="T1044" s="1">
        <v>1</v>
      </c>
      <c r="U1044" s="9">
        <v>721.86</v>
      </c>
      <c r="V1044" s="9">
        <v>722.35199999999998</v>
      </c>
      <c r="W1044" s="9">
        <v>721.86</v>
      </c>
      <c r="X1044" s="12">
        <v>0.4919999999999618</v>
      </c>
      <c r="Y1044" s="10">
        <v>2017</v>
      </c>
    </row>
    <row r="1045" spans="1:25">
      <c r="A1045" s="1" t="s">
        <v>2554</v>
      </c>
      <c r="B1045" s="8">
        <v>43350</v>
      </c>
      <c r="C1045" s="11" t="s">
        <v>3356</v>
      </c>
      <c r="D1045" s="11" t="s">
        <v>3345</v>
      </c>
      <c r="E1045" s="5">
        <v>43441</v>
      </c>
      <c r="F1045" s="1" t="s">
        <v>162</v>
      </c>
      <c r="G1045" s="1" t="s">
        <v>2555</v>
      </c>
      <c r="H1045" s="1" t="s">
        <v>3900</v>
      </c>
      <c r="I1045" s="1" t="s">
        <v>3901</v>
      </c>
      <c r="J1045" s="1"/>
      <c r="K1045" s="1" t="s">
        <v>41</v>
      </c>
      <c r="L1045" s="1" t="s">
        <v>30</v>
      </c>
      <c r="M1045" s="1" t="s">
        <v>259</v>
      </c>
      <c r="N1045" s="1" t="s">
        <v>182</v>
      </c>
      <c r="O1045" s="1">
        <v>60610</v>
      </c>
      <c r="P1045" s="1" t="s">
        <v>90</v>
      </c>
      <c r="Q1045" s="1" t="s">
        <v>2557</v>
      </c>
      <c r="R1045" s="1" t="s">
        <v>46</v>
      </c>
      <c r="S1045" s="7">
        <v>8.84</v>
      </c>
      <c r="T1045" s="1">
        <v>6</v>
      </c>
      <c r="U1045" s="9">
        <v>8.27</v>
      </c>
      <c r="V1045" s="9">
        <v>53.04</v>
      </c>
      <c r="W1045" s="9">
        <v>49.62</v>
      </c>
      <c r="X1045" s="12">
        <v>3.4200000000000017</v>
      </c>
      <c r="Y1045" s="10">
        <v>2018</v>
      </c>
    </row>
    <row r="1046" spans="1:25">
      <c r="A1046" s="1" t="s">
        <v>2554</v>
      </c>
      <c r="B1046" s="8">
        <v>43350</v>
      </c>
      <c r="C1046" s="11" t="s">
        <v>3356</v>
      </c>
      <c r="D1046" s="11" t="s">
        <v>3345</v>
      </c>
      <c r="E1046" s="5">
        <v>43441</v>
      </c>
      <c r="F1046" s="1" t="s">
        <v>162</v>
      </c>
      <c r="G1046" s="1" t="s">
        <v>2555</v>
      </c>
      <c r="H1046" s="1" t="s">
        <v>3900</v>
      </c>
      <c r="I1046" s="1" t="s">
        <v>3901</v>
      </c>
      <c r="J1046" s="1"/>
      <c r="K1046" s="1" t="s">
        <v>41</v>
      </c>
      <c r="L1046" s="1" t="s">
        <v>30</v>
      </c>
      <c r="M1046" s="1" t="s">
        <v>259</v>
      </c>
      <c r="N1046" s="1" t="s">
        <v>182</v>
      </c>
      <c r="O1046" s="1">
        <v>60610</v>
      </c>
      <c r="P1046" s="1" t="s">
        <v>90</v>
      </c>
      <c r="Q1046" s="1" t="s">
        <v>2558</v>
      </c>
      <c r="R1046" s="1" t="s">
        <v>46</v>
      </c>
      <c r="S1046" s="7">
        <v>58.463999999999999</v>
      </c>
      <c r="T1046" s="1">
        <v>6</v>
      </c>
      <c r="U1046" s="9">
        <v>58.24</v>
      </c>
      <c r="V1046" s="9">
        <v>350.78399999999999</v>
      </c>
      <c r="W1046" s="9">
        <v>349.44</v>
      </c>
      <c r="X1046" s="12">
        <v>1.3439999999999941</v>
      </c>
      <c r="Y1046" s="10">
        <v>2018</v>
      </c>
    </row>
    <row r="1047" spans="1:25">
      <c r="A1047" s="1" t="s">
        <v>2559</v>
      </c>
      <c r="B1047" s="8">
        <v>43444</v>
      </c>
      <c r="C1047" s="11" t="s">
        <v>3348</v>
      </c>
      <c r="D1047" s="11" t="s">
        <v>3349</v>
      </c>
      <c r="E1047" s="5" t="s">
        <v>2560</v>
      </c>
      <c r="F1047" s="1" t="s">
        <v>49</v>
      </c>
      <c r="G1047" s="1" t="s">
        <v>170</v>
      </c>
      <c r="H1047" s="1" t="s">
        <v>3392</v>
      </c>
      <c r="I1047" s="1" t="s">
        <v>3393</v>
      </c>
      <c r="J1047" s="1"/>
      <c r="K1047" s="1" t="s">
        <v>87</v>
      </c>
      <c r="L1047" s="1" t="s">
        <v>30</v>
      </c>
      <c r="M1047" s="1" t="s">
        <v>2561</v>
      </c>
      <c r="N1047" s="1" t="s">
        <v>182</v>
      </c>
      <c r="O1047" s="1">
        <v>61107</v>
      </c>
      <c r="P1047" s="1" t="s">
        <v>90</v>
      </c>
      <c r="Q1047" s="1" t="s">
        <v>2562</v>
      </c>
      <c r="R1047" s="1" t="s">
        <v>35</v>
      </c>
      <c r="S1047" s="7">
        <v>254.60400000000001</v>
      </c>
      <c r="T1047" s="1">
        <v>6</v>
      </c>
      <c r="U1047" s="9">
        <v>254.22</v>
      </c>
      <c r="V1047" s="9">
        <v>1527.624</v>
      </c>
      <c r="W1047" s="9">
        <v>1525.32</v>
      </c>
      <c r="X1047" s="12">
        <v>2.3040000000000873</v>
      </c>
      <c r="Y1047" s="10">
        <v>2018</v>
      </c>
    </row>
    <row r="1048" spans="1:25">
      <c r="A1048" s="1" t="s">
        <v>2563</v>
      </c>
      <c r="B1048" s="8">
        <v>42950</v>
      </c>
      <c r="C1048" s="11" t="s">
        <v>3344</v>
      </c>
      <c r="D1048" s="11" t="s">
        <v>3345</v>
      </c>
      <c r="E1048" s="5" t="s">
        <v>197</v>
      </c>
      <c r="F1048" s="1" t="s">
        <v>49</v>
      </c>
      <c r="G1048" s="1" t="s">
        <v>1607</v>
      </c>
      <c r="H1048" s="1" t="s">
        <v>3372</v>
      </c>
      <c r="I1048" s="1" t="s">
        <v>3721</v>
      </c>
      <c r="J1048" s="1"/>
      <c r="K1048" s="1" t="s">
        <v>29</v>
      </c>
      <c r="L1048" s="1" t="s">
        <v>30</v>
      </c>
      <c r="M1048" s="1" t="s">
        <v>1156</v>
      </c>
      <c r="N1048" s="1" t="s">
        <v>194</v>
      </c>
      <c r="O1048" s="1">
        <v>33142</v>
      </c>
      <c r="P1048" s="1" t="s">
        <v>33</v>
      </c>
      <c r="Q1048" s="1" t="s">
        <v>2037</v>
      </c>
      <c r="R1048" s="1" t="s">
        <v>64</v>
      </c>
      <c r="S1048" s="7">
        <v>1363.96</v>
      </c>
      <c r="T1048" s="1">
        <v>3</v>
      </c>
      <c r="U1048" s="9">
        <v>1363.84</v>
      </c>
      <c r="V1048" s="9">
        <v>4091.88</v>
      </c>
      <c r="W1048" s="9">
        <v>4091.5199999999995</v>
      </c>
      <c r="X1048" s="12">
        <v>0.36000000000058208</v>
      </c>
      <c r="Y1048" s="10">
        <v>2017</v>
      </c>
    </row>
    <row r="1049" spans="1:25">
      <c r="A1049" s="1" t="s">
        <v>2563</v>
      </c>
      <c r="B1049" s="8">
        <v>42950</v>
      </c>
      <c r="C1049" s="11" t="s">
        <v>3344</v>
      </c>
      <c r="D1049" s="11" t="s">
        <v>3345</v>
      </c>
      <c r="E1049" s="5" t="s">
        <v>197</v>
      </c>
      <c r="F1049" s="1" t="s">
        <v>49</v>
      </c>
      <c r="G1049" s="1" t="s">
        <v>1607</v>
      </c>
      <c r="H1049" s="1" t="s">
        <v>3372</v>
      </c>
      <c r="I1049" s="1" t="s">
        <v>3721</v>
      </c>
      <c r="J1049" s="1"/>
      <c r="K1049" s="1" t="s">
        <v>29</v>
      </c>
      <c r="L1049" s="1" t="s">
        <v>30</v>
      </c>
      <c r="M1049" s="1" t="s">
        <v>1156</v>
      </c>
      <c r="N1049" s="1" t="s">
        <v>194</v>
      </c>
      <c r="O1049" s="1">
        <v>33142</v>
      </c>
      <c r="P1049" s="1" t="s">
        <v>33</v>
      </c>
      <c r="Q1049" s="1" t="s">
        <v>388</v>
      </c>
      <c r="R1049" s="1" t="s">
        <v>35</v>
      </c>
      <c r="S1049" s="7">
        <v>102.36</v>
      </c>
      <c r="T1049" s="1">
        <v>3</v>
      </c>
      <c r="U1049" s="9">
        <v>101.47</v>
      </c>
      <c r="V1049" s="9">
        <v>307.08</v>
      </c>
      <c r="W1049" s="9">
        <v>304.40999999999997</v>
      </c>
      <c r="X1049" s="12">
        <v>2.6700000000000159</v>
      </c>
      <c r="Y1049" s="10">
        <v>2017</v>
      </c>
    </row>
    <row r="1050" spans="1:25">
      <c r="A1050" s="1" t="s">
        <v>2564</v>
      </c>
      <c r="B1050" s="8">
        <v>42151</v>
      </c>
      <c r="C1050" s="11" t="s">
        <v>3363</v>
      </c>
      <c r="D1050" s="11" t="s">
        <v>3360</v>
      </c>
      <c r="E1050" s="5">
        <v>42010</v>
      </c>
      <c r="F1050" s="1" t="s">
        <v>26</v>
      </c>
      <c r="G1050" s="1" t="s">
        <v>472</v>
      </c>
      <c r="H1050" s="1" t="s">
        <v>3404</v>
      </c>
      <c r="I1050" s="1" t="s">
        <v>3431</v>
      </c>
      <c r="J1050" s="1"/>
      <c r="K1050" s="1" t="s">
        <v>29</v>
      </c>
      <c r="L1050" s="1" t="s">
        <v>30</v>
      </c>
      <c r="M1050" s="1" t="s">
        <v>110</v>
      </c>
      <c r="N1050" s="1" t="s">
        <v>68</v>
      </c>
      <c r="O1050" s="1">
        <v>94109</v>
      </c>
      <c r="P1050" s="1" t="s">
        <v>44</v>
      </c>
      <c r="Q1050" s="1" t="s">
        <v>176</v>
      </c>
      <c r="R1050" s="1" t="s">
        <v>64</v>
      </c>
      <c r="S1050" s="7">
        <v>1113.5039999999999</v>
      </c>
      <c r="T1050" s="1">
        <v>9</v>
      </c>
      <c r="U1050" s="9">
        <v>1113.45</v>
      </c>
      <c r="V1050" s="9">
        <v>10021.536</v>
      </c>
      <c r="W1050" s="9">
        <v>10021.050000000001</v>
      </c>
      <c r="X1050" s="12">
        <v>0.48599999999896681</v>
      </c>
      <c r="Y1050" s="10">
        <v>2015</v>
      </c>
    </row>
    <row r="1051" spans="1:25">
      <c r="A1051" s="1" t="s">
        <v>2564</v>
      </c>
      <c r="B1051" s="8">
        <v>42151</v>
      </c>
      <c r="C1051" s="11" t="s">
        <v>3363</v>
      </c>
      <c r="D1051" s="11" t="s">
        <v>3360</v>
      </c>
      <c r="E1051" s="5">
        <v>42010</v>
      </c>
      <c r="F1051" s="1" t="s">
        <v>26</v>
      </c>
      <c r="G1051" s="1" t="s">
        <v>472</v>
      </c>
      <c r="H1051" s="1" t="s">
        <v>3404</v>
      </c>
      <c r="I1051" s="1" t="s">
        <v>3431</v>
      </c>
      <c r="J1051" s="1"/>
      <c r="K1051" s="1" t="s">
        <v>29</v>
      </c>
      <c r="L1051" s="1" t="s">
        <v>30</v>
      </c>
      <c r="M1051" s="1" t="s">
        <v>110</v>
      </c>
      <c r="N1051" s="1" t="s">
        <v>68</v>
      </c>
      <c r="O1051" s="1">
        <v>94109</v>
      </c>
      <c r="P1051" s="1" t="s">
        <v>44</v>
      </c>
      <c r="Q1051" s="1" t="s">
        <v>1877</v>
      </c>
      <c r="R1051" s="1" t="s">
        <v>64</v>
      </c>
      <c r="S1051" s="7">
        <v>99.99</v>
      </c>
      <c r="T1051" s="1">
        <v>9</v>
      </c>
      <c r="U1051" s="9">
        <v>99.38</v>
      </c>
      <c r="V1051" s="9">
        <v>899.91</v>
      </c>
      <c r="W1051" s="9">
        <v>894.42</v>
      </c>
      <c r="X1051" s="12">
        <v>5.4900000000000091</v>
      </c>
      <c r="Y1051" s="10">
        <v>2015</v>
      </c>
    </row>
    <row r="1052" spans="1:25">
      <c r="A1052" s="1" t="s">
        <v>2565</v>
      </c>
      <c r="B1052" s="8">
        <v>42436</v>
      </c>
      <c r="C1052" s="11" t="s">
        <v>3429</v>
      </c>
      <c r="D1052" s="11" t="s">
        <v>3382</v>
      </c>
      <c r="E1052" s="5">
        <v>42497</v>
      </c>
      <c r="F1052" s="1" t="s">
        <v>162</v>
      </c>
      <c r="G1052" s="1" t="s">
        <v>2566</v>
      </c>
      <c r="H1052" s="1" t="s">
        <v>3902</v>
      </c>
      <c r="I1052" s="1" t="s">
        <v>3903</v>
      </c>
      <c r="J1052" s="1"/>
      <c r="K1052" s="1" t="s">
        <v>41</v>
      </c>
      <c r="L1052" s="1" t="s">
        <v>30</v>
      </c>
      <c r="M1052" s="1" t="s">
        <v>126</v>
      </c>
      <c r="N1052" s="1" t="s">
        <v>127</v>
      </c>
      <c r="O1052" s="1">
        <v>19134</v>
      </c>
      <c r="P1052" s="1" t="s">
        <v>128</v>
      </c>
      <c r="Q1052" s="1" t="s">
        <v>2568</v>
      </c>
      <c r="R1052" s="1" t="s">
        <v>35</v>
      </c>
      <c r="S1052" s="7">
        <v>168.464</v>
      </c>
      <c r="T1052" s="1">
        <v>1</v>
      </c>
      <c r="U1052" s="9">
        <v>168.38</v>
      </c>
      <c r="V1052" s="9">
        <v>168.464</v>
      </c>
      <c r="W1052" s="9">
        <v>168.38</v>
      </c>
      <c r="X1052" s="12">
        <v>8.4000000000003183E-2</v>
      </c>
      <c r="Y1052" s="10">
        <v>2016</v>
      </c>
    </row>
    <row r="1053" spans="1:25">
      <c r="A1053" s="1" t="s">
        <v>2565</v>
      </c>
      <c r="B1053" s="8">
        <v>42436</v>
      </c>
      <c r="C1053" s="11" t="s">
        <v>3429</v>
      </c>
      <c r="D1053" s="11" t="s">
        <v>3382</v>
      </c>
      <c r="E1053" s="5">
        <v>42497</v>
      </c>
      <c r="F1053" s="1" t="s">
        <v>162</v>
      </c>
      <c r="G1053" s="1" t="s">
        <v>2566</v>
      </c>
      <c r="H1053" s="1" t="s">
        <v>3902</v>
      </c>
      <c r="I1053" s="1" t="s">
        <v>3903</v>
      </c>
      <c r="J1053" s="1"/>
      <c r="K1053" s="1" t="s">
        <v>41</v>
      </c>
      <c r="L1053" s="1" t="s">
        <v>30</v>
      </c>
      <c r="M1053" s="1" t="s">
        <v>126</v>
      </c>
      <c r="N1053" s="1" t="s">
        <v>127</v>
      </c>
      <c r="O1053" s="1">
        <v>19134</v>
      </c>
      <c r="P1053" s="1" t="s">
        <v>128</v>
      </c>
      <c r="Q1053" s="1" t="s">
        <v>2569</v>
      </c>
      <c r="R1053" s="1" t="s">
        <v>46</v>
      </c>
      <c r="S1053" s="7">
        <v>6.72</v>
      </c>
      <c r="T1053" s="1">
        <v>1</v>
      </c>
      <c r="U1053" s="9">
        <v>6.39</v>
      </c>
      <c r="V1053" s="9">
        <v>6.72</v>
      </c>
      <c r="W1053" s="9">
        <v>6.39</v>
      </c>
      <c r="X1053" s="12">
        <v>0.33000000000000007</v>
      </c>
      <c r="Y1053" s="10">
        <v>2016</v>
      </c>
    </row>
    <row r="1054" spans="1:25">
      <c r="A1054" s="1" t="s">
        <v>2565</v>
      </c>
      <c r="B1054" s="8">
        <v>42436</v>
      </c>
      <c r="C1054" s="11" t="s">
        <v>3429</v>
      </c>
      <c r="D1054" s="11" t="s">
        <v>3382</v>
      </c>
      <c r="E1054" s="5">
        <v>42497</v>
      </c>
      <c r="F1054" s="1" t="s">
        <v>162</v>
      </c>
      <c r="G1054" s="1" t="s">
        <v>2566</v>
      </c>
      <c r="H1054" s="1" t="s">
        <v>3902</v>
      </c>
      <c r="I1054" s="1" t="s">
        <v>3903</v>
      </c>
      <c r="J1054" s="1"/>
      <c r="K1054" s="1" t="s">
        <v>41</v>
      </c>
      <c r="L1054" s="1" t="s">
        <v>30</v>
      </c>
      <c r="M1054" s="1" t="s">
        <v>126</v>
      </c>
      <c r="N1054" s="1" t="s">
        <v>127</v>
      </c>
      <c r="O1054" s="1">
        <v>19134</v>
      </c>
      <c r="P1054" s="1" t="s">
        <v>128</v>
      </c>
      <c r="Q1054" s="1" t="s">
        <v>2570</v>
      </c>
      <c r="R1054" s="1" t="s">
        <v>35</v>
      </c>
      <c r="S1054" s="7">
        <v>282.88799999999998</v>
      </c>
      <c r="T1054" s="1">
        <v>1</v>
      </c>
      <c r="U1054" s="9">
        <v>282.12</v>
      </c>
      <c r="V1054" s="9">
        <v>282.88799999999998</v>
      </c>
      <c r="W1054" s="9">
        <v>282.12</v>
      </c>
      <c r="X1054" s="12">
        <v>0.76799999999997226</v>
      </c>
      <c r="Y1054" s="10">
        <v>2016</v>
      </c>
    </row>
    <row r="1055" spans="1:25">
      <c r="A1055" s="1" t="s">
        <v>2571</v>
      </c>
      <c r="B1055" s="8">
        <v>42464</v>
      </c>
      <c r="C1055" s="11" t="s">
        <v>3359</v>
      </c>
      <c r="D1055" s="11" t="s">
        <v>3360</v>
      </c>
      <c r="E1055" s="5">
        <v>42586</v>
      </c>
      <c r="F1055" s="1" t="s">
        <v>49</v>
      </c>
      <c r="G1055" s="1" t="s">
        <v>2572</v>
      </c>
      <c r="H1055" s="1" t="s">
        <v>3904</v>
      </c>
      <c r="I1055" s="1" t="s">
        <v>3801</v>
      </c>
      <c r="J1055" s="1"/>
      <c r="K1055" s="1" t="s">
        <v>87</v>
      </c>
      <c r="L1055" s="1" t="s">
        <v>30</v>
      </c>
      <c r="M1055" s="1" t="s">
        <v>233</v>
      </c>
      <c r="N1055" s="1" t="s">
        <v>234</v>
      </c>
      <c r="O1055" s="1">
        <v>10009</v>
      </c>
      <c r="P1055" s="1" t="s">
        <v>128</v>
      </c>
      <c r="Q1055" s="1" t="s">
        <v>2574</v>
      </c>
      <c r="R1055" s="1" t="s">
        <v>46</v>
      </c>
      <c r="S1055" s="7">
        <v>11.16</v>
      </c>
      <c r="T1055" s="1">
        <v>1</v>
      </c>
      <c r="U1055" s="9">
        <v>10.72</v>
      </c>
      <c r="V1055" s="9">
        <v>11.16</v>
      </c>
      <c r="W1055" s="9">
        <v>10.72</v>
      </c>
      <c r="X1055" s="12">
        <v>0.4399999999999995</v>
      </c>
      <c r="Y1055" s="10">
        <v>2016</v>
      </c>
    </row>
    <row r="1056" spans="1:25">
      <c r="A1056" s="1" t="s">
        <v>2571</v>
      </c>
      <c r="B1056" s="8">
        <v>42464</v>
      </c>
      <c r="C1056" s="11" t="s">
        <v>3359</v>
      </c>
      <c r="D1056" s="11" t="s">
        <v>3360</v>
      </c>
      <c r="E1056" s="5">
        <v>42586</v>
      </c>
      <c r="F1056" s="1" t="s">
        <v>49</v>
      </c>
      <c r="G1056" s="1" t="s">
        <v>2572</v>
      </c>
      <c r="H1056" s="1" t="s">
        <v>3904</v>
      </c>
      <c r="I1056" s="1" t="s">
        <v>3801</v>
      </c>
      <c r="J1056" s="1"/>
      <c r="K1056" s="1" t="s">
        <v>87</v>
      </c>
      <c r="L1056" s="1" t="s">
        <v>30</v>
      </c>
      <c r="M1056" s="1" t="s">
        <v>233</v>
      </c>
      <c r="N1056" s="1" t="s">
        <v>234</v>
      </c>
      <c r="O1056" s="1">
        <v>10009</v>
      </c>
      <c r="P1056" s="1" t="s">
        <v>128</v>
      </c>
      <c r="Q1056" s="1" t="s">
        <v>2575</v>
      </c>
      <c r="R1056" s="1" t="s">
        <v>35</v>
      </c>
      <c r="S1056" s="7">
        <v>108.4</v>
      </c>
      <c r="T1056" s="1">
        <v>1</v>
      </c>
      <c r="U1056" s="9">
        <v>107.97</v>
      </c>
      <c r="V1056" s="9">
        <v>108.4</v>
      </c>
      <c r="W1056" s="9">
        <v>107.97</v>
      </c>
      <c r="X1056" s="12">
        <v>0.43000000000000682</v>
      </c>
      <c r="Y1056" s="10">
        <v>2016</v>
      </c>
    </row>
    <row r="1057" spans="1:25">
      <c r="A1057" s="1" t="s">
        <v>2571</v>
      </c>
      <c r="B1057" s="8">
        <v>42464</v>
      </c>
      <c r="C1057" s="11" t="s">
        <v>3359</v>
      </c>
      <c r="D1057" s="11" t="s">
        <v>3360</v>
      </c>
      <c r="E1057" s="5">
        <v>42586</v>
      </c>
      <c r="F1057" s="1" t="s">
        <v>49</v>
      </c>
      <c r="G1057" s="1" t="s">
        <v>2572</v>
      </c>
      <c r="H1057" s="1" t="s">
        <v>3904</v>
      </c>
      <c r="I1057" s="1" t="s">
        <v>3801</v>
      </c>
      <c r="J1057" s="1"/>
      <c r="K1057" s="1" t="s">
        <v>87</v>
      </c>
      <c r="L1057" s="1" t="s">
        <v>30</v>
      </c>
      <c r="M1057" s="1" t="s">
        <v>233</v>
      </c>
      <c r="N1057" s="1" t="s">
        <v>234</v>
      </c>
      <c r="O1057" s="1">
        <v>10009</v>
      </c>
      <c r="P1057" s="1" t="s">
        <v>128</v>
      </c>
      <c r="Q1057" s="1" t="s">
        <v>513</v>
      </c>
      <c r="R1057" s="1" t="s">
        <v>46</v>
      </c>
      <c r="S1057" s="7">
        <v>82.343999999999994</v>
      </c>
      <c r="T1057" s="1">
        <v>1</v>
      </c>
      <c r="U1057" s="9">
        <v>82.25</v>
      </c>
      <c r="V1057" s="9">
        <v>82.343999999999994</v>
      </c>
      <c r="W1057" s="9">
        <v>82.25</v>
      </c>
      <c r="X1057" s="12">
        <v>9.3999999999994088E-2</v>
      </c>
      <c r="Y1057" s="10">
        <v>2016</v>
      </c>
    </row>
    <row r="1058" spans="1:25">
      <c r="A1058" s="1" t="s">
        <v>2571</v>
      </c>
      <c r="B1058" s="8">
        <v>42464</v>
      </c>
      <c r="C1058" s="11" t="s">
        <v>3359</v>
      </c>
      <c r="D1058" s="11" t="s">
        <v>3360</v>
      </c>
      <c r="E1058" s="5">
        <v>42586</v>
      </c>
      <c r="F1058" s="1" t="s">
        <v>49</v>
      </c>
      <c r="G1058" s="1" t="s">
        <v>2572</v>
      </c>
      <c r="H1058" s="1" t="s">
        <v>3904</v>
      </c>
      <c r="I1058" s="1" t="s">
        <v>3801</v>
      </c>
      <c r="J1058" s="1"/>
      <c r="K1058" s="1" t="s">
        <v>87</v>
      </c>
      <c r="L1058" s="1" t="s">
        <v>30</v>
      </c>
      <c r="M1058" s="1" t="s">
        <v>233</v>
      </c>
      <c r="N1058" s="1" t="s">
        <v>234</v>
      </c>
      <c r="O1058" s="1">
        <v>10009</v>
      </c>
      <c r="P1058" s="1" t="s">
        <v>128</v>
      </c>
      <c r="Q1058" s="1" t="s">
        <v>2576</v>
      </c>
      <c r="R1058" s="1" t="s">
        <v>46</v>
      </c>
      <c r="S1058" s="7">
        <v>9.0879999999999992</v>
      </c>
      <c r="T1058" s="1">
        <v>1</v>
      </c>
      <c r="U1058" s="9">
        <v>8.58</v>
      </c>
      <c r="V1058" s="9">
        <v>9.0879999999999992</v>
      </c>
      <c r="W1058" s="9">
        <v>8.58</v>
      </c>
      <c r="X1058" s="12">
        <v>0.50799999999999912</v>
      </c>
      <c r="Y1058" s="10">
        <v>2016</v>
      </c>
    </row>
    <row r="1059" spans="1:25">
      <c r="A1059" s="1" t="s">
        <v>2577</v>
      </c>
      <c r="B1059" s="8">
        <v>43385</v>
      </c>
      <c r="C1059" s="11" t="s">
        <v>3387</v>
      </c>
      <c r="D1059" s="11" t="s">
        <v>3349</v>
      </c>
      <c r="E1059" s="5" t="s">
        <v>2578</v>
      </c>
      <c r="F1059" s="1" t="s">
        <v>49</v>
      </c>
      <c r="G1059" s="1" t="s">
        <v>921</v>
      </c>
      <c r="H1059" s="1" t="s">
        <v>3575</v>
      </c>
      <c r="I1059" s="1" t="s">
        <v>3576</v>
      </c>
      <c r="J1059" s="1"/>
      <c r="K1059" s="1" t="s">
        <v>41</v>
      </c>
      <c r="L1059" s="1" t="s">
        <v>30</v>
      </c>
      <c r="M1059" s="1" t="s">
        <v>778</v>
      </c>
      <c r="N1059" s="1" t="s">
        <v>68</v>
      </c>
      <c r="O1059" s="1">
        <v>92037</v>
      </c>
      <c r="P1059" s="1" t="s">
        <v>44</v>
      </c>
      <c r="Q1059" s="1" t="s">
        <v>2579</v>
      </c>
      <c r="R1059" s="1" t="s">
        <v>46</v>
      </c>
      <c r="S1059" s="7">
        <v>19.936</v>
      </c>
      <c r="T1059" s="1">
        <v>9</v>
      </c>
      <c r="U1059" s="9">
        <v>19.71</v>
      </c>
      <c r="V1059" s="9">
        <v>179.42400000000001</v>
      </c>
      <c r="W1059" s="9">
        <v>177.39000000000001</v>
      </c>
      <c r="X1059" s="12">
        <v>2.0339999999999918</v>
      </c>
      <c r="Y1059" s="10">
        <v>2018</v>
      </c>
    </row>
    <row r="1060" spans="1:25">
      <c r="A1060" s="1" t="s">
        <v>2577</v>
      </c>
      <c r="B1060" s="8">
        <v>43385</v>
      </c>
      <c r="C1060" s="11" t="s">
        <v>3387</v>
      </c>
      <c r="D1060" s="11" t="s">
        <v>3349</v>
      </c>
      <c r="E1060" s="5" t="s">
        <v>2578</v>
      </c>
      <c r="F1060" s="1" t="s">
        <v>49</v>
      </c>
      <c r="G1060" s="1" t="s">
        <v>921</v>
      </c>
      <c r="H1060" s="1" t="s">
        <v>3575</v>
      </c>
      <c r="I1060" s="1" t="s">
        <v>3576</v>
      </c>
      <c r="J1060" s="1"/>
      <c r="K1060" s="1" t="s">
        <v>41</v>
      </c>
      <c r="L1060" s="1" t="s">
        <v>30</v>
      </c>
      <c r="M1060" s="1" t="s">
        <v>778</v>
      </c>
      <c r="N1060" s="1" t="s">
        <v>68</v>
      </c>
      <c r="O1060" s="1">
        <v>92037</v>
      </c>
      <c r="P1060" s="1" t="s">
        <v>44</v>
      </c>
      <c r="Q1060" s="1" t="s">
        <v>2580</v>
      </c>
      <c r="R1060" s="1" t="s">
        <v>46</v>
      </c>
      <c r="S1060" s="7">
        <v>65.567999999999998</v>
      </c>
      <c r="T1060" s="1">
        <v>9</v>
      </c>
      <c r="U1060" s="9">
        <v>65.56</v>
      </c>
      <c r="V1060" s="9">
        <v>590.11199999999997</v>
      </c>
      <c r="W1060" s="9">
        <v>590.04</v>
      </c>
      <c r="X1060" s="12">
        <v>7.2000000000002728E-2</v>
      </c>
      <c r="Y1060" s="10">
        <v>2018</v>
      </c>
    </row>
    <row r="1061" spans="1:25">
      <c r="A1061" s="1" t="s">
        <v>2581</v>
      </c>
      <c r="B1061" s="8">
        <v>43063</v>
      </c>
      <c r="C1061" s="11" t="s">
        <v>3353</v>
      </c>
      <c r="D1061" s="11" t="s">
        <v>3349</v>
      </c>
      <c r="E1061" s="5">
        <v>42747</v>
      </c>
      <c r="F1061" s="1" t="s">
        <v>49</v>
      </c>
      <c r="G1061" s="1" t="s">
        <v>2582</v>
      </c>
      <c r="H1061" s="1" t="s">
        <v>3905</v>
      </c>
      <c r="I1061" s="1" t="s">
        <v>3906</v>
      </c>
      <c r="J1061" s="1"/>
      <c r="K1061" s="1" t="s">
        <v>87</v>
      </c>
      <c r="L1061" s="1" t="s">
        <v>30</v>
      </c>
      <c r="M1061" s="1" t="s">
        <v>126</v>
      </c>
      <c r="N1061" s="1" t="s">
        <v>127</v>
      </c>
      <c r="O1061" s="1">
        <v>19143</v>
      </c>
      <c r="P1061" s="1" t="s">
        <v>128</v>
      </c>
      <c r="Q1061" s="1" t="s">
        <v>2584</v>
      </c>
      <c r="R1061" s="1" t="s">
        <v>46</v>
      </c>
      <c r="S1061" s="7">
        <v>4.4160000000000004</v>
      </c>
      <c r="T1061" s="1">
        <v>1</v>
      </c>
      <c r="U1061" s="9">
        <v>3.72</v>
      </c>
      <c r="V1061" s="9">
        <v>4.4160000000000004</v>
      </c>
      <c r="W1061" s="9">
        <v>3.72</v>
      </c>
      <c r="X1061" s="12">
        <v>0.69600000000000017</v>
      </c>
      <c r="Y1061" s="10">
        <v>2017</v>
      </c>
    </row>
    <row r="1062" spans="1:25">
      <c r="A1062" s="1" t="s">
        <v>2585</v>
      </c>
      <c r="B1062" s="8">
        <v>42452</v>
      </c>
      <c r="C1062" s="11" t="s">
        <v>3429</v>
      </c>
      <c r="D1062" s="11" t="s">
        <v>3382</v>
      </c>
      <c r="E1062" s="5" t="s">
        <v>2586</v>
      </c>
      <c r="F1062" s="1" t="s">
        <v>49</v>
      </c>
      <c r="G1062" s="1" t="s">
        <v>1046</v>
      </c>
      <c r="H1062" s="1" t="s">
        <v>3602</v>
      </c>
      <c r="I1062" s="1" t="s">
        <v>3603</v>
      </c>
      <c r="J1062" s="1"/>
      <c r="K1062" s="1" t="s">
        <v>29</v>
      </c>
      <c r="L1062" s="1" t="s">
        <v>30</v>
      </c>
      <c r="M1062" s="1" t="s">
        <v>172</v>
      </c>
      <c r="N1062" s="1" t="s">
        <v>89</v>
      </c>
      <c r="O1062" s="1">
        <v>77095</v>
      </c>
      <c r="P1062" s="1" t="s">
        <v>90</v>
      </c>
      <c r="Q1062" s="1" t="s">
        <v>1256</v>
      </c>
      <c r="R1062" s="1" t="s">
        <v>35</v>
      </c>
      <c r="S1062" s="7">
        <v>107.77200000000001</v>
      </c>
      <c r="T1062" s="1">
        <v>7</v>
      </c>
      <c r="U1062" s="9">
        <v>107.11</v>
      </c>
      <c r="V1062" s="9">
        <v>754.404</v>
      </c>
      <c r="W1062" s="9">
        <v>749.77</v>
      </c>
      <c r="X1062" s="12">
        <v>4.6340000000000146</v>
      </c>
      <c r="Y1062" s="10">
        <v>2016</v>
      </c>
    </row>
    <row r="1063" spans="1:25">
      <c r="A1063" s="1" t="s">
        <v>2587</v>
      </c>
      <c r="B1063" s="8">
        <v>42476</v>
      </c>
      <c r="C1063" s="11" t="s">
        <v>3359</v>
      </c>
      <c r="D1063" s="11" t="s">
        <v>3360</v>
      </c>
      <c r="E1063" s="5" t="s">
        <v>2588</v>
      </c>
      <c r="F1063" s="1" t="s">
        <v>49</v>
      </c>
      <c r="G1063" s="1" t="s">
        <v>2589</v>
      </c>
      <c r="H1063" s="1" t="s">
        <v>3907</v>
      </c>
      <c r="I1063" s="1" t="s">
        <v>3908</v>
      </c>
      <c r="J1063" s="1"/>
      <c r="K1063" s="1" t="s">
        <v>41</v>
      </c>
      <c r="L1063" s="1" t="s">
        <v>30</v>
      </c>
      <c r="M1063" s="1" t="s">
        <v>2333</v>
      </c>
      <c r="N1063" s="1" t="s">
        <v>421</v>
      </c>
      <c r="O1063" s="1">
        <v>43615</v>
      </c>
      <c r="P1063" s="1" t="s">
        <v>128</v>
      </c>
      <c r="Q1063" s="1" t="s">
        <v>1744</v>
      </c>
      <c r="R1063" s="1" t="s">
        <v>46</v>
      </c>
      <c r="S1063" s="7">
        <v>45.216000000000001</v>
      </c>
      <c r="T1063" s="1">
        <v>4</v>
      </c>
      <c r="U1063" s="9">
        <v>44.86</v>
      </c>
      <c r="V1063" s="9">
        <v>180.864</v>
      </c>
      <c r="W1063" s="9">
        <v>179.44</v>
      </c>
      <c r="X1063" s="12">
        <v>1.4240000000000066</v>
      </c>
      <c r="Y1063" s="10">
        <v>2016</v>
      </c>
    </row>
    <row r="1064" spans="1:25">
      <c r="A1064" s="1" t="s">
        <v>2587</v>
      </c>
      <c r="B1064" s="8">
        <v>42476</v>
      </c>
      <c r="C1064" s="11" t="s">
        <v>3359</v>
      </c>
      <c r="D1064" s="11" t="s">
        <v>3360</v>
      </c>
      <c r="E1064" s="5" t="s">
        <v>2588</v>
      </c>
      <c r="F1064" s="1" t="s">
        <v>49</v>
      </c>
      <c r="G1064" s="1" t="s">
        <v>2589</v>
      </c>
      <c r="H1064" s="1" t="s">
        <v>3907</v>
      </c>
      <c r="I1064" s="1" t="s">
        <v>3908</v>
      </c>
      <c r="J1064" s="1"/>
      <c r="K1064" s="1" t="s">
        <v>41</v>
      </c>
      <c r="L1064" s="1" t="s">
        <v>30</v>
      </c>
      <c r="M1064" s="1" t="s">
        <v>2333</v>
      </c>
      <c r="N1064" s="1" t="s">
        <v>421</v>
      </c>
      <c r="O1064" s="1">
        <v>43615</v>
      </c>
      <c r="P1064" s="1" t="s">
        <v>128</v>
      </c>
      <c r="Q1064" s="1" t="s">
        <v>2591</v>
      </c>
      <c r="R1064" s="1" t="s">
        <v>46</v>
      </c>
      <c r="S1064" s="7">
        <v>10.416</v>
      </c>
      <c r="T1064" s="1">
        <v>4</v>
      </c>
      <c r="U1064" s="9">
        <v>10.07</v>
      </c>
      <c r="V1064" s="9">
        <v>41.664000000000001</v>
      </c>
      <c r="W1064" s="9">
        <v>40.28</v>
      </c>
      <c r="X1064" s="12">
        <v>1.3840000000000003</v>
      </c>
      <c r="Y1064" s="10">
        <v>2016</v>
      </c>
    </row>
    <row r="1065" spans="1:25">
      <c r="A1065" s="1" t="s">
        <v>2587</v>
      </c>
      <c r="B1065" s="8">
        <v>42476</v>
      </c>
      <c r="C1065" s="11" t="s">
        <v>3359</v>
      </c>
      <c r="D1065" s="11" t="s">
        <v>3360</v>
      </c>
      <c r="E1065" s="5" t="s">
        <v>2588</v>
      </c>
      <c r="F1065" s="1" t="s">
        <v>49</v>
      </c>
      <c r="G1065" s="1" t="s">
        <v>2589</v>
      </c>
      <c r="H1065" s="1" t="s">
        <v>3907</v>
      </c>
      <c r="I1065" s="1" t="s">
        <v>3908</v>
      </c>
      <c r="J1065" s="1"/>
      <c r="K1065" s="1" t="s">
        <v>41</v>
      </c>
      <c r="L1065" s="1" t="s">
        <v>30</v>
      </c>
      <c r="M1065" s="1" t="s">
        <v>2333</v>
      </c>
      <c r="N1065" s="1" t="s">
        <v>421</v>
      </c>
      <c r="O1065" s="1">
        <v>43615</v>
      </c>
      <c r="P1065" s="1" t="s">
        <v>128</v>
      </c>
      <c r="Q1065" s="1" t="s">
        <v>1112</v>
      </c>
      <c r="R1065" s="1" t="s">
        <v>46</v>
      </c>
      <c r="S1065" s="7">
        <v>7.8719999999999999</v>
      </c>
      <c r="T1065" s="1">
        <v>4</v>
      </c>
      <c r="U1065" s="9">
        <v>6.89</v>
      </c>
      <c r="V1065" s="9">
        <v>31.488</v>
      </c>
      <c r="W1065" s="9">
        <v>27.56</v>
      </c>
      <c r="X1065" s="12">
        <v>3.9280000000000008</v>
      </c>
      <c r="Y1065" s="10">
        <v>2016</v>
      </c>
    </row>
    <row r="1066" spans="1:25">
      <c r="A1066" s="1" t="s">
        <v>2587</v>
      </c>
      <c r="B1066" s="8">
        <v>42476</v>
      </c>
      <c r="C1066" s="11" t="s">
        <v>3359</v>
      </c>
      <c r="D1066" s="11" t="s">
        <v>3360</v>
      </c>
      <c r="E1066" s="5" t="s">
        <v>2588</v>
      </c>
      <c r="F1066" s="1" t="s">
        <v>49</v>
      </c>
      <c r="G1066" s="1" t="s">
        <v>2589</v>
      </c>
      <c r="H1066" s="1" t="s">
        <v>3907</v>
      </c>
      <c r="I1066" s="1" t="s">
        <v>3908</v>
      </c>
      <c r="J1066" s="1"/>
      <c r="K1066" s="1" t="s">
        <v>41</v>
      </c>
      <c r="L1066" s="1" t="s">
        <v>30</v>
      </c>
      <c r="M1066" s="1" t="s">
        <v>2333</v>
      </c>
      <c r="N1066" s="1" t="s">
        <v>421</v>
      </c>
      <c r="O1066" s="1">
        <v>43615</v>
      </c>
      <c r="P1066" s="1" t="s">
        <v>128</v>
      </c>
      <c r="Q1066" s="1" t="s">
        <v>2592</v>
      </c>
      <c r="R1066" s="1" t="s">
        <v>64</v>
      </c>
      <c r="S1066" s="7">
        <v>118.782</v>
      </c>
      <c r="T1066" s="1">
        <v>4</v>
      </c>
      <c r="U1066" s="9">
        <v>117.94</v>
      </c>
      <c r="V1066" s="9">
        <v>475.12799999999999</v>
      </c>
      <c r="W1066" s="9">
        <v>471.76</v>
      </c>
      <c r="X1066" s="12">
        <v>3.367999999999995</v>
      </c>
      <c r="Y1066" s="10">
        <v>2016</v>
      </c>
    </row>
    <row r="1067" spans="1:25">
      <c r="A1067" s="1" t="s">
        <v>2587</v>
      </c>
      <c r="B1067" s="8">
        <v>42476</v>
      </c>
      <c r="C1067" s="11" t="s">
        <v>3359</v>
      </c>
      <c r="D1067" s="11" t="s">
        <v>3360</v>
      </c>
      <c r="E1067" s="5" t="s">
        <v>2588</v>
      </c>
      <c r="F1067" s="1" t="s">
        <v>49</v>
      </c>
      <c r="G1067" s="1" t="s">
        <v>2589</v>
      </c>
      <c r="H1067" s="1" t="s">
        <v>3907</v>
      </c>
      <c r="I1067" s="1" t="s">
        <v>3908</v>
      </c>
      <c r="J1067" s="1"/>
      <c r="K1067" s="1" t="s">
        <v>41</v>
      </c>
      <c r="L1067" s="1" t="s">
        <v>30</v>
      </c>
      <c r="M1067" s="1" t="s">
        <v>2333</v>
      </c>
      <c r="N1067" s="1" t="s">
        <v>421</v>
      </c>
      <c r="O1067" s="1">
        <v>43615</v>
      </c>
      <c r="P1067" s="1" t="s">
        <v>128</v>
      </c>
      <c r="Q1067" s="1" t="s">
        <v>2593</v>
      </c>
      <c r="R1067" s="1" t="s">
        <v>46</v>
      </c>
      <c r="S1067" s="7">
        <v>1.448</v>
      </c>
      <c r="T1067" s="1">
        <v>4</v>
      </c>
      <c r="U1067" s="9">
        <v>1.02</v>
      </c>
      <c r="V1067" s="9">
        <v>5.7919999999999998</v>
      </c>
      <c r="W1067" s="9">
        <v>4.08</v>
      </c>
      <c r="X1067" s="12">
        <v>1.7119999999999997</v>
      </c>
      <c r="Y1067" s="10">
        <v>2016</v>
      </c>
    </row>
    <row r="1068" spans="1:25">
      <c r="A1068" s="1" t="s">
        <v>2587</v>
      </c>
      <c r="B1068" s="8">
        <v>42476</v>
      </c>
      <c r="C1068" s="11" t="s">
        <v>3359</v>
      </c>
      <c r="D1068" s="11" t="s">
        <v>3360</v>
      </c>
      <c r="E1068" s="5" t="s">
        <v>2588</v>
      </c>
      <c r="F1068" s="1" t="s">
        <v>49</v>
      </c>
      <c r="G1068" s="1" t="s">
        <v>2589</v>
      </c>
      <c r="H1068" s="1" t="s">
        <v>3907</v>
      </c>
      <c r="I1068" s="1" t="s">
        <v>3908</v>
      </c>
      <c r="J1068" s="1"/>
      <c r="K1068" s="1" t="s">
        <v>41</v>
      </c>
      <c r="L1068" s="1" t="s">
        <v>30</v>
      </c>
      <c r="M1068" s="1" t="s">
        <v>2333</v>
      </c>
      <c r="N1068" s="1" t="s">
        <v>421</v>
      </c>
      <c r="O1068" s="1">
        <v>43615</v>
      </c>
      <c r="P1068" s="1" t="s">
        <v>128</v>
      </c>
      <c r="Q1068" s="1" t="s">
        <v>2594</v>
      </c>
      <c r="R1068" s="1" t="s">
        <v>46</v>
      </c>
      <c r="S1068" s="7">
        <v>55.47</v>
      </c>
      <c r="T1068" s="1">
        <v>4</v>
      </c>
      <c r="U1068" s="9">
        <v>55.24</v>
      </c>
      <c r="V1068" s="9">
        <v>221.88</v>
      </c>
      <c r="W1068" s="9">
        <v>220.96</v>
      </c>
      <c r="X1068" s="12">
        <v>0.91999999999998749</v>
      </c>
      <c r="Y1068" s="10">
        <v>2016</v>
      </c>
    </row>
    <row r="1069" spans="1:25">
      <c r="A1069" s="1" t="s">
        <v>2595</v>
      </c>
      <c r="B1069" s="8">
        <v>42745</v>
      </c>
      <c r="C1069" s="11" t="s">
        <v>3381</v>
      </c>
      <c r="D1069" s="11" t="s">
        <v>3382</v>
      </c>
      <c r="E1069" s="5">
        <v>42776</v>
      </c>
      <c r="F1069" s="1" t="s">
        <v>162</v>
      </c>
      <c r="G1069" s="1" t="s">
        <v>2596</v>
      </c>
      <c r="H1069" s="1" t="s">
        <v>3687</v>
      </c>
      <c r="I1069" s="1" t="s">
        <v>3909</v>
      </c>
      <c r="J1069" s="1"/>
      <c r="K1069" s="1" t="s">
        <v>29</v>
      </c>
      <c r="L1069" s="1" t="s">
        <v>30</v>
      </c>
      <c r="M1069" s="1" t="s">
        <v>110</v>
      </c>
      <c r="N1069" s="1" t="s">
        <v>68</v>
      </c>
      <c r="O1069" s="1">
        <v>94122</v>
      </c>
      <c r="P1069" s="1" t="s">
        <v>44</v>
      </c>
      <c r="Q1069" s="1" t="s">
        <v>260</v>
      </c>
      <c r="R1069" s="1" t="s">
        <v>35</v>
      </c>
      <c r="S1069" s="7">
        <v>194.84800000000001</v>
      </c>
      <c r="T1069" s="1">
        <v>9</v>
      </c>
      <c r="U1069" s="9">
        <v>194.79</v>
      </c>
      <c r="V1069" s="9">
        <v>1753.6320000000001</v>
      </c>
      <c r="W1069" s="9">
        <v>1753.11</v>
      </c>
      <c r="X1069" s="12">
        <v>0.52200000000016189</v>
      </c>
      <c r="Y1069" s="10">
        <v>2017</v>
      </c>
    </row>
    <row r="1070" spans="1:25">
      <c r="A1070" s="1" t="s">
        <v>2598</v>
      </c>
      <c r="B1070" s="8">
        <v>43371</v>
      </c>
      <c r="C1070" s="11" t="s">
        <v>3356</v>
      </c>
      <c r="D1070" s="11" t="s">
        <v>3345</v>
      </c>
      <c r="E1070" s="5" t="s">
        <v>2599</v>
      </c>
      <c r="F1070" s="1" t="s">
        <v>26</v>
      </c>
      <c r="G1070" s="1" t="s">
        <v>2600</v>
      </c>
      <c r="H1070" s="1" t="s">
        <v>3718</v>
      </c>
      <c r="I1070" s="1" t="s">
        <v>3910</v>
      </c>
      <c r="J1070" s="1"/>
      <c r="K1070" s="1" t="s">
        <v>29</v>
      </c>
      <c r="L1070" s="1" t="s">
        <v>30</v>
      </c>
      <c r="M1070" s="1" t="s">
        <v>2602</v>
      </c>
      <c r="N1070" s="1" t="s">
        <v>89</v>
      </c>
      <c r="O1070" s="1">
        <v>78521</v>
      </c>
      <c r="P1070" s="1" t="s">
        <v>90</v>
      </c>
      <c r="Q1070" s="1" t="s">
        <v>1521</v>
      </c>
      <c r="R1070" s="1" t="s">
        <v>46</v>
      </c>
      <c r="S1070" s="7">
        <v>1.744</v>
      </c>
      <c r="T1070" s="1">
        <v>7</v>
      </c>
      <c r="U1070" s="9">
        <v>0.85</v>
      </c>
      <c r="V1070" s="9">
        <v>12.208</v>
      </c>
      <c r="W1070" s="9">
        <v>5.95</v>
      </c>
      <c r="X1070" s="12">
        <v>6.258</v>
      </c>
      <c r="Y1070" s="10">
        <v>2018</v>
      </c>
    </row>
    <row r="1071" spans="1:25">
      <c r="A1071" s="1" t="s">
        <v>2603</v>
      </c>
      <c r="B1071" s="8">
        <v>42576</v>
      </c>
      <c r="C1071" s="11" t="s">
        <v>3376</v>
      </c>
      <c r="D1071" s="11" t="s">
        <v>3345</v>
      </c>
      <c r="E1071" s="5" t="s">
        <v>2604</v>
      </c>
      <c r="F1071" s="1" t="s">
        <v>49</v>
      </c>
      <c r="G1071" s="1" t="s">
        <v>1230</v>
      </c>
      <c r="H1071" s="1" t="s">
        <v>3646</v>
      </c>
      <c r="I1071" s="1" t="s">
        <v>3647</v>
      </c>
      <c r="J1071" s="1"/>
      <c r="K1071" s="1" t="s">
        <v>87</v>
      </c>
      <c r="L1071" s="1" t="s">
        <v>30</v>
      </c>
      <c r="M1071" s="1" t="s">
        <v>126</v>
      </c>
      <c r="N1071" s="1" t="s">
        <v>127</v>
      </c>
      <c r="O1071" s="1">
        <v>19143</v>
      </c>
      <c r="P1071" s="1" t="s">
        <v>128</v>
      </c>
      <c r="Q1071" s="1" t="s">
        <v>975</v>
      </c>
      <c r="R1071" s="1" t="s">
        <v>46</v>
      </c>
      <c r="S1071" s="7">
        <v>25.175999999999998</v>
      </c>
      <c r="T1071" s="1">
        <v>1</v>
      </c>
      <c r="U1071" s="9">
        <v>24.35</v>
      </c>
      <c r="V1071" s="9">
        <v>25.175999999999998</v>
      </c>
      <c r="W1071" s="9">
        <v>24.35</v>
      </c>
      <c r="X1071" s="12">
        <v>0.82599999999999696</v>
      </c>
      <c r="Y1071" s="10">
        <v>2016</v>
      </c>
    </row>
    <row r="1072" spans="1:25">
      <c r="A1072" s="1" t="s">
        <v>2605</v>
      </c>
      <c r="B1072" s="8">
        <v>42694</v>
      </c>
      <c r="C1072" s="11" t="s">
        <v>3353</v>
      </c>
      <c r="D1072" s="11" t="s">
        <v>3349</v>
      </c>
      <c r="E1072" s="5" t="s">
        <v>84</v>
      </c>
      <c r="F1072" s="1" t="s">
        <v>49</v>
      </c>
      <c r="G1072" s="1" t="s">
        <v>2606</v>
      </c>
      <c r="H1072" s="1" t="s">
        <v>3911</v>
      </c>
      <c r="I1072" s="1" t="s">
        <v>3912</v>
      </c>
      <c r="J1072" s="1"/>
      <c r="K1072" s="1" t="s">
        <v>87</v>
      </c>
      <c r="L1072" s="1" t="s">
        <v>30</v>
      </c>
      <c r="M1072" s="1" t="s">
        <v>42</v>
      </c>
      <c r="N1072" s="1" t="s">
        <v>68</v>
      </c>
      <c r="O1072" s="1">
        <v>90008</v>
      </c>
      <c r="P1072" s="1" t="s">
        <v>44</v>
      </c>
      <c r="Q1072" s="1" t="s">
        <v>1042</v>
      </c>
      <c r="R1072" s="1" t="s">
        <v>46</v>
      </c>
      <c r="S1072" s="7">
        <v>19.46</v>
      </c>
      <c r="T1072" s="1">
        <v>9</v>
      </c>
      <c r="U1072" s="9">
        <v>18.899999999999999</v>
      </c>
      <c r="V1072" s="9">
        <v>175.14000000000001</v>
      </c>
      <c r="W1072" s="9">
        <v>170.1</v>
      </c>
      <c r="X1072" s="12">
        <v>5.0400000000000205</v>
      </c>
      <c r="Y1072" s="10">
        <v>2016</v>
      </c>
    </row>
    <row r="1073" spans="1:25">
      <c r="A1073" s="1" t="s">
        <v>2608</v>
      </c>
      <c r="B1073" s="8">
        <v>42853</v>
      </c>
      <c r="C1073" s="11" t="s">
        <v>3359</v>
      </c>
      <c r="D1073" s="11" t="s">
        <v>3360</v>
      </c>
      <c r="E1073" s="5">
        <v>42771</v>
      </c>
      <c r="F1073" s="1" t="s">
        <v>49</v>
      </c>
      <c r="G1073" s="1" t="s">
        <v>2609</v>
      </c>
      <c r="H1073" s="1" t="s">
        <v>3818</v>
      </c>
      <c r="I1073" s="1" t="s">
        <v>3405</v>
      </c>
      <c r="J1073" s="1"/>
      <c r="K1073" s="1" t="s">
        <v>87</v>
      </c>
      <c r="L1073" s="1" t="s">
        <v>30</v>
      </c>
      <c r="M1073" s="1" t="s">
        <v>670</v>
      </c>
      <c r="N1073" s="1" t="s">
        <v>386</v>
      </c>
      <c r="O1073" s="1">
        <v>80219</v>
      </c>
      <c r="P1073" s="1" t="s">
        <v>44</v>
      </c>
      <c r="Q1073" s="1" t="s">
        <v>1019</v>
      </c>
      <c r="R1073" s="1" t="s">
        <v>46</v>
      </c>
      <c r="S1073" s="7">
        <v>29.472000000000001</v>
      </c>
      <c r="T1073" s="1">
        <v>8</v>
      </c>
      <c r="U1073" s="9">
        <v>28.52</v>
      </c>
      <c r="V1073" s="9">
        <v>235.77600000000001</v>
      </c>
      <c r="W1073" s="9">
        <v>228.16</v>
      </c>
      <c r="X1073" s="12">
        <v>7.6160000000000139</v>
      </c>
      <c r="Y1073" s="10">
        <v>2017</v>
      </c>
    </row>
    <row r="1074" spans="1:25">
      <c r="A1074" s="1" t="s">
        <v>2611</v>
      </c>
      <c r="B1074" s="8">
        <v>43418</v>
      </c>
      <c r="C1074" s="11" t="s">
        <v>3353</v>
      </c>
      <c r="D1074" s="11" t="s">
        <v>3349</v>
      </c>
      <c r="E1074" s="5" t="s">
        <v>2394</v>
      </c>
      <c r="F1074" s="1" t="s">
        <v>49</v>
      </c>
      <c r="G1074" s="1" t="s">
        <v>2612</v>
      </c>
      <c r="H1074" s="1" t="s">
        <v>3513</v>
      </c>
      <c r="I1074" s="1" t="s">
        <v>3913</v>
      </c>
      <c r="J1074" s="1"/>
      <c r="K1074" s="1" t="s">
        <v>29</v>
      </c>
      <c r="L1074" s="1" t="s">
        <v>30</v>
      </c>
      <c r="M1074" s="1" t="s">
        <v>233</v>
      </c>
      <c r="N1074" s="1" t="s">
        <v>234</v>
      </c>
      <c r="O1074" s="1">
        <v>10035</v>
      </c>
      <c r="P1074" s="1" t="s">
        <v>128</v>
      </c>
      <c r="Q1074" s="1" t="s">
        <v>2614</v>
      </c>
      <c r="R1074" s="1" t="s">
        <v>46</v>
      </c>
      <c r="S1074" s="7">
        <v>8.64</v>
      </c>
      <c r="T1074" s="1">
        <v>1</v>
      </c>
      <c r="U1074" s="9">
        <v>7.76</v>
      </c>
      <c r="V1074" s="9">
        <v>8.64</v>
      </c>
      <c r="W1074" s="9">
        <v>7.76</v>
      </c>
      <c r="X1074" s="12">
        <v>0.88000000000000078</v>
      </c>
      <c r="Y1074" s="10">
        <v>2018</v>
      </c>
    </row>
    <row r="1075" spans="1:25">
      <c r="A1075" s="1" t="s">
        <v>2615</v>
      </c>
      <c r="B1075" s="8">
        <v>43080</v>
      </c>
      <c r="C1075" s="11" t="s">
        <v>3348</v>
      </c>
      <c r="D1075" s="11" t="s">
        <v>3349</v>
      </c>
      <c r="E1075" s="5" t="s">
        <v>2616</v>
      </c>
      <c r="F1075" s="1" t="s">
        <v>49</v>
      </c>
      <c r="G1075" s="1" t="s">
        <v>2617</v>
      </c>
      <c r="H1075" s="1" t="s">
        <v>3914</v>
      </c>
      <c r="I1075" s="1" t="s">
        <v>3915</v>
      </c>
      <c r="J1075" s="1"/>
      <c r="K1075" s="1" t="s">
        <v>29</v>
      </c>
      <c r="L1075" s="1" t="s">
        <v>30</v>
      </c>
      <c r="M1075" s="1" t="s">
        <v>1484</v>
      </c>
      <c r="N1075" s="1" t="s">
        <v>265</v>
      </c>
      <c r="O1075" s="1">
        <v>85204</v>
      </c>
      <c r="P1075" s="1" t="s">
        <v>44</v>
      </c>
      <c r="Q1075" s="1" t="s">
        <v>2619</v>
      </c>
      <c r="R1075" s="1" t="s">
        <v>46</v>
      </c>
      <c r="S1075" s="7">
        <v>6.27</v>
      </c>
      <c r="T1075" s="1">
        <v>8</v>
      </c>
      <c r="U1075" s="9">
        <v>5.54</v>
      </c>
      <c r="V1075" s="9">
        <v>50.16</v>
      </c>
      <c r="W1075" s="9">
        <v>44.32</v>
      </c>
      <c r="X1075" s="12">
        <v>5.8399999999999963</v>
      </c>
      <c r="Y1075" s="10">
        <v>2017</v>
      </c>
    </row>
    <row r="1076" spans="1:25">
      <c r="A1076" s="1" t="s">
        <v>2615</v>
      </c>
      <c r="B1076" s="8">
        <v>43080</v>
      </c>
      <c r="C1076" s="11" t="s">
        <v>3348</v>
      </c>
      <c r="D1076" s="11" t="s">
        <v>3349</v>
      </c>
      <c r="E1076" s="5" t="s">
        <v>2616</v>
      </c>
      <c r="F1076" s="1" t="s">
        <v>49</v>
      </c>
      <c r="G1076" s="1" t="s">
        <v>2617</v>
      </c>
      <c r="H1076" s="1" t="s">
        <v>3914</v>
      </c>
      <c r="I1076" s="1" t="s">
        <v>3915</v>
      </c>
      <c r="J1076" s="1"/>
      <c r="K1076" s="1" t="s">
        <v>29</v>
      </c>
      <c r="L1076" s="1" t="s">
        <v>30</v>
      </c>
      <c r="M1076" s="1" t="s">
        <v>1484</v>
      </c>
      <c r="N1076" s="1" t="s">
        <v>265</v>
      </c>
      <c r="O1076" s="1">
        <v>85204</v>
      </c>
      <c r="P1076" s="1" t="s">
        <v>44</v>
      </c>
      <c r="Q1076" s="1" t="s">
        <v>857</v>
      </c>
      <c r="R1076" s="1" t="s">
        <v>46</v>
      </c>
      <c r="S1076" s="7">
        <v>4.3680000000000003</v>
      </c>
      <c r="T1076" s="1">
        <v>8</v>
      </c>
      <c r="U1076" s="9">
        <v>4.12</v>
      </c>
      <c r="V1076" s="9">
        <v>34.944000000000003</v>
      </c>
      <c r="W1076" s="9">
        <v>32.96</v>
      </c>
      <c r="X1076" s="12">
        <v>1.9840000000000018</v>
      </c>
      <c r="Y1076" s="10">
        <v>2017</v>
      </c>
    </row>
    <row r="1077" spans="1:25">
      <c r="A1077" s="1" t="s">
        <v>2615</v>
      </c>
      <c r="B1077" s="8">
        <v>43080</v>
      </c>
      <c r="C1077" s="11" t="s">
        <v>3348</v>
      </c>
      <c r="D1077" s="11" t="s">
        <v>3349</v>
      </c>
      <c r="E1077" s="5" t="s">
        <v>2616</v>
      </c>
      <c r="F1077" s="1" t="s">
        <v>49</v>
      </c>
      <c r="G1077" s="1" t="s">
        <v>2617</v>
      </c>
      <c r="H1077" s="1" t="s">
        <v>3914</v>
      </c>
      <c r="I1077" s="1" t="s">
        <v>3915</v>
      </c>
      <c r="J1077" s="1"/>
      <c r="K1077" s="1" t="s">
        <v>29</v>
      </c>
      <c r="L1077" s="1" t="s">
        <v>30</v>
      </c>
      <c r="M1077" s="1" t="s">
        <v>1484</v>
      </c>
      <c r="N1077" s="1" t="s">
        <v>265</v>
      </c>
      <c r="O1077" s="1">
        <v>85204</v>
      </c>
      <c r="P1077" s="1" t="s">
        <v>44</v>
      </c>
      <c r="Q1077" s="1" t="s">
        <v>2620</v>
      </c>
      <c r="R1077" s="1" t="s">
        <v>64</v>
      </c>
      <c r="S1077" s="7">
        <v>31.984000000000002</v>
      </c>
      <c r="T1077" s="1">
        <v>8</v>
      </c>
      <c r="U1077" s="9">
        <v>31.32</v>
      </c>
      <c r="V1077" s="9">
        <v>255.87200000000001</v>
      </c>
      <c r="W1077" s="9">
        <v>250.56</v>
      </c>
      <c r="X1077" s="12">
        <v>5.3120000000000118</v>
      </c>
      <c r="Y1077" s="10">
        <v>2017</v>
      </c>
    </row>
    <row r="1078" spans="1:25">
      <c r="A1078" s="1" t="s">
        <v>2621</v>
      </c>
      <c r="B1078" s="8">
        <v>43007</v>
      </c>
      <c r="C1078" s="11" t="s">
        <v>3356</v>
      </c>
      <c r="D1078" s="11" t="s">
        <v>3345</v>
      </c>
      <c r="E1078" s="5" t="s">
        <v>2622</v>
      </c>
      <c r="F1078" s="1" t="s">
        <v>162</v>
      </c>
      <c r="G1078" s="1" t="s">
        <v>2623</v>
      </c>
      <c r="H1078" s="1" t="s">
        <v>3503</v>
      </c>
      <c r="I1078" s="1" t="s">
        <v>3916</v>
      </c>
      <c r="J1078" s="1"/>
      <c r="K1078" s="1" t="s">
        <v>87</v>
      </c>
      <c r="L1078" s="1" t="s">
        <v>30</v>
      </c>
      <c r="M1078" s="1" t="s">
        <v>420</v>
      </c>
      <c r="N1078" s="1" t="s">
        <v>224</v>
      </c>
      <c r="O1078" s="1">
        <v>47201</v>
      </c>
      <c r="P1078" s="1" t="s">
        <v>90</v>
      </c>
      <c r="Q1078" s="1" t="s">
        <v>2625</v>
      </c>
      <c r="R1078" s="1" t="s">
        <v>46</v>
      </c>
      <c r="S1078" s="7">
        <v>40.880000000000003</v>
      </c>
      <c r="T1078" s="1">
        <v>4</v>
      </c>
      <c r="U1078" s="9">
        <v>40.83</v>
      </c>
      <c r="V1078" s="9">
        <v>163.52000000000001</v>
      </c>
      <c r="W1078" s="9">
        <v>163.32</v>
      </c>
      <c r="X1078" s="12">
        <v>0.20000000000001705</v>
      </c>
      <c r="Y1078" s="10">
        <v>2017</v>
      </c>
    </row>
    <row r="1079" spans="1:25">
      <c r="A1079" s="1" t="s">
        <v>2626</v>
      </c>
      <c r="B1079" s="8">
        <v>43366</v>
      </c>
      <c r="C1079" s="11" t="s">
        <v>3356</v>
      </c>
      <c r="D1079" s="11" t="s">
        <v>3345</v>
      </c>
      <c r="E1079" s="5" t="s">
        <v>2627</v>
      </c>
      <c r="F1079" s="1" t="s">
        <v>26</v>
      </c>
      <c r="G1079" s="1" t="s">
        <v>2628</v>
      </c>
      <c r="H1079" s="1" t="s">
        <v>3587</v>
      </c>
      <c r="I1079" s="1" t="s">
        <v>3673</v>
      </c>
      <c r="J1079" s="1"/>
      <c r="K1079" s="1" t="s">
        <v>29</v>
      </c>
      <c r="L1079" s="1" t="s">
        <v>30</v>
      </c>
      <c r="M1079" s="1" t="s">
        <v>80</v>
      </c>
      <c r="N1079" s="1" t="s">
        <v>81</v>
      </c>
      <c r="O1079" s="1">
        <v>98105</v>
      </c>
      <c r="P1079" s="1" t="s">
        <v>44</v>
      </c>
      <c r="Q1079" s="1" t="s">
        <v>2630</v>
      </c>
      <c r="R1079" s="1" t="s">
        <v>46</v>
      </c>
      <c r="S1079" s="7">
        <v>119.96</v>
      </c>
      <c r="T1079" s="1">
        <v>9</v>
      </c>
      <c r="U1079" s="9">
        <v>119.86</v>
      </c>
      <c r="V1079" s="9">
        <v>1079.6399999999999</v>
      </c>
      <c r="W1079" s="9">
        <v>1078.74</v>
      </c>
      <c r="X1079" s="12">
        <v>0.89999999999986358</v>
      </c>
      <c r="Y1079" s="10">
        <v>2018</v>
      </c>
    </row>
    <row r="1080" spans="1:25">
      <c r="A1080" s="1" t="s">
        <v>2626</v>
      </c>
      <c r="B1080" s="8">
        <v>43366</v>
      </c>
      <c r="C1080" s="11" t="s">
        <v>3356</v>
      </c>
      <c r="D1080" s="11" t="s">
        <v>3345</v>
      </c>
      <c r="E1080" s="5" t="s">
        <v>2627</v>
      </c>
      <c r="F1080" s="1" t="s">
        <v>26</v>
      </c>
      <c r="G1080" s="1" t="s">
        <v>2628</v>
      </c>
      <c r="H1080" s="1" t="s">
        <v>3587</v>
      </c>
      <c r="I1080" s="1" t="s">
        <v>3673</v>
      </c>
      <c r="J1080" s="1"/>
      <c r="K1080" s="1" t="s">
        <v>29</v>
      </c>
      <c r="L1080" s="1" t="s">
        <v>30</v>
      </c>
      <c r="M1080" s="1" t="s">
        <v>80</v>
      </c>
      <c r="N1080" s="1" t="s">
        <v>81</v>
      </c>
      <c r="O1080" s="1">
        <v>98105</v>
      </c>
      <c r="P1080" s="1" t="s">
        <v>44</v>
      </c>
      <c r="Q1080" s="1" t="s">
        <v>1485</v>
      </c>
      <c r="R1080" s="1" t="s">
        <v>46</v>
      </c>
      <c r="S1080" s="7">
        <v>31.44</v>
      </c>
      <c r="T1080" s="1">
        <v>9</v>
      </c>
      <c r="U1080" s="9">
        <v>30.57</v>
      </c>
      <c r="V1080" s="9">
        <v>282.96000000000004</v>
      </c>
      <c r="W1080" s="9">
        <v>275.13</v>
      </c>
      <c r="X1080" s="12">
        <v>7.8300000000000409</v>
      </c>
      <c r="Y1080" s="10">
        <v>2018</v>
      </c>
    </row>
    <row r="1081" spans="1:25">
      <c r="A1081" s="1" t="s">
        <v>2626</v>
      </c>
      <c r="B1081" s="8">
        <v>43366</v>
      </c>
      <c r="C1081" s="11" t="s">
        <v>3356</v>
      </c>
      <c r="D1081" s="11" t="s">
        <v>3345</v>
      </c>
      <c r="E1081" s="5" t="s">
        <v>2627</v>
      </c>
      <c r="F1081" s="1" t="s">
        <v>26</v>
      </c>
      <c r="G1081" s="1" t="s">
        <v>2628</v>
      </c>
      <c r="H1081" s="1" t="s">
        <v>3587</v>
      </c>
      <c r="I1081" s="1" t="s">
        <v>3673</v>
      </c>
      <c r="J1081" s="1"/>
      <c r="K1081" s="1" t="s">
        <v>29</v>
      </c>
      <c r="L1081" s="1" t="s">
        <v>30</v>
      </c>
      <c r="M1081" s="1" t="s">
        <v>80</v>
      </c>
      <c r="N1081" s="1" t="s">
        <v>81</v>
      </c>
      <c r="O1081" s="1">
        <v>98105</v>
      </c>
      <c r="P1081" s="1" t="s">
        <v>44</v>
      </c>
      <c r="Q1081" s="1" t="s">
        <v>1518</v>
      </c>
      <c r="R1081" s="1" t="s">
        <v>46</v>
      </c>
      <c r="S1081" s="7">
        <v>6.88</v>
      </c>
      <c r="T1081" s="1">
        <v>9</v>
      </c>
      <c r="U1081" s="9">
        <v>6.42</v>
      </c>
      <c r="V1081" s="9">
        <v>61.92</v>
      </c>
      <c r="W1081" s="9">
        <v>57.78</v>
      </c>
      <c r="X1081" s="12">
        <v>4.1400000000000006</v>
      </c>
      <c r="Y1081" s="10">
        <v>2018</v>
      </c>
    </row>
    <row r="1082" spans="1:25">
      <c r="A1082" s="1" t="s">
        <v>2631</v>
      </c>
      <c r="B1082" s="8">
        <v>42703</v>
      </c>
      <c r="C1082" s="11" t="s">
        <v>3353</v>
      </c>
      <c r="D1082" s="11" t="s">
        <v>3349</v>
      </c>
      <c r="E1082" s="5">
        <v>42472</v>
      </c>
      <c r="F1082" s="1" t="s">
        <v>49</v>
      </c>
      <c r="G1082" s="1" t="s">
        <v>2632</v>
      </c>
      <c r="H1082" s="1" t="s">
        <v>3702</v>
      </c>
      <c r="I1082" s="1" t="s">
        <v>1801</v>
      </c>
      <c r="J1082" s="1"/>
      <c r="K1082" s="1" t="s">
        <v>41</v>
      </c>
      <c r="L1082" s="1" t="s">
        <v>30</v>
      </c>
      <c r="M1082" s="1" t="s">
        <v>728</v>
      </c>
      <c r="N1082" s="1" t="s">
        <v>209</v>
      </c>
      <c r="O1082" s="1">
        <v>48227</v>
      </c>
      <c r="P1082" s="1" t="s">
        <v>90</v>
      </c>
      <c r="Q1082" s="1" t="s">
        <v>2634</v>
      </c>
      <c r="R1082" s="1" t="s">
        <v>46</v>
      </c>
      <c r="S1082" s="7">
        <v>19.920000000000002</v>
      </c>
      <c r="T1082" s="1">
        <v>4</v>
      </c>
      <c r="U1082" s="9">
        <v>19.09</v>
      </c>
      <c r="V1082" s="9">
        <v>79.680000000000007</v>
      </c>
      <c r="W1082" s="9">
        <v>76.36</v>
      </c>
      <c r="X1082" s="12">
        <v>3.3200000000000074</v>
      </c>
      <c r="Y1082" s="10">
        <v>2016</v>
      </c>
    </row>
    <row r="1083" spans="1:25">
      <c r="A1083" s="1" t="s">
        <v>2631</v>
      </c>
      <c r="B1083" s="8">
        <v>42703</v>
      </c>
      <c r="C1083" s="11" t="s">
        <v>3353</v>
      </c>
      <c r="D1083" s="11" t="s">
        <v>3349</v>
      </c>
      <c r="E1083" s="5">
        <v>42472</v>
      </c>
      <c r="F1083" s="1" t="s">
        <v>49</v>
      </c>
      <c r="G1083" s="1" t="s">
        <v>2632</v>
      </c>
      <c r="H1083" s="1" t="s">
        <v>3702</v>
      </c>
      <c r="I1083" s="1" t="s">
        <v>1801</v>
      </c>
      <c r="J1083" s="1"/>
      <c r="K1083" s="1" t="s">
        <v>41</v>
      </c>
      <c r="L1083" s="1" t="s">
        <v>30</v>
      </c>
      <c r="M1083" s="1" t="s">
        <v>728</v>
      </c>
      <c r="N1083" s="1" t="s">
        <v>209</v>
      </c>
      <c r="O1083" s="1">
        <v>48227</v>
      </c>
      <c r="P1083" s="1" t="s">
        <v>90</v>
      </c>
      <c r="Q1083" s="1" t="s">
        <v>2635</v>
      </c>
      <c r="R1083" s="1" t="s">
        <v>35</v>
      </c>
      <c r="S1083" s="7">
        <v>1106.9100000000001</v>
      </c>
      <c r="T1083" s="1">
        <v>4</v>
      </c>
      <c r="U1083" s="9">
        <v>1106.48</v>
      </c>
      <c r="V1083" s="9">
        <v>4427.6400000000003</v>
      </c>
      <c r="W1083" s="9">
        <v>4425.92</v>
      </c>
      <c r="X1083" s="12">
        <v>1.7200000000002547</v>
      </c>
      <c r="Y1083" s="10">
        <v>2016</v>
      </c>
    </row>
    <row r="1084" spans="1:25">
      <c r="A1084" s="1" t="s">
        <v>2636</v>
      </c>
      <c r="B1084" s="8">
        <v>42738</v>
      </c>
      <c r="C1084" s="11" t="s">
        <v>3381</v>
      </c>
      <c r="D1084" s="11" t="s">
        <v>3382</v>
      </c>
      <c r="E1084" s="5">
        <v>42858</v>
      </c>
      <c r="F1084" s="1" t="s">
        <v>49</v>
      </c>
      <c r="G1084" s="1" t="s">
        <v>269</v>
      </c>
      <c r="H1084" s="1" t="s">
        <v>3418</v>
      </c>
      <c r="I1084" s="1" t="s">
        <v>3419</v>
      </c>
      <c r="J1084" s="1"/>
      <c r="K1084" s="1" t="s">
        <v>29</v>
      </c>
      <c r="L1084" s="1" t="s">
        <v>30</v>
      </c>
      <c r="M1084" s="1" t="s">
        <v>2637</v>
      </c>
      <c r="N1084" s="1" t="s">
        <v>234</v>
      </c>
      <c r="O1084" s="1">
        <v>10701</v>
      </c>
      <c r="P1084" s="1" t="s">
        <v>128</v>
      </c>
      <c r="Q1084" s="1" t="s">
        <v>1960</v>
      </c>
      <c r="R1084" s="1" t="s">
        <v>35</v>
      </c>
      <c r="S1084" s="7">
        <v>836.59199999999998</v>
      </c>
      <c r="T1084" s="1">
        <v>1</v>
      </c>
      <c r="U1084" s="9">
        <v>836.24</v>
      </c>
      <c r="V1084" s="9">
        <v>836.59199999999998</v>
      </c>
      <c r="W1084" s="9">
        <v>836.24</v>
      </c>
      <c r="X1084" s="12">
        <v>0.35199999999997544</v>
      </c>
      <c r="Y1084" s="10">
        <v>2017</v>
      </c>
    </row>
    <row r="1085" spans="1:25">
      <c r="A1085" s="1" t="s">
        <v>2636</v>
      </c>
      <c r="B1085" s="8">
        <v>42738</v>
      </c>
      <c r="C1085" s="11" t="s">
        <v>3381</v>
      </c>
      <c r="D1085" s="11" t="s">
        <v>3382</v>
      </c>
      <c r="E1085" s="5">
        <v>42858</v>
      </c>
      <c r="F1085" s="1" t="s">
        <v>49</v>
      </c>
      <c r="G1085" s="1" t="s">
        <v>269</v>
      </c>
      <c r="H1085" s="1" t="s">
        <v>3418</v>
      </c>
      <c r="I1085" s="1" t="s">
        <v>3419</v>
      </c>
      <c r="J1085" s="1"/>
      <c r="K1085" s="1" t="s">
        <v>29</v>
      </c>
      <c r="L1085" s="1" t="s">
        <v>30</v>
      </c>
      <c r="M1085" s="1" t="s">
        <v>2637</v>
      </c>
      <c r="N1085" s="1" t="s">
        <v>234</v>
      </c>
      <c r="O1085" s="1">
        <v>10701</v>
      </c>
      <c r="P1085" s="1" t="s">
        <v>128</v>
      </c>
      <c r="Q1085" s="1" t="s">
        <v>2638</v>
      </c>
      <c r="R1085" s="1" t="s">
        <v>46</v>
      </c>
      <c r="S1085" s="7">
        <v>26.38</v>
      </c>
      <c r="T1085" s="1">
        <v>1</v>
      </c>
      <c r="U1085" s="9">
        <v>26.13</v>
      </c>
      <c r="V1085" s="9">
        <v>26.38</v>
      </c>
      <c r="W1085" s="9">
        <v>26.13</v>
      </c>
      <c r="X1085" s="12">
        <v>0.25</v>
      </c>
      <c r="Y1085" s="10">
        <v>2017</v>
      </c>
    </row>
    <row r="1086" spans="1:25">
      <c r="A1086" s="1" t="s">
        <v>2636</v>
      </c>
      <c r="B1086" s="8">
        <v>42738</v>
      </c>
      <c r="C1086" s="11" t="s">
        <v>3381</v>
      </c>
      <c r="D1086" s="11" t="s">
        <v>3382</v>
      </c>
      <c r="E1086" s="5">
        <v>42858</v>
      </c>
      <c r="F1086" s="1" t="s">
        <v>49</v>
      </c>
      <c r="G1086" s="1" t="s">
        <v>269</v>
      </c>
      <c r="H1086" s="1" t="s">
        <v>3418</v>
      </c>
      <c r="I1086" s="1" t="s">
        <v>3419</v>
      </c>
      <c r="J1086" s="1"/>
      <c r="K1086" s="1" t="s">
        <v>29</v>
      </c>
      <c r="L1086" s="1" t="s">
        <v>30</v>
      </c>
      <c r="M1086" s="1" t="s">
        <v>2637</v>
      </c>
      <c r="N1086" s="1" t="s">
        <v>234</v>
      </c>
      <c r="O1086" s="1">
        <v>10701</v>
      </c>
      <c r="P1086" s="1" t="s">
        <v>128</v>
      </c>
      <c r="Q1086" s="1" t="s">
        <v>835</v>
      </c>
      <c r="R1086" s="1" t="s">
        <v>46</v>
      </c>
      <c r="S1086" s="7">
        <v>362.92</v>
      </c>
      <c r="T1086" s="1">
        <v>1</v>
      </c>
      <c r="U1086" s="9">
        <v>362.29</v>
      </c>
      <c r="V1086" s="9">
        <v>362.92</v>
      </c>
      <c r="W1086" s="9">
        <v>362.29</v>
      </c>
      <c r="X1086" s="12">
        <v>0.62999999999999545</v>
      </c>
      <c r="Y1086" s="10">
        <v>2017</v>
      </c>
    </row>
    <row r="1087" spans="1:25">
      <c r="A1087" s="1" t="s">
        <v>2636</v>
      </c>
      <c r="B1087" s="8">
        <v>42738</v>
      </c>
      <c r="C1087" s="11" t="s">
        <v>3381</v>
      </c>
      <c r="D1087" s="11" t="s">
        <v>3382</v>
      </c>
      <c r="E1087" s="5">
        <v>42858</v>
      </c>
      <c r="F1087" s="1" t="s">
        <v>49</v>
      </c>
      <c r="G1087" s="1" t="s">
        <v>269</v>
      </c>
      <c r="H1087" s="1" t="s">
        <v>3418</v>
      </c>
      <c r="I1087" s="1" t="s">
        <v>3419</v>
      </c>
      <c r="J1087" s="1"/>
      <c r="K1087" s="1" t="s">
        <v>29</v>
      </c>
      <c r="L1087" s="1" t="s">
        <v>30</v>
      </c>
      <c r="M1087" s="1" t="s">
        <v>2637</v>
      </c>
      <c r="N1087" s="1" t="s">
        <v>234</v>
      </c>
      <c r="O1087" s="1">
        <v>10701</v>
      </c>
      <c r="P1087" s="1" t="s">
        <v>128</v>
      </c>
      <c r="Q1087" s="1" t="s">
        <v>2639</v>
      </c>
      <c r="R1087" s="1" t="s">
        <v>64</v>
      </c>
      <c r="S1087" s="7">
        <v>4899.93</v>
      </c>
      <c r="T1087" s="1">
        <v>1</v>
      </c>
      <c r="U1087" s="9">
        <v>4899.4799999999996</v>
      </c>
      <c r="V1087" s="9">
        <v>4899.93</v>
      </c>
      <c r="W1087" s="9">
        <v>4899.4799999999996</v>
      </c>
      <c r="X1087" s="12">
        <v>0.4500000000007276</v>
      </c>
      <c r="Y1087" s="10">
        <v>2017</v>
      </c>
    </row>
    <row r="1088" spans="1:25">
      <c r="A1088" s="1" t="s">
        <v>2640</v>
      </c>
      <c r="B1088" s="8">
        <v>43077</v>
      </c>
      <c r="C1088" s="11" t="s">
        <v>3348</v>
      </c>
      <c r="D1088" s="11" t="s">
        <v>3349</v>
      </c>
      <c r="E1088" s="5">
        <v>43077</v>
      </c>
      <c r="F1088" s="1" t="s">
        <v>1050</v>
      </c>
      <c r="G1088" s="1" t="s">
        <v>383</v>
      </c>
      <c r="H1088" s="1" t="s">
        <v>3404</v>
      </c>
      <c r="I1088" s="1" t="s">
        <v>3452</v>
      </c>
      <c r="J1088" s="1"/>
      <c r="K1088" s="1" t="s">
        <v>29</v>
      </c>
      <c r="L1088" s="1" t="s">
        <v>30</v>
      </c>
      <c r="M1088" s="1" t="s">
        <v>1122</v>
      </c>
      <c r="N1088" s="1" t="s">
        <v>413</v>
      </c>
      <c r="O1088" s="1">
        <v>50315</v>
      </c>
      <c r="P1088" s="1" t="s">
        <v>90</v>
      </c>
      <c r="Q1088" s="1" t="s">
        <v>2641</v>
      </c>
      <c r="R1088" s="1" t="s">
        <v>46</v>
      </c>
      <c r="S1088" s="7">
        <v>6.48</v>
      </c>
      <c r="T1088" s="1">
        <v>5</v>
      </c>
      <c r="U1088" s="9">
        <v>6.48</v>
      </c>
      <c r="V1088" s="9">
        <v>32.400000000000006</v>
      </c>
      <c r="W1088" s="9">
        <v>32.400000000000006</v>
      </c>
      <c r="X1088" s="12">
        <v>0</v>
      </c>
      <c r="Y1088" s="10">
        <v>2017</v>
      </c>
    </row>
    <row r="1089" spans="1:25">
      <c r="A1089" s="1" t="s">
        <v>2642</v>
      </c>
      <c r="B1089" s="8">
        <v>42962</v>
      </c>
      <c r="C1089" s="11" t="s">
        <v>3344</v>
      </c>
      <c r="D1089" s="11" t="s">
        <v>3345</v>
      </c>
      <c r="E1089" s="5" t="s">
        <v>2643</v>
      </c>
      <c r="F1089" s="1" t="s">
        <v>26</v>
      </c>
      <c r="G1089" s="1" t="s">
        <v>2644</v>
      </c>
      <c r="H1089" s="1" t="s">
        <v>3553</v>
      </c>
      <c r="I1089" s="1" t="s">
        <v>3681</v>
      </c>
      <c r="J1089" s="1"/>
      <c r="K1089" s="1" t="s">
        <v>41</v>
      </c>
      <c r="L1089" s="1" t="s">
        <v>30</v>
      </c>
      <c r="M1089" s="1" t="s">
        <v>2646</v>
      </c>
      <c r="N1089" s="1" t="s">
        <v>68</v>
      </c>
      <c r="O1089" s="1">
        <v>94601</v>
      </c>
      <c r="P1089" s="1" t="s">
        <v>44</v>
      </c>
      <c r="Q1089" s="1" t="s">
        <v>611</v>
      </c>
      <c r="R1089" s="1" t="s">
        <v>64</v>
      </c>
      <c r="S1089" s="7">
        <v>71.975999999999999</v>
      </c>
      <c r="T1089" s="1">
        <v>9</v>
      </c>
      <c r="U1089" s="9">
        <v>71.17</v>
      </c>
      <c r="V1089" s="9">
        <v>647.78399999999999</v>
      </c>
      <c r="W1089" s="9">
        <v>640.53</v>
      </c>
      <c r="X1089" s="12">
        <v>7.2540000000000191</v>
      </c>
      <c r="Y1089" s="10">
        <v>2017</v>
      </c>
    </row>
    <row r="1090" spans="1:25">
      <c r="A1090" s="1" t="s">
        <v>2642</v>
      </c>
      <c r="B1090" s="8">
        <v>42962</v>
      </c>
      <c r="C1090" s="11" t="s">
        <v>3344</v>
      </c>
      <c r="D1090" s="11" t="s">
        <v>3345</v>
      </c>
      <c r="E1090" s="5" t="s">
        <v>2643</v>
      </c>
      <c r="F1090" s="1" t="s">
        <v>26</v>
      </c>
      <c r="G1090" s="1" t="s">
        <v>2644</v>
      </c>
      <c r="H1090" s="1" t="s">
        <v>3553</v>
      </c>
      <c r="I1090" s="1" t="s">
        <v>3681</v>
      </c>
      <c r="J1090" s="1"/>
      <c r="K1090" s="1" t="s">
        <v>41</v>
      </c>
      <c r="L1090" s="1" t="s">
        <v>30</v>
      </c>
      <c r="M1090" s="1" t="s">
        <v>2646</v>
      </c>
      <c r="N1090" s="1" t="s">
        <v>68</v>
      </c>
      <c r="O1090" s="1">
        <v>94601</v>
      </c>
      <c r="P1090" s="1" t="s">
        <v>44</v>
      </c>
      <c r="Q1090" s="1" t="s">
        <v>2647</v>
      </c>
      <c r="R1090" s="1" t="s">
        <v>46</v>
      </c>
      <c r="S1090" s="7">
        <v>3.15</v>
      </c>
      <c r="T1090" s="1">
        <v>9</v>
      </c>
      <c r="U1090" s="9">
        <v>2.16</v>
      </c>
      <c r="V1090" s="9">
        <v>28.349999999999998</v>
      </c>
      <c r="W1090" s="9">
        <v>19.440000000000001</v>
      </c>
      <c r="X1090" s="12">
        <v>8.9099999999999966</v>
      </c>
      <c r="Y1090" s="10">
        <v>2017</v>
      </c>
    </row>
    <row r="1091" spans="1:25">
      <c r="A1091" s="1" t="s">
        <v>2648</v>
      </c>
      <c r="B1091" s="8">
        <v>43196</v>
      </c>
      <c r="C1091" s="11" t="s">
        <v>3359</v>
      </c>
      <c r="D1091" s="11" t="s">
        <v>3360</v>
      </c>
      <c r="E1091" s="5">
        <v>43379</v>
      </c>
      <c r="F1091" s="1" t="s">
        <v>49</v>
      </c>
      <c r="G1091" s="1" t="s">
        <v>2395</v>
      </c>
      <c r="H1091" s="1" t="s">
        <v>3473</v>
      </c>
      <c r="I1091" s="1" t="s">
        <v>3860</v>
      </c>
      <c r="J1091" s="1"/>
      <c r="K1091" s="1" t="s">
        <v>41</v>
      </c>
      <c r="L1091" s="1" t="s">
        <v>30</v>
      </c>
      <c r="M1091" s="1" t="s">
        <v>608</v>
      </c>
      <c r="N1091" s="1" t="s">
        <v>75</v>
      </c>
      <c r="O1091" s="1">
        <v>28110</v>
      </c>
      <c r="P1091" s="1" t="s">
        <v>33</v>
      </c>
      <c r="Q1091" s="1" t="s">
        <v>967</v>
      </c>
      <c r="R1091" s="1" t="s">
        <v>35</v>
      </c>
      <c r="S1091" s="7">
        <v>31.984000000000002</v>
      </c>
      <c r="T1091" s="1">
        <v>2</v>
      </c>
      <c r="U1091" s="9">
        <v>31.25</v>
      </c>
      <c r="V1091" s="9">
        <v>63.968000000000004</v>
      </c>
      <c r="W1091" s="9">
        <v>62.5</v>
      </c>
      <c r="X1091" s="12">
        <v>1.4680000000000035</v>
      </c>
      <c r="Y1091" s="10">
        <v>2018</v>
      </c>
    </row>
    <row r="1092" spans="1:25">
      <c r="A1092" s="1" t="s">
        <v>2648</v>
      </c>
      <c r="B1092" s="8">
        <v>43196</v>
      </c>
      <c r="C1092" s="11" t="s">
        <v>3359</v>
      </c>
      <c r="D1092" s="11" t="s">
        <v>3360</v>
      </c>
      <c r="E1092" s="5">
        <v>43379</v>
      </c>
      <c r="F1092" s="1" t="s">
        <v>49</v>
      </c>
      <c r="G1092" s="1" t="s">
        <v>2395</v>
      </c>
      <c r="H1092" s="1" t="s">
        <v>3473</v>
      </c>
      <c r="I1092" s="1" t="s">
        <v>3860</v>
      </c>
      <c r="J1092" s="1"/>
      <c r="K1092" s="1" t="s">
        <v>41</v>
      </c>
      <c r="L1092" s="1" t="s">
        <v>30</v>
      </c>
      <c r="M1092" s="1" t="s">
        <v>608</v>
      </c>
      <c r="N1092" s="1" t="s">
        <v>75</v>
      </c>
      <c r="O1092" s="1">
        <v>28110</v>
      </c>
      <c r="P1092" s="1" t="s">
        <v>33</v>
      </c>
      <c r="Q1092" s="1" t="s">
        <v>2649</v>
      </c>
      <c r="R1092" s="1" t="s">
        <v>64</v>
      </c>
      <c r="S1092" s="7">
        <v>71.983999999999995</v>
      </c>
      <c r="T1092" s="1">
        <v>2</v>
      </c>
      <c r="U1092" s="9">
        <v>71.13</v>
      </c>
      <c r="V1092" s="9">
        <v>143.96799999999999</v>
      </c>
      <c r="W1092" s="9">
        <v>142.26</v>
      </c>
      <c r="X1092" s="12">
        <v>1.7079999999999984</v>
      </c>
      <c r="Y1092" s="10">
        <v>2018</v>
      </c>
    </row>
    <row r="1093" spans="1:25">
      <c r="A1093" s="1" t="s">
        <v>2650</v>
      </c>
      <c r="B1093" s="8">
        <v>42533</v>
      </c>
      <c r="C1093" s="11" t="s">
        <v>3403</v>
      </c>
      <c r="D1093" s="11" t="s">
        <v>3360</v>
      </c>
      <c r="E1093" s="5" t="s">
        <v>2651</v>
      </c>
      <c r="F1093" s="1" t="s">
        <v>49</v>
      </c>
      <c r="G1093" s="1" t="s">
        <v>1826</v>
      </c>
      <c r="H1093" s="1" t="s">
        <v>3775</v>
      </c>
      <c r="I1093" s="1" t="s">
        <v>3776</v>
      </c>
      <c r="J1093" s="1"/>
      <c r="K1093" s="1" t="s">
        <v>29</v>
      </c>
      <c r="L1093" s="1" t="s">
        <v>30</v>
      </c>
      <c r="M1093" s="1" t="s">
        <v>778</v>
      </c>
      <c r="N1093" s="1" t="s">
        <v>68</v>
      </c>
      <c r="O1093" s="1">
        <v>92105</v>
      </c>
      <c r="P1093" s="1" t="s">
        <v>44</v>
      </c>
      <c r="Q1093" s="1" t="s">
        <v>2652</v>
      </c>
      <c r="R1093" s="1" t="s">
        <v>46</v>
      </c>
      <c r="S1093" s="7">
        <v>120.15</v>
      </c>
      <c r="T1093" s="1">
        <v>9</v>
      </c>
      <c r="U1093" s="9">
        <v>119.85</v>
      </c>
      <c r="V1093" s="9">
        <v>1081.3500000000001</v>
      </c>
      <c r="W1093" s="9">
        <v>1078.6499999999999</v>
      </c>
      <c r="X1093" s="12">
        <v>2.7000000000002728</v>
      </c>
      <c r="Y1093" s="10">
        <v>2016</v>
      </c>
    </row>
    <row r="1094" spans="1:25">
      <c r="A1094" s="1" t="s">
        <v>2650</v>
      </c>
      <c r="B1094" s="8">
        <v>42533</v>
      </c>
      <c r="C1094" s="11" t="s">
        <v>3403</v>
      </c>
      <c r="D1094" s="11" t="s">
        <v>3360</v>
      </c>
      <c r="E1094" s="5" t="s">
        <v>2651</v>
      </c>
      <c r="F1094" s="1" t="s">
        <v>49</v>
      </c>
      <c r="G1094" s="1" t="s">
        <v>1826</v>
      </c>
      <c r="H1094" s="1" t="s">
        <v>3775</v>
      </c>
      <c r="I1094" s="1" t="s">
        <v>3776</v>
      </c>
      <c r="J1094" s="1"/>
      <c r="K1094" s="1" t="s">
        <v>29</v>
      </c>
      <c r="L1094" s="1" t="s">
        <v>30</v>
      </c>
      <c r="M1094" s="1" t="s">
        <v>778</v>
      </c>
      <c r="N1094" s="1" t="s">
        <v>68</v>
      </c>
      <c r="O1094" s="1">
        <v>92105</v>
      </c>
      <c r="P1094" s="1" t="s">
        <v>44</v>
      </c>
      <c r="Q1094" s="1" t="s">
        <v>2653</v>
      </c>
      <c r="R1094" s="1" t="s">
        <v>64</v>
      </c>
      <c r="S1094" s="7">
        <v>219.184</v>
      </c>
      <c r="T1094" s="1">
        <v>9</v>
      </c>
      <c r="U1094" s="9">
        <v>218.69</v>
      </c>
      <c r="V1094" s="9">
        <v>1972.6559999999999</v>
      </c>
      <c r="W1094" s="9">
        <v>1968.21</v>
      </c>
      <c r="X1094" s="12">
        <v>4.4459999999999127</v>
      </c>
      <c r="Y1094" s="10">
        <v>2016</v>
      </c>
    </row>
    <row r="1095" spans="1:25">
      <c r="A1095" s="1" t="s">
        <v>2654</v>
      </c>
      <c r="B1095" s="8">
        <v>42731</v>
      </c>
      <c r="C1095" s="11" t="s">
        <v>3348</v>
      </c>
      <c r="D1095" s="11" t="s">
        <v>3349</v>
      </c>
      <c r="E1095" s="5" t="s">
        <v>169</v>
      </c>
      <c r="F1095" s="1" t="s">
        <v>49</v>
      </c>
      <c r="G1095" s="1" t="s">
        <v>2655</v>
      </c>
      <c r="H1095" s="1" t="s">
        <v>3782</v>
      </c>
      <c r="I1095" s="1" t="s">
        <v>3577</v>
      </c>
      <c r="J1095" s="1"/>
      <c r="K1095" s="1" t="s">
        <v>87</v>
      </c>
      <c r="L1095" s="1" t="s">
        <v>30</v>
      </c>
      <c r="M1095" s="1" t="s">
        <v>2657</v>
      </c>
      <c r="N1095" s="1" t="s">
        <v>2248</v>
      </c>
      <c r="O1095" s="1">
        <v>20735</v>
      </c>
      <c r="P1095" s="1" t="s">
        <v>128</v>
      </c>
      <c r="Q1095" s="1" t="s">
        <v>2658</v>
      </c>
      <c r="R1095" s="1" t="s">
        <v>46</v>
      </c>
      <c r="S1095" s="7">
        <v>28.9</v>
      </c>
      <c r="T1095" s="1">
        <v>2</v>
      </c>
      <c r="U1095" s="9">
        <v>27.9</v>
      </c>
      <c r="V1095" s="9">
        <v>57.8</v>
      </c>
      <c r="W1095" s="9">
        <v>55.8</v>
      </c>
      <c r="X1095" s="12">
        <v>2</v>
      </c>
      <c r="Y1095" s="10">
        <v>2016</v>
      </c>
    </row>
    <row r="1096" spans="1:25">
      <c r="A1096" s="1" t="s">
        <v>2654</v>
      </c>
      <c r="B1096" s="8">
        <v>42731</v>
      </c>
      <c r="C1096" s="11" t="s">
        <v>3348</v>
      </c>
      <c r="D1096" s="11" t="s">
        <v>3349</v>
      </c>
      <c r="E1096" s="5" t="s">
        <v>169</v>
      </c>
      <c r="F1096" s="1" t="s">
        <v>49</v>
      </c>
      <c r="G1096" s="1" t="s">
        <v>2655</v>
      </c>
      <c r="H1096" s="1" t="s">
        <v>3782</v>
      </c>
      <c r="I1096" s="1" t="s">
        <v>3577</v>
      </c>
      <c r="J1096" s="1"/>
      <c r="K1096" s="1" t="s">
        <v>87</v>
      </c>
      <c r="L1096" s="1" t="s">
        <v>30</v>
      </c>
      <c r="M1096" s="1" t="s">
        <v>2657</v>
      </c>
      <c r="N1096" s="1" t="s">
        <v>2248</v>
      </c>
      <c r="O1096" s="1">
        <v>20735</v>
      </c>
      <c r="P1096" s="1" t="s">
        <v>128</v>
      </c>
      <c r="Q1096" s="1" t="s">
        <v>571</v>
      </c>
      <c r="R1096" s="1" t="s">
        <v>46</v>
      </c>
      <c r="S1096" s="7">
        <v>355.96</v>
      </c>
      <c r="T1096" s="1">
        <v>2</v>
      </c>
      <c r="U1096" s="9">
        <v>355.72</v>
      </c>
      <c r="V1096" s="9">
        <v>711.92</v>
      </c>
      <c r="W1096" s="9">
        <v>711.44</v>
      </c>
      <c r="X1096" s="12">
        <v>0.4799999999999045</v>
      </c>
      <c r="Y1096" s="10">
        <v>2016</v>
      </c>
    </row>
    <row r="1097" spans="1:25">
      <c r="A1097" s="1" t="s">
        <v>2659</v>
      </c>
      <c r="B1097" s="8">
        <v>43121</v>
      </c>
      <c r="C1097" s="11" t="s">
        <v>3381</v>
      </c>
      <c r="D1097" s="11" t="s">
        <v>3382</v>
      </c>
      <c r="E1097" s="5" t="s">
        <v>2660</v>
      </c>
      <c r="F1097" s="1" t="s">
        <v>49</v>
      </c>
      <c r="G1097" s="1" t="s">
        <v>2661</v>
      </c>
      <c r="H1097" s="1" t="s">
        <v>3917</v>
      </c>
      <c r="I1097" s="1" t="s">
        <v>3918</v>
      </c>
      <c r="J1097" s="1"/>
      <c r="K1097" s="1" t="s">
        <v>87</v>
      </c>
      <c r="L1097" s="1" t="s">
        <v>30</v>
      </c>
      <c r="M1097" s="1" t="s">
        <v>394</v>
      </c>
      <c r="N1097" s="1" t="s">
        <v>75</v>
      </c>
      <c r="O1097" s="1">
        <v>28205</v>
      </c>
      <c r="P1097" s="1" t="s">
        <v>33</v>
      </c>
      <c r="Q1097" s="1" t="s">
        <v>2663</v>
      </c>
      <c r="R1097" s="1" t="s">
        <v>46</v>
      </c>
      <c r="S1097" s="7">
        <v>348.20800000000003</v>
      </c>
      <c r="T1097" s="1">
        <v>2</v>
      </c>
      <c r="U1097" s="9">
        <v>347.79</v>
      </c>
      <c r="V1097" s="9">
        <v>696.41600000000005</v>
      </c>
      <c r="W1097" s="9">
        <v>695.58</v>
      </c>
      <c r="X1097" s="12">
        <v>0.83600000000001273</v>
      </c>
      <c r="Y1097" s="10">
        <v>2018</v>
      </c>
    </row>
    <row r="1098" spans="1:25">
      <c r="A1098" s="1" t="s">
        <v>2659</v>
      </c>
      <c r="B1098" s="8">
        <v>43121</v>
      </c>
      <c r="C1098" s="11" t="s">
        <v>3381</v>
      </c>
      <c r="D1098" s="11" t="s">
        <v>3382</v>
      </c>
      <c r="E1098" s="5" t="s">
        <v>2660</v>
      </c>
      <c r="F1098" s="1" t="s">
        <v>49</v>
      </c>
      <c r="G1098" s="1" t="s">
        <v>2661</v>
      </c>
      <c r="H1098" s="1" t="s">
        <v>3917</v>
      </c>
      <c r="I1098" s="1" t="s">
        <v>3918</v>
      </c>
      <c r="J1098" s="1"/>
      <c r="K1098" s="1" t="s">
        <v>87</v>
      </c>
      <c r="L1098" s="1" t="s">
        <v>30</v>
      </c>
      <c r="M1098" s="1" t="s">
        <v>394</v>
      </c>
      <c r="N1098" s="1" t="s">
        <v>75</v>
      </c>
      <c r="O1098" s="1">
        <v>28205</v>
      </c>
      <c r="P1098" s="1" t="s">
        <v>33</v>
      </c>
      <c r="Q1098" s="1" t="s">
        <v>2664</v>
      </c>
      <c r="R1098" s="1" t="s">
        <v>46</v>
      </c>
      <c r="S1098" s="7">
        <v>35.783999999999999</v>
      </c>
      <c r="T1098" s="1">
        <v>2</v>
      </c>
      <c r="U1098" s="9">
        <v>35.78</v>
      </c>
      <c r="V1098" s="9">
        <v>71.567999999999998</v>
      </c>
      <c r="W1098" s="9">
        <v>71.56</v>
      </c>
      <c r="X1098" s="12">
        <v>7.9999999999955662E-3</v>
      </c>
      <c r="Y1098" s="10">
        <v>2018</v>
      </c>
    </row>
    <row r="1099" spans="1:25">
      <c r="A1099" s="1" t="s">
        <v>2665</v>
      </c>
      <c r="B1099" s="8">
        <v>42180</v>
      </c>
      <c r="C1099" s="11" t="s">
        <v>3403</v>
      </c>
      <c r="D1099" s="11" t="s">
        <v>3360</v>
      </c>
      <c r="E1099" s="5" t="s">
        <v>2666</v>
      </c>
      <c r="F1099" s="1" t="s">
        <v>162</v>
      </c>
      <c r="G1099" s="1" t="s">
        <v>2555</v>
      </c>
      <c r="H1099" s="1" t="s">
        <v>3900</v>
      </c>
      <c r="I1099" s="1" t="s">
        <v>3901</v>
      </c>
      <c r="J1099" s="1"/>
      <c r="K1099" s="1" t="s">
        <v>41</v>
      </c>
      <c r="L1099" s="1" t="s">
        <v>30</v>
      </c>
      <c r="M1099" s="1" t="s">
        <v>42</v>
      </c>
      <c r="N1099" s="1" t="s">
        <v>68</v>
      </c>
      <c r="O1099" s="1">
        <v>90049</v>
      </c>
      <c r="P1099" s="1" t="s">
        <v>44</v>
      </c>
      <c r="Q1099" s="1" t="s">
        <v>2667</v>
      </c>
      <c r="R1099" s="1" t="s">
        <v>35</v>
      </c>
      <c r="S1099" s="7">
        <v>447.84</v>
      </c>
      <c r="T1099" s="1">
        <v>9</v>
      </c>
      <c r="U1099" s="9">
        <v>447.43</v>
      </c>
      <c r="V1099" s="9">
        <v>4030.56</v>
      </c>
      <c r="W1099" s="9">
        <v>4026.87</v>
      </c>
      <c r="X1099" s="12">
        <v>3.6900000000000546</v>
      </c>
      <c r="Y1099" s="10">
        <v>2015</v>
      </c>
    </row>
    <row r="1100" spans="1:25">
      <c r="A1100" s="1" t="s">
        <v>2668</v>
      </c>
      <c r="B1100" s="8">
        <v>42900</v>
      </c>
      <c r="C1100" s="11" t="s">
        <v>3403</v>
      </c>
      <c r="D1100" s="11" t="s">
        <v>3360</v>
      </c>
      <c r="E1100" s="5" t="s">
        <v>2669</v>
      </c>
      <c r="F1100" s="1" t="s">
        <v>162</v>
      </c>
      <c r="G1100" s="1" t="s">
        <v>2670</v>
      </c>
      <c r="H1100" s="1" t="s">
        <v>3414</v>
      </c>
      <c r="I1100" s="1" t="s">
        <v>3351</v>
      </c>
      <c r="J1100" s="1" t="s">
        <v>3919</v>
      </c>
      <c r="K1100" s="1" t="s">
        <v>87</v>
      </c>
      <c r="L1100" s="1" t="s">
        <v>30</v>
      </c>
      <c r="M1100" s="1" t="s">
        <v>110</v>
      </c>
      <c r="N1100" s="1" t="s">
        <v>68</v>
      </c>
      <c r="O1100" s="1">
        <v>94122</v>
      </c>
      <c r="P1100" s="1" t="s">
        <v>44</v>
      </c>
      <c r="Q1100" s="1" t="s">
        <v>2672</v>
      </c>
      <c r="R1100" s="1" t="s">
        <v>46</v>
      </c>
      <c r="S1100" s="7">
        <v>7.04</v>
      </c>
      <c r="T1100" s="1">
        <v>9</v>
      </c>
      <c r="U1100" s="9">
        <v>6.24</v>
      </c>
      <c r="V1100" s="9">
        <v>63.36</v>
      </c>
      <c r="W1100" s="9">
        <v>56.160000000000004</v>
      </c>
      <c r="X1100" s="12">
        <v>7.1999999999999957</v>
      </c>
      <c r="Y1100" s="10">
        <v>2017</v>
      </c>
    </row>
    <row r="1101" spans="1:25">
      <c r="A1101" s="1" t="s">
        <v>2668</v>
      </c>
      <c r="B1101" s="8">
        <v>42900</v>
      </c>
      <c r="C1101" s="11" t="s">
        <v>3403</v>
      </c>
      <c r="D1101" s="11" t="s">
        <v>3360</v>
      </c>
      <c r="E1101" s="5" t="s">
        <v>2669</v>
      </c>
      <c r="F1101" s="1" t="s">
        <v>162</v>
      </c>
      <c r="G1101" s="1" t="s">
        <v>2670</v>
      </c>
      <c r="H1101" s="1" t="s">
        <v>3414</v>
      </c>
      <c r="I1101" s="1" t="s">
        <v>3351</v>
      </c>
      <c r="J1101" s="1" t="s">
        <v>3919</v>
      </c>
      <c r="K1101" s="1" t="s">
        <v>87</v>
      </c>
      <c r="L1101" s="1" t="s">
        <v>30</v>
      </c>
      <c r="M1101" s="1" t="s">
        <v>110</v>
      </c>
      <c r="N1101" s="1" t="s">
        <v>68</v>
      </c>
      <c r="O1101" s="1">
        <v>94122</v>
      </c>
      <c r="P1101" s="1" t="s">
        <v>44</v>
      </c>
      <c r="Q1101" s="1" t="s">
        <v>1268</v>
      </c>
      <c r="R1101" s="1" t="s">
        <v>35</v>
      </c>
      <c r="S1101" s="7">
        <v>8.73</v>
      </c>
      <c r="T1101" s="1">
        <v>9</v>
      </c>
      <c r="U1101" s="9">
        <v>7.75</v>
      </c>
      <c r="V1101" s="9">
        <v>78.570000000000007</v>
      </c>
      <c r="W1101" s="9">
        <v>69.75</v>
      </c>
      <c r="X1101" s="12">
        <v>8.8200000000000074</v>
      </c>
      <c r="Y1101" s="10">
        <v>2017</v>
      </c>
    </row>
    <row r="1102" spans="1:25">
      <c r="A1102" s="1" t="s">
        <v>2668</v>
      </c>
      <c r="B1102" s="8">
        <v>42900</v>
      </c>
      <c r="C1102" s="11" t="s">
        <v>3403</v>
      </c>
      <c r="D1102" s="11" t="s">
        <v>3360</v>
      </c>
      <c r="E1102" s="5" t="s">
        <v>2669</v>
      </c>
      <c r="F1102" s="1" t="s">
        <v>162</v>
      </c>
      <c r="G1102" s="1" t="s">
        <v>2670</v>
      </c>
      <c r="H1102" s="1" t="s">
        <v>3414</v>
      </c>
      <c r="I1102" s="1" t="s">
        <v>3351</v>
      </c>
      <c r="J1102" s="1" t="s">
        <v>3919</v>
      </c>
      <c r="K1102" s="1" t="s">
        <v>87</v>
      </c>
      <c r="L1102" s="1" t="s">
        <v>30</v>
      </c>
      <c r="M1102" s="1" t="s">
        <v>110</v>
      </c>
      <c r="N1102" s="1" t="s">
        <v>68</v>
      </c>
      <c r="O1102" s="1">
        <v>94122</v>
      </c>
      <c r="P1102" s="1" t="s">
        <v>44</v>
      </c>
      <c r="Q1102" s="1" t="s">
        <v>2673</v>
      </c>
      <c r="R1102" s="1" t="s">
        <v>64</v>
      </c>
      <c r="S1102" s="7">
        <v>29.29</v>
      </c>
      <c r="T1102" s="1">
        <v>9</v>
      </c>
      <c r="U1102" s="9">
        <v>29.09</v>
      </c>
      <c r="V1102" s="9">
        <v>263.61</v>
      </c>
      <c r="W1102" s="9">
        <v>261.81</v>
      </c>
      <c r="X1102" s="12">
        <v>1.8000000000000114</v>
      </c>
      <c r="Y1102" s="10">
        <v>2017</v>
      </c>
    </row>
    <row r="1103" spans="1:25">
      <c r="A1103" s="1" t="s">
        <v>2668</v>
      </c>
      <c r="B1103" s="8">
        <v>42900</v>
      </c>
      <c r="C1103" s="11" t="s">
        <v>3403</v>
      </c>
      <c r="D1103" s="11" t="s">
        <v>3360</v>
      </c>
      <c r="E1103" s="5" t="s">
        <v>2669</v>
      </c>
      <c r="F1103" s="1" t="s">
        <v>162</v>
      </c>
      <c r="G1103" s="1" t="s">
        <v>2670</v>
      </c>
      <c r="H1103" s="1" t="s">
        <v>3414</v>
      </c>
      <c r="I1103" s="1" t="s">
        <v>3351</v>
      </c>
      <c r="J1103" s="1" t="s">
        <v>3919</v>
      </c>
      <c r="K1103" s="1" t="s">
        <v>87</v>
      </c>
      <c r="L1103" s="1" t="s">
        <v>30</v>
      </c>
      <c r="M1103" s="1" t="s">
        <v>110</v>
      </c>
      <c r="N1103" s="1" t="s">
        <v>68</v>
      </c>
      <c r="O1103" s="1">
        <v>94122</v>
      </c>
      <c r="P1103" s="1" t="s">
        <v>44</v>
      </c>
      <c r="Q1103" s="1" t="s">
        <v>2674</v>
      </c>
      <c r="R1103" s="1" t="s">
        <v>46</v>
      </c>
      <c r="S1103" s="7">
        <v>8.64</v>
      </c>
      <c r="T1103" s="1">
        <v>9</v>
      </c>
      <c r="U1103" s="9">
        <v>7.79</v>
      </c>
      <c r="V1103" s="9">
        <v>77.760000000000005</v>
      </c>
      <c r="W1103" s="9">
        <v>70.11</v>
      </c>
      <c r="X1103" s="12">
        <v>7.6500000000000057</v>
      </c>
      <c r="Y1103" s="10">
        <v>2017</v>
      </c>
    </row>
    <row r="1104" spans="1:25">
      <c r="A1104" s="1" t="s">
        <v>2675</v>
      </c>
      <c r="B1104" s="8">
        <v>43211</v>
      </c>
      <c r="C1104" s="11" t="s">
        <v>3359</v>
      </c>
      <c r="D1104" s="11" t="s">
        <v>3360</v>
      </c>
      <c r="E1104" s="5" t="s">
        <v>2676</v>
      </c>
      <c r="F1104" s="1" t="s">
        <v>49</v>
      </c>
      <c r="G1104" s="1" t="s">
        <v>1782</v>
      </c>
      <c r="H1104" s="1" t="s">
        <v>3765</v>
      </c>
      <c r="I1104" s="1" t="s">
        <v>3766</v>
      </c>
      <c r="J1104" s="1"/>
      <c r="K1104" s="1" t="s">
        <v>29</v>
      </c>
      <c r="L1104" s="1" t="s">
        <v>30</v>
      </c>
      <c r="M1104" s="1" t="s">
        <v>172</v>
      </c>
      <c r="N1104" s="1" t="s">
        <v>89</v>
      </c>
      <c r="O1104" s="1">
        <v>77041</v>
      </c>
      <c r="P1104" s="1" t="s">
        <v>90</v>
      </c>
      <c r="Q1104" s="1" t="s">
        <v>988</v>
      </c>
      <c r="R1104" s="1" t="s">
        <v>46</v>
      </c>
      <c r="S1104" s="7">
        <v>2.694</v>
      </c>
      <c r="T1104" s="1">
        <v>7</v>
      </c>
      <c r="U1104" s="9">
        <v>2.64</v>
      </c>
      <c r="V1104" s="9">
        <v>18.858000000000001</v>
      </c>
      <c r="W1104" s="9">
        <v>18.48</v>
      </c>
      <c r="X1104" s="12">
        <v>0.37800000000000011</v>
      </c>
      <c r="Y1104" s="10">
        <v>2018</v>
      </c>
    </row>
    <row r="1105" spans="1:25">
      <c r="A1105" s="1" t="s">
        <v>2675</v>
      </c>
      <c r="B1105" s="8">
        <v>43211</v>
      </c>
      <c r="C1105" s="11" t="s">
        <v>3359</v>
      </c>
      <c r="D1105" s="11" t="s">
        <v>3360</v>
      </c>
      <c r="E1105" s="5" t="s">
        <v>2676</v>
      </c>
      <c r="F1105" s="1" t="s">
        <v>49</v>
      </c>
      <c r="G1105" s="1" t="s">
        <v>1782</v>
      </c>
      <c r="H1105" s="1" t="s">
        <v>3765</v>
      </c>
      <c r="I1105" s="1" t="s">
        <v>3766</v>
      </c>
      <c r="J1105" s="1"/>
      <c r="K1105" s="1" t="s">
        <v>29</v>
      </c>
      <c r="L1105" s="1" t="s">
        <v>30</v>
      </c>
      <c r="M1105" s="1" t="s">
        <v>172</v>
      </c>
      <c r="N1105" s="1" t="s">
        <v>89</v>
      </c>
      <c r="O1105" s="1">
        <v>77041</v>
      </c>
      <c r="P1105" s="1" t="s">
        <v>90</v>
      </c>
      <c r="Q1105" s="1" t="s">
        <v>2479</v>
      </c>
      <c r="R1105" s="1" t="s">
        <v>46</v>
      </c>
      <c r="S1105" s="7">
        <v>2.9340000000000002</v>
      </c>
      <c r="T1105" s="1">
        <v>7</v>
      </c>
      <c r="U1105" s="9">
        <v>2.77</v>
      </c>
      <c r="V1105" s="9">
        <v>20.538</v>
      </c>
      <c r="W1105" s="9">
        <v>19.39</v>
      </c>
      <c r="X1105" s="12">
        <v>1.1479999999999997</v>
      </c>
      <c r="Y1105" s="10">
        <v>2018</v>
      </c>
    </row>
    <row r="1106" spans="1:25">
      <c r="A1106" s="1" t="s">
        <v>2677</v>
      </c>
      <c r="B1106" s="8">
        <v>43029</v>
      </c>
      <c r="C1106" s="11" t="s">
        <v>3387</v>
      </c>
      <c r="D1106" s="11" t="s">
        <v>3349</v>
      </c>
      <c r="E1106" s="5" t="s">
        <v>2678</v>
      </c>
      <c r="F1106" s="1" t="s">
        <v>49</v>
      </c>
      <c r="G1106" s="1" t="s">
        <v>2679</v>
      </c>
      <c r="H1106" s="1" t="s">
        <v>3920</v>
      </c>
      <c r="I1106" s="1" t="s">
        <v>3019</v>
      </c>
      <c r="J1106" s="1"/>
      <c r="K1106" s="1" t="s">
        <v>29</v>
      </c>
      <c r="L1106" s="1" t="s">
        <v>30</v>
      </c>
      <c r="M1106" s="1" t="s">
        <v>2351</v>
      </c>
      <c r="N1106" s="1" t="s">
        <v>68</v>
      </c>
      <c r="O1106" s="1">
        <v>92503</v>
      </c>
      <c r="P1106" s="1" t="s">
        <v>44</v>
      </c>
      <c r="Q1106" s="1" t="s">
        <v>2681</v>
      </c>
      <c r="R1106" s="1" t="s">
        <v>46</v>
      </c>
      <c r="S1106" s="7">
        <v>22.92</v>
      </c>
      <c r="T1106" s="1">
        <v>9</v>
      </c>
      <c r="U1106" s="9">
        <v>22.08</v>
      </c>
      <c r="V1106" s="9">
        <v>206.28000000000003</v>
      </c>
      <c r="W1106" s="9">
        <v>198.71999999999997</v>
      </c>
      <c r="X1106" s="12">
        <v>7.5600000000000591</v>
      </c>
      <c r="Y1106" s="10">
        <v>2017</v>
      </c>
    </row>
    <row r="1107" spans="1:25">
      <c r="A1107" s="1" t="s">
        <v>2682</v>
      </c>
      <c r="B1107" s="8">
        <v>43058</v>
      </c>
      <c r="C1107" s="11" t="s">
        <v>3353</v>
      </c>
      <c r="D1107" s="11" t="s">
        <v>3349</v>
      </c>
      <c r="E1107" s="5" t="s">
        <v>536</v>
      </c>
      <c r="F1107" s="1" t="s">
        <v>49</v>
      </c>
      <c r="G1107" s="1" t="s">
        <v>137</v>
      </c>
      <c r="H1107" s="1" t="s">
        <v>3383</v>
      </c>
      <c r="I1107" s="1" t="s">
        <v>3384</v>
      </c>
      <c r="J1107" s="1"/>
      <c r="K1107" s="1" t="s">
        <v>29</v>
      </c>
      <c r="L1107" s="1" t="s">
        <v>30</v>
      </c>
      <c r="M1107" s="1" t="s">
        <v>172</v>
      </c>
      <c r="N1107" s="1" t="s">
        <v>89</v>
      </c>
      <c r="O1107" s="1">
        <v>77041</v>
      </c>
      <c r="P1107" s="1" t="s">
        <v>90</v>
      </c>
      <c r="Q1107" s="1" t="s">
        <v>693</v>
      </c>
      <c r="R1107" s="1" t="s">
        <v>46</v>
      </c>
      <c r="S1107" s="7">
        <v>100.70399999999999</v>
      </c>
      <c r="T1107" s="1">
        <v>7</v>
      </c>
      <c r="U1107" s="9">
        <v>100.68</v>
      </c>
      <c r="V1107" s="9">
        <v>704.928</v>
      </c>
      <c r="W1107" s="9">
        <v>704.76</v>
      </c>
      <c r="X1107" s="12">
        <v>0.16800000000000637</v>
      </c>
      <c r="Y1107" s="10">
        <v>2017</v>
      </c>
    </row>
    <row r="1108" spans="1:25">
      <c r="A1108" s="1" t="s">
        <v>2682</v>
      </c>
      <c r="B1108" s="8">
        <v>43058</v>
      </c>
      <c r="C1108" s="11" t="s">
        <v>3353</v>
      </c>
      <c r="D1108" s="11" t="s">
        <v>3349</v>
      </c>
      <c r="E1108" s="5" t="s">
        <v>536</v>
      </c>
      <c r="F1108" s="1" t="s">
        <v>49</v>
      </c>
      <c r="G1108" s="1" t="s">
        <v>137</v>
      </c>
      <c r="H1108" s="1" t="s">
        <v>3383</v>
      </c>
      <c r="I1108" s="1" t="s">
        <v>3384</v>
      </c>
      <c r="J1108" s="1"/>
      <c r="K1108" s="1" t="s">
        <v>29</v>
      </c>
      <c r="L1108" s="1" t="s">
        <v>30</v>
      </c>
      <c r="M1108" s="1" t="s">
        <v>172</v>
      </c>
      <c r="N1108" s="1" t="s">
        <v>89</v>
      </c>
      <c r="O1108" s="1">
        <v>77041</v>
      </c>
      <c r="P1108" s="1" t="s">
        <v>90</v>
      </c>
      <c r="Q1108" s="1" t="s">
        <v>1268</v>
      </c>
      <c r="R1108" s="1" t="s">
        <v>35</v>
      </c>
      <c r="S1108" s="7">
        <v>2.3279999999999998</v>
      </c>
      <c r="T1108" s="1">
        <v>7</v>
      </c>
      <c r="U1108" s="9">
        <v>2.3199999999999998</v>
      </c>
      <c r="V1108" s="9">
        <v>16.295999999999999</v>
      </c>
      <c r="W1108" s="9">
        <v>16.239999999999998</v>
      </c>
      <c r="X1108" s="12">
        <v>5.6000000000000938E-2</v>
      </c>
      <c r="Y1108" s="10">
        <v>2017</v>
      </c>
    </row>
    <row r="1109" spans="1:25">
      <c r="A1109" s="1" t="s">
        <v>2682</v>
      </c>
      <c r="B1109" s="8">
        <v>43058</v>
      </c>
      <c r="C1109" s="11" t="s">
        <v>3353</v>
      </c>
      <c r="D1109" s="11" t="s">
        <v>3349</v>
      </c>
      <c r="E1109" s="5" t="s">
        <v>536</v>
      </c>
      <c r="F1109" s="1" t="s">
        <v>49</v>
      </c>
      <c r="G1109" s="1" t="s">
        <v>137</v>
      </c>
      <c r="H1109" s="1" t="s">
        <v>3383</v>
      </c>
      <c r="I1109" s="1" t="s">
        <v>3384</v>
      </c>
      <c r="J1109" s="1"/>
      <c r="K1109" s="1" t="s">
        <v>29</v>
      </c>
      <c r="L1109" s="1" t="s">
        <v>30</v>
      </c>
      <c r="M1109" s="1" t="s">
        <v>172</v>
      </c>
      <c r="N1109" s="1" t="s">
        <v>89</v>
      </c>
      <c r="O1109" s="1">
        <v>77041</v>
      </c>
      <c r="P1109" s="1" t="s">
        <v>90</v>
      </c>
      <c r="Q1109" s="1" t="s">
        <v>2683</v>
      </c>
      <c r="R1109" s="1" t="s">
        <v>46</v>
      </c>
      <c r="S1109" s="7">
        <v>10.78</v>
      </c>
      <c r="T1109" s="1">
        <v>7</v>
      </c>
      <c r="U1109" s="9">
        <v>9.9</v>
      </c>
      <c r="V1109" s="9">
        <v>75.459999999999994</v>
      </c>
      <c r="W1109" s="9">
        <v>69.3</v>
      </c>
      <c r="X1109" s="12">
        <v>6.1599999999999966</v>
      </c>
      <c r="Y1109" s="10">
        <v>2017</v>
      </c>
    </row>
    <row r="1110" spans="1:25">
      <c r="A1110" s="1" t="s">
        <v>2682</v>
      </c>
      <c r="B1110" s="8">
        <v>43058</v>
      </c>
      <c r="C1110" s="11" t="s">
        <v>3353</v>
      </c>
      <c r="D1110" s="11" t="s">
        <v>3349</v>
      </c>
      <c r="E1110" s="5" t="s">
        <v>536</v>
      </c>
      <c r="F1110" s="1" t="s">
        <v>49</v>
      </c>
      <c r="G1110" s="1" t="s">
        <v>137</v>
      </c>
      <c r="H1110" s="1" t="s">
        <v>3383</v>
      </c>
      <c r="I1110" s="1" t="s">
        <v>3384</v>
      </c>
      <c r="J1110" s="1"/>
      <c r="K1110" s="1" t="s">
        <v>29</v>
      </c>
      <c r="L1110" s="1" t="s">
        <v>30</v>
      </c>
      <c r="M1110" s="1" t="s">
        <v>172</v>
      </c>
      <c r="N1110" s="1" t="s">
        <v>89</v>
      </c>
      <c r="O1110" s="1">
        <v>77041</v>
      </c>
      <c r="P1110" s="1" t="s">
        <v>90</v>
      </c>
      <c r="Q1110" s="1" t="s">
        <v>2684</v>
      </c>
      <c r="R1110" s="1" t="s">
        <v>46</v>
      </c>
      <c r="S1110" s="7">
        <v>58.368000000000002</v>
      </c>
      <c r="T1110" s="1">
        <v>7</v>
      </c>
      <c r="U1110" s="9">
        <v>57.92</v>
      </c>
      <c r="V1110" s="9">
        <v>408.57600000000002</v>
      </c>
      <c r="W1110" s="9">
        <v>405.44</v>
      </c>
      <c r="X1110" s="12">
        <v>3.1360000000000241</v>
      </c>
      <c r="Y1110" s="10">
        <v>2017</v>
      </c>
    </row>
    <row r="1111" spans="1:25">
      <c r="A1111" s="1" t="s">
        <v>2682</v>
      </c>
      <c r="B1111" s="8">
        <v>43058</v>
      </c>
      <c r="C1111" s="11" t="s">
        <v>3353</v>
      </c>
      <c r="D1111" s="11" t="s">
        <v>3349</v>
      </c>
      <c r="E1111" s="5" t="s">
        <v>536</v>
      </c>
      <c r="F1111" s="1" t="s">
        <v>49</v>
      </c>
      <c r="G1111" s="1" t="s">
        <v>137</v>
      </c>
      <c r="H1111" s="1" t="s">
        <v>3383</v>
      </c>
      <c r="I1111" s="1" t="s">
        <v>3384</v>
      </c>
      <c r="J1111" s="1"/>
      <c r="K1111" s="1" t="s">
        <v>29</v>
      </c>
      <c r="L1111" s="1" t="s">
        <v>30</v>
      </c>
      <c r="M1111" s="1" t="s">
        <v>172</v>
      </c>
      <c r="N1111" s="1" t="s">
        <v>89</v>
      </c>
      <c r="O1111" s="1">
        <v>77041</v>
      </c>
      <c r="P1111" s="1" t="s">
        <v>90</v>
      </c>
      <c r="Q1111" s="1" t="s">
        <v>2685</v>
      </c>
      <c r="R1111" s="1" t="s">
        <v>46</v>
      </c>
      <c r="S1111" s="7">
        <v>40.968000000000004</v>
      </c>
      <c r="T1111" s="1">
        <v>7</v>
      </c>
      <c r="U1111" s="9">
        <v>40.93</v>
      </c>
      <c r="V1111" s="9">
        <v>286.77600000000001</v>
      </c>
      <c r="W1111" s="9">
        <v>286.51</v>
      </c>
      <c r="X1111" s="12">
        <v>0.26600000000001955</v>
      </c>
      <c r="Y1111" s="10">
        <v>2017</v>
      </c>
    </row>
    <row r="1112" spans="1:25">
      <c r="A1112" s="1" t="s">
        <v>2682</v>
      </c>
      <c r="B1112" s="8">
        <v>43058</v>
      </c>
      <c r="C1112" s="11" t="s">
        <v>3353</v>
      </c>
      <c r="D1112" s="11" t="s">
        <v>3349</v>
      </c>
      <c r="E1112" s="5" t="s">
        <v>536</v>
      </c>
      <c r="F1112" s="1" t="s">
        <v>49</v>
      </c>
      <c r="G1112" s="1" t="s">
        <v>137</v>
      </c>
      <c r="H1112" s="1" t="s">
        <v>3383</v>
      </c>
      <c r="I1112" s="1" t="s">
        <v>3384</v>
      </c>
      <c r="J1112" s="1"/>
      <c r="K1112" s="1" t="s">
        <v>29</v>
      </c>
      <c r="L1112" s="1" t="s">
        <v>30</v>
      </c>
      <c r="M1112" s="1" t="s">
        <v>172</v>
      </c>
      <c r="N1112" s="1" t="s">
        <v>89</v>
      </c>
      <c r="O1112" s="1">
        <v>77041</v>
      </c>
      <c r="P1112" s="1" t="s">
        <v>90</v>
      </c>
      <c r="Q1112" s="1" t="s">
        <v>2686</v>
      </c>
      <c r="R1112" s="1" t="s">
        <v>64</v>
      </c>
      <c r="S1112" s="7">
        <v>71.959999999999994</v>
      </c>
      <c r="T1112" s="1">
        <v>7</v>
      </c>
      <c r="U1112" s="9">
        <v>71.290000000000006</v>
      </c>
      <c r="V1112" s="9">
        <v>503.71999999999997</v>
      </c>
      <c r="W1112" s="9">
        <v>499.03000000000003</v>
      </c>
      <c r="X1112" s="12">
        <v>4.6899999999999409</v>
      </c>
      <c r="Y1112" s="10">
        <v>2017</v>
      </c>
    </row>
    <row r="1113" spans="1:25">
      <c r="A1113" s="1" t="s">
        <v>2682</v>
      </c>
      <c r="B1113" s="8">
        <v>43058</v>
      </c>
      <c r="C1113" s="11" t="s">
        <v>3353</v>
      </c>
      <c r="D1113" s="11" t="s">
        <v>3349</v>
      </c>
      <c r="E1113" s="5" t="s">
        <v>536</v>
      </c>
      <c r="F1113" s="1" t="s">
        <v>49</v>
      </c>
      <c r="G1113" s="1" t="s">
        <v>137</v>
      </c>
      <c r="H1113" s="1" t="s">
        <v>3383</v>
      </c>
      <c r="I1113" s="1" t="s">
        <v>3384</v>
      </c>
      <c r="J1113" s="1"/>
      <c r="K1113" s="1" t="s">
        <v>29</v>
      </c>
      <c r="L1113" s="1" t="s">
        <v>30</v>
      </c>
      <c r="M1113" s="1" t="s">
        <v>172</v>
      </c>
      <c r="N1113" s="1" t="s">
        <v>89</v>
      </c>
      <c r="O1113" s="1">
        <v>77041</v>
      </c>
      <c r="P1113" s="1" t="s">
        <v>90</v>
      </c>
      <c r="Q1113" s="1" t="s">
        <v>2687</v>
      </c>
      <c r="R1113" s="1" t="s">
        <v>46</v>
      </c>
      <c r="S1113" s="7">
        <v>10.368</v>
      </c>
      <c r="T1113" s="1">
        <v>7</v>
      </c>
      <c r="U1113" s="9">
        <v>9.6</v>
      </c>
      <c r="V1113" s="9">
        <v>72.576000000000008</v>
      </c>
      <c r="W1113" s="9">
        <v>67.2</v>
      </c>
      <c r="X1113" s="12">
        <v>5.3760000000000048</v>
      </c>
      <c r="Y1113" s="10">
        <v>2017</v>
      </c>
    </row>
    <row r="1114" spans="1:25">
      <c r="A1114" s="1" t="s">
        <v>2682</v>
      </c>
      <c r="B1114" s="8">
        <v>43058</v>
      </c>
      <c r="C1114" s="11" t="s">
        <v>3353</v>
      </c>
      <c r="D1114" s="11" t="s">
        <v>3349</v>
      </c>
      <c r="E1114" s="5" t="s">
        <v>536</v>
      </c>
      <c r="F1114" s="1" t="s">
        <v>49</v>
      </c>
      <c r="G1114" s="1" t="s">
        <v>137</v>
      </c>
      <c r="H1114" s="1" t="s">
        <v>3383</v>
      </c>
      <c r="I1114" s="1" t="s">
        <v>3384</v>
      </c>
      <c r="J1114" s="1"/>
      <c r="K1114" s="1" t="s">
        <v>29</v>
      </c>
      <c r="L1114" s="1" t="s">
        <v>30</v>
      </c>
      <c r="M1114" s="1" t="s">
        <v>172</v>
      </c>
      <c r="N1114" s="1" t="s">
        <v>89</v>
      </c>
      <c r="O1114" s="1">
        <v>77041</v>
      </c>
      <c r="P1114" s="1" t="s">
        <v>90</v>
      </c>
      <c r="Q1114" s="1" t="s">
        <v>376</v>
      </c>
      <c r="R1114" s="1" t="s">
        <v>46</v>
      </c>
      <c r="S1114" s="7">
        <v>1.1919999999999999</v>
      </c>
      <c r="T1114" s="1">
        <v>7</v>
      </c>
      <c r="U1114" s="9">
        <v>1.1000000000000001</v>
      </c>
      <c r="V1114" s="9">
        <v>8.3439999999999994</v>
      </c>
      <c r="W1114" s="9">
        <v>7.7000000000000011</v>
      </c>
      <c r="X1114" s="12">
        <v>0.64399999999999835</v>
      </c>
      <c r="Y1114" s="10">
        <v>2017</v>
      </c>
    </row>
    <row r="1115" spans="1:25">
      <c r="A1115" s="1" t="s">
        <v>2688</v>
      </c>
      <c r="B1115" s="8">
        <v>43452</v>
      </c>
      <c r="C1115" s="11" t="s">
        <v>3348</v>
      </c>
      <c r="D1115" s="11" t="s">
        <v>3349</v>
      </c>
      <c r="E1115" s="5" t="s">
        <v>2229</v>
      </c>
      <c r="F1115" s="1" t="s">
        <v>26</v>
      </c>
      <c r="G1115" s="1" t="s">
        <v>1081</v>
      </c>
      <c r="H1115" s="1" t="s">
        <v>3612</v>
      </c>
      <c r="I1115" s="1" t="s">
        <v>3613</v>
      </c>
      <c r="J1115" s="1"/>
      <c r="K1115" s="1" t="s">
        <v>29</v>
      </c>
      <c r="L1115" s="1" t="s">
        <v>30</v>
      </c>
      <c r="M1115" s="1" t="s">
        <v>2689</v>
      </c>
      <c r="N1115" s="1" t="s">
        <v>68</v>
      </c>
      <c r="O1115" s="1">
        <v>92024</v>
      </c>
      <c r="P1115" s="1" t="s">
        <v>44</v>
      </c>
      <c r="Q1115" s="1" t="s">
        <v>2261</v>
      </c>
      <c r="R1115" s="1" t="s">
        <v>46</v>
      </c>
      <c r="S1115" s="7">
        <v>46.671999999999997</v>
      </c>
      <c r="T1115" s="1">
        <v>9</v>
      </c>
      <c r="U1115" s="9">
        <v>46.01</v>
      </c>
      <c r="V1115" s="9">
        <v>420.048</v>
      </c>
      <c r="W1115" s="9">
        <v>414.09</v>
      </c>
      <c r="X1115" s="12">
        <v>5.9580000000000268</v>
      </c>
      <c r="Y1115" s="10">
        <v>2018</v>
      </c>
    </row>
    <row r="1116" spans="1:25">
      <c r="A1116" s="1" t="s">
        <v>2688</v>
      </c>
      <c r="B1116" s="8">
        <v>43452</v>
      </c>
      <c r="C1116" s="11" t="s">
        <v>3348</v>
      </c>
      <c r="D1116" s="11" t="s">
        <v>3349</v>
      </c>
      <c r="E1116" s="5" t="s">
        <v>2229</v>
      </c>
      <c r="F1116" s="1" t="s">
        <v>26</v>
      </c>
      <c r="G1116" s="1" t="s">
        <v>1081</v>
      </c>
      <c r="H1116" s="1" t="s">
        <v>3612</v>
      </c>
      <c r="I1116" s="1" t="s">
        <v>3613</v>
      </c>
      <c r="J1116" s="1"/>
      <c r="K1116" s="1" t="s">
        <v>29</v>
      </c>
      <c r="L1116" s="1" t="s">
        <v>30</v>
      </c>
      <c r="M1116" s="1" t="s">
        <v>2689</v>
      </c>
      <c r="N1116" s="1" t="s">
        <v>68</v>
      </c>
      <c r="O1116" s="1">
        <v>92024</v>
      </c>
      <c r="P1116" s="1" t="s">
        <v>44</v>
      </c>
      <c r="Q1116" s="1" t="s">
        <v>2690</v>
      </c>
      <c r="R1116" s="1" t="s">
        <v>35</v>
      </c>
      <c r="S1116" s="7">
        <v>119.833</v>
      </c>
      <c r="T1116" s="1">
        <v>9</v>
      </c>
      <c r="U1116" s="9">
        <v>119.49</v>
      </c>
      <c r="V1116" s="9">
        <v>1078.4970000000001</v>
      </c>
      <c r="W1116" s="9">
        <v>1075.4099999999999</v>
      </c>
      <c r="X1116" s="12">
        <v>3.0870000000002165</v>
      </c>
      <c r="Y1116" s="10">
        <v>2018</v>
      </c>
    </row>
    <row r="1117" spans="1:25">
      <c r="A1117" s="1" t="s">
        <v>2688</v>
      </c>
      <c r="B1117" s="8">
        <v>43452</v>
      </c>
      <c r="C1117" s="11" t="s">
        <v>3348</v>
      </c>
      <c r="D1117" s="11" t="s">
        <v>3349</v>
      </c>
      <c r="E1117" s="5" t="s">
        <v>2229</v>
      </c>
      <c r="F1117" s="1" t="s">
        <v>26</v>
      </c>
      <c r="G1117" s="1" t="s">
        <v>1081</v>
      </c>
      <c r="H1117" s="1" t="s">
        <v>3612</v>
      </c>
      <c r="I1117" s="1" t="s">
        <v>3613</v>
      </c>
      <c r="J1117" s="1"/>
      <c r="K1117" s="1" t="s">
        <v>29</v>
      </c>
      <c r="L1117" s="1" t="s">
        <v>30</v>
      </c>
      <c r="M1117" s="1" t="s">
        <v>2689</v>
      </c>
      <c r="N1117" s="1" t="s">
        <v>68</v>
      </c>
      <c r="O1117" s="1">
        <v>92024</v>
      </c>
      <c r="P1117" s="1" t="s">
        <v>44</v>
      </c>
      <c r="Q1117" s="1" t="s">
        <v>1925</v>
      </c>
      <c r="R1117" s="1" t="s">
        <v>64</v>
      </c>
      <c r="S1117" s="7">
        <v>119.98</v>
      </c>
      <c r="T1117" s="1">
        <v>9</v>
      </c>
      <c r="U1117" s="9">
        <v>119.77</v>
      </c>
      <c r="V1117" s="9">
        <v>1079.82</v>
      </c>
      <c r="W1117" s="9">
        <v>1077.93</v>
      </c>
      <c r="X1117" s="12">
        <v>1.8899999999998727</v>
      </c>
      <c r="Y1117" s="10">
        <v>2018</v>
      </c>
    </row>
    <row r="1118" spans="1:25">
      <c r="A1118" s="1" t="s">
        <v>2691</v>
      </c>
      <c r="B1118" s="8">
        <v>42938</v>
      </c>
      <c r="C1118" s="11" t="s">
        <v>3376</v>
      </c>
      <c r="D1118" s="11" t="s">
        <v>3345</v>
      </c>
      <c r="E1118" s="5" t="s">
        <v>2692</v>
      </c>
      <c r="F1118" s="1" t="s">
        <v>26</v>
      </c>
      <c r="G1118" s="1" t="s">
        <v>2693</v>
      </c>
      <c r="H1118" s="1" t="s">
        <v>3921</v>
      </c>
      <c r="I1118" s="1" t="s">
        <v>3922</v>
      </c>
      <c r="J1118" s="1"/>
      <c r="K1118" s="1" t="s">
        <v>41</v>
      </c>
      <c r="L1118" s="1" t="s">
        <v>30</v>
      </c>
      <c r="M1118" s="1" t="s">
        <v>110</v>
      </c>
      <c r="N1118" s="1" t="s">
        <v>68</v>
      </c>
      <c r="O1118" s="1">
        <v>94110</v>
      </c>
      <c r="P1118" s="1" t="s">
        <v>44</v>
      </c>
      <c r="Q1118" s="1" t="s">
        <v>1173</v>
      </c>
      <c r="R1118" s="1" t="s">
        <v>46</v>
      </c>
      <c r="S1118" s="7">
        <v>6.3</v>
      </c>
      <c r="T1118" s="1">
        <v>9</v>
      </c>
      <c r="U1118" s="9">
        <v>6.14</v>
      </c>
      <c r="V1118" s="9">
        <v>56.699999999999996</v>
      </c>
      <c r="W1118" s="9">
        <v>55.26</v>
      </c>
      <c r="X1118" s="12">
        <v>1.4399999999999977</v>
      </c>
      <c r="Y1118" s="10">
        <v>2017</v>
      </c>
    </row>
    <row r="1119" spans="1:25">
      <c r="A1119" s="1" t="s">
        <v>2695</v>
      </c>
      <c r="B1119" s="8">
        <v>42469</v>
      </c>
      <c r="C1119" s="11" t="s">
        <v>3359</v>
      </c>
      <c r="D1119" s="11" t="s">
        <v>3360</v>
      </c>
      <c r="E1119" s="5">
        <v>42591</v>
      </c>
      <c r="F1119" s="1" t="s">
        <v>49</v>
      </c>
      <c r="G1119" s="1" t="s">
        <v>2696</v>
      </c>
      <c r="H1119" s="1" t="s">
        <v>3562</v>
      </c>
      <c r="I1119" s="1" t="s">
        <v>3660</v>
      </c>
      <c r="J1119" s="1"/>
      <c r="K1119" s="1" t="s">
        <v>29</v>
      </c>
      <c r="L1119" s="1" t="s">
        <v>30</v>
      </c>
      <c r="M1119" s="1" t="s">
        <v>2698</v>
      </c>
      <c r="N1119" s="1" t="s">
        <v>1035</v>
      </c>
      <c r="O1119" s="1">
        <v>30076</v>
      </c>
      <c r="P1119" s="1" t="s">
        <v>33</v>
      </c>
      <c r="Q1119" s="1" t="s">
        <v>1019</v>
      </c>
      <c r="R1119" s="1" t="s">
        <v>46</v>
      </c>
      <c r="S1119" s="7">
        <v>279.89999999999998</v>
      </c>
      <c r="T1119" s="1">
        <v>3</v>
      </c>
      <c r="U1119" s="9">
        <v>279.45</v>
      </c>
      <c r="V1119" s="9">
        <v>839.69999999999993</v>
      </c>
      <c r="W1119" s="9">
        <v>838.34999999999991</v>
      </c>
      <c r="X1119" s="12">
        <v>1.3500000000000227</v>
      </c>
      <c r="Y1119" s="10">
        <v>2016</v>
      </c>
    </row>
    <row r="1120" spans="1:25">
      <c r="A1120" s="1" t="s">
        <v>2695</v>
      </c>
      <c r="B1120" s="8">
        <v>42469</v>
      </c>
      <c r="C1120" s="11" t="s">
        <v>3359</v>
      </c>
      <c r="D1120" s="11" t="s">
        <v>3360</v>
      </c>
      <c r="E1120" s="5">
        <v>42591</v>
      </c>
      <c r="F1120" s="1" t="s">
        <v>49</v>
      </c>
      <c r="G1120" s="1" t="s">
        <v>2696</v>
      </c>
      <c r="H1120" s="1" t="s">
        <v>3562</v>
      </c>
      <c r="I1120" s="1" t="s">
        <v>3660</v>
      </c>
      <c r="J1120" s="1"/>
      <c r="K1120" s="1" t="s">
        <v>29</v>
      </c>
      <c r="L1120" s="1" t="s">
        <v>30</v>
      </c>
      <c r="M1120" s="1" t="s">
        <v>2698</v>
      </c>
      <c r="N1120" s="1" t="s">
        <v>1035</v>
      </c>
      <c r="O1120" s="1">
        <v>30076</v>
      </c>
      <c r="P1120" s="1" t="s">
        <v>33</v>
      </c>
      <c r="Q1120" s="1" t="s">
        <v>2219</v>
      </c>
      <c r="R1120" s="1" t="s">
        <v>64</v>
      </c>
      <c r="S1120" s="7">
        <v>619.95000000000005</v>
      </c>
      <c r="T1120" s="1">
        <v>3</v>
      </c>
      <c r="U1120" s="9">
        <v>619.12</v>
      </c>
      <c r="V1120" s="9">
        <v>1859.8500000000001</v>
      </c>
      <c r="W1120" s="9">
        <v>1857.3600000000001</v>
      </c>
      <c r="X1120" s="12">
        <v>2.4900000000000091</v>
      </c>
      <c r="Y1120" s="10">
        <v>2016</v>
      </c>
    </row>
    <row r="1121" spans="1:25">
      <c r="A1121" s="1" t="s">
        <v>2695</v>
      </c>
      <c r="B1121" s="8">
        <v>42469</v>
      </c>
      <c r="C1121" s="11" t="s">
        <v>3359</v>
      </c>
      <c r="D1121" s="11" t="s">
        <v>3360</v>
      </c>
      <c r="E1121" s="5">
        <v>42591</v>
      </c>
      <c r="F1121" s="1" t="s">
        <v>49</v>
      </c>
      <c r="G1121" s="1" t="s">
        <v>2696</v>
      </c>
      <c r="H1121" s="1" t="s">
        <v>3562</v>
      </c>
      <c r="I1121" s="1" t="s">
        <v>3660</v>
      </c>
      <c r="J1121" s="1"/>
      <c r="K1121" s="1" t="s">
        <v>29</v>
      </c>
      <c r="L1121" s="1" t="s">
        <v>30</v>
      </c>
      <c r="M1121" s="1" t="s">
        <v>2698</v>
      </c>
      <c r="N1121" s="1" t="s">
        <v>1035</v>
      </c>
      <c r="O1121" s="1">
        <v>30076</v>
      </c>
      <c r="P1121" s="1" t="s">
        <v>33</v>
      </c>
      <c r="Q1121" s="1" t="s">
        <v>2699</v>
      </c>
      <c r="R1121" s="1" t="s">
        <v>46</v>
      </c>
      <c r="S1121" s="7">
        <v>4.3600000000000003</v>
      </c>
      <c r="T1121" s="1">
        <v>3</v>
      </c>
      <c r="U1121" s="9">
        <v>3.73</v>
      </c>
      <c r="V1121" s="9">
        <v>13.080000000000002</v>
      </c>
      <c r="W1121" s="9">
        <v>11.19</v>
      </c>
      <c r="X1121" s="12">
        <v>1.8900000000000023</v>
      </c>
      <c r="Y1121" s="10">
        <v>2016</v>
      </c>
    </row>
    <row r="1122" spans="1:25">
      <c r="A1122" s="1" t="s">
        <v>2695</v>
      </c>
      <c r="B1122" s="8">
        <v>42469</v>
      </c>
      <c r="C1122" s="11" t="s">
        <v>3359</v>
      </c>
      <c r="D1122" s="11" t="s">
        <v>3360</v>
      </c>
      <c r="E1122" s="5">
        <v>42591</v>
      </c>
      <c r="F1122" s="1" t="s">
        <v>49</v>
      </c>
      <c r="G1122" s="1" t="s">
        <v>2696</v>
      </c>
      <c r="H1122" s="1" t="s">
        <v>3562</v>
      </c>
      <c r="I1122" s="1" t="s">
        <v>3660</v>
      </c>
      <c r="J1122" s="1"/>
      <c r="K1122" s="1" t="s">
        <v>29</v>
      </c>
      <c r="L1122" s="1" t="s">
        <v>30</v>
      </c>
      <c r="M1122" s="1" t="s">
        <v>2698</v>
      </c>
      <c r="N1122" s="1" t="s">
        <v>1035</v>
      </c>
      <c r="O1122" s="1">
        <v>30076</v>
      </c>
      <c r="P1122" s="1" t="s">
        <v>33</v>
      </c>
      <c r="Q1122" s="1" t="s">
        <v>2114</v>
      </c>
      <c r="R1122" s="1" t="s">
        <v>46</v>
      </c>
      <c r="S1122" s="7">
        <v>15.28</v>
      </c>
      <c r="T1122" s="1">
        <v>3</v>
      </c>
      <c r="U1122" s="9">
        <v>14.37</v>
      </c>
      <c r="V1122" s="9">
        <v>45.839999999999996</v>
      </c>
      <c r="W1122" s="9">
        <v>43.11</v>
      </c>
      <c r="X1122" s="12">
        <v>2.7299999999999969</v>
      </c>
      <c r="Y1122" s="10">
        <v>2016</v>
      </c>
    </row>
    <row r="1123" spans="1:25">
      <c r="A1123" s="1" t="s">
        <v>2700</v>
      </c>
      <c r="B1123" s="8">
        <v>42024</v>
      </c>
      <c r="C1123" s="11" t="s">
        <v>3381</v>
      </c>
      <c r="D1123" s="11" t="s">
        <v>3382</v>
      </c>
      <c r="E1123" s="5" t="s">
        <v>2701</v>
      </c>
      <c r="F1123" s="1" t="s">
        <v>49</v>
      </c>
      <c r="G1123" s="1" t="s">
        <v>2263</v>
      </c>
      <c r="H1123" s="1" t="s">
        <v>3851</v>
      </c>
      <c r="I1123" s="1" t="s">
        <v>3852</v>
      </c>
      <c r="J1123" s="1"/>
      <c r="K1123" s="1" t="s">
        <v>29</v>
      </c>
      <c r="L1123" s="1" t="s">
        <v>30</v>
      </c>
      <c r="M1123" s="1" t="s">
        <v>2702</v>
      </c>
      <c r="N1123" s="1" t="s">
        <v>1388</v>
      </c>
      <c r="O1123" s="1">
        <v>72401</v>
      </c>
      <c r="P1123" s="1" t="s">
        <v>33</v>
      </c>
      <c r="Q1123" s="1" t="s">
        <v>2703</v>
      </c>
      <c r="R1123" s="1" t="s">
        <v>64</v>
      </c>
      <c r="S1123" s="7">
        <v>699.93</v>
      </c>
      <c r="T1123" s="1">
        <v>7</v>
      </c>
      <c r="U1123" s="9">
        <v>699.67</v>
      </c>
      <c r="V1123" s="9">
        <v>4899.5099999999993</v>
      </c>
      <c r="W1123" s="9">
        <v>4897.6899999999996</v>
      </c>
      <c r="X1123" s="12">
        <v>1.819999999999709</v>
      </c>
      <c r="Y1123" s="10">
        <v>2015</v>
      </c>
    </row>
    <row r="1124" spans="1:25">
      <c r="A1124" s="1" t="s">
        <v>2700</v>
      </c>
      <c r="B1124" s="8">
        <v>42024</v>
      </c>
      <c r="C1124" s="11" t="s">
        <v>3381</v>
      </c>
      <c r="D1124" s="11" t="s">
        <v>3382</v>
      </c>
      <c r="E1124" s="5" t="s">
        <v>2701</v>
      </c>
      <c r="F1124" s="1" t="s">
        <v>49</v>
      </c>
      <c r="G1124" s="1" t="s">
        <v>2263</v>
      </c>
      <c r="H1124" s="1" t="s">
        <v>3851</v>
      </c>
      <c r="I1124" s="1" t="s">
        <v>3852</v>
      </c>
      <c r="J1124" s="1"/>
      <c r="K1124" s="1" t="s">
        <v>29</v>
      </c>
      <c r="L1124" s="1" t="s">
        <v>30</v>
      </c>
      <c r="M1124" s="1" t="s">
        <v>2702</v>
      </c>
      <c r="N1124" s="1" t="s">
        <v>1388</v>
      </c>
      <c r="O1124" s="1">
        <v>72401</v>
      </c>
      <c r="P1124" s="1" t="s">
        <v>33</v>
      </c>
      <c r="Q1124" s="1" t="s">
        <v>2704</v>
      </c>
      <c r="R1124" s="1" t="s">
        <v>46</v>
      </c>
      <c r="S1124" s="7">
        <v>22.96</v>
      </c>
      <c r="T1124" s="1">
        <v>7</v>
      </c>
      <c r="U1124" s="9">
        <v>22.2</v>
      </c>
      <c r="V1124" s="9">
        <v>160.72</v>
      </c>
      <c r="W1124" s="9">
        <v>155.4</v>
      </c>
      <c r="X1124" s="12">
        <v>5.3199999999999932</v>
      </c>
      <c r="Y1124" s="10">
        <v>2015</v>
      </c>
    </row>
    <row r="1125" spans="1:25">
      <c r="A1125" s="1" t="s">
        <v>2700</v>
      </c>
      <c r="B1125" s="8">
        <v>42024</v>
      </c>
      <c r="C1125" s="11" t="s">
        <v>3381</v>
      </c>
      <c r="D1125" s="11" t="s">
        <v>3382</v>
      </c>
      <c r="E1125" s="5" t="s">
        <v>2701</v>
      </c>
      <c r="F1125" s="1" t="s">
        <v>49</v>
      </c>
      <c r="G1125" s="1" t="s">
        <v>2263</v>
      </c>
      <c r="H1125" s="1" t="s">
        <v>3851</v>
      </c>
      <c r="I1125" s="1" t="s">
        <v>3852</v>
      </c>
      <c r="J1125" s="1"/>
      <c r="K1125" s="1" t="s">
        <v>29</v>
      </c>
      <c r="L1125" s="1" t="s">
        <v>30</v>
      </c>
      <c r="M1125" s="1" t="s">
        <v>2702</v>
      </c>
      <c r="N1125" s="1" t="s">
        <v>1388</v>
      </c>
      <c r="O1125" s="1">
        <v>72401</v>
      </c>
      <c r="P1125" s="1" t="s">
        <v>33</v>
      </c>
      <c r="Q1125" s="1" t="s">
        <v>298</v>
      </c>
      <c r="R1125" s="1" t="s">
        <v>35</v>
      </c>
      <c r="S1125" s="7">
        <v>38.6</v>
      </c>
      <c r="T1125" s="1">
        <v>7</v>
      </c>
      <c r="U1125" s="9">
        <v>38.22</v>
      </c>
      <c r="V1125" s="9">
        <v>270.2</v>
      </c>
      <c r="W1125" s="9">
        <v>267.53999999999996</v>
      </c>
      <c r="X1125" s="12">
        <v>2.660000000000025</v>
      </c>
      <c r="Y1125" s="10">
        <v>2015</v>
      </c>
    </row>
    <row r="1126" spans="1:25">
      <c r="A1126" s="1" t="s">
        <v>2700</v>
      </c>
      <c r="B1126" s="8">
        <v>42024</v>
      </c>
      <c r="C1126" s="11" t="s">
        <v>3381</v>
      </c>
      <c r="D1126" s="11" t="s">
        <v>3382</v>
      </c>
      <c r="E1126" s="5" t="s">
        <v>2701</v>
      </c>
      <c r="F1126" s="1" t="s">
        <v>49</v>
      </c>
      <c r="G1126" s="1" t="s">
        <v>2263</v>
      </c>
      <c r="H1126" s="1" t="s">
        <v>3851</v>
      </c>
      <c r="I1126" s="1" t="s">
        <v>3852</v>
      </c>
      <c r="J1126" s="1"/>
      <c r="K1126" s="1" t="s">
        <v>29</v>
      </c>
      <c r="L1126" s="1" t="s">
        <v>30</v>
      </c>
      <c r="M1126" s="1" t="s">
        <v>2702</v>
      </c>
      <c r="N1126" s="1" t="s">
        <v>1388</v>
      </c>
      <c r="O1126" s="1">
        <v>72401</v>
      </c>
      <c r="P1126" s="1" t="s">
        <v>33</v>
      </c>
      <c r="Q1126" s="1" t="s">
        <v>1428</v>
      </c>
      <c r="R1126" s="1" t="s">
        <v>46</v>
      </c>
      <c r="S1126" s="7">
        <v>6.63</v>
      </c>
      <c r="T1126" s="1">
        <v>7</v>
      </c>
      <c r="U1126" s="9">
        <v>6.15</v>
      </c>
      <c r="V1126" s="9">
        <v>46.41</v>
      </c>
      <c r="W1126" s="9">
        <v>43.050000000000004</v>
      </c>
      <c r="X1126" s="12">
        <v>3.3599999999999923</v>
      </c>
      <c r="Y1126" s="10">
        <v>2015</v>
      </c>
    </row>
    <row r="1127" spans="1:25">
      <c r="A1127" s="1" t="s">
        <v>2700</v>
      </c>
      <c r="B1127" s="8">
        <v>42024</v>
      </c>
      <c r="C1127" s="11" t="s">
        <v>3381</v>
      </c>
      <c r="D1127" s="11" t="s">
        <v>3382</v>
      </c>
      <c r="E1127" s="5" t="s">
        <v>2701</v>
      </c>
      <c r="F1127" s="1" t="s">
        <v>49</v>
      </c>
      <c r="G1127" s="1" t="s">
        <v>2263</v>
      </c>
      <c r="H1127" s="1" t="s">
        <v>3851</v>
      </c>
      <c r="I1127" s="1" t="s">
        <v>3852</v>
      </c>
      <c r="J1127" s="1"/>
      <c r="K1127" s="1" t="s">
        <v>29</v>
      </c>
      <c r="L1127" s="1" t="s">
        <v>30</v>
      </c>
      <c r="M1127" s="1" t="s">
        <v>2702</v>
      </c>
      <c r="N1127" s="1" t="s">
        <v>1388</v>
      </c>
      <c r="O1127" s="1">
        <v>72401</v>
      </c>
      <c r="P1127" s="1" t="s">
        <v>33</v>
      </c>
      <c r="Q1127" s="1" t="s">
        <v>2705</v>
      </c>
      <c r="R1127" s="1" t="s">
        <v>46</v>
      </c>
      <c r="S1127" s="7">
        <v>23.34</v>
      </c>
      <c r="T1127" s="1">
        <v>7</v>
      </c>
      <c r="U1127" s="9">
        <v>22.41</v>
      </c>
      <c r="V1127" s="9">
        <v>163.38</v>
      </c>
      <c r="W1127" s="9">
        <v>156.87</v>
      </c>
      <c r="X1127" s="12">
        <v>6.5099999999999909</v>
      </c>
      <c r="Y1127" s="10">
        <v>2015</v>
      </c>
    </row>
    <row r="1128" spans="1:25">
      <c r="A1128" s="1" t="s">
        <v>2700</v>
      </c>
      <c r="B1128" s="8">
        <v>42024</v>
      </c>
      <c r="C1128" s="11" t="s">
        <v>3381</v>
      </c>
      <c r="D1128" s="11" t="s">
        <v>3382</v>
      </c>
      <c r="E1128" s="5" t="s">
        <v>2701</v>
      </c>
      <c r="F1128" s="1" t="s">
        <v>49</v>
      </c>
      <c r="G1128" s="1" t="s">
        <v>2263</v>
      </c>
      <c r="H1128" s="1" t="s">
        <v>3851</v>
      </c>
      <c r="I1128" s="1" t="s">
        <v>3852</v>
      </c>
      <c r="J1128" s="1"/>
      <c r="K1128" s="1" t="s">
        <v>29</v>
      </c>
      <c r="L1128" s="1" t="s">
        <v>30</v>
      </c>
      <c r="M1128" s="1" t="s">
        <v>2702</v>
      </c>
      <c r="N1128" s="1" t="s">
        <v>1388</v>
      </c>
      <c r="O1128" s="1">
        <v>72401</v>
      </c>
      <c r="P1128" s="1" t="s">
        <v>33</v>
      </c>
      <c r="Q1128" s="1" t="s">
        <v>1293</v>
      </c>
      <c r="R1128" s="1" t="s">
        <v>35</v>
      </c>
      <c r="S1128" s="7">
        <v>1067.94</v>
      </c>
      <c r="T1128" s="1">
        <v>7</v>
      </c>
      <c r="U1128" s="9">
        <v>1067.08</v>
      </c>
      <c r="V1128" s="9">
        <v>7475.58</v>
      </c>
      <c r="W1128" s="9">
        <v>7469.5599999999995</v>
      </c>
      <c r="X1128" s="12">
        <v>6.0200000000004366</v>
      </c>
      <c r="Y1128" s="10">
        <v>2015</v>
      </c>
    </row>
    <row r="1129" spans="1:25">
      <c r="A1129" s="1" t="s">
        <v>2706</v>
      </c>
      <c r="B1129" s="8">
        <v>42403</v>
      </c>
      <c r="C1129" s="11" t="s">
        <v>3461</v>
      </c>
      <c r="D1129" s="11" t="s">
        <v>3382</v>
      </c>
      <c r="E1129" s="5">
        <v>42554</v>
      </c>
      <c r="F1129" s="1" t="s">
        <v>49</v>
      </c>
      <c r="G1129" s="1" t="s">
        <v>400</v>
      </c>
      <c r="H1129" s="1" t="s">
        <v>3368</v>
      </c>
      <c r="I1129" s="1" t="s">
        <v>3454</v>
      </c>
      <c r="J1129" s="1"/>
      <c r="K1129" s="1" t="s">
        <v>87</v>
      </c>
      <c r="L1129" s="1" t="s">
        <v>30</v>
      </c>
      <c r="M1129" s="1" t="s">
        <v>1192</v>
      </c>
      <c r="N1129" s="1" t="s">
        <v>224</v>
      </c>
      <c r="O1129" s="1">
        <v>47374</v>
      </c>
      <c r="P1129" s="1" t="s">
        <v>90</v>
      </c>
      <c r="Q1129" s="1" t="s">
        <v>1276</v>
      </c>
      <c r="R1129" s="1" t="s">
        <v>46</v>
      </c>
      <c r="S1129" s="7">
        <v>10.16</v>
      </c>
      <c r="T1129" s="1">
        <v>4</v>
      </c>
      <c r="U1129" s="9">
        <v>9.4499999999999993</v>
      </c>
      <c r="V1129" s="9">
        <v>40.64</v>
      </c>
      <c r="W1129" s="9">
        <v>37.799999999999997</v>
      </c>
      <c r="X1129" s="12">
        <v>2.8400000000000034</v>
      </c>
      <c r="Y1129" s="10">
        <v>2016</v>
      </c>
    </row>
    <row r="1130" spans="1:25">
      <c r="A1130" s="1" t="s">
        <v>2706</v>
      </c>
      <c r="B1130" s="8">
        <v>42403</v>
      </c>
      <c r="C1130" s="11" t="s">
        <v>3461</v>
      </c>
      <c r="D1130" s="11" t="s">
        <v>3382</v>
      </c>
      <c r="E1130" s="5">
        <v>42554</v>
      </c>
      <c r="F1130" s="1" t="s">
        <v>49</v>
      </c>
      <c r="G1130" s="1" t="s">
        <v>400</v>
      </c>
      <c r="H1130" s="1" t="s">
        <v>3368</v>
      </c>
      <c r="I1130" s="1" t="s">
        <v>3454</v>
      </c>
      <c r="J1130" s="1"/>
      <c r="K1130" s="1" t="s">
        <v>87</v>
      </c>
      <c r="L1130" s="1" t="s">
        <v>30</v>
      </c>
      <c r="M1130" s="1" t="s">
        <v>1192</v>
      </c>
      <c r="N1130" s="1" t="s">
        <v>224</v>
      </c>
      <c r="O1130" s="1">
        <v>47374</v>
      </c>
      <c r="P1130" s="1" t="s">
        <v>90</v>
      </c>
      <c r="Q1130" s="1" t="s">
        <v>1984</v>
      </c>
      <c r="R1130" s="1" t="s">
        <v>46</v>
      </c>
      <c r="S1130" s="7">
        <v>101.88</v>
      </c>
      <c r="T1130" s="1">
        <v>4</v>
      </c>
      <c r="U1130" s="9">
        <v>101.58</v>
      </c>
      <c r="V1130" s="9">
        <v>407.52</v>
      </c>
      <c r="W1130" s="9">
        <v>406.32</v>
      </c>
      <c r="X1130" s="12">
        <v>1.1999999999999886</v>
      </c>
      <c r="Y1130" s="10">
        <v>2016</v>
      </c>
    </row>
    <row r="1131" spans="1:25">
      <c r="A1131" s="1" t="s">
        <v>2707</v>
      </c>
      <c r="B1131" s="8">
        <v>43073</v>
      </c>
      <c r="C1131" s="11" t="s">
        <v>3348</v>
      </c>
      <c r="D1131" s="11" t="s">
        <v>3349</v>
      </c>
      <c r="E1131" s="5" t="s">
        <v>2708</v>
      </c>
      <c r="F1131" s="1" t="s">
        <v>49</v>
      </c>
      <c r="G1131" s="1" t="s">
        <v>1452</v>
      </c>
      <c r="H1131" s="1" t="s">
        <v>3687</v>
      </c>
      <c r="I1131" s="1" t="s">
        <v>3596</v>
      </c>
      <c r="J1131" s="1"/>
      <c r="K1131" s="1" t="s">
        <v>29</v>
      </c>
      <c r="L1131" s="1" t="s">
        <v>30</v>
      </c>
      <c r="M1131" s="1" t="s">
        <v>271</v>
      </c>
      <c r="N1131" s="1" t="s">
        <v>272</v>
      </c>
      <c r="O1131" s="1">
        <v>22153</v>
      </c>
      <c r="P1131" s="1" t="s">
        <v>33</v>
      </c>
      <c r="Q1131" s="1" t="s">
        <v>2709</v>
      </c>
      <c r="R1131" s="1" t="s">
        <v>35</v>
      </c>
      <c r="S1131" s="7">
        <v>343.92</v>
      </c>
      <c r="T1131" s="1">
        <v>2</v>
      </c>
      <c r="U1131" s="9">
        <v>343.14</v>
      </c>
      <c r="V1131" s="9">
        <v>687.84</v>
      </c>
      <c r="W1131" s="9">
        <v>686.28</v>
      </c>
      <c r="X1131" s="12">
        <v>1.5600000000000591</v>
      </c>
      <c r="Y1131" s="10">
        <v>2017</v>
      </c>
    </row>
    <row r="1132" spans="1:25">
      <c r="A1132" s="1" t="s">
        <v>2707</v>
      </c>
      <c r="B1132" s="8">
        <v>43073</v>
      </c>
      <c r="C1132" s="11" t="s">
        <v>3348</v>
      </c>
      <c r="D1132" s="11" t="s">
        <v>3349</v>
      </c>
      <c r="E1132" s="5" t="s">
        <v>2708</v>
      </c>
      <c r="F1132" s="1" t="s">
        <v>49</v>
      </c>
      <c r="G1132" s="1" t="s">
        <v>1452</v>
      </c>
      <c r="H1132" s="1" t="s">
        <v>3687</v>
      </c>
      <c r="I1132" s="1" t="s">
        <v>3596</v>
      </c>
      <c r="J1132" s="1"/>
      <c r="K1132" s="1" t="s">
        <v>29</v>
      </c>
      <c r="L1132" s="1" t="s">
        <v>30</v>
      </c>
      <c r="M1132" s="1" t="s">
        <v>271</v>
      </c>
      <c r="N1132" s="1" t="s">
        <v>272</v>
      </c>
      <c r="O1132" s="1">
        <v>22153</v>
      </c>
      <c r="P1132" s="1" t="s">
        <v>33</v>
      </c>
      <c r="Q1132" s="1" t="s">
        <v>2710</v>
      </c>
      <c r="R1132" s="1" t="s">
        <v>46</v>
      </c>
      <c r="S1132" s="7">
        <v>40.99</v>
      </c>
      <c r="T1132" s="1">
        <v>2</v>
      </c>
      <c r="U1132" s="9">
        <v>40.98</v>
      </c>
      <c r="V1132" s="9">
        <v>81.98</v>
      </c>
      <c r="W1132" s="9">
        <v>81.96</v>
      </c>
      <c r="X1132" s="12">
        <v>2.0000000000010232E-2</v>
      </c>
      <c r="Y1132" s="10">
        <v>2017</v>
      </c>
    </row>
    <row r="1133" spans="1:25">
      <c r="A1133" s="1" t="s">
        <v>2707</v>
      </c>
      <c r="B1133" s="8">
        <v>43073</v>
      </c>
      <c r="C1133" s="11" t="s">
        <v>3348</v>
      </c>
      <c r="D1133" s="11" t="s">
        <v>3349</v>
      </c>
      <c r="E1133" s="5" t="s">
        <v>2708</v>
      </c>
      <c r="F1133" s="1" t="s">
        <v>49</v>
      </c>
      <c r="G1133" s="1" t="s">
        <v>1452</v>
      </c>
      <c r="H1133" s="1" t="s">
        <v>3687</v>
      </c>
      <c r="I1133" s="1" t="s">
        <v>3596</v>
      </c>
      <c r="J1133" s="1"/>
      <c r="K1133" s="1" t="s">
        <v>29</v>
      </c>
      <c r="L1133" s="1" t="s">
        <v>30</v>
      </c>
      <c r="M1133" s="1" t="s">
        <v>271</v>
      </c>
      <c r="N1133" s="1" t="s">
        <v>272</v>
      </c>
      <c r="O1133" s="1">
        <v>22153</v>
      </c>
      <c r="P1133" s="1" t="s">
        <v>33</v>
      </c>
      <c r="Q1133" s="1" t="s">
        <v>441</v>
      </c>
      <c r="R1133" s="1" t="s">
        <v>46</v>
      </c>
      <c r="S1133" s="7">
        <v>63.9</v>
      </c>
      <c r="T1133" s="1">
        <v>2</v>
      </c>
      <c r="U1133" s="9">
        <v>63.42</v>
      </c>
      <c r="V1133" s="9">
        <v>127.8</v>
      </c>
      <c r="W1133" s="9">
        <v>126.84</v>
      </c>
      <c r="X1133" s="12">
        <v>0.95999999999999375</v>
      </c>
      <c r="Y1133" s="10">
        <v>2017</v>
      </c>
    </row>
    <row r="1134" spans="1:25">
      <c r="A1134" s="1" t="s">
        <v>2711</v>
      </c>
      <c r="B1134" s="8">
        <v>42898</v>
      </c>
      <c r="C1134" s="11" t="s">
        <v>3403</v>
      </c>
      <c r="D1134" s="11" t="s">
        <v>3360</v>
      </c>
      <c r="E1134" s="5">
        <v>42928</v>
      </c>
      <c r="F1134" s="1" t="s">
        <v>162</v>
      </c>
      <c r="G1134" s="1" t="s">
        <v>431</v>
      </c>
      <c r="H1134" s="1" t="s">
        <v>3464</v>
      </c>
      <c r="I1134" s="1" t="s">
        <v>3465</v>
      </c>
      <c r="J1134" s="1"/>
      <c r="K1134" s="1" t="s">
        <v>41</v>
      </c>
      <c r="L1134" s="1" t="s">
        <v>30</v>
      </c>
      <c r="M1134" s="1" t="s">
        <v>2712</v>
      </c>
      <c r="N1134" s="1" t="s">
        <v>68</v>
      </c>
      <c r="O1134" s="1">
        <v>94509</v>
      </c>
      <c r="P1134" s="1" t="s">
        <v>44</v>
      </c>
      <c r="Q1134" s="1" t="s">
        <v>866</v>
      </c>
      <c r="R1134" s="1" t="s">
        <v>46</v>
      </c>
      <c r="S1134" s="7">
        <v>19.440000000000001</v>
      </c>
      <c r="T1134" s="1">
        <v>9</v>
      </c>
      <c r="U1134" s="9">
        <v>18.98</v>
      </c>
      <c r="V1134" s="9">
        <v>174.96</v>
      </c>
      <c r="W1134" s="9">
        <v>170.82</v>
      </c>
      <c r="X1134" s="12">
        <v>4.1400000000000148</v>
      </c>
      <c r="Y1134" s="10">
        <v>2017</v>
      </c>
    </row>
    <row r="1135" spans="1:25">
      <c r="A1135" s="1" t="s">
        <v>2713</v>
      </c>
      <c r="B1135" s="8">
        <v>42861</v>
      </c>
      <c r="C1135" s="11" t="s">
        <v>3363</v>
      </c>
      <c r="D1135" s="11" t="s">
        <v>3360</v>
      </c>
      <c r="E1135" s="5">
        <v>42984</v>
      </c>
      <c r="F1135" s="1" t="s">
        <v>49</v>
      </c>
      <c r="G1135" s="1" t="s">
        <v>1309</v>
      </c>
      <c r="H1135" s="1" t="s">
        <v>3541</v>
      </c>
      <c r="I1135" s="1" t="s">
        <v>3660</v>
      </c>
      <c r="J1135" s="1"/>
      <c r="K1135" s="1" t="s">
        <v>87</v>
      </c>
      <c r="L1135" s="1" t="s">
        <v>30</v>
      </c>
      <c r="M1135" s="1" t="s">
        <v>126</v>
      </c>
      <c r="N1135" s="1" t="s">
        <v>127</v>
      </c>
      <c r="O1135" s="1">
        <v>19134</v>
      </c>
      <c r="P1135" s="1" t="s">
        <v>128</v>
      </c>
      <c r="Q1135" s="1" t="s">
        <v>188</v>
      </c>
      <c r="R1135" s="1" t="s">
        <v>46</v>
      </c>
      <c r="S1135" s="7">
        <v>124.608</v>
      </c>
      <c r="T1135" s="1">
        <v>1</v>
      </c>
      <c r="U1135" s="9">
        <v>124.07</v>
      </c>
      <c r="V1135" s="9">
        <v>124.608</v>
      </c>
      <c r="W1135" s="9">
        <v>124.07</v>
      </c>
      <c r="X1135" s="12">
        <v>0.53800000000001091</v>
      </c>
      <c r="Y1135" s="10">
        <v>2017</v>
      </c>
    </row>
    <row r="1136" spans="1:25">
      <c r="A1136" s="1" t="s">
        <v>2713</v>
      </c>
      <c r="B1136" s="8">
        <v>42861</v>
      </c>
      <c r="C1136" s="11" t="s">
        <v>3363</v>
      </c>
      <c r="D1136" s="11" t="s">
        <v>3360</v>
      </c>
      <c r="E1136" s="5">
        <v>42984</v>
      </c>
      <c r="F1136" s="1" t="s">
        <v>49</v>
      </c>
      <c r="G1136" s="1" t="s">
        <v>1309</v>
      </c>
      <c r="H1136" s="1" t="s">
        <v>3541</v>
      </c>
      <c r="I1136" s="1" t="s">
        <v>3660</v>
      </c>
      <c r="J1136" s="1"/>
      <c r="K1136" s="1" t="s">
        <v>87</v>
      </c>
      <c r="L1136" s="1" t="s">
        <v>30</v>
      </c>
      <c r="M1136" s="1" t="s">
        <v>126</v>
      </c>
      <c r="N1136" s="1" t="s">
        <v>127</v>
      </c>
      <c r="O1136" s="1">
        <v>19134</v>
      </c>
      <c r="P1136" s="1" t="s">
        <v>128</v>
      </c>
      <c r="Q1136" s="1" t="s">
        <v>2714</v>
      </c>
      <c r="R1136" s="1" t="s">
        <v>46</v>
      </c>
      <c r="S1136" s="7">
        <v>7.56</v>
      </c>
      <c r="T1136" s="1">
        <v>1</v>
      </c>
      <c r="U1136" s="9">
        <v>6.98</v>
      </c>
      <c r="V1136" s="9">
        <v>7.56</v>
      </c>
      <c r="W1136" s="9">
        <v>6.98</v>
      </c>
      <c r="X1136" s="12">
        <v>0.57999999999999918</v>
      </c>
      <c r="Y1136" s="10">
        <v>2017</v>
      </c>
    </row>
    <row r="1137" spans="1:25">
      <c r="A1137" s="1" t="s">
        <v>2715</v>
      </c>
      <c r="B1137" s="8">
        <v>43051</v>
      </c>
      <c r="C1137" s="11" t="s">
        <v>3353</v>
      </c>
      <c r="D1137" s="11" t="s">
        <v>3349</v>
      </c>
      <c r="E1137" s="5">
        <v>43051</v>
      </c>
      <c r="F1137" s="1" t="s">
        <v>1050</v>
      </c>
      <c r="G1137" s="1" t="s">
        <v>1621</v>
      </c>
      <c r="H1137" s="1" t="s">
        <v>3404</v>
      </c>
      <c r="I1137" s="1" t="s">
        <v>3724</v>
      </c>
      <c r="J1137" s="1"/>
      <c r="K1137" s="1" t="s">
        <v>29</v>
      </c>
      <c r="L1137" s="1" t="s">
        <v>30</v>
      </c>
      <c r="M1137" s="1" t="s">
        <v>2716</v>
      </c>
      <c r="N1137" s="1" t="s">
        <v>194</v>
      </c>
      <c r="O1137" s="1">
        <v>33030</v>
      </c>
      <c r="P1137" s="1" t="s">
        <v>33</v>
      </c>
      <c r="Q1137" s="1" t="s">
        <v>2717</v>
      </c>
      <c r="R1137" s="1" t="s">
        <v>46</v>
      </c>
      <c r="S1137" s="7">
        <v>85.224000000000004</v>
      </c>
      <c r="T1137" s="1">
        <v>3</v>
      </c>
      <c r="U1137" s="9">
        <v>85.09</v>
      </c>
      <c r="V1137" s="9">
        <v>255.67200000000003</v>
      </c>
      <c r="W1137" s="9">
        <v>255.27</v>
      </c>
      <c r="X1137" s="12">
        <v>0.40200000000001523</v>
      </c>
      <c r="Y1137" s="10">
        <v>2017</v>
      </c>
    </row>
    <row r="1138" spans="1:25">
      <c r="A1138" s="1" t="s">
        <v>2718</v>
      </c>
      <c r="B1138" s="8">
        <v>43080</v>
      </c>
      <c r="C1138" s="11" t="s">
        <v>3348</v>
      </c>
      <c r="D1138" s="11" t="s">
        <v>3349</v>
      </c>
      <c r="E1138" s="5" t="s">
        <v>2719</v>
      </c>
      <c r="F1138" s="1" t="s">
        <v>26</v>
      </c>
      <c r="G1138" s="1" t="s">
        <v>2720</v>
      </c>
      <c r="H1138" s="1" t="s">
        <v>3513</v>
      </c>
      <c r="I1138" s="1" t="s">
        <v>3923</v>
      </c>
      <c r="J1138" s="1"/>
      <c r="K1138" s="1" t="s">
        <v>41</v>
      </c>
      <c r="L1138" s="1" t="s">
        <v>30</v>
      </c>
      <c r="M1138" s="1" t="s">
        <v>2722</v>
      </c>
      <c r="N1138" s="1" t="s">
        <v>224</v>
      </c>
      <c r="O1138" s="1">
        <v>46350</v>
      </c>
      <c r="P1138" s="1" t="s">
        <v>90</v>
      </c>
      <c r="Q1138" s="1" t="s">
        <v>2723</v>
      </c>
      <c r="R1138" s="1" t="s">
        <v>46</v>
      </c>
      <c r="S1138" s="7">
        <v>287.52</v>
      </c>
      <c r="T1138" s="1">
        <v>4</v>
      </c>
      <c r="U1138" s="9">
        <v>287.48</v>
      </c>
      <c r="V1138" s="9">
        <v>1150.08</v>
      </c>
      <c r="W1138" s="9">
        <v>1149.92</v>
      </c>
      <c r="X1138" s="12">
        <v>0.15999999999985448</v>
      </c>
      <c r="Y1138" s="10">
        <v>2017</v>
      </c>
    </row>
    <row r="1139" spans="1:25">
      <c r="A1139" s="1" t="s">
        <v>2718</v>
      </c>
      <c r="B1139" s="8">
        <v>43080</v>
      </c>
      <c r="C1139" s="11" t="s">
        <v>3348</v>
      </c>
      <c r="D1139" s="11" t="s">
        <v>3349</v>
      </c>
      <c r="E1139" s="5" t="s">
        <v>2719</v>
      </c>
      <c r="F1139" s="1" t="s">
        <v>26</v>
      </c>
      <c r="G1139" s="1" t="s">
        <v>2720</v>
      </c>
      <c r="H1139" s="1" t="s">
        <v>3513</v>
      </c>
      <c r="I1139" s="1" t="s">
        <v>3923</v>
      </c>
      <c r="J1139" s="1"/>
      <c r="K1139" s="1" t="s">
        <v>41</v>
      </c>
      <c r="L1139" s="1" t="s">
        <v>30</v>
      </c>
      <c r="M1139" s="1" t="s">
        <v>2722</v>
      </c>
      <c r="N1139" s="1" t="s">
        <v>224</v>
      </c>
      <c r="O1139" s="1">
        <v>46350</v>
      </c>
      <c r="P1139" s="1" t="s">
        <v>90</v>
      </c>
      <c r="Q1139" s="1" t="s">
        <v>1744</v>
      </c>
      <c r="R1139" s="1" t="s">
        <v>46</v>
      </c>
      <c r="S1139" s="7">
        <v>37.68</v>
      </c>
      <c r="T1139" s="1">
        <v>4</v>
      </c>
      <c r="U1139" s="9">
        <v>37.68</v>
      </c>
      <c r="V1139" s="9">
        <v>150.72</v>
      </c>
      <c r="W1139" s="9">
        <v>150.72</v>
      </c>
      <c r="X1139" s="12">
        <v>0</v>
      </c>
      <c r="Y1139" s="10">
        <v>2017</v>
      </c>
    </row>
    <row r="1140" spans="1:25">
      <c r="A1140" s="1" t="s">
        <v>2718</v>
      </c>
      <c r="B1140" s="8">
        <v>43080</v>
      </c>
      <c r="C1140" s="11" t="s">
        <v>3348</v>
      </c>
      <c r="D1140" s="11" t="s">
        <v>3349</v>
      </c>
      <c r="E1140" s="5" t="s">
        <v>2719</v>
      </c>
      <c r="F1140" s="1" t="s">
        <v>26</v>
      </c>
      <c r="G1140" s="1" t="s">
        <v>2720</v>
      </c>
      <c r="H1140" s="1" t="s">
        <v>3513</v>
      </c>
      <c r="I1140" s="1" t="s">
        <v>3923</v>
      </c>
      <c r="J1140" s="1"/>
      <c r="K1140" s="1" t="s">
        <v>41</v>
      </c>
      <c r="L1140" s="1" t="s">
        <v>30</v>
      </c>
      <c r="M1140" s="1" t="s">
        <v>2722</v>
      </c>
      <c r="N1140" s="1" t="s">
        <v>224</v>
      </c>
      <c r="O1140" s="1">
        <v>46350</v>
      </c>
      <c r="P1140" s="1" t="s">
        <v>90</v>
      </c>
      <c r="Q1140" s="1" t="s">
        <v>2724</v>
      </c>
      <c r="R1140" s="1" t="s">
        <v>46</v>
      </c>
      <c r="S1140" s="7">
        <v>19.98</v>
      </c>
      <c r="T1140" s="1">
        <v>4</v>
      </c>
      <c r="U1140" s="9">
        <v>19.010000000000002</v>
      </c>
      <c r="V1140" s="9">
        <v>79.92</v>
      </c>
      <c r="W1140" s="9">
        <v>76.040000000000006</v>
      </c>
      <c r="X1140" s="12">
        <v>3.8799999999999955</v>
      </c>
      <c r="Y1140" s="10">
        <v>2017</v>
      </c>
    </row>
    <row r="1141" spans="1:25">
      <c r="A1141" s="1" t="s">
        <v>2718</v>
      </c>
      <c r="B1141" s="8">
        <v>43080</v>
      </c>
      <c r="C1141" s="11" t="s">
        <v>3348</v>
      </c>
      <c r="D1141" s="11" t="s">
        <v>3349</v>
      </c>
      <c r="E1141" s="5" t="s">
        <v>2719</v>
      </c>
      <c r="F1141" s="1" t="s">
        <v>26</v>
      </c>
      <c r="G1141" s="1" t="s">
        <v>2720</v>
      </c>
      <c r="H1141" s="1" t="s">
        <v>3513</v>
      </c>
      <c r="I1141" s="1" t="s">
        <v>3923</v>
      </c>
      <c r="J1141" s="1"/>
      <c r="K1141" s="1" t="s">
        <v>41</v>
      </c>
      <c r="L1141" s="1" t="s">
        <v>30</v>
      </c>
      <c r="M1141" s="1" t="s">
        <v>2722</v>
      </c>
      <c r="N1141" s="1" t="s">
        <v>224</v>
      </c>
      <c r="O1141" s="1">
        <v>46350</v>
      </c>
      <c r="P1141" s="1" t="s">
        <v>90</v>
      </c>
      <c r="Q1141" s="1" t="s">
        <v>1579</v>
      </c>
      <c r="R1141" s="1" t="s">
        <v>46</v>
      </c>
      <c r="S1141" s="7">
        <v>20.58</v>
      </c>
      <c r="T1141" s="1">
        <v>4</v>
      </c>
      <c r="U1141" s="9">
        <v>20.440000000000001</v>
      </c>
      <c r="V1141" s="9">
        <v>82.32</v>
      </c>
      <c r="W1141" s="9">
        <v>81.760000000000005</v>
      </c>
      <c r="X1141" s="12">
        <v>0.55999999999998806</v>
      </c>
      <c r="Y1141" s="10">
        <v>2017</v>
      </c>
    </row>
    <row r="1142" spans="1:25">
      <c r="A1142" s="1" t="s">
        <v>2718</v>
      </c>
      <c r="B1142" s="8">
        <v>43080</v>
      </c>
      <c r="C1142" s="11" t="s">
        <v>3348</v>
      </c>
      <c r="D1142" s="11" t="s">
        <v>3349</v>
      </c>
      <c r="E1142" s="5" t="s">
        <v>2719</v>
      </c>
      <c r="F1142" s="1" t="s">
        <v>26</v>
      </c>
      <c r="G1142" s="1" t="s">
        <v>2720</v>
      </c>
      <c r="H1142" s="1" t="s">
        <v>3513</v>
      </c>
      <c r="I1142" s="1" t="s">
        <v>3923</v>
      </c>
      <c r="J1142" s="1"/>
      <c r="K1142" s="1" t="s">
        <v>41</v>
      </c>
      <c r="L1142" s="1" t="s">
        <v>30</v>
      </c>
      <c r="M1142" s="1" t="s">
        <v>2722</v>
      </c>
      <c r="N1142" s="1" t="s">
        <v>224</v>
      </c>
      <c r="O1142" s="1">
        <v>46350</v>
      </c>
      <c r="P1142" s="1" t="s">
        <v>90</v>
      </c>
      <c r="Q1142" s="1" t="s">
        <v>2725</v>
      </c>
      <c r="R1142" s="1" t="s">
        <v>46</v>
      </c>
      <c r="S1142" s="7">
        <v>17.38</v>
      </c>
      <c r="T1142" s="1">
        <v>4</v>
      </c>
      <c r="U1142" s="9">
        <v>16.850000000000001</v>
      </c>
      <c r="V1142" s="9">
        <v>69.52</v>
      </c>
      <c r="W1142" s="9">
        <v>67.400000000000006</v>
      </c>
      <c r="X1142" s="12">
        <v>2.1199999999999903</v>
      </c>
      <c r="Y1142" s="10">
        <v>2017</v>
      </c>
    </row>
    <row r="1143" spans="1:25">
      <c r="A1143" s="1" t="s">
        <v>2726</v>
      </c>
      <c r="B1143" s="8">
        <v>42276</v>
      </c>
      <c r="C1143" s="11" t="s">
        <v>3356</v>
      </c>
      <c r="D1143" s="11" t="s">
        <v>3345</v>
      </c>
      <c r="E1143" s="5">
        <v>42073</v>
      </c>
      <c r="F1143" s="1" t="s">
        <v>49</v>
      </c>
      <c r="G1143" s="1" t="s">
        <v>1867</v>
      </c>
      <c r="H1143" s="1" t="s">
        <v>3607</v>
      </c>
      <c r="I1143" s="1" t="s">
        <v>3784</v>
      </c>
      <c r="J1143" s="1"/>
      <c r="K1143" s="1" t="s">
        <v>29</v>
      </c>
      <c r="L1143" s="1" t="s">
        <v>30</v>
      </c>
      <c r="M1143" s="1" t="s">
        <v>42</v>
      </c>
      <c r="N1143" s="1" t="s">
        <v>68</v>
      </c>
      <c r="O1143" s="1">
        <v>90045</v>
      </c>
      <c r="P1143" s="1" t="s">
        <v>44</v>
      </c>
      <c r="Q1143" s="1" t="s">
        <v>2392</v>
      </c>
      <c r="R1143" s="1" t="s">
        <v>35</v>
      </c>
      <c r="S1143" s="7">
        <v>204.6</v>
      </c>
      <c r="T1143" s="1">
        <v>9</v>
      </c>
      <c r="U1143" s="9">
        <v>203.77</v>
      </c>
      <c r="V1143" s="9">
        <v>1841.3999999999999</v>
      </c>
      <c r="W1143" s="9">
        <v>1833.93</v>
      </c>
      <c r="X1143" s="12">
        <v>7.4699999999997999</v>
      </c>
      <c r="Y1143" s="10">
        <v>2015</v>
      </c>
    </row>
    <row r="1144" spans="1:25">
      <c r="A1144" s="1" t="s">
        <v>2726</v>
      </c>
      <c r="B1144" s="8">
        <v>42276</v>
      </c>
      <c r="C1144" s="11" t="s">
        <v>3356</v>
      </c>
      <c r="D1144" s="11" t="s">
        <v>3345</v>
      </c>
      <c r="E1144" s="5">
        <v>42073</v>
      </c>
      <c r="F1144" s="1" t="s">
        <v>49</v>
      </c>
      <c r="G1144" s="1" t="s">
        <v>1867</v>
      </c>
      <c r="H1144" s="1" t="s">
        <v>3607</v>
      </c>
      <c r="I1144" s="1" t="s">
        <v>3784</v>
      </c>
      <c r="J1144" s="1"/>
      <c r="K1144" s="1" t="s">
        <v>29</v>
      </c>
      <c r="L1144" s="1" t="s">
        <v>30</v>
      </c>
      <c r="M1144" s="1" t="s">
        <v>42</v>
      </c>
      <c r="N1144" s="1" t="s">
        <v>68</v>
      </c>
      <c r="O1144" s="1">
        <v>90045</v>
      </c>
      <c r="P1144" s="1" t="s">
        <v>44</v>
      </c>
      <c r="Q1144" s="1" t="s">
        <v>2727</v>
      </c>
      <c r="R1144" s="1" t="s">
        <v>46</v>
      </c>
      <c r="S1144" s="7">
        <v>8.7200000000000006</v>
      </c>
      <c r="T1144" s="1">
        <v>9</v>
      </c>
      <c r="U1144" s="9">
        <v>7.97</v>
      </c>
      <c r="V1144" s="9">
        <v>78.48</v>
      </c>
      <c r="W1144" s="9">
        <v>71.73</v>
      </c>
      <c r="X1144" s="12">
        <v>6.75</v>
      </c>
      <c r="Y1144" s="10">
        <v>2015</v>
      </c>
    </row>
    <row r="1145" spans="1:25">
      <c r="A1145" s="1" t="s">
        <v>2726</v>
      </c>
      <c r="B1145" s="8">
        <v>42276</v>
      </c>
      <c r="C1145" s="11" t="s">
        <v>3356</v>
      </c>
      <c r="D1145" s="11" t="s">
        <v>3345</v>
      </c>
      <c r="E1145" s="5">
        <v>42073</v>
      </c>
      <c r="F1145" s="1" t="s">
        <v>49</v>
      </c>
      <c r="G1145" s="1" t="s">
        <v>1867</v>
      </c>
      <c r="H1145" s="1" t="s">
        <v>3607</v>
      </c>
      <c r="I1145" s="1" t="s">
        <v>3784</v>
      </c>
      <c r="J1145" s="1"/>
      <c r="K1145" s="1" t="s">
        <v>29</v>
      </c>
      <c r="L1145" s="1" t="s">
        <v>30</v>
      </c>
      <c r="M1145" s="1" t="s">
        <v>42</v>
      </c>
      <c r="N1145" s="1" t="s">
        <v>68</v>
      </c>
      <c r="O1145" s="1">
        <v>90045</v>
      </c>
      <c r="P1145" s="1" t="s">
        <v>44</v>
      </c>
      <c r="Q1145" s="1" t="s">
        <v>892</v>
      </c>
      <c r="R1145" s="1" t="s">
        <v>46</v>
      </c>
      <c r="S1145" s="7">
        <v>6.48</v>
      </c>
      <c r="T1145" s="1">
        <v>9</v>
      </c>
      <c r="U1145" s="9">
        <v>6.2</v>
      </c>
      <c r="V1145" s="9">
        <v>58.320000000000007</v>
      </c>
      <c r="W1145" s="9">
        <v>55.800000000000004</v>
      </c>
      <c r="X1145" s="12">
        <v>2.5200000000000031</v>
      </c>
      <c r="Y1145" s="10">
        <v>2015</v>
      </c>
    </row>
    <row r="1146" spans="1:25">
      <c r="A1146" s="1" t="s">
        <v>2726</v>
      </c>
      <c r="B1146" s="8">
        <v>42276</v>
      </c>
      <c r="C1146" s="11" t="s">
        <v>3356</v>
      </c>
      <c r="D1146" s="11" t="s">
        <v>3345</v>
      </c>
      <c r="E1146" s="5">
        <v>42073</v>
      </c>
      <c r="F1146" s="1" t="s">
        <v>49</v>
      </c>
      <c r="G1146" s="1" t="s">
        <v>1867</v>
      </c>
      <c r="H1146" s="1" t="s">
        <v>3607</v>
      </c>
      <c r="I1146" s="1" t="s">
        <v>3784</v>
      </c>
      <c r="J1146" s="1"/>
      <c r="K1146" s="1" t="s">
        <v>29</v>
      </c>
      <c r="L1146" s="1" t="s">
        <v>30</v>
      </c>
      <c r="M1146" s="1" t="s">
        <v>42</v>
      </c>
      <c r="N1146" s="1" t="s">
        <v>68</v>
      </c>
      <c r="O1146" s="1">
        <v>90045</v>
      </c>
      <c r="P1146" s="1" t="s">
        <v>44</v>
      </c>
      <c r="Q1146" s="1" t="s">
        <v>2728</v>
      </c>
      <c r="R1146" s="1" t="s">
        <v>64</v>
      </c>
      <c r="S1146" s="7">
        <v>686.32</v>
      </c>
      <c r="T1146" s="1">
        <v>9</v>
      </c>
      <c r="U1146" s="9">
        <v>685.34</v>
      </c>
      <c r="V1146" s="9">
        <v>6176.88</v>
      </c>
      <c r="W1146" s="9">
        <v>6168.06</v>
      </c>
      <c r="X1146" s="12">
        <v>8.819999999999709</v>
      </c>
      <c r="Y1146" s="10">
        <v>2015</v>
      </c>
    </row>
    <row r="1147" spans="1:25">
      <c r="A1147" s="1" t="s">
        <v>2726</v>
      </c>
      <c r="B1147" s="8">
        <v>42276</v>
      </c>
      <c r="C1147" s="11" t="s">
        <v>3356</v>
      </c>
      <c r="D1147" s="11" t="s">
        <v>3345</v>
      </c>
      <c r="E1147" s="5">
        <v>42073</v>
      </c>
      <c r="F1147" s="1" t="s">
        <v>49</v>
      </c>
      <c r="G1147" s="1" t="s">
        <v>1867</v>
      </c>
      <c r="H1147" s="1" t="s">
        <v>3607</v>
      </c>
      <c r="I1147" s="1" t="s">
        <v>3784</v>
      </c>
      <c r="J1147" s="1"/>
      <c r="K1147" s="1" t="s">
        <v>29</v>
      </c>
      <c r="L1147" s="1" t="s">
        <v>30</v>
      </c>
      <c r="M1147" s="1" t="s">
        <v>42</v>
      </c>
      <c r="N1147" s="1" t="s">
        <v>68</v>
      </c>
      <c r="O1147" s="1">
        <v>90045</v>
      </c>
      <c r="P1147" s="1" t="s">
        <v>44</v>
      </c>
      <c r="Q1147" s="1" t="s">
        <v>2663</v>
      </c>
      <c r="R1147" s="1" t="s">
        <v>46</v>
      </c>
      <c r="S1147" s="7">
        <v>62.18</v>
      </c>
      <c r="T1147" s="1">
        <v>9</v>
      </c>
      <c r="U1147" s="9">
        <v>61.32</v>
      </c>
      <c r="V1147" s="9">
        <v>559.62</v>
      </c>
      <c r="W1147" s="9">
        <v>551.88</v>
      </c>
      <c r="X1147" s="12">
        <v>7.7400000000000091</v>
      </c>
      <c r="Y1147" s="10">
        <v>2015</v>
      </c>
    </row>
    <row r="1148" spans="1:25">
      <c r="A1148" s="1" t="s">
        <v>2729</v>
      </c>
      <c r="B1148" s="8">
        <v>42464</v>
      </c>
      <c r="C1148" s="11" t="s">
        <v>3359</v>
      </c>
      <c r="D1148" s="11" t="s">
        <v>3360</v>
      </c>
      <c r="E1148" s="5">
        <v>42464</v>
      </c>
      <c r="F1148" s="1" t="s">
        <v>1050</v>
      </c>
      <c r="G1148" s="1" t="s">
        <v>2730</v>
      </c>
      <c r="H1148" s="1" t="s">
        <v>3737</v>
      </c>
      <c r="I1148" s="1" t="s">
        <v>3721</v>
      </c>
      <c r="J1148" s="1"/>
      <c r="K1148" s="1" t="s">
        <v>29</v>
      </c>
      <c r="L1148" s="1" t="s">
        <v>30</v>
      </c>
      <c r="M1148" s="1" t="s">
        <v>2732</v>
      </c>
      <c r="N1148" s="1" t="s">
        <v>209</v>
      </c>
      <c r="O1148" s="1">
        <v>48911</v>
      </c>
      <c r="P1148" s="1" t="s">
        <v>90</v>
      </c>
      <c r="Q1148" s="1" t="s">
        <v>2733</v>
      </c>
      <c r="R1148" s="1" t="s">
        <v>46</v>
      </c>
      <c r="S1148" s="7">
        <v>644.07600000000002</v>
      </c>
      <c r="T1148" s="1">
        <v>4</v>
      </c>
      <c r="U1148" s="9">
        <v>643.51</v>
      </c>
      <c r="V1148" s="9">
        <v>2576.3040000000001</v>
      </c>
      <c r="W1148" s="9">
        <v>2574.04</v>
      </c>
      <c r="X1148" s="12">
        <v>2.2640000000001237</v>
      </c>
      <c r="Y1148" s="10">
        <v>2016</v>
      </c>
    </row>
    <row r="1149" spans="1:25">
      <c r="A1149" s="1" t="s">
        <v>2729</v>
      </c>
      <c r="B1149" s="8">
        <v>42464</v>
      </c>
      <c r="C1149" s="11" t="s">
        <v>3359</v>
      </c>
      <c r="D1149" s="11" t="s">
        <v>3360</v>
      </c>
      <c r="E1149" s="5">
        <v>42464</v>
      </c>
      <c r="F1149" s="1" t="s">
        <v>1050</v>
      </c>
      <c r="G1149" s="1" t="s">
        <v>2730</v>
      </c>
      <c r="H1149" s="1" t="s">
        <v>3737</v>
      </c>
      <c r="I1149" s="1" t="s">
        <v>3721</v>
      </c>
      <c r="J1149" s="1"/>
      <c r="K1149" s="1" t="s">
        <v>29</v>
      </c>
      <c r="L1149" s="1" t="s">
        <v>30</v>
      </c>
      <c r="M1149" s="1" t="s">
        <v>2732</v>
      </c>
      <c r="N1149" s="1" t="s">
        <v>209</v>
      </c>
      <c r="O1149" s="1">
        <v>48911</v>
      </c>
      <c r="P1149" s="1" t="s">
        <v>90</v>
      </c>
      <c r="Q1149" s="1" t="s">
        <v>2734</v>
      </c>
      <c r="R1149" s="1" t="s">
        <v>46</v>
      </c>
      <c r="S1149" s="7">
        <v>5.84</v>
      </c>
      <c r="T1149" s="1">
        <v>4</v>
      </c>
      <c r="U1149" s="9">
        <v>4.95</v>
      </c>
      <c r="V1149" s="9">
        <v>23.36</v>
      </c>
      <c r="W1149" s="9">
        <v>19.8</v>
      </c>
      <c r="X1149" s="12">
        <v>3.5599999999999987</v>
      </c>
      <c r="Y1149" s="10">
        <v>2016</v>
      </c>
    </row>
    <row r="1150" spans="1:25">
      <c r="A1150" s="1" t="s">
        <v>2729</v>
      </c>
      <c r="B1150" s="8">
        <v>42464</v>
      </c>
      <c r="C1150" s="11" t="s">
        <v>3359</v>
      </c>
      <c r="D1150" s="11" t="s">
        <v>3360</v>
      </c>
      <c r="E1150" s="5">
        <v>42464</v>
      </c>
      <c r="F1150" s="1" t="s">
        <v>1050</v>
      </c>
      <c r="G1150" s="1" t="s">
        <v>2730</v>
      </c>
      <c r="H1150" s="1" t="s">
        <v>3737</v>
      </c>
      <c r="I1150" s="1" t="s">
        <v>3721</v>
      </c>
      <c r="J1150" s="1"/>
      <c r="K1150" s="1" t="s">
        <v>29</v>
      </c>
      <c r="L1150" s="1" t="s">
        <v>30</v>
      </c>
      <c r="M1150" s="1" t="s">
        <v>2732</v>
      </c>
      <c r="N1150" s="1" t="s">
        <v>209</v>
      </c>
      <c r="O1150" s="1">
        <v>48911</v>
      </c>
      <c r="P1150" s="1" t="s">
        <v>90</v>
      </c>
      <c r="Q1150" s="1" t="s">
        <v>2735</v>
      </c>
      <c r="R1150" s="1" t="s">
        <v>46</v>
      </c>
      <c r="S1150" s="7">
        <v>12.76</v>
      </c>
      <c r="T1150" s="1">
        <v>4</v>
      </c>
      <c r="U1150" s="9">
        <v>12.21</v>
      </c>
      <c r="V1150" s="9">
        <v>51.04</v>
      </c>
      <c r="W1150" s="9">
        <v>48.84</v>
      </c>
      <c r="X1150" s="12">
        <v>2.1999999999999957</v>
      </c>
      <c r="Y1150" s="10">
        <v>2016</v>
      </c>
    </row>
    <row r="1151" spans="1:25">
      <c r="A1151" s="1" t="s">
        <v>2729</v>
      </c>
      <c r="B1151" s="8">
        <v>42464</v>
      </c>
      <c r="C1151" s="11" t="s">
        <v>3359</v>
      </c>
      <c r="D1151" s="11" t="s">
        <v>3360</v>
      </c>
      <c r="E1151" s="5">
        <v>42464</v>
      </c>
      <c r="F1151" s="1" t="s">
        <v>1050</v>
      </c>
      <c r="G1151" s="1" t="s">
        <v>2730</v>
      </c>
      <c r="H1151" s="1" t="s">
        <v>3737</v>
      </c>
      <c r="I1151" s="1" t="s">
        <v>3721</v>
      </c>
      <c r="J1151" s="1"/>
      <c r="K1151" s="1" t="s">
        <v>29</v>
      </c>
      <c r="L1151" s="1" t="s">
        <v>30</v>
      </c>
      <c r="M1151" s="1" t="s">
        <v>2732</v>
      </c>
      <c r="N1151" s="1" t="s">
        <v>209</v>
      </c>
      <c r="O1151" s="1">
        <v>48911</v>
      </c>
      <c r="P1151" s="1" t="s">
        <v>90</v>
      </c>
      <c r="Q1151" s="1" t="s">
        <v>2736</v>
      </c>
      <c r="R1151" s="1" t="s">
        <v>64</v>
      </c>
      <c r="S1151" s="7">
        <v>10.95</v>
      </c>
      <c r="T1151" s="1">
        <v>4</v>
      </c>
      <c r="U1151" s="9">
        <v>10.18</v>
      </c>
      <c r="V1151" s="9">
        <v>43.8</v>
      </c>
      <c r="W1151" s="9">
        <v>40.72</v>
      </c>
      <c r="X1151" s="12">
        <v>3.0799999999999983</v>
      </c>
      <c r="Y1151" s="10">
        <v>2016</v>
      </c>
    </row>
    <row r="1152" spans="1:25">
      <c r="A1152" s="1" t="s">
        <v>2729</v>
      </c>
      <c r="B1152" s="8">
        <v>42464</v>
      </c>
      <c r="C1152" s="11" t="s">
        <v>3359</v>
      </c>
      <c r="D1152" s="11" t="s">
        <v>3360</v>
      </c>
      <c r="E1152" s="5">
        <v>42464</v>
      </c>
      <c r="F1152" s="1" t="s">
        <v>1050</v>
      </c>
      <c r="G1152" s="1" t="s">
        <v>2730</v>
      </c>
      <c r="H1152" s="1" t="s">
        <v>3737</v>
      </c>
      <c r="I1152" s="1" t="s">
        <v>3721</v>
      </c>
      <c r="J1152" s="1"/>
      <c r="K1152" s="1" t="s">
        <v>29</v>
      </c>
      <c r="L1152" s="1" t="s">
        <v>30</v>
      </c>
      <c r="M1152" s="1" t="s">
        <v>2732</v>
      </c>
      <c r="N1152" s="1" t="s">
        <v>209</v>
      </c>
      <c r="O1152" s="1">
        <v>48911</v>
      </c>
      <c r="P1152" s="1" t="s">
        <v>90</v>
      </c>
      <c r="Q1152" s="1" t="s">
        <v>2737</v>
      </c>
      <c r="R1152" s="1" t="s">
        <v>64</v>
      </c>
      <c r="S1152" s="7">
        <v>599.98</v>
      </c>
      <c r="T1152" s="1">
        <v>4</v>
      </c>
      <c r="U1152" s="9">
        <v>599.61</v>
      </c>
      <c r="V1152" s="9">
        <v>2399.92</v>
      </c>
      <c r="W1152" s="9">
        <v>2398.44</v>
      </c>
      <c r="X1152" s="12">
        <v>1.4800000000000182</v>
      </c>
      <c r="Y1152" s="10">
        <v>2016</v>
      </c>
    </row>
    <row r="1153" spans="1:25">
      <c r="A1153" s="1" t="s">
        <v>2738</v>
      </c>
      <c r="B1153" s="8">
        <v>42587</v>
      </c>
      <c r="C1153" s="11" t="s">
        <v>3344</v>
      </c>
      <c r="D1153" s="11" t="s">
        <v>3345</v>
      </c>
      <c r="E1153" s="5" t="s">
        <v>2739</v>
      </c>
      <c r="F1153" s="1" t="s">
        <v>49</v>
      </c>
      <c r="G1153" s="1" t="s">
        <v>817</v>
      </c>
      <c r="H1153" s="1" t="s">
        <v>3560</v>
      </c>
      <c r="I1153" s="1" t="s">
        <v>3561</v>
      </c>
      <c r="J1153" s="1"/>
      <c r="K1153" s="1" t="s">
        <v>41</v>
      </c>
      <c r="L1153" s="1" t="s">
        <v>30</v>
      </c>
      <c r="M1153" s="1" t="s">
        <v>2740</v>
      </c>
      <c r="N1153" s="1" t="s">
        <v>421</v>
      </c>
      <c r="O1153" s="1">
        <v>44221</v>
      </c>
      <c r="P1153" s="1" t="s">
        <v>128</v>
      </c>
      <c r="Q1153" s="1" t="s">
        <v>2741</v>
      </c>
      <c r="R1153" s="1" t="s">
        <v>35</v>
      </c>
      <c r="S1153" s="7">
        <v>8.3520000000000003</v>
      </c>
      <c r="T1153" s="1">
        <v>4</v>
      </c>
      <c r="U1153" s="9">
        <v>8.2799999999999994</v>
      </c>
      <c r="V1153" s="9">
        <v>33.408000000000001</v>
      </c>
      <c r="W1153" s="9">
        <v>33.119999999999997</v>
      </c>
      <c r="X1153" s="12">
        <v>0.28800000000000381</v>
      </c>
      <c r="Y1153" s="10">
        <v>2016</v>
      </c>
    </row>
    <row r="1154" spans="1:25">
      <c r="A1154" s="1" t="s">
        <v>2742</v>
      </c>
      <c r="B1154" s="8">
        <v>43100</v>
      </c>
      <c r="C1154" s="11" t="s">
        <v>3348</v>
      </c>
      <c r="D1154" s="11" t="s">
        <v>3349</v>
      </c>
      <c r="E1154" s="5">
        <v>43252</v>
      </c>
      <c r="F1154" s="1" t="s">
        <v>49</v>
      </c>
      <c r="G1154" s="1" t="s">
        <v>882</v>
      </c>
      <c r="H1154" s="1" t="s">
        <v>3547</v>
      </c>
      <c r="I1154" s="1" t="s">
        <v>3571</v>
      </c>
      <c r="J1154" s="1"/>
      <c r="K1154" s="1" t="s">
        <v>41</v>
      </c>
      <c r="L1154" s="1" t="s">
        <v>30</v>
      </c>
      <c r="M1154" s="1" t="s">
        <v>2743</v>
      </c>
      <c r="N1154" s="1" t="s">
        <v>1134</v>
      </c>
      <c r="O1154" s="1">
        <v>89502</v>
      </c>
      <c r="P1154" s="1" t="s">
        <v>44</v>
      </c>
      <c r="Q1154" s="1" t="s">
        <v>2744</v>
      </c>
      <c r="R1154" s="1" t="s">
        <v>46</v>
      </c>
      <c r="S1154" s="7">
        <v>3.64</v>
      </c>
      <c r="T1154" s="1">
        <v>8</v>
      </c>
      <c r="U1154" s="9">
        <v>3.56</v>
      </c>
      <c r="V1154" s="9">
        <v>29.12</v>
      </c>
      <c r="W1154" s="9">
        <v>28.48</v>
      </c>
      <c r="X1154" s="12">
        <v>0.64000000000000057</v>
      </c>
      <c r="Y1154" s="10">
        <v>2017</v>
      </c>
    </row>
    <row r="1155" spans="1:25">
      <c r="A1155" s="1" t="s">
        <v>2742</v>
      </c>
      <c r="B1155" s="8">
        <v>43100</v>
      </c>
      <c r="C1155" s="11" t="s">
        <v>3348</v>
      </c>
      <c r="D1155" s="11" t="s">
        <v>3349</v>
      </c>
      <c r="E1155" s="5">
        <v>43252</v>
      </c>
      <c r="F1155" s="1" t="s">
        <v>49</v>
      </c>
      <c r="G1155" s="1" t="s">
        <v>882</v>
      </c>
      <c r="H1155" s="1" t="s">
        <v>3547</v>
      </c>
      <c r="I1155" s="1" t="s">
        <v>3571</v>
      </c>
      <c r="J1155" s="1"/>
      <c r="K1155" s="1" t="s">
        <v>41</v>
      </c>
      <c r="L1155" s="1" t="s">
        <v>30</v>
      </c>
      <c r="M1155" s="1" t="s">
        <v>2743</v>
      </c>
      <c r="N1155" s="1" t="s">
        <v>1134</v>
      </c>
      <c r="O1155" s="1">
        <v>89502</v>
      </c>
      <c r="P1155" s="1" t="s">
        <v>44</v>
      </c>
      <c r="Q1155" s="1" t="s">
        <v>2225</v>
      </c>
      <c r="R1155" s="1" t="s">
        <v>46</v>
      </c>
      <c r="S1155" s="7">
        <v>159.768</v>
      </c>
      <c r="T1155" s="1">
        <v>8</v>
      </c>
      <c r="U1155" s="9">
        <v>158.88999999999999</v>
      </c>
      <c r="V1155" s="9">
        <v>1278.144</v>
      </c>
      <c r="W1155" s="9">
        <v>1271.1199999999999</v>
      </c>
      <c r="X1155" s="12">
        <v>7.0240000000001146</v>
      </c>
      <c r="Y1155" s="10">
        <v>2017</v>
      </c>
    </row>
    <row r="1156" spans="1:25">
      <c r="A1156" s="1" t="s">
        <v>2745</v>
      </c>
      <c r="B1156" s="8">
        <v>42358</v>
      </c>
      <c r="C1156" s="11" t="s">
        <v>3348</v>
      </c>
      <c r="D1156" s="11" t="s">
        <v>3349</v>
      </c>
      <c r="E1156" s="5" t="s">
        <v>2746</v>
      </c>
      <c r="F1156" s="1" t="s">
        <v>162</v>
      </c>
      <c r="G1156" s="1" t="s">
        <v>2661</v>
      </c>
      <c r="H1156" s="1" t="s">
        <v>3917</v>
      </c>
      <c r="I1156" s="1" t="s">
        <v>3918</v>
      </c>
      <c r="J1156" s="1"/>
      <c r="K1156" s="1" t="s">
        <v>87</v>
      </c>
      <c r="L1156" s="1" t="s">
        <v>30</v>
      </c>
      <c r="M1156" s="1" t="s">
        <v>2747</v>
      </c>
      <c r="N1156" s="1" t="s">
        <v>272</v>
      </c>
      <c r="O1156" s="1">
        <v>22801</v>
      </c>
      <c r="P1156" s="1" t="s">
        <v>33</v>
      </c>
      <c r="Q1156" s="1" t="s">
        <v>2748</v>
      </c>
      <c r="R1156" s="1" t="s">
        <v>46</v>
      </c>
      <c r="S1156" s="7">
        <v>122.48</v>
      </c>
      <c r="T1156" s="1">
        <v>2</v>
      </c>
      <c r="U1156" s="9">
        <v>122.47</v>
      </c>
      <c r="V1156" s="9">
        <v>244.96</v>
      </c>
      <c r="W1156" s="9">
        <v>244.94</v>
      </c>
      <c r="X1156" s="12">
        <v>2.0000000000010232E-2</v>
      </c>
      <c r="Y1156" s="10">
        <v>2015</v>
      </c>
    </row>
    <row r="1157" spans="1:25">
      <c r="A1157" s="1" t="s">
        <v>2745</v>
      </c>
      <c r="B1157" s="8">
        <v>42358</v>
      </c>
      <c r="C1157" s="11" t="s">
        <v>3348</v>
      </c>
      <c r="D1157" s="11" t="s">
        <v>3349</v>
      </c>
      <c r="E1157" s="5" t="s">
        <v>2746</v>
      </c>
      <c r="F1157" s="1" t="s">
        <v>162</v>
      </c>
      <c r="G1157" s="1" t="s">
        <v>2661</v>
      </c>
      <c r="H1157" s="1" t="s">
        <v>3917</v>
      </c>
      <c r="I1157" s="1" t="s">
        <v>3918</v>
      </c>
      <c r="J1157" s="1"/>
      <c r="K1157" s="1" t="s">
        <v>87</v>
      </c>
      <c r="L1157" s="1" t="s">
        <v>30</v>
      </c>
      <c r="M1157" s="1" t="s">
        <v>2747</v>
      </c>
      <c r="N1157" s="1" t="s">
        <v>272</v>
      </c>
      <c r="O1157" s="1">
        <v>22801</v>
      </c>
      <c r="P1157" s="1" t="s">
        <v>33</v>
      </c>
      <c r="Q1157" s="1" t="s">
        <v>2749</v>
      </c>
      <c r="R1157" s="1" t="s">
        <v>35</v>
      </c>
      <c r="S1157" s="7">
        <v>2244.48</v>
      </c>
      <c r="T1157" s="1">
        <v>2</v>
      </c>
      <c r="U1157" s="9">
        <v>2244.1999999999998</v>
      </c>
      <c r="V1157" s="9">
        <v>4488.96</v>
      </c>
      <c r="W1157" s="9">
        <v>4488.3999999999996</v>
      </c>
      <c r="X1157" s="12">
        <v>0.56000000000040018</v>
      </c>
      <c r="Y1157" s="10">
        <v>2015</v>
      </c>
    </row>
    <row r="1158" spans="1:25">
      <c r="A1158" s="1" t="s">
        <v>2745</v>
      </c>
      <c r="B1158" s="8">
        <v>42358</v>
      </c>
      <c r="C1158" s="11" t="s">
        <v>3348</v>
      </c>
      <c r="D1158" s="11" t="s">
        <v>3349</v>
      </c>
      <c r="E1158" s="5" t="s">
        <v>2746</v>
      </c>
      <c r="F1158" s="1" t="s">
        <v>162</v>
      </c>
      <c r="G1158" s="1" t="s">
        <v>2661</v>
      </c>
      <c r="H1158" s="1" t="s">
        <v>3917</v>
      </c>
      <c r="I1158" s="1" t="s">
        <v>3918</v>
      </c>
      <c r="J1158" s="1"/>
      <c r="K1158" s="1" t="s">
        <v>87</v>
      </c>
      <c r="L1158" s="1" t="s">
        <v>30</v>
      </c>
      <c r="M1158" s="1" t="s">
        <v>2747</v>
      </c>
      <c r="N1158" s="1" t="s">
        <v>272</v>
      </c>
      <c r="O1158" s="1">
        <v>22801</v>
      </c>
      <c r="P1158" s="1" t="s">
        <v>33</v>
      </c>
      <c r="Q1158" s="1" t="s">
        <v>1129</v>
      </c>
      <c r="R1158" s="1" t="s">
        <v>46</v>
      </c>
      <c r="S1158" s="7">
        <v>62.31</v>
      </c>
      <c r="T1158" s="1">
        <v>2</v>
      </c>
      <c r="U1158" s="9">
        <v>61.91</v>
      </c>
      <c r="V1158" s="9">
        <v>124.62</v>
      </c>
      <c r="W1158" s="9">
        <v>123.82</v>
      </c>
      <c r="X1158" s="12">
        <v>0.80000000000001137</v>
      </c>
      <c r="Y1158" s="10">
        <v>2015</v>
      </c>
    </row>
    <row r="1159" spans="1:25">
      <c r="A1159" s="1" t="s">
        <v>2745</v>
      </c>
      <c r="B1159" s="8">
        <v>42358</v>
      </c>
      <c r="C1159" s="11" t="s">
        <v>3348</v>
      </c>
      <c r="D1159" s="11" t="s">
        <v>3349</v>
      </c>
      <c r="E1159" s="5" t="s">
        <v>2746</v>
      </c>
      <c r="F1159" s="1" t="s">
        <v>162</v>
      </c>
      <c r="G1159" s="1" t="s">
        <v>2661</v>
      </c>
      <c r="H1159" s="1" t="s">
        <v>3917</v>
      </c>
      <c r="I1159" s="1" t="s">
        <v>3918</v>
      </c>
      <c r="J1159" s="1"/>
      <c r="K1159" s="1" t="s">
        <v>87</v>
      </c>
      <c r="L1159" s="1" t="s">
        <v>30</v>
      </c>
      <c r="M1159" s="1" t="s">
        <v>2747</v>
      </c>
      <c r="N1159" s="1" t="s">
        <v>272</v>
      </c>
      <c r="O1159" s="1">
        <v>22801</v>
      </c>
      <c r="P1159" s="1" t="s">
        <v>33</v>
      </c>
      <c r="Q1159" s="1" t="s">
        <v>1101</v>
      </c>
      <c r="R1159" s="1" t="s">
        <v>35</v>
      </c>
      <c r="S1159" s="7">
        <v>455.1</v>
      </c>
      <c r="T1159" s="1">
        <v>2</v>
      </c>
      <c r="U1159" s="9">
        <v>454.7</v>
      </c>
      <c r="V1159" s="9">
        <v>910.2</v>
      </c>
      <c r="W1159" s="9">
        <v>909.4</v>
      </c>
      <c r="X1159" s="12">
        <v>0.80000000000006821</v>
      </c>
      <c r="Y1159" s="10">
        <v>2015</v>
      </c>
    </row>
    <row r="1160" spans="1:25">
      <c r="A1160" s="1" t="s">
        <v>2750</v>
      </c>
      <c r="B1160" s="8">
        <v>42773</v>
      </c>
      <c r="C1160" s="11" t="s">
        <v>3461</v>
      </c>
      <c r="D1160" s="11" t="s">
        <v>3382</v>
      </c>
      <c r="E1160" s="5">
        <v>42923</v>
      </c>
      <c r="F1160" s="1" t="s">
        <v>26</v>
      </c>
      <c r="G1160" s="1" t="s">
        <v>2272</v>
      </c>
      <c r="H1160" s="1" t="s">
        <v>3854</v>
      </c>
      <c r="I1160" s="1" t="s">
        <v>3855</v>
      </c>
      <c r="J1160" s="1"/>
      <c r="K1160" s="1" t="s">
        <v>41</v>
      </c>
      <c r="L1160" s="1" t="s">
        <v>30</v>
      </c>
      <c r="M1160" s="1" t="s">
        <v>42</v>
      </c>
      <c r="N1160" s="1" t="s">
        <v>68</v>
      </c>
      <c r="O1160" s="1">
        <v>90004</v>
      </c>
      <c r="P1160" s="1" t="s">
        <v>44</v>
      </c>
      <c r="Q1160" s="1" t="s">
        <v>2751</v>
      </c>
      <c r="R1160" s="1" t="s">
        <v>35</v>
      </c>
      <c r="S1160" s="7">
        <v>195.184</v>
      </c>
      <c r="T1160" s="1">
        <v>9</v>
      </c>
      <c r="U1160" s="9">
        <v>195.02</v>
      </c>
      <c r="V1160" s="9">
        <v>1756.6559999999999</v>
      </c>
      <c r="W1160" s="9">
        <v>1755.18</v>
      </c>
      <c r="X1160" s="12">
        <v>1.4759999999998854</v>
      </c>
      <c r="Y1160" s="10">
        <v>2017</v>
      </c>
    </row>
    <row r="1161" spans="1:25">
      <c r="A1161" s="1" t="s">
        <v>2752</v>
      </c>
      <c r="B1161" s="8">
        <v>43280</v>
      </c>
      <c r="C1161" s="11" t="s">
        <v>3403</v>
      </c>
      <c r="D1161" s="11" t="s">
        <v>3360</v>
      </c>
      <c r="E1161" s="5">
        <v>43197</v>
      </c>
      <c r="F1161" s="1" t="s">
        <v>49</v>
      </c>
      <c r="G1161" s="1" t="s">
        <v>2753</v>
      </c>
      <c r="H1161" s="1" t="s">
        <v>3924</v>
      </c>
      <c r="I1161" s="1" t="s">
        <v>3925</v>
      </c>
      <c r="J1161" s="1"/>
      <c r="K1161" s="1" t="s">
        <v>29</v>
      </c>
      <c r="L1161" s="1" t="s">
        <v>30</v>
      </c>
      <c r="M1161" s="1" t="s">
        <v>347</v>
      </c>
      <c r="N1161" s="1" t="s">
        <v>201</v>
      </c>
      <c r="O1161" s="1">
        <v>55407</v>
      </c>
      <c r="P1161" s="1" t="s">
        <v>90</v>
      </c>
      <c r="Q1161" s="1" t="s">
        <v>2061</v>
      </c>
      <c r="R1161" s="1" t="s">
        <v>46</v>
      </c>
      <c r="S1161" s="7">
        <v>362.94</v>
      </c>
      <c r="T1161" s="1">
        <v>5</v>
      </c>
      <c r="U1161" s="9">
        <v>362.7</v>
      </c>
      <c r="V1161" s="9">
        <v>1814.7</v>
      </c>
      <c r="W1161" s="9">
        <v>1813.5</v>
      </c>
      <c r="X1161" s="12">
        <v>1.2000000000000455</v>
      </c>
      <c r="Y1161" s="10">
        <v>2018</v>
      </c>
    </row>
    <row r="1162" spans="1:25">
      <c r="A1162" s="1" t="s">
        <v>2752</v>
      </c>
      <c r="B1162" s="8">
        <v>43280</v>
      </c>
      <c r="C1162" s="11" t="s">
        <v>3403</v>
      </c>
      <c r="D1162" s="11" t="s">
        <v>3360</v>
      </c>
      <c r="E1162" s="5">
        <v>43197</v>
      </c>
      <c r="F1162" s="1" t="s">
        <v>49</v>
      </c>
      <c r="G1162" s="1" t="s">
        <v>2753</v>
      </c>
      <c r="H1162" s="1" t="s">
        <v>3924</v>
      </c>
      <c r="I1162" s="1" t="s">
        <v>3925</v>
      </c>
      <c r="J1162" s="1"/>
      <c r="K1162" s="1" t="s">
        <v>29</v>
      </c>
      <c r="L1162" s="1" t="s">
        <v>30</v>
      </c>
      <c r="M1162" s="1" t="s">
        <v>347</v>
      </c>
      <c r="N1162" s="1" t="s">
        <v>201</v>
      </c>
      <c r="O1162" s="1">
        <v>55407</v>
      </c>
      <c r="P1162" s="1" t="s">
        <v>90</v>
      </c>
      <c r="Q1162" s="1" t="s">
        <v>278</v>
      </c>
      <c r="R1162" s="1" t="s">
        <v>46</v>
      </c>
      <c r="S1162" s="7">
        <v>11.54</v>
      </c>
      <c r="T1162" s="1">
        <v>5</v>
      </c>
      <c r="U1162" s="9">
        <v>10.84</v>
      </c>
      <c r="V1162" s="9">
        <v>57.699999999999996</v>
      </c>
      <c r="W1162" s="9">
        <v>54.2</v>
      </c>
      <c r="X1162" s="12">
        <v>3.4999999999999929</v>
      </c>
      <c r="Y1162" s="10">
        <v>2018</v>
      </c>
    </row>
    <row r="1163" spans="1:25">
      <c r="A1163" s="1" t="s">
        <v>2755</v>
      </c>
      <c r="B1163" s="8">
        <v>42013</v>
      </c>
      <c r="C1163" s="11" t="s">
        <v>3381</v>
      </c>
      <c r="D1163" s="11" t="s">
        <v>3382</v>
      </c>
      <c r="E1163" s="5">
        <v>42133</v>
      </c>
      <c r="F1163" s="1" t="s">
        <v>26</v>
      </c>
      <c r="G1163" s="1" t="s">
        <v>2756</v>
      </c>
      <c r="H1163" s="1" t="s">
        <v>3926</v>
      </c>
      <c r="I1163" s="1" t="s">
        <v>3927</v>
      </c>
      <c r="J1163" s="1"/>
      <c r="K1163" s="1" t="s">
        <v>29</v>
      </c>
      <c r="L1163" s="1" t="s">
        <v>30</v>
      </c>
      <c r="M1163" s="1" t="s">
        <v>2758</v>
      </c>
      <c r="N1163" s="1" t="s">
        <v>68</v>
      </c>
      <c r="O1163" s="1">
        <v>92025</v>
      </c>
      <c r="P1163" s="1" t="s">
        <v>44</v>
      </c>
      <c r="Q1163" s="1" t="s">
        <v>152</v>
      </c>
      <c r="R1163" s="1" t="s">
        <v>46</v>
      </c>
      <c r="S1163" s="7">
        <v>53.94</v>
      </c>
      <c r="T1163" s="1">
        <v>9</v>
      </c>
      <c r="U1163" s="9">
        <v>53.63</v>
      </c>
      <c r="V1163" s="9">
        <v>485.46</v>
      </c>
      <c r="W1163" s="9">
        <v>482.67</v>
      </c>
      <c r="X1163" s="12">
        <v>2.7899999999999636</v>
      </c>
      <c r="Y1163" s="10">
        <v>2015</v>
      </c>
    </row>
    <row r="1164" spans="1:25">
      <c r="A1164" s="1" t="s">
        <v>2759</v>
      </c>
      <c r="B1164" s="8">
        <v>42066</v>
      </c>
      <c r="C1164" s="11" t="s">
        <v>3429</v>
      </c>
      <c r="D1164" s="11" t="s">
        <v>3382</v>
      </c>
      <c r="E1164" s="5">
        <v>42219</v>
      </c>
      <c r="F1164" s="1" t="s">
        <v>49</v>
      </c>
      <c r="G1164" s="1" t="s">
        <v>2760</v>
      </c>
      <c r="H1164" s="1" t="s">
        <v>3928</v>
      </c>
      <c r="I1164" s="1" t="s">
        <v>3929</v>
      </c>
      <c r="J1164" s="1"/>
      <c r="K1164" s="1" t="s">
        <v>87</v>
      </c>
      <c r="L1164" s="1" t="s">
        <v>30</v>
      </c>
      <c r="M1164" s="1" t="s">
        <v>233</v>
      </c>
      <c r="N1164" s="1" t="s">
        <v>234</v>
      </c>
      <c r="O1164" s="1">
        <v>10035</v>
      </c>
      <c r="P1164" s="1" t="s">
        <v>128</v>
      </c>
      <c r="Q1164" s="1" t="s">
        <v>2762</v>
      </c>
      <c r="R1164" s="1" t="s">
        <v>64</v>
      </c>
      <c r="S1164" s="7">
        <v>9.99</v>
      </c>
      <c r="T1164" s="1">
        <v>1</v>
      </c>
      <c r="U1164" s="9">
        <v>9.0500000000000007</v>
      </c>
      <c r="V1164" s="9">
        <v>9.99</v>
      </c>
      <c r="W1164" s="9">
        <v>9.0500000000000007</v>
      </c>
      <c r="X1164" s="12">
        <v>0.9399999999999995</v>
      </c>
      <c r="Y1164" s="10">
        <v>2015</v>
      </c>
    </row>
    <row r="1165" spans="1:25">
      <c r="A1165" s="1" t="s">
        <v>2759</v>
      </c>
      <c r="B1165" s="8">
        <v>42066</v>
      </c>
      <c r="C1165" s="11" t="s">
        <v>3429</v>
      </c>
      <c r="D1165" s="11" t="s">
        <v>3382</v>
      </c>
      <c r="E1165" s="5">
        <v>42219</v>
      </c>
      <c r="F1165" s="1" t="s">
        <v>49</v>
      </c>
      <c r="G1165" s="1" t="s">
        <v>2760</v>
      </c>
      <c r="H1165" s="1" t="s">
        <v>3928</v>
      </c>
      <c r="I1165" s="1" t="s">
        <v>3929</v>
      </c>
      <c r="J1165" s="1"/>
      <c r="K1165" s="1" t="s">
        <v>87</v>
      </c>
      <c r="L1165" s="1" t="s">
        <v>30</v>
      </c>
      <c r="M1165" s="1" t="s">
        <v>233</v>
      </c>
      <c r="N1165" s="1" t="s">
        <v>234</v>
      </c>
      <c r="O1165" s="1">
        <v>10035</v>
      </c>
      <c r="P1165" s="1" t="s">
        <v>128</v>
      </c>
      <c r="Q1165" s="1" t="s">
        <v>888</v>
      </c>
      <c r="R1165" s="1" t="s">
        <v>46</v>
      </c>
      <c r="S1165" s="7">
        <v>125.76</v>
      </c>
      <c r="T1165" s="1">
        <v>1</v>
      </c>
      <c r="U1165" s="9">
        <v>125.64</v>
      </c>
      <c r="V1165" s="9">
        <v>125.76</v>
      </c>
      <c r="W1165" s="9">
        <v>125.64</v>
      </c>
      <c r="X1165" s="12">
        <v>0.12000000000000455</v>
      </c>
      <c r="Y1165" s="10">
        <v>2015</v>
      </c>
    </row>
    <row r="1166" spans="1:25">
      <c r="A1166" s="1" t="s">
        <v>2759</v>
      </c>
      <c r="B1166" s="8">
        <v>42066</v>
      </c>
      <c r="C1166" s="11" t="s">
        <v>3429</v>
      </c>
      <c r="D1166" s="11" t="s">
        <v>3382</v>
      </c>
      <c r="E1166" s="5">
        <v>42219</v>
      </c>
      <c r="F1166" s="1" t="s">
        <v>49</v>
      </c>
      <c r="G1166" s="1" t="s">
        <v>2760</v>
      </c>
      <c r="H1166" s="1" t="s">
        <v>3928</v>
      </c>
      <c r="I1166" s="1" t="s">
        <v>3929</v>
      </c>
      <c r="J1166" s="1"/>
      <c r="K1166" s="1" t="s">
        <v>87</v>
      </c>
      <c r="L1166" s="1" t="s">
        <v>30</v>
      </c>
      <c r="M1166" s="1" t="s">
        <v>233</v>
      </c>
      <c r="N1166" s="1" t="s">
        <v>234</v>
      </c>
      <c r="O1166" s="1">
        <v>10035</v>
      </c>
      <c r="P1166" s="1" t="s">
        <v>128</v>
      </c>
      <c r="Q1166" s="1" t="s">
        <v>2763</v>
      </c>
      <c r="R1166" s="1" t="s">
        <v>46</v>
      </c>
      <c r="S1166" s="7">
        <v>25.32</v>
      </c>
      <c r="T1166" s="1">
        <v>1</v>
      </c>
      <c r="U1166" s="9">
        <v>24.97</v>
      </c>
      <c r="V1166" s="9">
        <v>25.32</v>
      </c>
      <c r="W1166" s="9">
        <v>24.97</v>
      </c>
      <c r="X1166" s="12">
        <v>0.35000000000000142</v>
      </c>
      <c r="Y1166" s="10">
        <v>2015</v>
      </c>
    </row>
    <row r="1167" spans="1:25">
      <c r="A1167" s="1" t="s">
        <v>2764</v>
      </c>
      <c r="B1167" s="8">
        <v>42099</v>
      </c>
      <c r="C1167" s="11" t="s">
        <v>3359</v>
      </c>
      <c r="D1167" s="11" t="s">
        <v>3360</v>
      </c>
      <c r="E1167" s="5">
        <v>42221</v>
      </c>
      <c r="F1167" s="1" t="s">
        <v>49</v>
      </c>
      <c r="G1167" s="1" t="s">
        <v>2765</v>
      </c>
      <c r="H1167" s="1" t="s">
        <v>3414</v>
      </c>
      <c r="I1167" s="1" t="s">
        <v>3610</v>
      </c>
      <c r="J1167" s="1"/>
      <c r="K1167" s="1" t="s">
        <v>29</v>
      </c>
      <c r="L1167" s="1" t="s">
        <v>30</v>
      </c>
      <c r="M1167" s="1" t="s">
        <v>281</v>
      </c>
      <c r="N1167" s="1" t="s">
        <v>209</v>
      </c>
      <c r="O1167" s="1">
        <v>49201</v>
      </c>
      <c r="P1167" s="1" t="s">
        <v>90</v>
      </c>
      <c r="Q1167" s="1" t="s">
        <v>2143</v>
      </c>
      <c r="R1167" s="1" t="s">
        <v>46</v>
      </c>
      <c r="S1167" s="7">
        <v>46.8</v>
      </c>
      <c r="T1167" s="1">
        <v>4</v>
      </c>
      <c r="U1167" s="9">
        <v>45.97</v>
      </c>
      <c r="V1167" s="9">
        <v>187.2</v>
      </c>
      <c r="W1167" s="9">
        <v>183.88</v>
      </c>
      <c r="X1167" s="12">
        <v>3.3199999999999932</v>
      </c>
      <c r="Y1167" s="10">
        <v>2015</v>
      </c>
    </row>
    <row r="1168" spans="1:25">
      <c r="A1168" s="1" t="s">
        <v>2767</v>
      </c>
      <c r="B1168" s="8">
        <v>42411</v>
      </c>
      <c r="C1168" s="11" t="s">
        <v>3461</v>
      </c>
      <c r="D1168" s="11" t="s">
        <v>3382</v>
      </c>
      <c r="E1168" s="5">
        <v>42411</v>
      </c>
      <c r="F1168" s="1" t="s">
        <v>1050</v>
      </c>
      <c r="G1168" s="1" t="s">
        <v>776</v>
      </c>
      <c r="H1168" s="1" t="s">
        <v>3547</v>
      </c>
      <c r="I1168" s="1" t="s">
        <v>3548</v>
      </c>
      <c r="J1168" s="1"/>
      <c r="K1168" s="1" t="s">
        <v>29</v>
      </c>
      <c r="L1168" s="1" t="s">
        <v>30</v>
      </c>
      <c r="M1168" s="1" t="s">
        <v>80</v>
      </c>
      <c r="N1168" s="1" t="s">
        <v>81</v>
      </c>
      <c r="O1168" s="1">
        <v>98115</v>
      </c>
      <c r="P1168" s="1" t="s">
        <v>44</v>
      </c>
      <c r="Q1168" s="1" t="s">
        <v>387</v>
      </c>
      <c r="R1168" s="1" t="s">
        <v>64</v>
      </c>
      <c r="S1168" s="7">
        <v>447.93</v>
      </c>
      <c r="T1168" s="1">
        <v>9</v>
      </c>
      <c r="U1168" s="9">
        <v>447.17</v>
      </c>
      <c r="V1168" s="9">
        <v>4031.37</v>
      </c>
      <c r="W1168" s="9">
        <v>4024.53</v>
      </c>
      <c r="X1168" s="12">
        <v>6.8399999999996908</v>
      </c>
      <c r="Y1168" s="10">
        <v>2016</v>
      </c>
    </row>
    <row r="1169" spans="1:25">
      <c r="A1169" s="1" t="s">
        <v>2768</v>
      </c>
      <c r="B1169" s="8">
        <v>43324</v>
      </c>
      <c r="C1169" s="11" t="s">
        <v>3344</v>
      </c>
      <c r="D1169" s="11" t="s">
        <v>3345</v>
      </c>
      <c r="E1169" s="5">
        <v>43385</v>
      </c>
      <c r="F1169" s="1" t="s">
        <v>26</v>
      </c>
      <c r="G1169" s="1" t="s">
        <v>781</v>
      </c>
      <c r="H1169" s="1" t="s">
        <v>3549</v>
      </c>
      <c r="I1169" s="1" t="s">
        <v>3550</v>
      </c>
      <c r="J1169" s="1"/>
      <c r="K1169" s="1" t="s">
        <v>29</v>
      </c>
      <c r="L1169" s="1" t="s">
        <v>30</v>
      </c>
      <c r="M1169" s="1" t="s">
        <v>233</v>
      </c>
      <c r="N1169" s="1" t="s">
        <v>234</v>
      </c>
      <c r="O1169" s="1">
        <v>10035</v>
      </c>
      <c r="P1169" s="1" t="s">
        <v>128</v>
      </c>
      <c r="Q1169" s="1" t="s">
        <v>2769</v>
      </c>
      <c r="R1169" s="1" t="s">
        <v>35</v>
      </c>
      <c r="S1169" s="7">
        <v>109.48</v>
      </c>
      <c r="T1169" s="1">
        <v>1</v>
      </c>
      <c r="U1169" s="9">
        <v>109.47</v>
      </c>
      <c r="V1169" s="9">
        <v>109.48</v>
      </c>
      <c r="W1169" s="9">
        <v>109.47</v>
      </c>
      <c r="X1169" s="12">
        <v>1.0000000000005116E-2</v>
      </c>
      <c r="Y1169" s="10">
        <v>2018</v>
      </c>
    </row>
    <row r="1170" spans="1:25">
      <c r="A1170" s="1" t="s">
        <v>2768</v>
      </c>
      <c r="B1170" s="8">
        <v>43324</v>
      </c>
      <c r="C1170" s="11" t="s">
        <v>3344</v>
      </c>
      <c r="D1170" s="11" t="s">
        <v>3345</v>
      </c>
      <c r="E1170" s="5">
        <v>43385</v>
      </c>
      <c r="F1170" s="1" t="s">
        <v>26</v>
      </c>
      <c r="G1170" s="1" t="s">
        <v>781</v>
      </c>
      <c r="H1170" s="1" t="s">
        <v>3549</v>
      </c>
      <c r="I1170" s="1" t="s">
        <v>3550</v>
      </c>
      <c r="J1170" s="1"/>
      <c r="K1170" s="1" t="s">
        <v>29</v>
      </c>
      <c r="L1170" s="1" t="s">
        <v>30</v>
      </c>
      <c r="M1170" s="1" t="s">
        <v>233</v>
      </c>
      <c r="N1170" s="1" t="s">
        <v>234</v>
      </c>
      <c r="O1170" s="1">
        <v>10035</v>
      </c>
      <c r="P1170" s="1" t="s">
        <v>128</v>
      </c>
      <c r="Q1170" s="1" t="s">
        <v>290</v>
      </c>
      <c r="R1170" s="1" t="s">
        <v>46</v>
      </c>
      <c r="S1170" s="7">
        <v>272.94</v>
      </c>
      <c r="T1170" s="1">
        <v>1</v>
      </c>
      <c r="U1170" s="9">
        <v>272.66000000000003</v>
      </c>
      <c r="V1170" s="9">
        <v>272.94</v>
      </c>
      <c r="W1170" s="9">
        <v>272.66000000000003</v>
      </c>
      <c r="X1170" s="12">
        <v>0.27999999999997272</v>
      </c>
      <c r="Y1170" s="10">
        <v>2018</v>
      </c>
    </row>
    <row r="1171" spans="1:25">
      <c r="A1171" s="1" t="s">
        <v>2768</v>
      </c>
      <c r="B1171" s="8">
        <v>43324</v>
      </c>
      <c r="C1171" s="11" t="s">
        <v>3344</v>
      </c>
      <c r="D1171" s="11" t="s">
        <v>3345</v>
      </c>
      <c r="E1171" s="5">
        <v>43385</v>
      </c>
      <c r="F1171" s="1" t="s">
        <v>26</v>
      </c>
      <c r="G1171" s="1" t="s">
        <v>781</v>
      </c>
      <c r="H1171" s="1" t="s">
        <v>3549</v>
      </c>
      <c r="I1171" s="1" t="s">
        <v>3550</v>
      </c>
      <c r="J1171" s="1"/>
      <c r="K1171" s="1" t="s">
        <v>29</v>
      </c>
      <c r="L1171" s="1" t="s">
        <v>30</v>
      </c>
      <c r="M1171" s="1" t="s">
        <v>233</v>
      </c>
      <c r="N1171" s="1" t="s">
        <v>234</v>
      </c>
      <c r="O1171" s="1">
        <v>10035</v>
      </c>
      <c r="P1171" s="1" t="s">
        <v>128</v>
      </c>
      <c r="Q1171" s="1" t="s">
        <v>2770</v>
      </c>
      <c r="R1171" s="1" t="s">
        <v>46</v>
      </c>
      <c r="S1171" s="7">
        <v>19.440000000000001</v>
      </c>
      <c r="T1171" s="1">
        <v>1</v>
      </c>
      <c r="U1171" s="9">
        <v>19.399999999999999</v>
      </c>
      <c r="V1171" s="9">
        <v>19.440000000000001</v>
      </c>
      <c r="W1171" s="9">
        <v>19.399999999999999</v>
      </c>
      <c r="X1171" s="12">
        <v>4.00000000000027E-2</v>
      </c>
      <c r="Y1171" s="10">
        <v>2018</v>
      </c>
    </row>
    <row r="1172" spans="1:25">
      <c r="A1172" s="1" t="s">
        <v>2768</v>
      </c>
      <c r="B1172" s="8">
        <v>43324</v>
      </c>
      <c r="C1172" s="11" t="s">
        <v>3344</v>
      </c>
      <c r="D1172" s="11" t="s">
        <v>3345</v>
      </c>
      <c r="E1172" s="5">
        <v>43385</v>
      </c>
      <c r="F1172" s="1" t="s">
        <v>26</v>
      </c>
      <c r="G1172" s="1" t="s">
        <v>781</v>
      </c>
      <c r="H1172" s="1" t="s">
        <v>3549</v>
      </c>
      <c r="I1172" s="1" t="s">
        <v>3550</v>
      </c>
      <c r="J1172" s="1"/>
      <c r="K1172" s="1" t="s">
        <v>29</v>
      </c>
      <c r="L1172" s="1" t="s">
        <v>30</v>
      </c>
      <c r="M1172" s="1" t="s">
        <v>233</v>
      </c>
      <c r="N1172" s="1" t="s">
        <v>234</v>
      </c>
      <c r="O1172" s="1">
        <v>10035</v>
      </c>
      <c r="P1172" s="1" t="s">
        <v>128</v>
      </c>
      <c r="Q1172" s="1" t="s">
        <v>2771</v>
      </c>
      <c r="R1172" s="1" t="s">
        <v>46</v>
      </c>
      <c r="S1172" s="7">
        <v>31.92</v>
      </c>
      <c r="T1172" s="1">
        <v>1</v>
      </c>
      <c r="U1172" s="9">
        <v>31.49</v>
      </c>
      <c r="V1172" s="9">
        <v>31.92</v>
      </c>
      <c r="W1172" s="9">
        <v>31.49</v>
      </c>
      <c r="X1172" s="12">
        <v>0.43000000000000327</v>
      </c>
      <c r="Y1172" s="10">
        <v>2018</v>
      </c>
    </row>
    <row r="1173" spans="1:25">
      <c r="A1173" s="1" t="s">
        <v>2772</v>
      </c>
      <c r="B1173" s="8">
        <v>42280</v>
      </c>
      <c r="C1173" s="11" t="s">
        <v>3387</v>
      </c>
      <c r="D1173" s="11" t="s">
        <v>3349</v>
      </c>
      <c r="E1173" s="5" t="s">
        <v>2773</v>
      </c>
      <c r="F1173" s="1" t="s">
        <v>49</v>
      </c>
      <c r="G1173" s="1" t="s">
        <v>2381</v>
      </c>
      <c r="H1173" s="1" t="s">
        <v>3871</v>
      </c>
      <c r="I1173" s="1" t="s">
        <v>3872</v>
      </c>
      <c r="J1173" s="1"/>
      <c r="K1173" s="1" t="s">
        <v>29</v>
      </c>
      <c r="L1173" s="1" t="s">
        <v>30</v>
      </c>
      <c r="M1173" s="1" t="s">
        <v>2774</v>
      </c>
      <c r="N1173" s="1" t="s">
        <v>209</v>
      </c>
      <c r="O1173" s="1">
        <v>48073</v>
      </c>
      <c r="P1173" s="1" t="s">
        <v>90</v>
      </c>
      <c r="Q1173" s="1" t="s">
        <v>2775</v>
      </c>
      <c r="R1173" s="1" t="s">
        <v>46</v>
      </c>
      <c r="S1173" s="7">
        <v>22.38</v>
      </c>
      <c r="T1173" s="1">
        <v>4</v>
      </c>
      <c r="U1173" s="9">
        <v>21.6</v>
      </c>
      <c r="V1173" s="9">
        <v>89.52</v>
      </c>
      <c r="W1173" s="9">
        <v>86.4</v>
      </c>
      <c r="X1173" s="12">
        <v>3.1199999999999903</v>
      </c>
      <c r="Y1173" s="10">
        <v>2015</v>
      </c>
    </row>
    <row r="1174" spans="1:25">
      <c r="A1174" s="1" t="s">
        <v>2776</v>
      </c>
      <c r="B1174" s="8">
        <v>42115</v>
      </c>
      <c r="C1174" s="11" t="s">
        <v>3359</v>
      </c>
      <c r="D1174" s="11" t="s">
        <v>3360</v>
      </c>
      <c r="E1174" s="5" t="s">
        <v>2777</v>
      </c>
      <c r="F1174" s="1" t="s">
        <v>49</v>
      </c>
      <c r="G1174" s="1" t="s">
        <v>1482</v>
      </c>
      <c r="H1174" s="1" t="s">
        <v>3362</v>
      </c>
      <c r="I1174" s="1" t="s">
        <v>3694</v>
      </c>
      <c r="J1174" s="1"/>
      <c r="K1174" s="1" t="s">
        <v>29</v>
      </c>
      <c r="L1174" s="1" t="s">
        <v>30</v>
      </c>
      <c r="M1174" s="1" t="s">
        <v>42</v>
      </c>
      <c r="N1174" s="1" t="s">
        <v>68</v>
      </c>
      <c r="O1174" s="1">
        <v>90008</v>
      </c>
      <c r="P1174" s="1" t="s">
        <v>44</v>
      </c>
      <c r="Q1174" s="1" t="s">
        <v>2778</v>
      </c>
      <c r="R1174" s="1" t="s">
        <v>46</v>
      </c>
      <c r="S1174" s="7">
        <v>16.52</v>
      </c>
      <c r="T1174" s="1">
        <v>9</v>
      </c>
      <c r="U1174" s="9">
        <v>15.79</v>
      </c>
      <c r="V1174" s="9">
        <v>148.68</v>
      </c>
      <c r="W1174" s="9">
        <v>142.10999999999999</v>
      </c>
      <c r="X1174" s="12">
        <v>6.5700000000000216</v>
      </c>
      <c r="Y1174" s="10">
        <v>2015</v>
      </c>
    </row>
    <row r="1175" spans="1:25">
      <c r="A1175" s="1" t="s">
        <v>2779</v>
      </c>
      <c r="B1175" s="8">
        <v>42665</v>
      </c>
      <c r="C1175" s="11" t="s">
        <v>3387</v>
      </c>
      <c r="D1175" s="11" t="s">
        <v>3349</v>
      </c>
      <c r="E1175" s="5" t="s">
        <v>2780</v>
      </c>
      <c r="F1175" s="1" t="s">
        <v>49</v>
      </c>
      <c r="G1175" s="1" t="s">
        <v>2025</v>
      </c>
      <c r="H1175" s="1" t="s">
        <v>3698</v>
      </c>
      <c r="I1175" s="1" t="s">
        <v>3815</v>
      </c>
      <c r="J1175" s="1"/>
      <c r="K1175" s="1" t="s">
        <v>29</v>
      </c>
      <c r="L1175" s="1" t="s">
        <v>30</v>
      </c>
      <c r="M1175" s="1" t="s">
        <v>452</v>
      </c>
      <c r="N1175" s="1" t="s">
        <v>182</v>
      </c>
      <c r="O1175" s="1">
        <v>61701</v>
      </c>
      <c r="P1175" s="1" t="s">
        <v>90</v>
      </c>
      <c r="Q1175" s="1" t="s">
        <v>2000</v>
      </c>
      <c r="R1175" s="1" t="s">
        <v>46</v>
      </c>
      <c r="S1175" s="7">
        <v>5.1760000000000002</v>
      </c>
      <c r="T1175" s="1">
        <v>6</v>
      </c>
      <c r="U1175" s="9">
        <v>4.95</v>
      </c>
      <c r="V1175" s="9">
        <v>31.056000000000001</v>
      </c>
      <c r="W1175" s="9">
        <v>29.700000000000003</v>
      </c>
      <c r="X1175" s="12">
        <v>1.3559999999999981</v>
      </c>
      <c r="Y1175" s="10">
        <v>2016</v>
      </c>
    </row>
    <row r="1176" spans="1:25">
      <c r="A1176" s="1" t="s">
        <v>2781</v>
      </c>
      <c r="B1176" s="8">
        <v>42604</v>
      </c>
      <c r="C1176" s="11" t="s">
        <v>3344</v>
      </c>
      <c r="D1176" s="11" t="s">
        <v>3345</v>
      </c>
      <c r="E1176" s="5" t="s">
        <v>2782</v>
      </c>
      <c r="F1176" s="1" t="s">
        <v>162</v>
      </c>
      <c r="G1176" s="1" t="s">
        <v>2162</v>
      </c>
      <c r="H1176" s="1" t="s">
        <v>3462</v>
      </c>
      <c r="I1176" s="1" t="s">
        <v>3836</v>
      </c>
      <c r="J1176" s="1"/>
      <c r="K1176" s="1" t="s">
        <v>41</v>
      </c>
      <c r="L1176" s="1" t="s">
        <v>30</v>
      </c>
      <c r="M1176" s="1" t="s">
        <v>233</v>
      </c>
      <c r="N1176" s="1" t="s">
        <v>234</v>
      </c>
      <c r="O1176" s="1">
        <v>10035</v>
      </c>
      <c r="P1176" s="1" t="s">
        <v>128</v>
      </c>
      <c r="Q1176" s="1" t="s">
        <v>2783</v>
      </c>
      <c r="R1176" s="1" t="s">
        <v>46</v>
      </c>
      <c r="S1176" s="7">
        <v>50.112000000000002</v>
      </c>
      <c r="T1176" s="1">
        <v>1</v>
      </c>
      <c r="U1176" s="9">
        <v>49.33</v>
      </c>
      <c r="V1176" s="9">
        <v>50.112000000000002</v>
      </c>
      <c r="W1176" s="9">
        <v>49.33</v>
      </c>
      <c r="X1176" s="12">
        <v>0.78200000000000358</v>
      </c>
      <c r="Y1176" s="10">
        <v>2016</v>
      </c>
    </row>
    <row r="1177" spans="1:25">
      <c r="A1177" s="1" t="s">
        <v>2784</v>
      </c>
      <c r="B1177" s="8">
        <v>42976</v>
      </c>
      <c r="C1177" s="11" t="s">
        <v>3344</v>
      </c>
      <c r="D1177" s="11" t="s">
        <v>3345</v>
      </c>
      <c r="E1177" s="5">
        <v>42803</v>
      </c>
      <c r="F1177" s="1" t="s">
        <v>49</v>
      </c>
      <c r="G1177" s="1" t="s">
        <v>1017</v>
      </c>
      <c r="H1177" s="1" t="s">
        <v>3597</v>
      </c>
      <c r="I1177" s="1" t="s">
        <v>3598</v>
      </c>
      <c r="J1177" s="1"/>
      <c r="K1177" s="1" t="s">
        <v>87</v>
      </c>
      <c r="L1177" s="1" t="s">
        <v>30</v>
      </c>
      <c r="M1177" s="1" t="s">
        <v>74</v>
      </c>
      <c r="N1177" s="1" t="s">
        <v>2208</v>
      </c>
      <c r="O1177" s="1">
        <v>3301</v>
      </c>
      <c r="P1177" s="1" t="s">
        <v>128</v>
      </c>
      <c r="Q1177" s="1" t="s">
        <v>2113</v>
      </c>
      <c r="R1177" s="1" t="s">
        <v>46</v>
      </c>
      <c r="S1177" s="7">
        <v>27.93</v>
      </c>
      <c r="T1177" s="1">
        <v>3</v>
      </c>
      <c r="U1177" s="9">
        <v>27.54</v>
      </c>
      <c r="V1177" s="9">
        <v>83.789999999999992</v>
      </c>
      <c r="W1177" s="9">
        <v>82.62</v>
      </c>
      <c r="X1177" s="12">
        <v>1.1699999999999875</v>
      </c>
      <c r="Y1177" s="10">
        <v>2017</v>
      </c>
    </row>
    <row r="1178" spans="1:25">
      <c r="A1178" s="1" t="s">
        <v>2785</v>
      </c>
      <c r="B1178" s="8">
        <v>42365</v>
      </c>
      <c r="C1178" s="11" t="s">
        <v>3348</v>
      </c>
      <c r="D1178" s="11" t="s">
        <v>3349</v>
      </c>
      <c r="E1178" s="5" t="s">
        <v>941</v>
      </c>
      <c r="F1178" s="1" t="s">
        <v>26</v>
      </c>
      <c r="G1178" s="1" t="s">
        <v>2786</v>
      </c>
      <c r="H1178" s="1" t="s">
        <v>3593</v>
      </c>
      <c r="I1178" s="1" t="s">
        <v>3930</v>
      </c>
      <c r="J1178" s="1"/>
      <c r="K1178" s="1" t="s">
        <v>87</v>
      </c>
      <c r="L1178" s="1" t="s">
        <v>30</v>
      </c>
      <c r="M1178" s="1" t="s">
        <v>42</v>
      </c>
      <c r="N1178" s="1" t="s">
        <v>68</v>
      </c>
      <c r="O1178" s="1">
        <v>90004</v>
      </c>
      <c r="P1178" s="1" t="s">
        <v>44</v>
      </c>
      <c r="Q1178" s="1" t="s">
        <v>2788</v>
      </c>
      <c r="R1178" s="1" t="s">
        <v>46</v>
      </c>
      <c r="S1178" s="7">
        <v>11.56</v>
      </c>
      <c r="T1178" s="1">
        <v>9</v>
      </c>
      <c r="U1178" s="9">
        <v>11.38</v>
      </c>
      <c r="V1178" s="9">
        <v>104.04</v>
      </c>
      <c r="W1178" s="9">
        <v>102.42</v>
      </c>
      <c r="X1178" s="12">
        <v>1.6200000000000045</v>
      </c>
      <c r="Y1178" s="10">
        <v>2015</v>
      </c>
    </row>
    <row r="1179" spans="1:25">
      <c r="A1179" s="1" t="s">
        <v>2789</v>
      </c>
      <c r="B1179" s="8">
        <v>42747</v>
      </c>
      <c r="C1179" s="11" t="s">
        <v>3381</v>
      </c>
      <c r="D1179" s="11" t="s">
        <v>3382</v>
      </c>
      <c r="E1179" s="5">
        <v>42867</v>
      </c>
      <c r="F1179" s="1" t="s">
        <v>49</v>
      </c>
      <c r="G1179" s="1" t="s">
        <v>284</v>
      </c>
      <c r="H1179" s="1" t="s">
        <v>3422</v>
      </c>
      <c r="I1179" s="1" t="s">
        <v>3423</v>
      </c>
      <c r="J1179" s="1"/>
      <c r="K1179" s="1" t="s">
        <v>29</v>
      </c>
      <c r="L1179" s="1" t="s">
        <v>30</v>
      </c>
      <c r="M1179" s="1" t="s">
        <v>2790</v>
      </c>
      <c r="N1179" s="1" t="s">
        <v>2248</v>
      </c>
      <c r="O1179" s="1">
        <v>20852</v>
      </c>
      <c r="P1179" s="1" t="s">
        <v>128</v>
      </c>
      <c r="Q1179" s="1" t="s">
        <v>2791</v>
      </c>
      <c r="R1179" s="1" t="s">
        <v>35</v>
      </c>
      <c r="S1179" s="7">
        <v>172.5</v>
      </c>
      <c r="T1179" s="1">
        <v>2</v>
      </c>
      <c r="U1179" s="9">
        <v>172.39</v>
      </c>
      <c r="V1179" s="9">
        <v>345</v>
      </c>
      <c r="W1179" s="9">
        <v>344.78</v>
      </c>
      <c r="X1179" s="12">
        <v>0.22000000000002728</v>
      </c>
      <c r="Y1179" s="10">
        <v>2017</v>
      </c>
    </row>
    <row r="1180" spans="1:25">
      <c r="A1180" s="1" t="s">
        <v>2789</v>
      </c>
      <c r="B1180" s="8">
        <v>42747</v>
      </c>
      <c r="C1180" s="11" t="s">
        <v>3381</v>
      </c>
      <c r="D1180" s="11" t="s">
        <v>3382</v>
      </c>
      <c r="E1180" s="5">
        <v>42867</v>
      </c>
      <c r="F1180" s="1" t="s">
        <v>49</v>
      </c>
      <c r="G1180" s="1" t="s">
        <v>284</v>
      </c>
      <c r="H1180" s="1" t="s">
        <v>3422</v>
      </c>
      <c r="I1180" s="1" t="s">
        <v>3423</v>
      </c>
      <c r="J1180" s="1"/>
      <c r="K1180" s="1" t="s">
        <v>29</v>
      </c>
      <c r="L1180" s="1" t="s">
        <v>30</v>
      </c>
      <c r="M1180" s="1" t="s">
        <v>2790</v>
      </c>
      <c r="N1180" s="1" t="s">
        <v>2248</v>
      </c>
      <c r="O1180" s="1">
        <v>20852</v>
      </c>
      <c r="P1180" s="1" t="s">
        <v>128</v>
      </c>
      <c r="Q1180" s="1" t="s">
        <v>572</v>
      </c>
      <c r="R1180" s="1" t="s">
        <v>64</v>
      </c>
      <c r="S1180" s="7">
        <v>179.97</v>
      </c>
      <c r="T1180" s="1">
        <v>2</v>
      </c>
      <c r="U1180" s="9">
        <v>179.22</v>
      </c>
      <c r="V1180" s="9">
        <v>359.94</v>
      </c>
      <c r="W1180" s="9">
        <v>358.44</v>
      </c>
      <c r="X1180" s="12">
        <v>1.5</v>
      </c>
      <c r="Y1180" s="10">
        <v>2017</v>
      </c>
    </row>
    <row r="1181" spans="1:25">
      <c r="A1181" s="1" t="s">
        <v>2792</v>
      </c>
      <c r="B1181" s="8">
        <v>42849</v>
      </c>
      <c r="C1181" s="11" t="s">
        <v>3359</v>
      </c>
      <c r="D1181" s="11" t="s">
        <v>3360</v>
      </c>
      <c r="E1181" s="5" t="s">
        <v>958</v>
      </c>
      <c r="F1181" s="1" t="s">
        <v>26</v>
      </c>
      <c r="G1181" s="1" t="s">
        <v>2793</v>
      </c>
      <c r="H1181" s="1" t="s">
        <v>3931</v>
      </c>
      <c r="I1181" s="1" t="s">
        <v>3454</v>
      </c>
      <c r="J1181" s="1"/>
      <c r="K1181" s="1" t="s">
        <v>87</v>
      </c>
      <c r="L1181" s="1" t="s">
        <v>30</v>
      </c>
      <c r="M1181" s="1" t="s">
        <v>172</v>
      </c>
      <c r="N1181" s="1" t="s">
        <v>89</v>
      </c>
      <c r="O1181" s="1">
        <v>77070</v>
      </c>
      <c r="P1181" s="1" t="s">
        <v>90</v>
      </c>
      <c r="Q1181" s="1" t="s">
        <v>1985</v>
      </c>
      <c r="R1181" s="1" t="s">
        <v>64</v>
      </c>
      <c r="S1181" s="7">
        <v>258.69600000000003</v>
      </c>
      <c r="T1181" s="1">
        <v>7</v>
      </c>
      <c r="U1181" s="9">
        <v>257.79000000000002</v>
      </c>
      <c r="V1181" s="9">
        <v>1810.8720000000003</v>
      </c>
      <c r="W1181" s="9">
        <v>1804.5300000000002</v>
      </c>
      <c r="X1181" s="12">
        <v>6.3420000000000982</v>
      </c>
      <c r="Y1181" s="10">
        <v>2017</v>
      </c>
    </row>
    <row r="1182" spans="1:25">
      <c r="A1182" s="1" t="s">
        <v>2795</v>
      </c>
      <c r="B1182" s="8">
        <v>42176</v>
      </c>
      <c r="C1182" s="11" t="s">
        <v>3403</v>
      </c>
      <c r="D1182" s="11" t="s">
        <v>3360</v>
      </c>
      <c r="E1182" s="5" t="s">
        <v>1198</v>
      </c>
      <c r="F1182" s="1" t="s">
        <v>49</v>
      </c>
      <c r="G1182" s="1" t="s">
        <v>533</v>
      </c>
      <c r="H1182" s="1" t="s">
        <v>3462</v>
      </c>
      <c r="I1182" s="1" t="s">
        <v>3494</v>
      </c>
      <c r="J1182" s="1"/>
      <c r="K1182" s="1" t="s">
        <v>29</v>
      </c>
      <c r="L1182" s="1" t="s">
        <v>30</v>
      </c>
      <c r="M1182" s="1" t="s">
        <v>910</v>
      </c>
      <c r="N1182" s="1" t="s">
        <v>653</v>
      </c>
      <c r="O1182" s="1">
        <v>8701</v>
      </c>
      <c r="P1182" s="1" t="s">
        <v>128</v>
      </c>
      <c r="Q1182" s="1" t="s">
        <v>2796</v>
      </c>
      <c r="R1182" s="1" t="s">
        <v>64</v>
      </c>
      <c r="S1182" s="7">
        <v>1322.93</v>
      </c>
      <c r="T1182" s="1">
        <v>8</v>
      </c>
      <c r="U1182" s="9">
        <v>1322.42</v>
      </c>
      <c r="V1182" s="9">
        <v>10583.44</v>
      </c>
      <c r="W1182" s="9">
        <v>10579.36</v>
      </c>
      <c r="X1182" s="12">
        <v>4.0799999999999272</v>
      </c>
      <c r="Y1182" s="10">
        <v>2015</v>
      </c>
    </row>
    <row r="1183" spans="1:25">
      <c r="A1183" s="1" t="s">
        <v>2795</v>
      </c>
      <c r="B1183" s="8">
        <v>42176</v>
      </c>
      <c r="C1183" s="11" t="s">
        <v>3403</v>
      </c>
      <c r="D1183" s="11" t="s">
        <v>3360</v>
      </c>
      <c r="E1183" s="5" t="s">
        <v>1198</v>
      </c>
      <c r="F1183" s="1" t="s">
        <v>49</v>
      </c>
      <c r="G1183" s="1" t="s">
        <v>533</v>
      </c>
      <c r="H1183" s="1" t="s">
        <v>3462</v>
      </c>
      <c r="I1183" s="1" t="s">
        <v>3494</v>
      </c>
      <c r="J1183" s="1"/>
      <c r="K1183" s="1" t="s">
        <v>29</v>
      </c>
      <c r="L1183" s="1" t="s">
        <v>30</v>
      </c>
      <c r="M1183" s="1" t="s">
        <v>910</v>
      </c>
      <c r="N1183" s="1" t="s">
        <v>653</v>
      </c>
      <c r="O1183" s="1">
        <v>8701</v>
      </c>
      <c r="P1183" s="1" t="s">
        <v>128</v>
      </c>
      <c r="Q1183" s="1" t="s">
        <v>2797</v>
      </c>
      <c r="R1183" s="1" t="s">
        <v>46</v>
      </c>
      <c r="S1183" s="7">
        <v>3.76</v>
      </c>
      <c r="T1183" s="1">
        <v>8</v>
      </c>
      <c r="U1183" s="9">
        <v>3.22</v>
      </c>
      <c r="V1183" s="9">
        <v>30.08</v>
      </c>
      <c r="W1183" s="9">
        <v>25.76</v>
      </c>
      <c r="X1183" s="12">
        <v>4.3199999999999967</v>
      </c>
      <c r="Y1183" s="10">
        <v>2015</v>
      </c>
    </row>
    <row r="1184" spans="1:25">
      <c r="A1184" s="1" t="s">
        <v>2798</v>
      </c>
      <c r="B1184" s="8">
        <v>43114</v>
      </c>
      <c r="C1184" s="11" t="s">
        <v>3381</v>
      </c>
      <c r="D1184" s="11" t="s">
        <v>3382</v>
      </c>
      <c r="E1184" s="5" t="s">
        <v>2799</v>
      </c>
      <c r="F1184" s="1" t="s">
        <v>162</v>
      </c>
      <c r="G1184" s="1" t="s">
        <v>1793</v>
      </c>
      <c r="H1184" s="1" t="s">
        <v>3693</v>
      </c>
      <c r="I1184" s="1" t="s">
        <v>3767</v>
      </c>
      <c r="J1184" s="1"/>
      <c r="K1184" s="1" t="s">
        <v>29</v>
      </c>
      <c r="L1184" s="1" t="s">
        <v>30</v>
      </c>
      <c r="M1184" s="1" t="s">
        <v>1241</v>
      </c>
      <c r="N1184" s="1" t="s">
        <v>75</v>
      </c>
      <c r="O1184" s="1">
        <v>28540</v>
      </c>
      <c r="P1184" s="1" t="s">
        <v>33</v>
      </c>
      <c r="Q1184" s="1" t="s">
        <v>425</v>
      </c>
      <c r="R1184" s="1" t="s">
        <v>46</v>
      </c>
      <c r="S1184" s="7">
        <v>21.744</v>
      </c>
      <c r="T1184" s="1">
        <v>2</v>
      </c>
      <c r="U1184" s="9">
        <v>21.04</v>
      </c>
      <c r="V1184" s="9">
        <v>43.488</v>
      </c>
      <c r="W1184" s="9">
        <v>42.08</v>
      </c>
      <c r="X1184" s="12">
        <v>1.4080000000000013</v>
      </c>
      <c r="Y1184" s="10">
        <v>2018</v>
      </c>
    </row>
    <row r="1185" spans="1:25">
      <c r="A1185" s="1" t="s">
        <v>2798</v>
      </c>
      <c r="B1185" s="8">
        <v>43114</v>
      </c>
      <c r="C1185" s="11" t="s">
        <v>3381</v>
      </c>
      <c r="D1185" s="11" t="s">
        <v>3382</v>
      </c>
      <c r="E1185" s="5" t="s">
        <v>2799</v>
      </c>
      <c r="F1185" s="1" t="s">
        <v>162</v>
      </c>
      <c r="G1185" s="1" t="s">
        <v>1793</v>
      </c>
      <c r="H1185" s="1" t="s">
        <v>3693</v>
      </c>
      <c r="I1185" s="1" t="s">
        <v>3767</v>
      </c>
      <c r="J1185" s="1"/>
      <c r="K1185" s="1" t="s">
        <v>29</v>
      </c>
      <c r="L1185" s="1" t="s">
        <v>30</v>
      </c>
      <c r="M1185" s="1" t="s">
        <v>1241</v>
      </c>
      <c r="N1185" s="1" t="s">
        <v>75</v>
      </c>
      <c r="O1185" s="1">
        <v>28540</v>
      </c>
      <c r="P1185" s="1" t="s">
        <v>33</v>
      </c>
      <c r="Q1185" s="1" t="s">
        <v>2800</v>
      </c>
      <c r="R1185" s="1" t="s">
        <v>64</v>
      </c>
      <c r="S1185" s="7">
        <v>7.92</v>
      </c>
      <c r="T1185" s="1">
        <v>2</v>
      </c>
      <c r="U1185" s="9">
        <v>7.42</v>
      </c>
      <c r="V1185" s="9">
        <v>15.84</v>
      </c>
      <c r="W1185" s="9">
        <v>14.84</v>
      </c>
      <c r="X1185" s="12">
        <v>1</v>
      </c>
      <c r="Y1185" s="10">
        <v>2018</v>
      </c>
    </row>
    <row r="1186" spans="1:25">
      <c r="A1186" s="1" t="s">
        <v>2801</v>
      </c>
      <c r="B1186" s="8">
        <v>42332</v>
      </c>
      <c r="C1186" s="11" t="s">
        <v>3353</v>
      </c>
      <c r="D1186" s="11" t="s">
        <v>3349</v>
      </c>
      <c r="E1186" s="5" t="s">
        <v>2802</v>
      </c>
      <c r="F1186" s="1" t="s">
        <v>49</v>
      </c>
      <c r="G1186" s="1" t="s">
        <v>2803</v>
      </c>
      <c r="H1186" s="1" t="s">
        <v>3366</v>
      </c>
      <c r="I1186" s="1" t="s">
        <v>3459</v>
      </c>
      <c r="J1186" s="1"/>
      <c r="K1186" s="1" t="s">
        <v>41</v>
      </c>
      <c r="L1186" s="1" t="s">
        <v>30</v>
      </c>
      <c r="M1186" s="1" t="s">
        <v>80</v>
      </c>
      <c r="N1186" s="1" t="s">
        <v>81</v>
      </c>
      <c r="O1186" s="1">
        <v>98103</v>
      </c>
      <c r="P1186" s="1" t="s">
        <v>44</v>
      </c>
      <c r="Q1186" s="1" t="s">
        <v>2805</v>
      </c>
      <c r="R1186" s="1" t="s">
        <v>46</v>
      </c>
      <c r="S1186" s="7">
        <v>12.096</v>
      </c>
      <c r="T1186" s="1">
        <v>9</v>
      </c>
      <c r="U1186" s="9">
        <v>11.47</v>
      </c>
      <c r="V1186" s="9">
        <v>108.864</v>
      </c>
      <c r="W1186" s="9">
        <v>103.23</v>
      </c>
      <c r="X1186" s="12">
        <v>5.6340000000000003</v>
      </c>
      <c r="Y1186" s="10">
        <v>2015</v>
      </c>
    </row>
    <row r="1187" spans="1:25">
      <c r="A1187" s="1" t="s">
        <v>2801</v>
      </c>
      <c r="B1187" s="8">
        <v>42332</v>
      </c>
      <c r="C1187" s="11" t="s">
        <v>3353</v>
      </c>
      <c r="D1187" s="11" t="s">
        <v>3349</v>
      </c>
      <c r="E1187" s="5" t="s">
        <v>2802</v>
      </c>
      <c r="F1187" s="1" t="s">
        <v>49</v>
      </c>
      <c r="G1187" s="1" t="s">
        <v>2803</v>
      </c>
      <c r="H1187" s="1" t="s">
        <v>3366</v>
      </c>
      <c r="I1187" s="1" t="s">
        <v>3459</v>
      </c>
      <c r="J1187" s="1"/>
      <c r="K1187" s="1" t="s">
        <v>41</v>
      </c>
      <c r="L1187" s="1" t="s">
        <v>30</v>
      </c>
      <c r="M1187" s="1" t="s">
        <v>80</v>
      </c>
      <c r="N1187" s="1" t="s">
        <v>81</v>
      </c>
      <c r="O1187" s="1">
        <v>98103</v>
      </c>
      <c r="P1187" s="1" t="s">
        <v>44</v>
      </c>
      <c r="Q1187" s="1" t="s">
        <v>2806</v>
      </c>
      <c r="R1187" s="1" t="s">
        <v>46</v>
      </c>
      <c r="S1187" s="7">
        <v>485.88</v>
      </c>
      <c r="T1187" s="1">
        <v>9</v>
      </c>
      <c r="U1187" s="9">
        <v>485.56</v>
      </c>
      <c r="V1187" s="9">
        <v>4372.92</v>
      </c>
      <c r="W1187" s="9">
        <v>4370.04</v>
      </c>
      <c r="X1187" s="12">
        <v>2.8800000000001091</v>
      </c>
      <c r="Y1187" s="10">
        <v>2015</v>
      </c>
    </row>
    <row r="1188" spans="1:25">
      <c r="A1188" s="1" t="s">
        <v>2801</v>
      </c>
      <c r="B1188" s="8">
        <v>42332</v>
      </c>
      <c r="C1188" s="11" t="s">
        <v>3353</v>
      </c>
      <c r="D1188" s="11" t="s">
        <v>3349</v>
      </c>
      <c r="E1188" s="5" t="s">
        <v>2802</v>
      </c>
      <c r="F1188" s="1" t="s">
        <v>49</v>
      </c>
      <c r="G1188" s="1" t="s">
        <v>2803</v>
      </c>
      <c r="H1188" s="1" t="s">
        <v>3366</v>
      </c>
      <c r="I1188" s="1" t="s">
        <v>3459</v>
      </c>
      <c r="J1188" s="1"/>
      <c r="K1188" s="1" t="s">
        <v>41</v>
      </c>
      <c r="L1188" s="1" t="s">
        <v>30</v>
      </c>
      <c r="M1188" s="1" t="s">
        <v>80</v>
      </c>
      <c r="N1188" s="1" t="s">
        <v>81</v>
      </c>
      <c r="O1188" s="1">
        <v>98103</v>
      </c>
      <c r="P1188" s="1" t="s">
        <v>44</v>
      </c>
      <c r="Q1188" s="1" t="s">
        <v>1857</v>
      </c>
      <c r="R1188" s="1" t="s">
        <v>46</v>
      </c>
      <c r="S1188" s="7">
        <v>25.92</v>
      </c>
      <c r="T1188" s="1">
        <v>9</v>
      </c>
      <c r="U1188" s="9">
        <v>25.58</v>
      </c>
      <c r="V1188" s="9">
        <v>233.28000000000003</v>
      </c>
      <c r="W1188" s="9">
        <v>230.21999999999997</v>
      </c>
      <c r="X1188" s="12">
        <v>3.0600000000000591</v>
      </c>
      <c r="Y1188" s="10">
        <v>2015</v>
      </c>
    </row>
    <row r="1189" spans="1:25">
      <c r="A1189" s="1" t="s">
        <v>2801</v>
      </c>
      <c r="B1189" s="8">
        <v>42332</v>
      </c>
      <c r="C1189" s="11" t="s">
        <v>3353</v>
      </c>
      <c r="D1189" s="11" t="s">
        <v>3349</v>
      </c>
      <c r="E1189" s="5" t="s">
        <v>2802</v>
      </c>
      <c r="F1189" s="1" t="s">
        <v>49</v>
      </c>
      <c r="G1189" s="1" t="s">
        <v>2803</v>
      </c>
      <c r="H1189" s="1" t="s">
        <v>3366</v>
      </c>
      <c r="I1189" s="1" t="s">
        <v>3459</v>
      </c>
      <c r="J1189" s="1"/>
      <c r="K1189" s="1" t="s">
        <v>41</v>
      </c>
      <c r="L1189" s="1" t="s">
        <v>30</v>
      </c>
      <c r="M1189" s="1" t="s">
        <v>80</v>
      </c>
      <c r="N1189" s="1" t="s">
        <v>81</v>
      </c>
      <c r="O1189" s="1">
        <v>98103</v>
      </c>
      <c r="P1189" s="1" t="s">
        <v>44</v>
      </c>
      <c r="Q1189" s="1" t="s">
        <v>1898</v>
      </c>
      <c r="R1189" s="1" t="s">
        <v>46</v>
      </c>
      <c r="S1189" s="7">
        <v>197.58</v>
      </c>
      <c r="T1189" s="1">
        <v>9</v>
      </c>
      <c r="U1189" s="9">
        <v>197.53</v>
      </c>
      <c r="V1189" s="9">
        <v>1778.22</v>
      </c>
      <c r="W1189" s="9">
        <v>1777.77</v>
      </c>
      <c r="X1189" s="12">
        <v>0.45000000000004547</v>
      </c>
      <c r="Y1189" s="10">
        <v>2015</v>
      </c>
    </row>
    <row r="1190" spans="1:25">
      <c r="A1190" s="1" t="s">
        <v>2807</v>
      </c>
      <c r="B1190" s="8">
        <v>43157</v>
      </c>
      <c r="C1190" s="11" t="s">
        <v>3461</v>
      </c>
      <c r="D1190" s="11" t="s">
        <v>3382</v>
      </c>
      <c r="E1190" s="5" t="s">
        <v>2808</v>
      </c>
      <c r="F1190" s="1" t="s">
        <v>26</v>
      </c>
      <c r="G1190" s="1" t="s">
        <v>2809</v>
      </c>
      <c r="H1190" s="1" t="s">
        <v>3684</v>
      </c>
      <c r="I1190" s="1" t="s">
        <v>3932</v>
      </c>
      <c r="J1190" s="1"/>
      <c r="K1190" s="1" t="s">
        <v>87</v>
      </c>
      <c r="L1190" s="1" t="s">
        <v>30</v>
      </c>
      <c r="M1190" s="1" t="s">
        <v>42</v>
      </c>
      <c r="N1190" s="1" t="s">
        <v>68</v>
      </c>
      <c r="O1190" s="1">
        <v>90036</v>
      </c>
      <c r="P1190" s="1" t="s">
        <v>44</v>
      </c>
      <c r="Q1190" s="1" t="s">
        <v>1795</v>
      </c>
      <c r="R1190" s="1" t="s">
        <v>46</v>
      </c>
      <c r="S1190" s="7">
        <v>81.92</v>
      </c>
      <c r="T1190" s="1">
        <v>9</v>
      </c>
      <c r="U1190" s="9">
        <v>81.69</v>
      </c>
      <c r="V1190" s="9">
        <v>737.28</v>
      </c>
      <c r="W1190" s="9">
        <v>735.21</v>
      </c>
      <c r="X1190" s="12">
        <v>2.0699999999999363</v>
      </c>
      <c r="Y1190" s="10">
        <v>2018</v>
      </c>
    </row>
    <row r="1191" spans="1:25">
      <c r="A1191" s="1" t="s">
        <v>2807</v>
      </c>
      <c r="B1191" s="8">
        <v>43157</v>
      </c>
      <c r="C1191" s="11" t="s">
        <v>3461</v>
      </c>
      <c r="D1191" s="11" t="s">
        <v>3382</v>
      </c>
      <c r="E1191" s="5" t="s">
        <v>2808</v>
      </c>
      <c r="F1191" s="1" t="s">
        <v>26</v>
      </c>
      <c r="G1191" s="1" t="s">
        <v>2809</v>
      </c>
      <c r="H1191" s="1" t="s">
        <v>3684</v>
      </c>
      <c r="I1191" s="1" t="s">
        <v>3932</v>
      </c>
      <c r="J1191" s="1"/>
      <c r="K1191" s="1" t="s">
        <v>87</v>
      </c>
      <c r="L1191" s="1" t="s">
        <v>30</v>
      </c>
      <c r="M1191" s="1" t="s">
        <v>42</v>
      </c>
      <c r="N1191" s="1" t="s">
        <v>68</v>
      </c>
      <c r="O1191" s="1">
        <v>90036</v>
      </c>
      <c r="P1191" s="1" t="s">
        <v>44</v>
      </c>
      <c r="Q1191" s="1" t="s">
        <v>2811</v>
      </c>
      <c r="R1191" s="1" t="s">
        <v>64</v>
      </c>
      <c r="S1191" s="7">
        <v>889.53599999999994</v>
      </c>
      <c r="T1191" s="1">
        <v>9</v>
      </c>
      <c r="U1191" s="9">
        <v>889.08</v>
      </c>
      <c r="V1191" s="9">
        <v>8005.8239999999996</v>
      </c>
      <c r="W1191" s="9">
        <v>8001.72</v>
      </c>
      <c r="X1191" s="12">
        <v>4.1039999999993597</v>
      </c>
      <c r="Y1191" s="10">
        <v>2018</v>
      </c>
    </row>
    <row r="1192" spans="1:25">
      <c r="A1192" s="1" t="s">
        <v>2807</v>
      </c>
      <c r="B1192" s="8">
        <v>43157</v>
      </c>
      <c r="C1192" s="11" t="s">
        <v>3461</v>
      </c>
      <c r="D1192" s="11" t="s">
        <v>3382</v>
      </c>
      <c r="E1192" s="5" t="s">
        <v>2808</v>
      </c>
      <c r="F1192" s="1" t="s">
        <v>26</v>
      </c>
      <c r="G1192" s="1" t="s">
        <v>2809</v>
      </c>
      <c r="H1192" s="1" t="s">
        <v>3684</v>
      </c>
      <c r="I1192" s="1" t="s">
        <v>3932</v>
      </c>
      <c r="J1192" s="1"/>
      <c r="K1192" s="1" t="s">
        <v>87</v>
      </c>
      <c r="L1192" s="1" t="s">
        <v>30</v>
      </c>
      <c r="M1192" s="1" t="s">
        <v>42</v>
      </c>
      <c r="N1192" s="1" t="s">
        <v>68</v>
      </c>
      <c r="O1192" s="1">
        <v>90036</v>
      </c>
      <c r="P1192" s="1" t="s">
        <v>44</v>
      </c>
      <c r="Q1192" s="1" t="s">
        <v>2812</v>
      </c>
      <c r="R1192" s="1" t="s">
        <v>35</v>
      </c>
      <c r="S1192" s="7">
        <v>892.22400000000005</v>
      </c>
      <c r="T1192" s="1">
        <v>9</v>
      </c>
      <c r="U1192" s="9">
        <v>891.53</v>
      </c>
      <c r="V1192" s="9">
        <v>8030.0160000000005</v>
      </c>
      <c r="W1192" s="9">
        <v>8023.7699999999995</v>
      </c>
      <c r="X1192" s="12">
        <v>6.2460000000010041</v>
      </c>
      <c r="Y1192" s="10">
        <v>2018</v>
      </c>
    </row>
    <row r="1193" spans="1:25">
      <c r="A1193" s="1" t="s">
        <v>2807</v>
      </c>
      <c r="B1193" s="8">
        <v>43157</v>
      </c>
      <c r="C1193" s="11" t="s">
        <v>3461</v>
      </c>
      <c r="D1193" s="11" t="s">
        <v>3382</v>
      </c>
      <c r="E1193" s="5" t="s">
        <v>2808</v>
      </c>
      <c r="F1193" s="1" t="s">
        <v>26</v>
      </c>
      <c r="G1193" s="1" t="s">
        <v>2809</v>
      </c>
      <c r="H1193" s="1" t="s">
        <v>3684</v>
      </c>
      <c r="I1193" s="1" t="s">
        <v>3932</v>
      </c>
      <c r="J1193" s="1"/>
      <c r="K1193" s="1" t="s">
        <v>87</v>
      </c>
      <c r="L1193" s="1" t="s">
        <v>30</v>
      </c>
      <c r="M1193" s="1" t="s">
        <v>42</v>
      </c>
      <c r="N1193" s="1" t="s">
        <v>68</v>
      </c>
      <c r="O1193" s="1">
        <v>90036</v>
      </c>
      <c r="P1193" s="1" t="s">
        <v>44</v>
      </c>
      <c r="Q1193" s="1" t="s">
        <v>1019</v>
      </c>
      <c r="R1193" s="1" t="s">
        <v>46</v>
      </c>
      <c r="S1193" s="7">
        <v>223.92</v>
      </c>
      <c r="T1193" s="1">
        <v>9</v>
      </c>
      <c r="U1193" s="9">
        <v>223.32</v>
      </c>
      <c r="V1193" s="9">
        <v>2015.28</v>
      </c>
      <c r="W1193" s="9">
        <v>2009.8799999999999</v>
      </c>
      <c r="X1193" s="12">
        <v>5.4000000000000909</v>
      </c>
      <c r="Y1193" s="10">
        <v>2018</v>
      </c>
    </row>
    <row r="1194" spans="1:25">
      <c r="A1194" s="1" t="s">
        <v>2807</v>
      </c>
      <c r="B1194" s="8">
        <v>43157</v>
      </c>
      <c r="C1194" s="11" t="s">
        <v>3461</v>
      </c>
      <c r="D1194" s="11" t="s">
        <v>3382</v>
      </c>
      <c r="E1194" s="5" t="s">
        <v>2808</v>
      </c>
      <c r="F1194" s="1" t="s">
        <v>26</v>
      </c>
      <c r="G1194" s="1" t="s">
        <v>2809</v>
      </c>
      <c r="H1194" s="1" t="s">
        <v>3684</v>
      </c>
      <c r="I1194" s="1" t="s">
        <v>3932</v>
      </c>
      <c r="J1194" s="1"/>
      <c r="K1194" s="1" t="s">
        <v>87</v>
      </c>
      <c r="L1194" s="1" t="s">
        <v>30</v>
      </c>
      <c r="M1194" s="1" t="s">
        <v>42</v>
      </c>
      <c r="N1194" s="1" t="s">
        <v>68</v>
      </c>
      <c r="O1194" s="1">
        <v>90036</v>
      </c>
      <c r="P1194" s="1" t="s">
        <v>44</v>
      </c>
      <c r="Q1194" s="1" t="s">
        <v>2813</v>
      </c>
      <c r="R1194" s="1" t="s">
        <v>46</v>
      </c>
      <c r="S1194" s="7">
        <v>23.12</v>
      </c>
      <c r="T1194" s="1">
        <v>9</v>
      </c>
      <c r="U1194" s="9">
        <v>22.75</v>
      </c>
      <c r="V1194" s="9">
        <v>208.08</v>
      </c>
      <c r="W1194" s="9">
        <v>204.75</v>
      </c>
      <c r="X1194" s="12">
        <v>3.3300000000000125</v>
      </c>
      <c r="Y1194" s="10">
        <v>2018</v>
      </c>
    </row>
    <row r="1195" spans="1:25">
      <c r="A1195" s="1" t="s">
        <v>2814</v>
      </c>
      <c r="B1195" s="8">
        <v>42628</v>
      </c>
      <c r="C1195" s="11" t="s">
        <v>3356</v>
      </c>
      <c r="D1195" s="11" t="s">
        <v>3345</v>
      </c>
      <c r="E1195" s="5" t="s">
        <v>2815</v>
      </c>
      <c r="F1195" s="1" t="s">
        <v>1050</v>
      </c>
      <c r="G1195" s="1" t="s">
        <v>1664</v>
      </c>
      <c r="H1195" s="1" t="s">
        <v>3737</v>
      </c>
      <c r="I1195" s="1" t="s">
        <v>3738</v>
      </c>
      <c r="J1195" s="1"/>
      <c r="K1195" s="1" t="s">
        <v>41</v>
      </c>
      <c r="L1195" s="1" t="s">
        <v>30</v>
      </c>
      <c r="M1195" s="1" t="s">
        <v>2816</v>
      </c>
      <c r="N1195" s="1" t="s">
        <v>194</v>
      </c>
      <c r="O1195" s="1">
        <v>33065</v>
      </c>
      <c r="P1195" s="1" t="s">
        <v>33</v>
      </c>
      <c r="Q1195" s="1" t="s">
        <v>939</v>
      </c>
      <c r="R1195" s="1" t="s">
        <v>46</v>
      </c>
      <c r="S1195" s="7">
        <v>15.552</v>
      </c>
      <c r="T1195" s="1">
        <v>3</v>
      </c>
      <c r="U1195" s="9">
        <v>15.53</v>
      </c>
      <c r="V1195" s="9">
        <v>46.655999999999999</v>
      </c>
      <c r="W1195" s="9">
        <v>46.589999999999996</v>
      </c>
      <c r="X1195" s="12">
        <v>6.6000000000002501E-2</v>
      </c>
      <c r="Y1195" s="10">
        <v>2016</v>
      </c>
    </row>
    <row r="1196" spans="1:25">
      <c r="A1196" s="1" t="s">
        <v>2814</v>
      </c>
      <c r="B1196" s="8">
        <v>42628</v>
      </c>
      <c r="C1196" s="11" t="s">
        <v>3356</v>
      </c>
      <c r="D1196" s="11" t="s">
        <v>3345</v>
      </c>
      <c r="E1196" s="5" t="s">
        <v>2815</v>
      </c>
      <c r="F1196" s="1" t="s">
        <v>1050</v>
      </c>
      <c r="G1196" s="1" t="s">
        <v>1664</v>
      </c>
      <c r="H1196" s="1" t="s">
        <v>3737</v>
      </c>
      <c r="I1196" s="1" t="s">
        <v>3738</v>
      </c>
      <c r="J1196" s="1"/>
      <c r="K1196" s="1" t="s">
        <v>41</v>
      </c>
      <c r="L1196" s="1" t="s">
        <v>30</v>
      </c>
      <c r="M1196" s="1" t="s">
        <v>2816</v>
      </c>
      <c r="N1196" s="1" t="s">
        <v>194</v>
      </c>
      <c r="O1196" s="1">
        <v>33065</v>
      </c>
      <c r="P1196" s="1" t="s">
        <v>33</v>
      </c>
      <c r="Q1196" s="1" t="s">
        <v>2817</v>
      </c>
      <c r="R1196" s="1" t="s">
        <v>35</v>
      </c>
      <c r="S1196" s="7">
        <v>15.712</v>
      </c>
      <c r="T1196" s="1">
        <v>3</v>
      </c>
      <c r="U1196" s="9">
        <v>15.71</v>
      </c>
      <c r="V1196" s="9">
        <v>47.135999999999996</v>
      </c>
      <c r="W1196" s="9">
        <v>47.13</v>
      </c>
      <c r="X1196" s="12">
        <v>5.9999999999931219E-3</v>
      </c>
      <c r="Y1196" s="10">
        <v>2016</v>
      </c>
    </row>
    <row r="1197" spans="1:25">
      <c r="A1197" s="1" t="s">
        <v>2814</v>
      </c>
      <c r="B1197" s="8">
        <v>42628</v>
      </c>
      <c r="C1197" s="11" t="s">
        <v>3356</v>
      </c>
      <c r="D1197" s="11" t="s">
        <v>3345</v>
      </c>
      <c r="E1197" s="5" t="s">
        <v>2815</v>
      </c>
      <c r="F1197" s="1" t="s">
        <v>1050</v>
      </c>
      <c r="G1197" s="1" t="s">
        <v>1664</v>
      </c>
      <c r="H1197" s="1" t="s">
        <v>3737</v>
      </c>
      <c r="I1197" s="1" t="s">
        <v>3738</v>
      </c>
      <c r="J1197" s="1"/>
      <c r="K1197" s="1" t="s">
        <v>41</v>
      </c>
      <c r="L1197" s="1" t="s">
        <v>30</v>
      </c>
      <c r="M1197" s="1" t="s">
        <v>2816</v>
      </c>
      <c r="N1197" s="1" t="s">
        <v>194</v>
      </c>
      <c r="O1197" s="1">
        <v>33065</v>
      </c>
      <c r="P1197" s="1" t="s">
        <v>33</v>
      </c>
      <c r="Q1197" s="1" t="s">
        <v>1328</v>
      </c>
      <c r="R1197" s="1" t="s">
        <v>46</v>
      </c>
      <c r="S1197" s="7">
        <v>24.672000000000001</v>
      </c>
      <c r="T1197" s="1">
        <v>3</v>
      </c>
      <c r="U1197" s="9">
        <v>23.88</v>
      </c>
      <c r="V1197" s="9">
        <v>74.016000000000005</v>
      </c>
      <c r="W1197" s="9">
        <v>71.64</v>
      </c>
      <c r="X1197" s="12">
        <v>2.3760000000000048</v>
      </c>
      <c r="Y1197" s="10">
        <v>2016</v>
      </c>
    </row>
    <row r="1198" spans="1:25">
      <c r="A1198" s="1" t="s">
        <v>2814</v>
      </c>
      <c r="B1198" s="8">
        <v>42628</v>
      </c>
      <c r="C1198" s="11" t="s">
        <v>3356</v>
      </c>
      <c r="D1198" s="11" t="s">
        <v>3345</v>
      </c>
      <c r="E1198" s="5" t="s">
        <v>2815</v>
      </c>
      <c r="F1198" s="1" t="s">
        <v>1050</v>
      </c>
      <c r="G1198" s="1" t="s">
        <v>1664</v>
      </c>
      <c r="H1198" s="1" t="s">
        <v>3737</v>
      </c>
      <c r="I1198" s="1" t="s">
        <v>3738</v>
      </c>
      <c r="J1198" s="1"/>
      <c r="K1198" s="1" t="s">
        <v>41</v>
      </c>
      <c r="L1198" s="1" t="s">
        <v>30</v>
      </c>
      <c r="M1198" s="1" t="s">
        <v>2816</v>
      </c>
      <c r="N1198" s="1" t="s">
        <v>194</v>
      </c>
      <c r="O1198" s="1">
        <v>33065</v>
      </c>
      <c r="P1198" s="1" t="s">
        <v>33</v>
      </c>
      <c r="Q1198" s="1" t="s">
        <v>1847</v>
      </c>
      <c r="R1198" s="1" t="s">
        <v>35</v>
      </c>
      <c r="S1198" s="7">
        <v>55.968000000000004</v>
      </c>
      <c r="T1198" s="1">
        <v>3</v>
      </c>
      <c r="U1198" s="9">
        <v>55.91</v>
      </c>
      <c r="V1198" s="9">
        <v>167.904</v>
      </c>
      <c r="W1198" s="9">
        <v>167.73</v>
      </c>
      <c r="X1198" s="12">
        <v>0.17400000000000659</v>
      </c>
      <c r="Y1198" s="10">
        <v>2016</v>
      </c>
    </row>
    <row r="1199" spans="1:25">
      <c r="A1199" s="1" t="s">
        <v>2818</v>
      </c>
      <c r="B1199" s="8">
        <v>42951</v>
      </c>
      <c r="C1199" s="11" t="s">
        <v>3344</v>
      </c>
      <c r="D1199" s="11" t="s">
        <v>3345</v>
      </c>
      <c r="E1199" s="5">
        <v>43073</v>
      </c>
      <c r="F1199" s="1" t="s">
        <v>49</v>
      </c>
      <c r="G1199" s="1" t="s">
        <v>1607</v>
      </c>
      <c r="H1199" s="1" t="s">
        <v>3372</v>
      </c>
      <c r="I1199" s="1" t="s">
        <v>3721</v>
      </c>
      <c r="J1199" s="1"/>
      <c r="K1199" s="1" t="s">
        <v>29</v>
      </c>
      <c r="L1199" s="1" t="s">
        <v>30</v>
      </c>
      <c r="M1199" s="1" t="s">
        <v>172</v>
      </c>
      <c r="N1199" s="1" t="s">
        <v>89</v>
      </c>
      <c r="O1199" s="1">
        <v>77041</v>
      </c>
      <c r="P1199" s="1" t="s">
        <v>90</v>
      </c>
      <c r="Q1199" s="1" t="s">
        <v>2819</v>
      </c>
      <c r="R1199" s="1" t="s">
        <v>64</v>
      </c>
      <c r="S1199" s="7">
        <v>431.928</v>
      </c>
      <c r="T1199" s="1">
        <v>7</v>
      </c>
      <c r="U1199" s="9">
        <v>431.21</v>
      </c>
      <c r="V1199" s="9">
        <v>3023.4960000000001</v>
      </c>
      <c r="W1199" s="9">
        <v>3018.47</v>
      </c>
      <c r="X1199" s="12">
        <v>5.0260000000002947</v>
      </c>
      <c r="Y1199" s="10">
        <v>2017</v>
      </c>
    </row>
    <row r="1200" spans="1:25">
      <c r="A1200" s="1" t="s">
        <v>2818</v>
      </c>
      <c r="B1200" s="8">
        <v>42951</v>
      </c>
      <c r="C1200" s="11" t="s">
        <v>3344</v>
      </c>
      <c r="D1200" s="11" t="s">
        <v>3345</v>
      </c>
      <c r="E1200" s="5">
        <v>43073</v>
      </c>
      <c r="F1200" s="1" t="s">
        <v>49</v>
      </c>
      <c r="G1200" s="1" t="s">
        <v>1607</v>
      </c>
      <c r="H1200" s="1" t="s">
        <v>3372</v>
      </c>
      <c r="I1200" s="1" t="s">
        <v>3721</v>
      </c>
      <c r="J1200" s="1"/>
      <c r="K1200" s="1" t="s">
        <v>29</v>
      </c>
      <c r="L1200" s="1" t="s">
        <v>30</v>
      </c>
      <c r="M1200" s="1" t="s">
        <v>172</v>
      </c>
      <c r="N1200" s="1" t="s">
        <v>89</v>
      </c>
      <c r="O1200" s="1">
        <v>77041</v>
      </c>
      <c r="P1200" s="1" t="s">
        <v>90</v>
      </c>
      <c r="Q1200" s="1" t="s">
        <v>2820</v>
      </c>
      <c r="R1200" s="1" t="s">
        <v>35</v>
      </c>
      <c r="S1200" s="7">
        <v>95.983999999999995</v>
      </c>
      <c r="T1200" s="1">
        <v>7</v>
      </c>
      <c r="U1200" s="9">
        <v>95.48</v>
      </c>
      <c r="V1200" s="9">
        <v>671.88799999999992</v>
      </c>
      <c r="W1200" s="9">
        <v>668.36</v>
      </c>
      <c r="X1200" s="12">
        <v>3.5279999999999063</v>
      </c>
      <c r="Y1200" s="10">
        <v>2017</v>
      </c>
    </row>
    <row r="1201" spans="1:25">
      <c r="A1201" s="1" t="s">
        <v>2818</v>
      </c>
      <c r="B1201" s="8">
        <v>42951</v>
      </c>
      <c r="C1201" s="11" t="s">
        <v>3344</v>
      </c>
      <c r="D1201" s="11" t="s">
        <v>3345</v>
      </c>
      <c r="E1201" s="5">
        <v>43073</v>
      </c>
      <c r="F1201" s="1" t="s">
        <v>49</v>
      </c>
      <c r="G1201" s="1" t="s">
        <v>1607</v>
      </c>
      <c r="H1201" s="1" t="s">
        <v>3372</v>
      </c>
      <c r="I1201" s="1" t="s">
        <v>3721</v>
      </c>
      <c r="J1201" s="1"/>
      <c r="K1201" s="1" t="s">
        <v>29</v>
      </c>
      <c r="L1201" s="1" t="s">
        <v>30</v>
      </c>
      <c r="M1201" s="1" t="s">
        <v>172</v>
      </c>
      <c r="N1201" s="1" t="s">
        <v>89</v>
      </c>
      <c r="O1201" s="1">
        <v>77041</v>
      </c>
      <c r="P1201" s="1" t="s">
        <v>90</v>
      </c>
      <c r="Q1201" s="1" t="s">
        <v>1021</v>
      </c>
      <c r="R1201" s="1" t="s">
        <v>46</v>
      </c>
      <c r="S1201" s="7">
        <v>1088.7919999999999</v>
      </c>
      <c r="T1201" s="1">
        <v>7</v>
      </c>
      <c r="U1201" s="9">
        <v>1088.07</v>
      </c>
      <c r="V1201" s="9">
        <v>7621.5439999999999</v>
      </c>
      <c r="W1201" s="9">
        <v>7616.49</v>
      </c>
      <c r="X1201" s="12">
        <v>5.0540000000000873</v>
      </c>
      <c r="Y1201" s="10">
        <v>2017</v>
      </c>
    </row>
    <row r="1202" spans="1:25">
      <c r="A1202" s="1" t="s">
        <v>2821</v>
      </c>
      <c r="B1202" s="8">
        <v>42934</v>
      </c>
      <c r="C1202" s="11" t="s">
        <v>3376</v>
      </c>
      <c r="D1202" s="11" t="s">
        <v>3345</v>
      </c>
      <c r="E1202" s="5" t="s">
        <v>2692</v>
      </c>
      <c r="F1202" s="1" t="s">
        <v>49</v>
      </c>
      <c r="G1202" s="1" t="s">
        <v>2196</v>
      </c>
      <c r="H1202" s="1" t="s">
        <v>3394</v>
      </c>
      <c r="I1202" s="1" t="s">
        <v>3840</v>
      </c>
      <c r="J1202" s="1"/>
      <c r="K1202" s="1" t="s">
        <v>41</v>
      </c>
      <c r="L1202" s="1" t="s">
        <v>30</v>
      </c>
      <c r="M1202" s="1" t="s">
        <v>670</v>
      </c>
      <c r="N1202" s="1" t="s">
        <v>386</v>
      </c>
      <c r="O1202" s="1">
        <v>80219</v>
      </c>
      <c r="P1202" s="1" t="s">
        <v>44</v>
      </c>
      <c r="Q1202" s="1" t="s">
        <v>2009</v>
      </c>
      <c r="R1202" s="1" t="s">
        <v>35</v>
      </c>
      <c r="S1202" s="7">
        <v>544.00800000000004</v>
      </c>
      <c r="T1202" s="1">
        <v>8</v>
      </c>
      <c r="U1202" s="9">
        <v>543.35</v>
      </c>
      <c r="V1202" s="9">
        <v>4352.0640000000003</v>
      </c>
      <c r="W1202" s="9">
        <v>4346.8</v>
      </c>
      <c r="X1202" s="12">
        <v>5.2640000000001237</v>
      </c>
      <c r="Y1202" s="10">
        <v>2017</v>
      </c>
    </row>
    <row r="1203" spans="1:25">
      <c r="A1203" s="1" t="s">
        <v>2821</v>
      </c>
      <c r="B1203" s="8">
        <v>42934</v>
      </c>
      <c r="C1203" s="11" t="s">
        <v>3376</v>
      </c>
      <c r="D1203" s="11" t="s">
        <v>3345</v>
      </c>
      <c r="E1203" s="5" t="s">
        <v>2692</v>
      </c>
      <c r="F1203" s="1" t="s">
        <v>49</v>
      </c>
      <c r="G1203" s="1" t="s">
        <v>2196</v>
      </c>
      <c r="H1203" s="1" t="s">
        <v>3394</v>
      </c>
      <c r="I1203" s="1" t="s">
        <v>3840</v>
      </c>
      <c r="J1203" s="1"/>
      <c r="K1203" s="1" t="s">
        <v>41</v>
      </c>
      <c r="L1203" s="1" t="s">
        <v>30</v>
      </c>
      <c r="M1203" s="1" t="s">
        <v>670</v>
      </c>
      <c r="N1203" s="1" t="s">
        <v>386</v>
      </c>
      <c r="O1203" s="1">
        <v>80219</v>
      </c>
      <c r="P1203" s="1" t="s">
        <v>44</v>
      </c>
      <c r="Q1203" s="1" t="s">
        <v>857</v>
      </c>
      <c r="R1203" s="1" t="s">
        <v>46</v>
      </c>
      <c r="S1203" s="7">
        <v>1.8720000000000001</v>
      </c>
      <c r="T1203" s="1">
        <v>8</v>
      </c>
      <c r="U1203" s="9">
        <v>1.18</v>
      </c>
      <c r="V1203" s="9">
        <v>14.976000000000001</v>
      </c>
      <c r="W1203" s="9">
        <v>9.44</v>
      </c>
      <c r="X1203" s="12">
        <v>5.5360000000000014</v>
      </c>
      <c r="Y1203" s="10">
        <v>2017</v>
      </c>
    </row>
    <row r="1204" spans="1:25">
      <c r="A1204" s="1" t="s">
        <v>2821</v>
      </c>
      <c r="B1204" s="8">
        <v>42934</v>
      </c>
      <c r="C1204" s="11" t="s">
        <v>3376</v>
      </c>
      <c r="D1204" s="11" t="s">
        <v>3345</v>
      </c>
      <c r="E1204" s="5" t="s">
        <v>2692</v>
      </c>
      <c r="F1204" s="1" t="s">
        <v>49</v>
      </c>
      <c r="G1204" s="1" t="s">
        <v>2196</v>
      </c>
      <c r="H1204" s="1" t="s">
        <v>3394</v>
      </c>
      <c r="I1204" s="1" t="s">
        <v>3840</v>
      </c>
      <c r="J1204" s="1"/>
      <c r="K1204" s="1" t="s">
        <v>41</v>
      </c>
      <c r="L1204" s="1" t="s">
        <v>30</v>
      </c>
      <c r="M1204" s="1" t="s">
        <v>670</v>
      </c>
      <c r="N1204" s="1" t="s">
        <v>386</v>
      </c>
      <c r="O1204" s="1">
        <v>80219</v>
      </c>
      <c r="P1204" s="1" t="s">
        <v>44</v>
      </c>
      <c r="Q1204" s="1" t="s">
        <v>1293</v>
      </c>
      <c r="R1204" s="1" t="s">
        <v>35</v>
      </c>
      <c r="S1204" s="7">
        <v>854.35199999999998</v>
      </c>
      <c r="T1204" s="1">
        <v>8</v>
      </c>
      <c r="U1204" s="9">
        <v>853.99</v>
      </c>
      <c r="V1204" s="9">
        <v>6834.8159999999998</v>
      </c>
      <c r="W1204" s="9">
        <v>6831.92</v>
      </c>
      <c r="X1204" s="12">
        <v>2.8959999999997308</v>
      </c>
      <c r="Y1204" s="10">
        <v>2017</v>
      </c>
    </row>
    <row r="1205" spans="1:25">
      <c r="A1205" s="1" t="s">
        <v>2821</v>
      </c>
      <c r="B1205" s="8">
        <v>42934</v>
      </c>
      <c r="C1205" s="11" t="s">
        <v>3376</v>
      </c>
      <c r="D1205" s="11" t="s">
        <v>3345</v>
      </c>
      <c r="E1205" s="5" t="s">
        <v>2692</v>
      </c>
      <c r="F1205" s="1" t="s">
        <v>49</v>
      </c>
      <c r="G1205" s="1" t="s">
        <v>2196</v>
      </c>
      <c r="H1205" s="1" t="s">
        <v>3394</v>
      </c>
      <c r="I1205" s="1" t="s">
        <v>3840</v>
      </c>
      <c r="J1205" s="1"/>
      <c r="K1205" s="1" t="s">
        <v>41</v>
      </c>
      <c r="L1205" s="1" t="s">
        <v>30</v>
      </c>
      <c r="M1205" s="1" t="s">
        <v>670</v>
      </c>
      <c r="N1205" s="1" t="s">
        <v>386</v>
      </c>
      <c r="O1205" s="1">
        <v>80219</v>
      </c>
      <c r="P1205" s="1" t="s">
        <v>44</v>
      </c>
      <c r="Q1205" s="1" t="s">
        <v>2822</v>
      </c>
      <c r="R1205" s="1" t="s">
        <v>46</v>
      </c>
      <c r="S1205" s="7">
        <v>593.56799999999998</v>
      </c>
      <c r="T1205" s="1">
        <v>8</v>
      </c>
      <c r="U1205" s="9">
        <v>593.17999999999995</v>
      </c>
      <c r="V1205" s="9">
        <v>4748.5439999999999</v>
      </c>
      <c r="W1205" s="9">
        <v>4745.4399999999996</v>
      </c>
      <c r="X1205" s="12">
        <v>3.1040000000002692</v>
      </c>
      <c r="Y1205" s="10">
        <v>2017</v>
      </c>
    </row>
    <row r="1206" spans="1:25">
      <c r="A1206" s="1" t="s">
        <v>2821</v>
      </c>
      <c r="B1206" s="8">
        <v>42934</v>
      </c>
      <c r="C1206" s="11" t="s">
        <v>3376</v>
      </c>
      <c r="D1206" s="11" t="s">
        <v>3345</v>
      </c>
      <c r="E1206" s="5" t="s">
        <v>2692</v>
      </c>
      <c r="F1206" s="1" t="s">
        <v>49</v>
      </c>
      <c r="G1206" s="1" t="s">
        <v>2196</v>
      </c>
      <c r="H1206" s="1" t="s">
        <v>3394</v>
      </c>
      <c r="I1206" s="1" t="s">
        <v>3840</v>
      </c>
      <c r="J1206" s="1"/>
      <c r="K1206" s="1" t="s">
        <v>41</v>
      </c>
      <c r="L1206" s="1" t="s">
        <v>30</v>
      </c>
      <c r="M1206" s="1" t="s">
        <v>670</v>
      </c>
      <c r="N1206" s="1" t="s">
        <v>386</v>
      </c>
      <c r="O1206" s="1">
        <v>80219</v>
      </c>
      <c r="P1206" s="1" t="s">
        <v>44</v>
      </c>
      <c r="Q1206" s="1" t="s">
        <v>1341</v>
      </c>
      <c r="R1206" s="1" t="s">
        <v>46</v>
      </c>
      <c r="S1206" s="7">
        <v>338.04</v>
      </c>
      <c r="T1206" s="1">
        <v>8</v>
      </c>
      <c r="U1206" s="9">
        <v>337.21</v>
      </c>
      <c r="V1206" s="9">
        <v>2704.32</v>
      </c>
      <c r="W1206" s="9">
        <v>2697.68</v>
      </c>
      <c r="X1206" s="12">
        <v>6.6400000000003274</v>
      </c>
      <c r="Y1206" s="10">
        <v>2017</v>
      </c>
    </row>
    <row r="1207" spans="1:25">
      <c r="A1207" s="1" t="s">
        <v>2823</v>
      </c>
      <c r="B1207" s="8">
        <v>43108</v>
      </c>
      <c r="C1207" s="11" t="s">
        <v>3381</v>
      </c>
      <c r="D1207" s="11" t="s">
        <v>3382</v>
      </c>
      <c r="E1207" s="5">
        <v>43198</v>
      </c>
      <c r="F1207" s="1" t="s">
        <v>162</v>
      </c>
      <c r="G1207" s="1" t="s">
        <v>2824</v>
      </c>
      <c r="H1207" s="1" t="s">
        <v>3926</v>
      </c>
      <c r="I1207" s="1" t="s">
        <v>3870</v>
      </c>
      <c r="J1207" s="1"/>
      <c r="K1207" s="1" t="s">
        <v>29</v>
      </c>
      <c r="L1207" s="1" t="s">
        <v>30</v>
      </c>
      <c r="M1207" s="1" t="s">
        <v>394</v>
      </c>
      <c r="N1207" s="1" t="s">
        <v>75</v>
      </c>
      <c r="O1207" s="1">
        <v>28205</v>
      </c>
      <c r="P1207" s="1" t="s">
        <v>33</v>
      </c>
      <c r="Q1207" s="1" t="s">
        <v>2257</v>
      </c>
      <c r="R1207" s="1" t="s">
        <v>64</v>
      </c>
      <c r="S1207" s="7">
        <v>271.95999999999998</v>
      </c>
      <c r="T1207" s="1">
        <v>2</v>
      </c>
      <c r="U1207" s="9">
        <v>271.26</v>
      </c>
      <c r="V1207" s="9">
        <v>543.91999999999996</v>
      </c>
      <c r="W1207" s="9">
        <v>542.52</v>
      </c>
      <c r="X1207" s="12">
        <v>1.3999999999999773</v>
      </c>
      <c r="Y1207" s="10">
        <v>2018</v>
      </c>
    </row>
    <row r="1208" spans="1:25">
      <c r="A1208" s="1" t="s">
        <v>2826</v>
      </c>
      <c r="B1208" s="8">
        <v>42930</v>
      </c>
      <c r="C1208" s="11" t="s">
        <v>3376</v>
      </c>
      <c r="D1208" s="11" t="s">
        <v>3345</v>
      </c>
      <c r="E1208" s="5" t="s">
        <v>2827</v>
      </c>
      <c r="F1208" s="1" t="s">
        <v>26</v>
      </c>
      <c r="G1208" s="1" t="s">
        <v>2828</v>
      </c>
      <c r="H1208" s="1" t="s">
        <v>3466</v>
      </c>
      <c r="I1208" s="1" t="s">
        <v>3933</v>
      </c>
      <c r="J1208" s="1"/>
      <c r="K1208" s="1" t="s">
        <v>41</v>
      </c>
      <c r="L1208" s="1" t="s">
        <v>30</v>
      </c>
      <c r="M1208" s="1" t="s">
        <v>233</v>
      </c>
      <c r="N1208" s="1" t="s">
        <v>234</v>
      </c>
      <c r="O1208" s="1">
        <v>10009</v>
      </c>
      <c r="P1208" s="1" t="s">
        <v>128</v>
      </c>
      <c r="Q1208" s="1" t="s">
        <v>1921</v>
      </c>
      <c r="R1208" s="1" t="s">
        <v>46</v>
      </c>
      <c r="S1208" s="7">
        <v>11.21</v>
      </c>
      <c r="T1208" s="1">
        <v>1</v>
      </c>
      <c r="U1208" s="9">
        <v>10.64</v>
      </c>
      <c r="V1208" s="9">
        <v>11.21</v>
      </c>
      <c r="W1208" s="9">
        <v>10.64</v>
      </c>
      <c r="X1208" s="12">
        <v>0.57000000000000028</v>
      </c>
      <c r="Y1208" s="10">
        <v>2017</v>
      </c>
    </row>
    <row r="1209" spans="1:25">
      <c r="A1209" s="1" t="s">
        <v>2826</v>
      </c>
      <c r="B1209" s="8">
        <v>42930</v>
      </c>
      <c r="C1209" s="11" t="s">
        <v>3376</v>
      </c>
      <c r="D1209" s="11" t="s">
        <v>3345</v>
      </c>
      <c r="E1209" s="5" t="s">
        <v>2827</v>
      </c>
      <c r="F1209" s="1" t="s">
        <v>26</v>
      </c>
      <c r="G1209" s="1" t="s">
        <v>2828</v>
      </c>
      <c r="H1209" s="1" t="s">
        <v>3466</v>
      </c>
      <c r="I1209" s="1" t="s">
        <v>3933</v>
      </c>
      <c r="J1209" s="1"/>
      <c r="K1209" s="1" t="s">
        <v>41</v>
      </c>
      <c r="L1209" s="1" t="s">
        <v>30</v>
      </c>
      <c r="M1209" s="1" t="s">
        <v>233</v>
      </c>
      <c r="N1209" s="1" t="s">
        <v>234</v>
      </c>
      <c r="O1209" s="1">
        <v>10009</v>
      </c>
      <c r="P1209" s="1" t="s">
        <v>128</v>
      </c>
      <c r="Q1209" s="1" t="s">
        <v>1020</v>
      </c>
      <c r="R1209" s="1" t="s">
        <v>46</v>
      </c>
      <c r="S1209" s="7">
        <v>9.1440000000000001</v>
      </c>
      <c r="T1209" s="1">
        <v>1</v>
      </c>
      <c r="U1209" s="9">
        <v>8.57</v>
      </c>
      <c r="V1209" s="9">
        <v>9.1440000000000001</v>
      </c>
      <c r="W1209" s="9">
        <v>8.57</v>
      </c>
      <c r="X1209" s="12">
        <v>0.57399999999999984</v>
      </c>
      <c r="Y1209" s="10">
        <v>2017</v>
      </c>
    </row>
    <row r="1210" spans="1:25">
      <c r="A1210" s="1" t="s">
        <v>2826</v>
      </c>
      <c r="B1210" s="8">
        <v>42930</v>
      </c>
      <c r="C1210" s="11" t="s">
        <v>3376</v>
      </c>
      <c r="D1210" s="11" t="s">
        <v>3345</v>
      </c>
      <c r="E1210" s="5" t="s">
        <v>2827</v>
      </c>
      <c r="F1210" s="1" t="s">
        <v>26</v>
      </c>
      <c r="G1210" s="1" t="s">
        <v>2828</v>
      </c>
      <c r="H1210" s="1" t="s">
        <v>3466</v>
      </c>
      <c r="I1210" s="1" t="s">
        <v>3933</v>
      </c>
      <c r="J1210" s="1"/>
      <c r="K1210" s="1" t="s">
        <v>41</v>
      </c>
      <c r="L1210" s="1" t="s">
        <v>30</v>
      </c>
      <c r="M1210" s="1" t="s">
        <v>233</v>
      </c>
      <c r="N1210" s="1" t="s">
        <v>234</v>
      </c>
      <c r="O1210" s="1">
        <v>10009</v>
      </c>
      <c r="P1210" s="1" t="s">
        <v>128</v>
      </c>
      <c r="Q1210" s="1" t="s">
        <v>478</v>
      </c>
      <c r="R1210" s="1" t="s">
        <v>46</v>
      </c>
      <c r="S1210" s="7">
        <v>14.07</v>
      </c>
      <c r="T1210" s="1">
        <v>1</v>
      </c>
      <c r="U1210" s="9">
        <v>13.85</v>
      </c>
      <c r="V1210" s="9">
        <v>14.07</v>
      </c>
      <c r="W1210" s="9">
        <v>13.85</v>
      </c>
      <c r="X1210" s="12">
        <v>0.22000000000000064</v>
      </c>
      <c r="Y1210" s="10">
        <v>2017</v>
      </c>
    </row>
    <row r="1211" spans="1:25">
      <c r="A1211" s="1" t="s">
        <v>2826</v>
      </c>
      <c r="B1211" s="8">
        <v>42930</v>
      </c>
      <c r="C1211" s="11" t="s">
        <v>3376</v>
      </c>
      <c r="D1211" s="11" t="s">
        <v>3345</v>
      </c>
      <c r="E1211" s="5" t="s">
        <v>2827</v>
      </c>
      <c r="F1211" s="1" t="s">
        <v>26</v>
      </c>
      <c r="G1211" s="1" t="s">
        <v>2828</v>
      </c>
      <c r="H1211" s="1" t="s">
        <v>3466</v>
      </c>
      <c r="I1211" s="1" t="s">
        <v>3933</v>
      </c>
      <c r="J1211" s="1"/>
      <c r="K1211" s="1" t="s">
        <v>41</v>
      </c>
      <c r="L1211" s="1" t="s">
        <v>30</v>
      </c>
      <c r="M1211" s="1" t="s">
        <v>233</v>
      </c>
      <c r="N1211" s="1" t="s">
        <v>234</v>
      </c>
      <c r="O1211" s="1">
        <v>10009</v>
      </c>
      <c r="P1211" s="1" t="s">
        <v>128</v>
      </c>
      <c r="Q1211" s="1" t="s">
        <v>2830</v>
      </c>
      <c r="R1211" s="1" t="s">
        <v>46</v>
      </c>
      <c r="S1211" s="7">
        <v>41.86</v>
      </c>
      <c r="T1211" s="1">
        <v>1</v>
      </c>
      <c r="U1211" s="9">
        <v>41.19</v>
      </c>
      <c r="V1211" s="9">
        <v>41.86</v>
      </c>
      <c r="W1211" s="9">
        <v>41.19</v>
      </c>
      <c r="X1211" s="12">
        <v>0.67000000000000171</v>
      </c>
      <c r="Y1211" s="10">
        <v>2017</v>
      </c>
    </row>
    <row r="1212" spans="1:25">
      <c r="A1212" s="1" t="s">
        <v>2826</v>
      </c>
      <c r="B1212" s="8">
        <v>42930</v>
      </c>
      <c r="C1212" s="11" t="s">
        <v>3376</v>
      </c>
      <c r="D1212" s="11" t="s">
        <v>3345</v>
      </c>
      <c r="E1212" s="5" t="s">
        <v>2827</v>
      </c>
      <c r="F1212" s="1" t="s">
        <v>26</v>
      </c>
      <c r="G1212" s="1" t="s">
        <v>2828</v>
      </c>
      <c r="H1212" s="1" t="s">
        <v>3466</v>
      </c>
      <c r="I1212" s="1" t="s">
        <v>3933</v>
      </c>
      <c r="J1212" s="1"/>
      <c r="K1212" s="1" t="s">
        <v>41</v>
      </c>
      <c r="L1212" s="1" t="s">
        <v>30</v>
      </c>
      <c r="M1212" s="1" t="s">
        <v>233</v>
      </c>
      <c r="N1212" s="1" t="s">
        <v>234</v>
      </c>
      <c r="O1212" s="1">
        <v>10009</v>
      </c>
      <c r="P1212" s="1" t="s">
        <v>128</v>
      </c>
      <c r="Q1212" s="1" t="s">
        <v>2831</v>
      </c>
      <c r="R1212" s="1" t="s">
        <v>46</v>
      </c>
      <c r="S1212" s="7">
        <v>8.5440000000000005</v>
      </c>
      <c r="T1212" s="1">
        <v>1</v>
      </c>
      <c r="U1212" s="9">
        <v>8.39</v>
      </c>
      <c r="V1212" s="9">
        <v>8.5440000000000005</v>
      </c>
      <c r="W1212" s="9">
        <v>8.39</v>
      </c>
      <c r="X1212" s="12">
        <v>0.15399999999999991</v>
      </c>
      <c r="Y1212" s="10">
        <v>2017</v>
      </c>
    </row>
    <row r="1213" spans="1:25">
      <c r="A1213" s="1" t="s">
        <v>2826</v>
      </c>
      <c r="B1213" s="8">
        <v>42930</v>
      </c>
      <c r="C1213" s="11" t="s">
        <v>3376</v>
      </c>
      <c r="D1213" s="11" t="s">
        <v>3345</v>
      </c>
      <c r="E1213" s="5" t="s">
        <v>2827</v>
      </c>
      <c r="F1213" s="1" t="s">
        <v>26</v>
      </c>
      <c r="G1213" s="1" t="s">
        <v>2828</v>
      </c>
      <c r="H1213" s="1" t="s">
        <v>3466</v>
      </c>
      <c r="I1213" s="1" t="s">
        <v>3933</v>
      </c>
      <c r="J1213" s="1"/>
      <c r="K1213" s="1" t="s">
        <v>41</v>
      </c>
      <c r="L1213" s="1" t="s">
        <v>30</v>
      </c>
      <c r="M1213" s="1" t="s">
        <v>233</v>
      </c>
      <c r="N1213" s="1" t="s">
        <v>234</v>
      </c>
      <c r="O1213" s="1">
        <v>10009</v>
      </c>
      <c r="P1213" s="1" t="s">
        <v>128</v>
      </c>
      <c r="Q1213" s="1" t="s">
        <v>707</v>
      </c>
      <c r="R1213" s="1" t="s">
        <v>35</v>
      </c>
      <c r="S1213" s="7">
        <v>579.13599999999997</v>
      </c>
      <c r="T1213" s="1">
        <v>1</v>
      </c>
      <c r="U1213" s="9">
        <v>578.54999999999995</v>
      </c>
      <c r="V1213" s="9">
        <v>579.13599999999997</v>
      </c>
      <c r="W1213" s="9">
        <v>578.54999999999995</v>
      </c>
      <c r="X1213" s="12">
        <v>0.58600000000001273</v>
      </c>
      <c r="Y1213" s="10">
        <v>2017</v>
      </c>
    </row>
    <row r="1214" spans="1:25">
      <c r="A1214" s="1" t="s">
        <v>2832</v>
      </c>
      <c r="B1214" s="8">
        <v>43352</v>
      </c>
      <c r="C1214" s="11" t="s">
        <v>3356</v>
      </c>
      <c r="D1214" s="11" t="s">
        <v>3345</v>
      </c>
      <c r="E1214" s="5" t="s">
        <v>2833</v>
      </c>
      <c r="F1214" s="1" t="s">
        <v>49</v>
      </c>
      <c r="G1214" s="1" t="s">
        <v>2834</v>
      </c>
      <c r="H1214" s="1" t="s">
        <v>3934</v>
      </c>
      <c r="I1214" s="1" t="s">
        <v>3935</v>
      </c>
      <c r="J1214" s="1"/>
      <c r="K1214" s="1" t="s">
        <v>41</v>
      </c>
      <c r="L1214" s="1" t="s">
        <v>30</v>
      </c>
      <c r="M1214" s="1" t="s">
        <v>126</v>
      </c>
      <c r="N1214" s="1" t="s">
        <v>127</v>
      </c>
      <c r="O1214" s="1">
        <v>19134</v>
      </c>
      <c r="P1214" s="1" t="s">
        <v>128</v>
      </c>
      <c r="Q1214" s="1" t="s">
        <v>735</v>
      </c>
      <c r="R1214" s="1" t="s">
        <v>35</v>
      </c>
      <c r="S1214" s="7">
        <v>141.37200000000001</v>
      </c>
      <c r="T1214" s="1">
        <v>1</v>
      </c>
      <c r="U1214" s="9">
        <v>141.09</v>
      </c>
      <c r="V1214" s="9">
        <v>141.37200000000001</v>
      </c>
      <c r="W1214" s="9">
        <v>141.09</v>
      </c>
      <c r="X1214" s="12">
        <v>0.28200000000001069</v>
      </c>
      <c r="Y1214" s="10">
        <v>2018</v>
      </c>
    </row>
    <row r="1215" spans="1:25">
      <c r="A1215" s="1" t="s">
        <v>2832</v>
      </c>
      <c r="B1215" s="8">
        <v>43352</v>
      </c>
      <c r="C1215" s="11" t="s">
        <v>3356</v>
      </c>
      <c r="D1215" s="11" t="s">
        <v>3345</v>
      </c>
      <c r="E1215" s="5" t="s">
        <v>2833</v>
      </c>
      <c r="F1215" s="1" t="s">
        <v>49</v>
      </c>
      <c r="G1215" s="1" t="s">
        <v>2834</v>
      </c>
      <c r="H1215" s="1" t="s">
        <v>3934</v>
      </c>
      <c r="I1215" s="1" t="s">
        <v>3935</v>
      </c>
      <c r="J1215" s="1"/>
      <c r="K1215" s="1" t="s">
        <v>41</v>
      </c>
      <c r="L1215" s="1" t="s">
        <v>30</v>
      </c>
      <c r="M1215" s="1" t="s">
        <v>126</v>
      </c>
      <c r="N1215" s="1" t="s">
        <v>127</v>
      </c>
      <c r="O1215" s="1">
        <v>19134</v>
      </c>
      <c r="P1215" s="1" t="s">
        <v>128</v>
      </c>
      <c r="Q1215" s="1" t="s">
        <v>2836</v>
      </c>
      <c r="R1215" s="1" t="s">
        <v>46</v>
      </c>
      <c r="S1215" s="7">
        <v>3.036</v>
      </c>
      <c r="T1215" s="1">
        <v>1</v>
      </c>
      <c r="U1215" s="9">
        <v>2.63</v>
      </c>
      <c r="V1215" s="9">
        <v>3.036</v>
      </c>
      <c r="W1215" s="9">
        <v>2.63</v>
      </c>
      <c r="X1215" s="12">
        <v>0.40600000000000014</v>
      </c>
      <c r="Y1215" s="10">
        <v>2018</v>
      </c>
    </row>
    <row r="1216" spans="1:25">
      <c r="A1216" s="1" t="s">
        <v>2832</v>
      </c>
      <c r="B1216" s="8">
        <v>43352</v>
      </c>
      <c r="C1216" s="11" t="s">
        <v>3356</v>
      </c>
      <c r="D1216" s="11" t="s">
        <v>3345</v>
      </c>
      <c r="E1216" s="5" t="s">
        <v>2833</v>
      </c>
      <c r="F1216" s="1" t="s">
        <v>49</v>
      </c>
      <c r="G1216" s="1" t="s">
        <v>2834</v>
      </c>
      <c r="H1216" s="1" t="s">
        <v>3934</v>
      </c>
      <c r="I1216" s="1" t="s">
        <v>3935</v>
      </c>
      <c r="J1216" s="1"/>
      <c r="K1216" s="1" t="s">
        <v>41</v>
      </c>
      <c r="L1216" s="1" t="s">
        <v>30</v>
      </c>
      <c r="M1216" s="1" t="s">
        <v>126</v>
      </c>
      <c r="N1216" s="1" t="s">
        <v>127</v>
      </c>
      <c r="O1216" s="1">
        <v>19134</v>
      </c>
      <c r="P1216" s="1" t="s">
        <v>128</v>
      </c>
      <c r="Q1216" s="1" t="s">
        <v>1549</v>
      </c>
      <c r="R1216" s="1" t="s">
        <v>46</v>
      </c>
      <c r="S1216" s="7">
        <v>4.5030000000000001</v>
      </c>
      <c r="T1216" s="1">
        <v>1</v>
      </c>
      <c r="U1216" s="9">
        <v>4.08</v>
      </c>
      <c r="V1216" s="9">
        <v>4.5030000000000001</v>
      </c>
      <c r="W1216" s="9">
        <v>4.08</v>
      </c>
      <c r="X1216" s="12">
        <v>0.42300000000000004</v>
      </c>
      <c r="Y1216" s="10">
        <v>2018</v>
      </c>
    </row>
    <row r="1217" spans="1:25">
      <c r="A1217" s="1" t="s">
        <v>2832</v>
      </c>
      <c r="B1217" s="8">
        <v>43352</v>
      </c>
      <c r="C1217" s="11" t="s">
        <v>3356</v>
      </c>
      <c r="D1217" s="11" t="s">
        <v>3345</v>
      </c>
      <c r="E1217" s="5" t="s">
        <v>2833</v>
      </c>
      <c r="F1217" s="1" t="s">
        <v>49</v>
      </c>
      <c r="G1217" s="1" t="s">
        <v>2834</v>
      </c>
      <c r="H1217" s="1" t="s">
        <v>3934</v>
      </c>
      <c r="I1217" s="1" t="s">
        <v>3935</v>
      </c>
      <c r="J1217" s="1"/>
      <c r="K1217" s="1" t="s">
        <v>41</v>
      </c>
      <c r="L1217" s="1" t="s">
        <v>30</v>
      </c>
      <c r="M1217" s="1" t="s">
        <v>126</v>
      </c>
      <c r="N1217" s="1" t="s">
        <v>127</v>
      </c>
      <c r="O1217" s="1">
        <v>19134</v>
      </c>
      <c r="P1217" s="1" t="s">
        <v>128</v>
      </c>
      <c r="Q1217" s="1" t="s">
        <v>820</v>
      </c>
      <c r="R1217" s="1" t="s">
        <v>46</v>
      </c>
      <c r="S1217" s="7">
        <v>4.6719999999999997</v>
      </c>
      <c r="T1217" s="1">
        <v>1</v>
      </c>
      <c r="U1217" s="9">
        <v>4.1500000000000004</v>
      </c>
      <c r="V1217" s="9">
        <v>4.6719999999999997</v>
      </c>
      <c r="W1217" s="9">
        <v>4.1500000000000004</v>
      </c>
      <c r="X1217" s="12">
        <v>0.52199999999999935</v>
      </c>
      <c r="Y1217" s="10">
        <v>2018</v>
      </c>
    </row>
    <row r="1218" spans="1:25">
      <c r="A1218" s="1" t="s">
        <v>2832</v>
      </c>
      <c r="B1218" s="8">
        <v>43352</v>
      </c>
      <c r="C1218" s="11" t="s">
        <v>3356</v>
      </c>
      <c r="D1218" s="11" t="s">
        <v>3345</v>
      </c>
      <c r="E1218" s="5" t="s">
        <v>2833</v>
      </c>
      <c r="F1218" s="1" t="s">
        <v>49</v>
      </c>
      <c r="G1218" s="1" t="s">
        <v>2834</v>
      </c>
      <c r="H1218" s="1" t="s">
        <v>3934</v>
      </c>
      <c r="I1218" s="1" t="s">
        <v>3935</v>
      </c>
      <c r="J1218" s="1"/>
      <c r="K1218" s="1" t="s">
        <v>41</v>
      </c>
      <c r="L1218" s="1" t="s">
        <v>30</v>
      </c>
      <c r="M1218" s="1" t="s">
        <v>126</v>
      </c>
      <c r="N1218" s="1" t="s">
        <v>127</v>
      </c>
      <c r="O1218" s="1">
        <v>19134</v>
      </c>
      <c r="P1218" s="1" t="s">
        <v>128</v>
      </c>
      <c r="Q1218" s="1" t="s">
        <v>815</v>
      </c>
      <c r="R1218" s="1" t="s">
        <v>64</v>
      </c>
      <c r="S1218" s="7">
        <v>95.88</v>
      </c>
      <c r="T1218" s="1">
        <v>1</v>
      </c>
      <c r="U1218" s="9">
        <v>95.3</v>
      </c>
      <c r="V1218" s="9">
        <v>95.88</v>
      </c>
      <c r="W1218" s="9">
        <v>95.3</v>
      </c>
      <c r="X1218" s="12">
        <v>0.57999999999999829</v>
      </c>
      <c r="Y1218" s="10">
        <v>2018</v>
      </c>
    </row>
    <row r="1219" spans="1:25">
      <c r="A1219" s="1" t="s">
        <v>2832</v>
      </c>
      <c r="B1219" s="8">
        <v>43352</v>
      </c>
      <c r="C1219" s="11" t="s">
        <v>3356</v>
      </c>
      <c r="D1219" s="11" t="s">
        <v>3345</v>
      </c>
      <c r="E1219" s="5" t="s">
        <v>2833</v>
      </c>
      <c r="F1219" s="1" t="s">
        <v>49</v>
      </c>
      <c r="G1219" s="1" t="s">
        <v>2834</v>
      </c>
      <c r="H1219" s="1" t="s">
        <v>3934</v>
      </c>
      <c r="I1219" s="1" t="s">
        <v>3935</v>
      </c>
      <c r="J1219" s="1"/>
      <c r="K1219" s="1" t="s">
        <v>41</v>
      </c>
      <c r="L1219" s="1" t="s">
        <v>30</v>
      </c>
      <c r="M1219" s="1" t="s">
        <v>126</v>
      </c>
      <c r="N1219" s="1" t="s">
        <v>127</v>
      </c>
      <c r="O1219" s="1">
        <v>19134</v>
      </c>
      <c r="P1219" s="1" t="s">
        <v>128</v>
      </c>
      <c r="Q1219" s="1" t="s">
        <v>2837</v>
      </c>
      <c r="R1219" s="1" t="s">
        <v>35</v>
      </c>
      <c r="S1219" s="7">
        <v>17.024000000000001</v>
      </c>
      <c r="T1219" s="1">
        <v>1</v>
      </c>
      <c r="U1219" s="9">
        <v>16.98</v>
      </c>
      <c r="V1219" s="9">
        <v>17.024000000000001</v>
      </c>
      <c r="W1219" s="9">
        <v>16.98</v>
      </c>
      <c r="X1219" s="12">
        <v>4.4000000000000483E-2</v>
      </c>
      <c r="Y1219" s="10">
        <v>2018</v>
      </c>
    </row>
    <row r="1220" spans="1:25">
      <c r="A1220" s="1" t="s">
        <v>2832</v>
      </c>
      <c r="B1220" s="8">
        <v>43352</v>
      </c>
      <c r="C1220" s="11" t="s">
        <v>3356</v>
      </c>
      <c r="D1220" s="11" t="s">
        <v>3345</v>
      </c>
      <c r="E1220" s="5" t="s">
        <v>2833</v>
      </c>
      <c r="F1220" s="1" t="s">
        <v>49</v>
      </c>
      <c r="G1220" s="1" t="s">
        <v>2834</v>
      </c>
      <c r="H1220" s="1" t="s">
        <v>3934</v>
      </c>
      <c r="I1220" s="1" t="s">
        <v>3935</v>
      </c>
      <c r="J1220" s="1"/>
      <c r="K1220" s="1" t="s">
        <v>41</v>
      </c>
      <c r="L1220" s="1" t="s">
        <v>30</v>
      </c>
      <c r="M1220" s="1" t="s">
        <v>126</v>
      </c>
      <c r="N1220" s="1" t="s">
        <v>127</v>
      </c>
      <c r="O1220" s="1">
        <v>19134</v>
      </c>
      <c r="P1220" s="1" t="s">
        <v>128</v>
      </c>
      <c r="Q1220" s="1" t="s">
        <v>1985</v>
      </c>
      <c r="R1220" s="1" t="s">
        <v>64</v>
      </c>
      <c r="S1220" s="7">
        <v>258.69600000000003</v>
      </c>
      <c r="T1220" s="1">
        <v>1</v>
      </c>
      <c r="U1220" s="9">
        <v>258.27</v>
      </c>
      <c r="V1220" s="9">
        <v>258.69600000000003</v>
      </c>
      <c r="W1220" s="9">
        <v>258.27</v>
      </c>
      <c r="X1220" s="12">
        <v>0.42600000000004457</v>
      </c>
      <c r="Y1220" s="10">
        <v>2018</v>
      </c>
    </row>
    <row r="1221" spans="1:25">
      <c r="A1221" s="1" t="s">
        <v>2832</v>
      </c>
      <c r="B1221" s="8">
        <v>43352</v>
      </c>
      <c r="C1221" s="11" t="s">
        <v>3356</v>
      </c>
      <c r="D1221" s="11" t="s">
        <v>3345</v>
      </c>
      <c r="E1221" s="5" t="s">
        <v>2833</v>
      </c>
      <c r="F1221" s="1" t="s">
        <v>49</v>
      </c>
      <c r="G1221" s="1" t="s">
        <v>2834</v>
      </c>
      <c r="H1221" s="1" t="s">
        <v>3934</v>
      </c>
      <c r="I1221" s="1" t="s">
        <v>3935</v>
      </c>
      <c r="J1221" s="1"/>
      <c r="K1221" s="1" t="s">
        <v>41</v>
      </c>
      <c r="L1221" s="1" t="s">
        <v>30</v>
      </c>
      <c r="M1221" s="1" t="s">
        <v>126</v>
      </c>
      <c r="N1221" s="1" t="s">
        <v>127</v>
      </c>
      <c r="O1221" s="1">
        <v>19134</v>
      </c>
      <c r="P1221" s="1" t="s">
        <v>128</v>
      </c>
      <c r="Q1221" s="1" t="s">
        <v>2838</v>
      </c>
      <c r="R1221" s="1" t="s">
        <v>64</v>
      </c>
      <c r="S1221" s="7">
        <v>1931.9580000000001</v>
      </c>
      <c r="T1221" s="1">
        <v>1</v>
      </c>
      <c r="U1221" s="9">
        <v>1931.76</v>
      </c>
      <c r="V1221" s="9">
        <v>1931.9580000000001</v>
      </c>
      <c r="W1221" s="9">
        <v>1931.76</v>
      </c>
      <c r="X1221" s="12">
        <v>0.19800000000009277</v>
      </c>
      <c r="Y1221" s="10">
        <v>2018</v>
      </c>
    </row>
    <row r="1222" spans="1:25">
      <c r="A1222" s="1" t="s">
        <v>2839</v>
      </c>
      <c r="B1222" s="8">
        <v>42345</v>
      </c>
      <c r="C1222" s="11" t="s">
        <v>3348</v>
      </c>
      <c r="D1222" s="11" t="s">
        <v>3349</v>
      </c>
      <c r="E1222" s="5" t="s">
        <v>2840</v>
      </c>
      <c r="F1222" s="1" t="s">
        <v>49</v>
      </c>
      <c r="G1222" s="1" t="s">
        <v>2841</v>
      </c>
      <c r="H1222" s="1" t="s">
        <v>3575</v>
      </c>
      <c r="I1222" s="1" t="s">
        <v>3936</v>
      </c>
      <c r="J1222" s="1"/>
      <c r="K1222" s="1" t="s">
        <v>87</v>
      </c>
      <c r="L1222" s="1" t="s">
        <v>30</v>
      </c>
      <c r="M1222" s="1" t="s">
        <v>42</v>
      </c>
      <c r="N1222" s="1" t="s">
        <v>68</v>
      </c>
      <c r="O1222" s="1">
        <v>90036</v>
      </c>
      <c r="P1222" s="1" t="s">
        <v>44</v>
      </c>
      <c r="Q1222" s="1" t="s">
        <v>106</v>
      </c>
      <c r="R1222" s="1" t="s">
        <v>46</v>
      </c>
      <c r="S1222" s="7">
        <v>249.75</v>
      </c>
      <c r="T1222" s="1">
        <v>9</v>
      </c>
      <c r="U1222" s="9">
        <v>249.31</v>
      </c>
      <c r="V1222" s="9">
        <v>2247.75</v>
      </c>
      <c r="W1222" s="9">
        <v>2243.79</v>
      </c>
      <c r="X1222" s="12">
        <v>3.9600000000000364</v>
      </c>
      <c r="Y1222" s="10">
        <v>2015</v>
      </c>
    </row>
    <row r="1223" spans="1:25">
      <c r="A1223" s="1" t="s">
        <v>2839</v>
      </c>
      <c r="B1223" s="8">
        <v>42345</v>
      </c>
      <c r="C1223" s="11" t="s">
        <v>3348</v>
      </c>
      <c r="D1223" s="11" t="s">
        <v>3349</v>
      </c>
      <c r="E1223" s="5" t="s">
        <v>2840</v>
      </c>
      <c r="F1223" s="1" t="s">
        <v>49</v>
      </c>
      <c r="G1223" s="1" t="s">
        <v>2841</v>
      </c>
      <c r="H1223" s="1" t="s">
        <v>3575</v>
      </c>
      <c r="I1223" s="1" t="s">
        <v>3936</v>
      </c>
      <c r="J1223" s="1"/>
      <c r="K1223" s="1" t="s">
        <v>87</v>
      </c>
      <c r="L1223" s="1" t="s">
        <v>30</v>
      </c>
      <c r="M1223" s="1" t="s">
        <v>42</v>
      </c>
      <c r="N1223" s="1" t="s">
        <v>68</v>
      </c>
      <c r="O1223" s="1">
        <v>90036</v>
      </c>
      <c r="P1223" s="1" t="s">
        <v>44</v>
      </c>
      <c r="Q1223" s="1" t="s">
        <v>2843</v>
      </c>
      <c r="R1223" s="1" t="s">
        <v>64</v>
      </c>
      <c r="S1223" s="7">
        <v>255.93600000000001</v>
      </c>
      <c r="T1223" s="1">
        <v>9</v>
      </c>
      <c r="U1223" s="9">
        <v>255.44</v>
      </c>
      <c r="V1223" s="9">
        <v>2303.424</v>
      </c>
      <c r="W1223" s="9">
        <v>2298.96</v>
      </c>
      <c r="X1223" s="12">
        <v>4.4639999999999418</v>
      </c>
      <c r="Y1223" s="10">
        <v>2015</v>
      </c>
    </row>
    <row r="1224" spans="1:25">
      <c r="A1224" s="1" t="s">
        <v>2844</v>
      </c>
      <c r="B1224" s="8">
        <v>42837</v>
      </c>
      <c r="C1224" s="11" t="s">
        <v>3359</v>
      </c>
      <c r="D1224" s="11" t="s">
        <v>3360</v>
      </c>
      <c r="E1224" s="5">
        <v>42867</v>
      </c>
      <c r="F1224" s="1" t="s">
        <v>162</v>
      </c>
      <c r="G1224" s="1" t="s">
        <v>563</v>
      </c>
      <c r="H1224" s="1" t="s">
        <v>3502</v>
      </c>
      <c r="I1224" s="1" t="s">
        <v>3453</v>
      </c>
      <c r="J1224" s="1"/>
      <c r="K1224" s="1" t="s">
        <v>29</v>
      </c>
      <c r="L1224" s="1" t="s">
        <v>30</v>
      </c>
      <c r="M1224" s="1" t="s">
        <v>233</v>
      </c>
      <c r="N1224" s="1" t="s">
        <v>234</v>
      </c>
      <c r="O1224" s="1">
        <v>10024</v>
      </c>
      <c r="P1224" s="1" t="s">
        <v>128</v>
      </c>
      <c r="Q1224" s="1" t="s">
        <v>2485</v>
      </c>
      <c r="R1224" s="1" t="s">
        <v>35</v>
      </c>
      <c r="S1224" s="7">
        <v>113.79</v>
      </c>
      <c r="T1224" s="1">
        <v>1</v>
      </c>
      <c r="U1224" s="9">
        <v>113.62</v>
      </c>
      <c r="V1224" s="9">
        <v>113.79</v>
      </c>
      <c r="W1224" s="9">
        <v>113.62</v>
      </c>
      <c r="X1224" s="12">
        <v>0.17000000000000171</v>
      </c>
      <c r="Y1224" s="10">
        <v>2017</v>
      </c>
    </row>
    <row r="1225" spans="1:25">
      <c r="A1225" s="1" t="s">
        <v>2844</v>
      </c>
      <c r="B1225" s="8">
        <v>42837</v>
      </c>
      <c r="C1225" s="11" t="s">
        <v>3359</v>
      </c>
      <c r="D1225" s="11" t="s">
        <v>3360</v>
      </c>
      <c r="E1225" s="5">
        <v>42867</v>
      </c>
      <c r="F1225" s="1" t="s">
        <v>162</v>
      </c>
      <c r="G1225" s="1" t="s">
        <v>563</v>
      </c>
      <c r="H1225" s="1" t="s">
        <v>3502</v>
      </c>
      <c r="I1225" s="1" t="s">
        <v>3453</v>
      </c>
      <c r="J1225" s="1"/>
      <c r="K1225" s="1" t="s">
        <v>29</v>
      </c>
      <c r="L1225" s="1" t="s">
        <v>30</v>
      </c>
      <c r="M1225" s="1" t="s">
        <v>233</v>
      </c>
      <c r="N1225" s="1" t="s">
        <v>234</v>
      </c>
      <c r="O1225" s="1">
        <v>10024</v>
      </c>
      <c r="P1225" s="1" t="s">
        <v>128</v>
      </c>
      <c r="Q1225" s="1" t="s">
        <v>1501</v>
      </c>
      <c r="R1225" s="1" t="s">
        <v>64</v>
      </c>
      <c r="S1225" s="7">
        <v>78.150000000000006</v>
      </c>
      <c r="T1225" s="1">
        <v>1</v>
      </c>
      <c r="U1225" s="9">
        <v>77.92</v>
      </c>
      <c r="V1225" s="9">
        <v>78.150000000000006</v>
      </c>
      <c r="W1225" s="9">
        <v>77.92</v>
      </c>
      <c r="X1225" s="12">
        <v>0.23000000000000398</v>
      </c>
      <c r="Y1225" s="10">
        <v>2017</v>
      </c>
    </row>
    <row r="1226" spans="1:25">
      <c r="A1226" s="1" t="s">
        <v>2844</v>
      </c>
      <c r="B1226" s="8">
        <v>42837</v>
      </c>
      <c r="C1226" s="11" t="s">
        <v>3359</v>
      </c>
      <c r="D1226" s="11" t="s">
        <v>3360</v>
      </c>
      <c r="E1226" s="5">
        <v>42867</v>
      </c>
      <c r="F1226" s="1" t="s">
        <v>162</v>
      </c>
      <c r="G1226" s="1" t="s">
        <v>563</v>
      </c>
      <c r="H1226" s="1" t="s">
        <v>3502</v>
      </c>
      <c r="I1226" s="1" t="s">
        <v>3453</v>
      </c>
      <c r="J1226" s="1"/>
      <c r="K1226" s="1" t="s">
        <v>29</v>
      </c>
      <c r="L1226" s="1" t="s">
        <v>30</v>
      </c>
      <c r="M1226" s="1" t="s">
        <v>233</v>
      </c>
      <c r="N1226" s="1" t="s">
        <v>234</v>
      </c>
      <c r="O1226" s="1">
        <v>10024</v>
      </c>
      <c r="P1226" s="1" t="s">
        <v>128</v>
      </c>
      <c r="Q1226" s="1" t="s">
        <v>2805</v>
      </c>
      <c r="R1226" s="1" t="s">
        <v>46</v>
      </c>
      <c r="S1226" s="7">
        <v>1.728</v>
      </c>
      <c r="T1226" s="1">
        <v>1</v>
      </c>
      <c r="U1226" s="9">
        <v>1.33</v>
      </c>
      <c r="V1226" s="9">
        <v>1.728</v>
      </c>
      <c r="W1226" s="9">
        <v>1.33</v>
      </c>
      <c r="X1226" s="12">
        <v>0.39799999999999991</v>
      </c>
      <c r="Y1226" s="10">
        <v>2017</v>
      </c>
    </row>
    <row r="1227" spans="1:25">
      <c r="A1227" s="1" t="s">
        <v>2844</v>
      </c>
      <c r="B1227" s="8">
        <v>42837</v>
      </c>
      <c r="C1227" s="11" t="s">
        <v>3359</v>
      </c>
      <c r="D1227" s="11" t="s">
        <v>3360</v>
      </c>
      <c r="E1227" s="5">
        <v>42867</v>
      </c>
      <c r="F1227" s="1" t="s">
        <v>162</v>
      </c>
      <c r="G1227" s="1" t="s">
        <v>563</v>
      </c>
      <c r="H1227" s="1" t="s">
        <v>3502</v>
      </c>
      <c r="I1227" s="1" t="s">
        <v>3453</v>
      </c>
      <c r="J1227" s="1"/>
      <c r="K1227" s="1" t="s">
        <v>29</v>
      </c>
      <c r="L1227" s="1" t="s">
        <v>30</v>
      </c>
      <c r="M1227" s="1" t="s">
        <v>233</v>
      </c>
      <c r="N1227" s="1" t="s">
        <v>234</v>
      </c>
      <c r="O1227" s="1">
        <v>10024</v>
      </c>
      <c r="P1227" s="1" t="s">
        <v>128</v>
      </c>
      <c r="Q1227" s="1" t="s">
        <v>2845</v>
      </c>
      <c r="R1227" s="1" t="s">
        <v>46</v>
      </c>
      <c r="S1227" s="7">
        <v>40.56</v>
      </c>
      <c r="T1227" s="1">
        <v>1</v>
      </c>
      <c r="U1227" s="9">
        <v>40.049999999999997</v>
      </c>
      <c r="V1227" s="9">
        <v>40.56</v>
      </c>
      <c r="W1227" s="9">
        <v>40.049999999999997</v>
      </c>
      <c r="X1227" s="12">
        <v>0.51000000000000512</v>
      </c>
      <c r="Y1227" s="10">
        <v>2017</v>
      </c>
    </row>
    <row r="1228" spans="1:25">
      <c r="A1228" s="1" t="s">
        <v>2844</v>
      </c>
      <c r="B1228" s="8">
        <v>42837</v>
      </c>
      <c r="C1228" s="11" t="s">
        <v>3359</v>
      </c>
      <c r="D1228" s="11" t="s">
        <v>3360</v>
      </c>
      <c r="E1228" s="5">
        <v>42867</v>
      </c>
      <c r="F1228" s="1" t="s">
        <v>162</v>
      </c>
      <c r="G1228" s="1" t="s">
        <v>563</v>
      </c>
      <c r="H1228" s="1" t="s">
        <v>3502</v>
      </c>
      <c r="I1228" s="1" t="s">
        <v>3453</v>
      </c>
      <c r="J1228" s="1"/>
      <c r="K1228" s="1" t="s">
        <v>29</v>
      </c>
      <c r="L1228" s="1" t="s">
        <v>30</v>
      </c>
      <c r="M1228" s="1" t="s">
        <v>233</v>
      </c>
      <c r="N1228" s="1" t="s">
        <v>234</v>
      </c>
      <c r="O1228" s="1">
        <v>10024</v>
      </c>
      <c r="P1228" s="1" t="s">
        <v>128</v>
      </c>
      <c r="Q1228" s="1" t="s">
        <v>2846</v>
      </c>
      <c r="R1228" s="1" t="s">
        <v>46</v>
      </c>
      <c r="S1228" s="7">
        <v>182.94</v>
      </c>
      <c r="T1228" s="1">
        <v>1</v>
      </c>
      <c r="U1228" s="9">
        <v>182.91</v>
      </c>
      <c r="V1228" s="9">
        <v>182.94</v>
      </c>
      <c r="W1228" s="9">
        <v>182.91</v>
      </c>
      <c r="X1228" s="12">
        <v>3.0000000000001137E-2</v>
      </c>
      <c r="Y1228" s="10">
        <v>2017</v>
      </c>
    </row>
    <row r="1229" spans="1:25">
      <c r="A1229" s="1" t="s">
        <v>2844</v>
      </c>
      <c r="B1229" s="8">
        <v>42837</v>
      </c>
      <c r="C1229" s="11" t="s">
        <v>3359</v>
      </c>
      <c r="D1229" s="11" t="s">
        <v>3360</v>
      </c>
      <c r="E1229" s="5">
        <v>42867</v>
      </c>
      <c r="F1229" s="1" t="s">
        <v>162</v>
      </c>
      <c r="G1229" s="1" t="s">
        <v>563</v>
      </c>
      <c r="H1229" s="1" t="s">
        <v>3502</v>
      </c>
      <c r="I1229" s="1" t="s">
        <v>3453</v>
      </c>
      <c r="J1229" s="1"/>
      <c r="K1229" s="1" t="s">
        <v>29</v>
      </c>
      <c r="L1229" s="1" t="s">
        <v>30</v>
      </c>
      <c r="M1229" s="1" t="s">
        <v>233</v>
      </c>
      <c r="N1229" s="1" t="s">
        <v>234</v>
      </c>
      <c r="O1229" s="1">
        <v>10024</v>
      </c>
      <c r="P1229" s="1" t="s">
        <v>128</v>
      </c>
      <c r="Q1229" s="1" t="s">
        <v>2847</v>
      </c>
      <c r="R1229" s="1" t="s">
        <v>46</v>
      </c>
      <c r="S1229" s="7">
        <v>193.86</v>
      </c>
      <c r="T1229" s="1">
        <v>1</v>
      </c>
      <c r="U1229" s="9">
        <v>193.73</v>
      </c>
      <c r="V1229" s="9">
        <v>193.86</v>
      </c>
      <c r="W1229" s="9">
        <v>193.73</v>
      </c>
      <c r="X1229" s="12">
        <v>0.13000000000002387</v>
      </c>
      <c r="Y1229" s="10">
        <v>2017</v>
      </c>
    </row>
    <row r="1230" spans="1:25">
      <c r="A1230" s="1" t="s">
        <v>2848</v>
      </c>
      <c r="B1230" s="8">
        <v>43262</v>
      </c>
      <c r="C1230" s="11" t="s">
        <v>3403</v>
      </c>
      <c r="D1230" s="11" t="s">
        <v>3360</v>
      </c>
      <c r="E1230" s="5">
        <v>43415</v>
      </c>
      <c r="F1230" s="1" t="s">
        <v>49</v>
      </c>
      <c r="G1230" s="1" t="s">
        <v>1607</v>
      </c>
      <c r="H1230" s="1" t="s">
        <v>3372</v>
      </c>
      <c r="I1230" s="1" t="s">
        <v>3721</v>
      </c>
      <c r="J1230" s="1"/>
      <c r="K1230" s="1" t="s">
        <v>29</v>
      </c>
      <c r="L1230" s="1" t="s">
        <v>30</v>
      </c>
      <c r="M1230" s="1" t="s">
        <v>42</v>
      </c>
      <c r="N1230" s="1" t="s">
        <v>68</v>
      </c>
      <c r="O1230" s="1">
        <v>90045</v>
      </c>
      <c r="P1230" s="1" t="s">
        <v>44</v>
      </c>
      <c r="Q1230" s="1" t="s">
        <v>1870</v>
      </c>
      <c r="R1230" s="1" t="s">
        <v>46</v>
      </c>
      <c r="S1230" s="7">
        <v>15.28</v>
      </c>
      <c r="T1230" s="1">
        <v>9</v>
      </c>
      <c r="U1230" s="9">
        <v>14.86</v>
      </c>
      <c r="V1230" s="9">
        <v>137.51999999999998</v>
      </c>
      <c r="W1230" s="9">
        <v>133.74</v>
      </c>
      <c r="X1230" s="12">
        <v>3.7799999999999727</v>
      </c>
      <c r="Y1230" s="10">
        <v>2018</v>
      </c>
    </row>
    <row r="1231" spans="1:25">
      <c r="A1231" s="1" t="s">
        <v>2848</v>
      </c>
      <c r="B1231" s="8">
        <v>43262</v>
      </c>
      <c r="C1231" s="11" t="s">
        <v>3403</v>
      </c>
      <c r="D1231" s="11" t="s">
        <v>3360</v>
      </c>
      <c r="E1231" s="5">
        <v>43415</v>
      </c>
      <c r="F1231" s="1" t="s">
        <v>49</v>
      </c>
      <c r="G1231" s="1" t="s">
        <v>1607</v>
      </c>
      <c r="H1231" s="1" t="s">
        <v>3372</v>
      </c>
      <c r="I1231" s="1" t="s">
        <v>3721</v>
      </c>
      <c r="J1231" s="1"/>
      <c r="K1231" s="1" t="s">
        <v>29</v>
      </c>
      <c r="L1231" s="1" t="s">
        <v>30</v>
      </c>
      <c r="M1231" s="1" t="s">
        <v>42</v>
      </c>
      <c r="N1231" s="1" t="s">
        <v>68</v>
      </c>
      <c r="O1231" s="1">
        <v>90045</v>
      </c>
      <c r="P1231" s="1" t="s">
        <v>44</v>
      </c>
      <c r="Q1231" s="1" t="s">
        <v>2237</v>
      </c>
      <c r="R1231" s="1" t="s">
        <v>35</v>
      </c>
      <c r="S1231" s="7">
        <v>8.73</v>
      </c>
      <c r="T1231" s="1">
        <v>9</v>
      </c>
      <c r="U1231" s="9">
        <v>8.27</v>
      </c>
      <c r="V1231" s="9">
        <v>78.570000000000007</v>
      </c>
      <c r="W1231" s="9">
        <v>74.429999999999993</v>
      </c>
      <c r="X1231" s="12">
        <v>4.1400000000000148</v>
      </c>
      <c r="Y1231" s="10">
        <v>2018</v>
      </c>
    </row>
    <row r="1232" spans="1:25">
      <c r="A1232" s="1" t="s">
        <v>2848</v>
      </c>
      <c r="B1232" s="8">
        <v>43262</v>
      </c>
      <c r="C1232" s="11" t="s">
        <v>3403</v>
      </c>
      <c r="D1232" s="11" t="s">
        <v>3360</v>
      </c>
      <c r="E1232" s="5">
        <v>43415</v>
      </c>
      <c r="F1232" s="1" t="s">
        <v>49</v>
      </c>
      <c r="G1232" s="1" t="s">
        <v>1607</v>
      </c>
      <c r="H1232" s="1" t="s">
        <v>3372</v>
      </c>
      <c r="I1232" s="1" t="s">
        <v>3721</v>
      </c>
      <c r="J1232" s="1"/>
      <c r="K1232" s="1" t="s">
        <v>29</v>
      </c>
      <c r="L1232" s="1" t="s">
        <v>30</v>
      </c>
      <c r="M1232" s="1" t="s">
        <v>42</v>
      </c>
      <c r="N1232" s="1" t="s">
        <v>68</v>
      </c>
      <c r="O1232" s="1">
        <v>90045</v>
      </c>
      <c r="P1232" s="1" t="s">
        <v>44</v>
      </c>
      <c r="Q1232" s="1" t="s">
        <v>2849</v>
      </c>
      <c r="R1232" s="1" t="s">
        <v>46</v>
      </c>
      <c r="S1232" s="7">
        <v>5.68</v>
      </c>
      <c r="T1232" s="1">
        <v>9</v>
      </c>
      <c r="U1232" s="9">
        <v>4.83</v>
      </c>
      <c r="V1232" s="9">
        <v>51.12</v>
      </c>
      <c r="W1232" s="9">
        <v>43.47</v>
      </c>
      <c r="X1232" s="12">
        <v>7.6499999999999986</v>
      </c>
      <c r="Y1232" s="10">
        <v>2018</v>
      </c>
    </row>
    <row r="1233" spans="1:25">
      <c r="A1233" s="1" t="s">
        <v>2850</v>
      </c>
      <c r="B1233" s="8">
        <v>42674</v>
      </c>
      <c r="C1233" s="11" t="s">
        <v>3387</v>
      </c>
      <c r="D1233" s="11" t="s">
        <v>3349</v>
      </c>
      <c r="E1233" s="5">
        <v>42411</v>
      </c>
      <c r="F1233" s="1" t="s">
        <v>26</v>
      </c>
      <c r="G1233" s="1" t="s">
        <v>2851</v>
      </c>
      <c r="H1233" s="1" t="s">
        <v>3937</v>
      </c>
      <c r="I1233" s="1" t="s">
        <v>3606</v>
      </c>
      <c r="J1233" s="1"/>
      <c r="K1233" s="1" t="s">
        <v>29</v>
      </c>
      <c r="L1233" s="1" t="s">
        <v>30</v>
      </c>
      <c r="M1233" s="1" t="s">
        <v>2853</v>
      </c>
      <c r="N1233" s="1" t="s">
        <v>234</v>
      </c>
      <c r="O1233" s="1">
        <v>14215</v>
      </c>
      <c r="P1233" s="1" t="s">
        <v>128</v>
      </c>
      <c r="Q1233" s="1" t="s">
        <v>1227</v>
      </c>
      <c r="R1233" s="1" t="s">
        <v>46</v>
      </c>
      <c r="S1233" s="7">
        <v>2.78</v>
      </c>
      <c r="T1233" s="1">
        <v>1</v>
      </c>
      <c r="U1233" s="9">
        <v>2.6</v>
      </c>
      <c r="V1233" s="9">
        <v>2.78</v>
      </c>
      <c r="W1233" s="9">
        <v>2.6</v>
      </c>
      <c r="X1233" s="12">
        <v>0.17999999999999972</v>
      </c>
      <c r="Y1233" s="10">
        <v>2016</v>
      </c>
    </row>
    <row r="1234" spans="1:25">
      <c r="A1234" s="1" t="s">
        <v>2850</v>
      </c>
      <c r="B1234" s="8">
        <v>42674</v>
      </c>
      <c r="C1234" s="11" t="s">
        <v>3387</v>
      </c>
      <c r="D1234" s="11" t="s">
        <v>3349</v>
      </c>
      <c r="E1234" s="5">
        <v>42411</v>
      </c>
      <c r="F1234" s="1" t="s">
        <v>26</v>
      </c>
      <c r="G1234" s="1" t="s">
        <v>2851</v>
      </c>
      <c r="H1234" s="1" t="s">
        <v>3937</v>
      </c>
      <c r="I1234" s="1" t="s">
        <v>3606</v>
      </c>
      <c r="J1234" s="1"/>
      <c r="K1234" s="1" t="s">
        <v>29</v>
      </c>
      <c r="L1234" s="1" t="s">
        <v>30</v>
      </c>
      <c r="M1234" s="1" t="s">
        <v>2853</v>
      </c>
      <c r="N1234" s="1" t="s">
        <v>234</v>
      </c>
      <c r="O1234" s="1">
        <v>14215</v>
      </c>
      <c r="P1234" s="1" t="s">
        <v>128</v>
      </c>
      <c r="Q1234" s="1" t="s">
        <v>2854</v>
      </c>
      <c r="R1234" s="1" t="s">
        <v>46</v>
      </c>
      <c r="S1234" s="7">
        <v>79.959999999999994</v>
      </c>
      <c r="T1234" s="1">
        <v>1</v>
      </c>
      <c r="U1234" s="9">
        <v>79.319999999999993</v>
      </c>
      <c r="V1234" s="9">
        <v>79.959999999999994</v>
      </c>
      <c r="W1234" s="9">
        <v>79.319999999999993</v>
      </c>
      <c r="X1234" s="12">
        <v>0.64000000000000057</v>
      </c>
      <c r="Y1234" s="10">
        <v>2016</v>
      </c>
    </row>
    <row r="1235" spans="1:25">
      <c r="A1235" s="1" t="s">
        <v>2855</v>
      </c>
      <c r="B1235" s="8">
        <v>42885</v>
      </c>
      <c r="C1235" s="11" t="s">
        <v>3363</v>
      </c>
      <c r="D1235" s="11" t="s">
        <v>3360</v>
      </c>
      <c r="E1235" s="5">
        <v>42741</v>
      </c>
      <c r="F1235" s="1" t="s">
        <v>162</v>
      </c>
      <c r="G1235" s="1" t="s">
        <v>2856</v>
      </c>
      <c r="H1235" s="1" t="s">
        <v>3938</v>
      </c>
      <c r="I1235" s="1" t="s">
        <v>3939</v>
      </c>
      <c r="J1235" s="1"/>
      <c r="K1235" s="1" t="s">
        <v>41</v>
      </c>
      <c r="L1235" s="1" t="s">
        <v>30</v>
      </c>
      <c r="M1235" s="1" t="s">
        <v>829</v>
      </c>
      <c r="N1235" s="1" t="s">
        <v>421</v>
      </c>
      <c r="O1235" s="1">
        <v>45231</v>
      </c>
      <c r="P1235" s="1" t="s">
        <v>128</v>
      </c>
      <c r="Q1235" s="1" t="s">
        <v>2858</v>
      </c>
      <c r="R1235" s="1" t="s">
        <v>64</v>
      </c>
      <c r="S1235" s="7">
        <v>839.98800000000006</v>
      </c>
      <c r="T1235" s="1">
        <v>4</v>
      </c>
      <c r="U1235" s="9">
        <v>839.61</v>
      </c>
      <c r="V1235" s="9">
        <v>3359.9520000000002</v>
      </c>
      <c r="W1235" s="9">
        <v>3358.44</v>
      </c>
      <c r="X1235" s="12">
        <v>1.512000000000171</v>
      </c>
      <c r="Y1235" s="10">
        <v>2017</v>
      </c>
    </row>
    <row r="1236" spans="1:25">
      <c r="A1236" s="1" t="s">
        <v>2859</v>
      </c>
      <c r="B1236" s="8">
        <v>43036</v>
      </c>
      <c r="C1236" s="11" t="s">
        <v>3387</v>
      </c>
      <c r="D1236" s="11" t="s">
        <v>3349</v>
      </c>
      <c r="E1236" s="5" t="s">
        <v>2860</v>
      </c>
      <c r="F1236" s="1" t="s">
        <v>1050</v>
      </c>
      <c r="G1236" s="1" t="s">
        <v>2107</v>
      </c>
      <c r="H1236" s="1" t="s">
        <v>3402</v>
      </c>
      <c r="I1236" s="1" t="s">
        <v>3828</v>
      </c>
      <c r="J1236" s="1"/>
      <c r="K1236" s="1" t="s">
        <v>29</v>
      </c>
      <c r="L1236" s="1" t="s">
        <v>30</v>
      </c>
      <c r="M1236" s="1" t="s">
        <v>2861</v>
      </c>
      <c r="N1236" s="1" t="s">
        <v>194</v>
      </c>
      <c r="O1236" s="1">
        <v>33437</v>
      </c>
      <c r="P1236" s="1" t="s">
        <v>33</v>
      </c>
      <c r="Q1236" s="1" t="s">
        <v>2862</v>
      </c>
      <c r="R1236" s="1" t="s">
        <v>35</v>
      </c>
      <c r="S1236" s="7">
        <v>47.951999999999998</v>
      </c>
      <c r="T1236" s="1">
        <v>3</v>
      </c>
      <c r="U1236" s="9">
        <v>47.56</v>
      </c>
      <c r="V1236" s="9">
        <v>143.85599999999999</v>
      </c>
      <c r="W1236" s="9">
        <v>142.68</v>
      </c>
      <c r="X1236" s="12">
        <v>1.1759999999999877</v>
      </c>
      <c r="Y1236" s="10">
        <v>2017</v>
      </c>
    </row>
    <row r="1237" spans="1:25">
      <c r="A1237" s="1" t="s">
        <v>2859</v>
      </c>
      <c r="B1237" s="8">
        <v>43036</v>
      </c>
      <c r="C1237" s="11" t="s">
        <v>3387</v>
      </c>
      <c r="D1237" s="11" t="s">
        <v>3349</v>
      </c>
      <c r="E1237" s="5" t="s">
        <v>2860</v>
      </c>
      <c r="F1237" s="1" t="s">
        <v>1050</v>
      </c>
      <c r="G1237" s="1" t="s">
        <v>2107</v>
      </c>
      <c r="H1237" s="1" t="s">
        <v>3402</v>
      </c>
      <c r="I1237" s="1" t="s">
        <v>3828</v>
      </c>
      <c r="J1237" s="1"/>
      <c r="K1237" s="1" t="s">
        <v>29</v>
      </c>
      <c r="L1237" s="1" t="s">
        <v>30</v>
      </c>
      <c r="M1237" s="1" t="s">
        <v>2861</v>
      </c>
      <c r="N1237" s="1" t="s">
        <v>194</v>
      </c>
      <c r="O1237" s="1">
        <v>33437</v>
      </c>
      <c r="P1237" s="1" t="s">
        <v>33</v>
      </c>
      <c r="Q1237" s="1" t="s">
        <v>2202</v>
      </c>
      <c r="R1237" s="1" t="s">
        <v>46</v>
      </c>
      <c r="S1237" s="7">
        <v>37.424999999999997</v>
      </c>
      <c r="T1237" s="1">
        <v>3</v>
      </c>
      <c r="U1237" s="9">
        <v>36.86</v>
      </c>
      <c r="V1237" s="9">
        <v>112.27499999999999</v>
      </c>
      <c r="W1237" s="9">
        <v>110.58</v>
      </c>
      <c r="X1237" s="12">
        <v>1.6949999999999932</v>
      </c>
      <c r="Y1237" s="10">
        <v>2017</v>
      </c>
    </row>
    <row r="1238" spans="1:25">
      <c r="A1238" s="1" t="s">
        <v>2859</v>
      </c>
      <c r="B1238" s="8">
        <v>43036</v>
      </c>
      <c r="C1238" s="11" t="s">
        <v>3387</v>
      </c>
      <c r="D1238" s="11" t="s">
        <v>3349</v>
      </c>
      <c r="E1238" s="5" t="s">
        <v>2860</v>
      </c>
      <c r="F1238" s="1" t="s">
        <v>1050</v>
      </c>
      <c r="G1238" s="1" t="s">
        <v>2107</v>
      </c>
      <c r="H1238" s="1" t="s">
        <v>3402</v>
      </c>
      <c r="I1238" s="1" t="s">
        <v>3828</v>
      </c>
      <c r="J1238" s="1"/>
      <c r="K1238" s="1" t="s">
        <v>29</v>
      </c>
      <c r="L1238" s="1" t="s">
        <v>30</v>
      </c>
      <c r="M1238" s="1" t="s">
        <v>2861</v>
      </c>
      <c r="N1238" s="1" t="s">
        <v>194</v>
      </c>
      <c r="O1238" s="1">
        <v>33437</v>
      </c>
      <c r="P1238" s="1" t="s">
        <v>33</v>
      </c>
      <c r="Q1238" s="1" t="s">
        <v>2863</v>
      </c>
      <c r="R1238" s="1" t="s">
        <v>35</v>
      </c>
      <c r="S1238" s="7">
        <v>63.968000000000004</v>
      </c>
      <c r="T1238" s="1">
        <v>3</v>
      </c>
      <c r="U1238" s="9">
        <v>63.54</v>
      </c>
      <c r="V1238" s="9">
        <v>191.904</v>
      </c>
      <c r="W1238" s="9">
        <v>190.62</v>
      </c>
      <c r="X1238" s="12">
        <v>1.2839999999999918</v>
      </c>
      <c r="Y1238" s="10">
        <v>2017</v>
      </c>
    </row>
    <row r="1239" spans="1:25">
      <c r="A1239" s="1" t="s">
        <v>2859</v>
      </c>
      <c r="B1239" s="8">
        <v>43036</v>
      </c>
      <c r="C1239" s="11" t="s">
        <v>3387</v>
      </c>
      <c r="D1239" s="11" t="s">
        <v>3349</v>
      </c>
      <c r="E1239" s="5" t="s">
        <v>2860</v>
      </c>
      <c r="F1239" s="1" t="s">
        <v>1050</v>
      </c>
      <c r="G1239" s="1" t="s">
        <v>2107</v>
      </c>
      <c r="H1239" s="1" t="s">
        <v>3402</v>
      </c>
      <c r="I1239" s="1" t="s">
        <v>3828</v>
      </c>
      <c r="J1239" s="1"/>
      <c r="K1239" s="1" t="s">
        <v>29</v>
      </c>
      <c r="L1239" s="1" t="s">
        <v>30</v>
      </c>
      <c r="M1239" s="1" t="s">
        <v>2861</v>
      </c>
      <c r="N1239" s="1" t="s">
        <v>194</v>
      </c>
      <c r="O1239" s="1">
        <v>33437</v>
      </c>
      <c r="P1239" s="1" t="s">
        <v>33</v>
      </c>
      <c r="Q1239" s="1" t="s">
        <v>1804</v>
      </c>
      <c r="R1239" s="1" t="s">
        <v>35</v>
      </c>
      <c r="S1239" s="7">
        <v>165.048</v>
      </c>
      <c r="T1239" s="1">
        <v>3</v>
      </c>
      <c r="U1239" s="9">
        <v>164.12</v>
      </c>
      <c r="V1239" s="9">
        <v>495.14400000000001</v>
      </c>
      <c r="W1239" s="9">
        <v>492.36</v>
      </c>
      <c r="X1239" s="12">
        <v>2.7839999999999918</v>
      </c>
      <c r="Y1239" s="10">
        <v>2017</v>
      </c>
    </row>
    <row r="1240" spans="1:25">
      <c r="A1240" s="1" t="s">
        <v>2864</v>
      </c>
      <c r="B1240" s="8">
        <v>42316</v>
      </c>
      <c r="C1240" s="11" t="s">
        <v>3353</v>
      </c>
      <c r="D1240" s="11" t="s">
        <v>3349</v>
      </c>
      <c r="E1240" s="5" t="s">
        <v>1620</v>
      </c>
      <c r="F1240" s="1" t="s">
        <v>49</v>
      </c>
      <c r="G1240" s="1" t="s">
        <v>2865</v>
      </c>
      <c r="H1240" s="1" t="s">
        <v>3464</v>
      </c>
      <c r="I1240" s="1" t="s">
        <v>3842</v>
      </c>
      <c r="J1240" s="1"/>
      <c r="K1240" s="1" t="s">
        <v>29</v>
      </c>
      <c r="L1240" s="1" t="s">
        <v>30</v>
      </c>
      <c r="M1240" s="1" t="s">
        <v>80</v>
      </c>
      <c r="N1240" s="1" t="s">
        <v>81</v>
      </c>
      <c r="O1240" s="1">
        <v>98105</v>
      </c>
      <c r="P1240" s="1" t="s">
        <v>44</v>
      </c>
      <c r="Q1240" s="1" t="s">
        <v>2867</v>
      </c>
      <c r="R1240" s="1" t="s">
        <v>35</v>
      </c>
      <c r="S1240" s="7">
        <v>12.35</v>
      </c>
      <c r="T1240" s="1">
        <v>9</v>
      </c>
      <c r="U1240" s="9">
        <v>11.66</v>
      </c>
      <c r="V1240" s="9">
        <v>111.14999999999999</v>
      </c>
      <c r="W1240" s="9">
        <v>104.94</v>
      </c>
      <c r="X1240" s="12">
        <v>6.2099999999999937</v>
      </c>
      <c r="Y1240" s="10">
        <v>2015</v>
      </c>
    </row>
    <row r="1241" spans="1:25">
      <c r="A1241" s="1" t="s">
        <v>2864</v>
      </c>
      <c r="B1241" s="8">
        <v>42316</v>
      </c>
      <c r="C1241" s="11" t="s">
        <v>3353</v>
      </c>
      <c r="D1241" s="11" t="s">
        <v>3349</v>
      </c>
      <c r="E1241" s="5" t="s">
        <v>1620</v>
      </c>
      <c r="F1241" s="1" t="s">
        <v>49</v>
      </c>
      <c r="G1241" s="1" t="s">
        <v>2865</v>
      </c>
      <c r="H1241" s="1" t="s">
        <v>3464</v>
      </c>
      <c r="I1241" s="1" t="s">
        <v>3842</v>
      </c>
      <c r="J1241" s="1"/>
      <c r="K1241" s="1" t="s">
        <v>29</v>
      </c>
      <c r="L1241" s="1" t="s">
        <v>30</v>
      </c>
      <c r="M1241" s="1" t="s">
        <v>80</v>
      </c>
      <c r="N1241" s="1" t="s">
        <v>81</v>
      </c>
      <c r="O1241" s="1">
        <v>98105</v>
      </c>
      <c r="P1241" s="1" t="s">
        <v>44</v>
      </c>
      <c r="Q1241" s="1" t="s">
        <v>2868</v>
      </c>
      <c r="R1241" s="1" t="s">
        <v>46</v>
      </c>
      <c r="S1241" s="7">
        <v>40.97</v>
      </c>
      <c r="T1241" s="1">
        <v>9</v>
      </c>
      <c r="U1241" s="9">
        <v>40.24</v>
      </c>
      <c r="V1241" s="9">
        <v>368.73</v>
      </c>
      <c r="W1241" s="9">
        <v>362.16</v>
      </c>
      <c r="X1241" s="12">
        <v>6.5699999999999932</v>
      </c>
      <c r="Y1241" s="10">
        <v>2015</v>
      </c>
    </row>
    <row r="1242" spans="1:25">
      <c r="A1242" s="1" t="s">
        <v>2864</v>
      </c>
      <c r="B1242" s="8">
        <v>42316</v>
      </c>
      <c r="C1242" s="11" t="s">
        <v>3353</v>
      </c>
      <c r="D1242" s="11" t="s">
        <v>3349</v>
      </c>
      <c r="E1242" s="5" t="s">
        <v>1620</v>
      </c>
      <c r="F1242" s="1" t="s">
        <v>49</v>
      </c>
      <c r="G1242" s="1" t="s">
        <v>2865</v>
      </c>
      <c r="H1242" s="1" t="s">
        <v>3464</v>
      </c>
      <c r="I1242" s="1" t="s">
        <v>3842</v>
      </c>
      <c r="J1242" s="1"/>
      <c r="K1242" s="1" t="s">
        <v>29</v>
      </c>
      <c r="L1242" s="1" t="s">
        <v>30</v>
      </c>
      <c r="M1242" s="1" t="s">
        <v>80</v>
      </c>
      <c r="N1242" s="1" t="s">
        <v>81</v>
      </c>
      <c r="O1242" s="1">
        <v>98105</v>
      </c>
      <c r="P1242" s="1" t="s">
        <v>44</v>
      </c>
      <c r="Q1242" s="1" t="s">
        <v>889</v>
      </c>
      <c r="R1242" s="1" t="s">
        <v>46</v>
      </c>
      <c r="S1242" s="7">
        <v>22.96</v>
      </c>
      <c r="T1242" s="1">
        <v>9</v>
      </c>
      <c r="U1242" s="9">
        <v>22.13</v>
      </c>
      <c r="V1242" s="9">
        <v>206.64000000000001</v>
      </c>
      <c r="W1242" s="9">
        <v>199.17</v>
      </c>
      <c r="X1242" s="12">
        <v>7.4700000000000273</v>
      </c>
      <c r="Y1242" s="10">
        <v>2015</v>
      </c>
    </row>
    <row r="1243" spans="1:25">
      <c r="A1243" s="1" t="s">
        <v>2869</v>
      </c>
      <c r="B1243" s="8">
        <v>42976</v>
      </c>
      <c r="C1243" s="11" t="s">
        <v>3344</v>
      </c>
      <c r="D1243" s="11" t="s">
        <v>3345</v>
      </c>
      <c r="E1243" s="5">
        <v>42834</v>
      </c>
      <c r="F1243" s="1" t="s">
        <v>49</v>
      </c>
      <c r="G1243" s="1" t="s">
        <v>1683</v>
      </c>
      <c r="H1243" s="1" t="s">
        <v>3743</v>
      </c>
      <c r="I1243" s="1" t="s">
        <v>3744</v>
      </c>
      <c r="J1243" s="1"/>
      <c r="K1243" s="1" t="s">
        <v>87</v>
      </c>
      <c r="L1243" s="1" t="s">
        <v>30</v>
      </c>
      <c r="M1243" s="1" t="s">
        <v>233</v>
      </c>
      <c r="N1243" s="1" t="s">
        <v>234</v>
      </c>
      <c r="O1243" s="1">
        <v>10024</v>
      </c>
      <c r="P1243" s="1" t="s">
        <v>128</v>
      </c>
      <c r="Q1243" s="1" t="s">
        <v>2870</v>
      </c>
      <c r="R1243" s="1" t="s">
        <v>64</v>
      </c>
      <c r="S1243" s="7">
        <v>22</v>
      </c>
      <c r="T1243" s="1">
        <v>1</v>
      </c>
      <c r="U1243" s="9">
        <v>21.27</v>
      </c>
      <c r="V1243" s="9">
        <v>22</v>
      </c>
      <c r="W1243" s="9">
        <v>21.27</v>
      </c>
      <c r="X1243" s="12">
        <v>0.73000000000000043</v>
      </c>
      <c r="Y1243" s="10">
        <v>2017</v>
      </c>
    </row>
    <row r="1244" spans="1:25">
      <c r="A1244" s="1" t="s">
        <v>2871</v>
      </c>
      <c r="B1244" s="8">
        <v>42781</v>
      </c>
      <c r="C1244" s="11" t="s">
        <v>3461</v>
      </c>
      <c r="D1244" s="11" t="s">
        <v>3382</v>
      </c>
      <c r="E1244" s="5" t="s">
        <v>2872</v>
      </c>
      <c r="F1244" s="1" t="s">
        <v>49</v>
      </c>
      <c r="G1244" s="1" t="s">
        <v>2107</v>
      </c>
      <c r="H1244" s="1" t="s">
        <v>3402</v>
      </c>
      <c r="I1244" s="1" t="s">
        <v>3828</v>
      </c>
      <c r="J1244" s="1"/>
      <c r="K1244" s="1" t="s">
        <v>29</v>
      </c>
      <c r="L1244" s="1" t="s">
        <v>30</v>
      </c>
      <c r="M1244" s="1" t="s">
        <v>233</v>
      </c>
      <c r="N1244" s="1" t="s">
        <v>234</v>
      </c>
      <c r="O1244" s="1">
        <v>10009</v>
      </c>
      <c r="P1244" s="1" t="s">
        <v>128</v>
      </c>
      <c r="Q1244" s="1" t="s">
        <v>2873</v>
      </c>
      <c r="R1244" s="1" t="s">
        <v>46</v>
      </c>
      <c r="S1244" s="7">
        <v>398.35199999999998</v>
      </c>
      <c r="T1244" s="1">
        <v>1</v>
      </c>
      <c r="U1244" s="9">
        <v>397.73</v>
      </c>
      <c r="V1244" s="9">
        <v>398.35199999999998</v>
      </c>
      <c r="W1244" s="9">
        <v>397.73</v>
      </c>
      <c r="X1244" s="12">
        <v>0.62199999999995725</v>
      </c>
      <c r="Y1244" s="10">
        <v>2017</v>
      </c>
    </row>
    <row r="1245" spans="1:25">
      <c r="A1245" s="1" t="s">
        <v>2871</v>
      </c>
      <c r="B1245" s="8">
        <v>42781</v>
      </c>
      <c r="C1245" s="11" t="s">
        <v>3461</v>
      </c>
      <c r="D1245" s="11" t="s">
        <v>3382</v>
      </c>
      <c r="E1245" s="5" t="s">
        <v>2872</v>
      </c>
      <c r="F1245" s="1" t="s">
        <v>49</v>
      </c>
      <c r="G1245" s="1" t="s">
        <v>2107</v>
      </c>
      <c r="H1245" s="1" t="s">
        <v>3402</v>
      </c>
      <c r="I1245" s="1" t="s">
        <v>3828</v>
      </c>
      <c r="J1245" s="1"/>
      <c r="K1245" s="1" t="s">
        <v>29</v>
      </c>
      <c r="L1245" s="1" t="s">
        <v>30</v>
      </c>
      <c r="M1245" s="1" t="s">
        <v>233</v>
      </c>
      <c r="N1245" s="1" t="s">
        <v>234</v>
      </c>
      <c r="O1245" s="1">
        <v>10009</v>
      </c>
      <c r="P1245" s="1" t="s">
        <v>128</v>
      </c>
      <c r="Q1245" s="1" t="s">
        <v>235</v>
      </c>
      <c r="R1245" s="1" t="s">
        <v>46</v>
      </c>
      <c r="S1245" s="7">
        <v>8.7200000000000006</v>
      </c>
      <c r="T1245" s="1">
        <v>1</v>
      </c>
      <c r="U1245" s="9">
        <v>8.58</v>
      </c>
      <c r="V1245" s="9">
        <v>8.7200000000000006</v>
      </c>
      <c r="W1245" s="9">
        <v>8.58</v>
      </c>
      <c r="X1245" s="12">
        <v>0.14000000000000057</v>
      </c>
      <c r="Y1245" s="10">
        <v>2017</v>
      </c>
    </row>
    <row r="1246" spans="1:25">
      <c r="A1246" s="1" t="s">
        <v>2874</v>
      </c>
      <c r="B1246" s="8">
        <v>43234</v>
      </c>
      <c r="C1246" s="11" t="s">
        <v>3363</v>
      </c>
      <c r="D1246" s="11" t="s">
        <v>3360</v>
      </c>
      <c r="E1246" s="5" t="s">
        <v>2875</v>
      </c>
      <c r="F1246" s="1" t="s">
        <v>49</v>
      </c>
      <c r="G1246" s="1" t="s">
        <v>2876</v>
      </c>
      <c r="H1246" s="1" t="s">
        <v>3940</v>
      </c>
      <c r="I1246" s="1" t="s">
        <v>3770</v>
      </c>
      <c r="J1246" s="1"/>
      <c r="K1246" s="1" t="s">
        <v>29</v>
      </c>
      <c r="L1246" s="1" t="s">
        <v>30</v>
      </c>
      <c r="M1246" s="1" t="s">
        <v>2878</v>
      </c>
      <c r="N1246" s="1" t="s">
        <v>1211</v>
      </c>
      <c r="O1246" s="1">
        <v>39503</v>
      </c>
      <c r="P1246" s="1" t="s">
        <v>33</v>
      </c>
      <c r="Q1246" s="1" t="s">
        <v>2879</v>
      </c>
      <c r="R1246" s="1" t="s">
        <v>46</v>
      </c>
      <c r="S1246" s="7">
        <v>48.69</v>
      </c>
      <c r="T1246" s="1">
        <v>3</v>
      </c>
      <c r="U1246" s="9">
        <v>48.2</v>
      </c>
      <c r="V1246" s="9">
        <v>146.07</v>
      </c>
      <c r="W1246" s="9">
        <v>144.60000000000002</v>
      </c>
      <c r="X1246" s="12">
        <v>1.4699999999999704</v>
      </c>
      <c r="Y1246" s="10">
        <v>2018</v>
      </c>
    </row>
    <row r="1247" spans="1:25">
      <c r="A1247" s="1" t="s">
        <v>2880</v>
      </c>
      <c r="B1247" s="8">
        <v>42350</v>
      </c>
      <c r="C1247" s="11" t="s">
        <v>3348</v>
      </c>
      <c r="D1247" s="11" t="s">
        <v>3349</v>
      </c>
      <c r="E1247" s="5" t="s">
        <v>2881</v>
      </c>
      <c r="F1247" s="1" t="s">
        <v>26</v>
      </c>
      <c r="G1247" s="1" t="s">
        <v>2882</v>
      </c>
      <c r="H1247" s="1" t="s">
        <v>3495</v>
      </c>
      <c r="I1247" s="1" t="s">
        <v>3628</v>
      </c>
      <c r="J1247" s="1"/>
      <c r="K1247" s="1" t="s">
        <v>29</v>
      </c>
      <c r="L1247" s="1" t="s">
        <v>30</v>
      </c>
      <c r="M1247" s="1" t="s">
        <v>2884</v>
      </c>
      <c r="N1247" s="1" t="s">
        <v>68</v>
      </c>
      <c r="O1247" s="1">
        <v>93727</v>
      </c>
      <c r="P1247" s="1" t="s">
        <v>44</v>
      </c>
      <c r="Q1247" s="1" t="s">
        <v>2885</v>
      </c>
      <c r="R1247" s="1" t="s">
        <v>35</v>
      </c>
      <c r="S1247" s="7">
        <v>764.68799999999999</v>
      </c>
      <c r="T1247" s="1">
        <v>9</v>
      </c>
      <c r="U1247" s="9">
        <v>764.45</v>
      </c>
      <c r="V1247" s="9">
        <v>6882.192</v>
      </c>
      <c r="W1247" s="9">
        <v>6880.05</v>
      </c>
      <c r="X1247" s="12">
        <v>2.1419999999998254</v>
      </c>
      <c r="Y1247" s="10">
        <v>2015</v>
      </c>
    </row>
    <row r="1248" spans="1:25">
      <c r="A1248" s="1" t="s">
        <v>2880</v>
      </c>
      <c r="B1248" s="8">
        <v>42350</v>
      </c>
      <c r="C1248" s="11" t="s">
        <v>3348</v>
      </c>
      <c r="D1248" s="11" t="s">
        <v>3349</v>
      </c>
      <c r="E1248" s="5" t="s">
        <v>2881</v>
      </c>
      <c r="F1248" s="1" t="s">
        <v>26</v>
      </c>
      <c r="G1248" s="1" t="s">
        <v>2882</v>
      </c>
      <c r="H1248" s="1" t="s">
        <v>3495</v>
      </c>
      <c r="I1248" s="1" t="s">
        <v>3628</v>
      </c>
      <c r="J1248" s="1"/>
      <c r="K1248" s="1" t="s">
        <v>29</v>
      </c>
      <c r="L1248" s="1" t="s">
        <v>30</v>
      </c>
      <c r="M1248" s="1" t="s">
        <v>2884</v>
      </c>
      <c r="N1248" s="1" t="s">
        <v>68</v>
      </c>
      <c r="O1248" s="1">
        <v>93727</v>
      </c>
      <c r="P1248" s="1" t="s">
        <v>44</v>
      </c>
      <c r="Q1248" s="1" t="s">
        <v>745</v>
      </c>
      <c r="R1248" s="1" t="s">
        <v>35</v>
      </c>
      <c r="S1248" s="7">
        <v>3610.848</v>
      </c>
      <c r="T1248" s="1">
        <v>9</v>
      </c>
      <c r="U1248" s="9">
        <v>3610.76</v>
      </c>
      <c r="V1248" s="9">
        <v>32497.631999999998</v>
      </c>
      <c r="W1248" s="9">
        <v>32496.840000000004</v>
      </c>
      <c r="X1248" s="12">
        <v>0.79199999999400461</v>
      </c>
      <c r="Y1248" s="10">
        <v>2015</v>
      </c>
    </row>
    <row r="1249" spans="1:25">
      <c r="A1249" s="1" t="s">
        <v>2880</v>
      </c>
      <c r="B1249" s="8">
        <v>42350</v>
      </c>
      <c r="C1249" s="11" t="s">
        <v>3348</v>
      </c>
      <c r="D1249" s="11" t="s">
        <v>3349</v>
      </c>
      <c r="E1249" s="5" t="s">
        <v>2881</v>
      </c>
      <c r="F1249" s="1" t="s">
        <v>26</v>
      </c>
      <c r="G1249" s="1" t="s">
        <v>2882</v>
      </c>
      <c r="H1249" s="1" t="s">
        <v>3495</v>
      </c>
      <c r="I1249" s="1" t="s">
        <v>3628</v>
      </c>
      <c r="J1249" s="1"/>
      <c r="K1249" s="1" t="s">
        <v>29</v>
      </c>
      <c r="L1249" s="1" t="s">
        <v>30</v>
      </c>
      <c r="M1249" s="1" t="s">
        <v>2884</v>
      </c>
      <c r="N1249" s="1" t="s">
        <v>68</v>
      </c>
      <c r="O1249" s="1">
        <v>93727</v>
      </c>
      <c r="P1249" s="1" t="s">
        <v>44</v>
      </c>
      <c r="Q1249" s="1" t="s">
        <v>2886</v>
      </c>
      <c r="R1249" s="1" t="s">
        <v>35</v>
      </c>
      <c r="S1249" s="7">
        <v>254.97450000000001</v>
      </c>
      <c r="T1249" s="1">
        <v>9</v>
      </c>
      <c r="U1249" s="9">
        <v>254.54</v>
      </c>
      <c r="V1249" s="9">
        <v>2294.7705000000001</v>
      </c>
      <c r="W1249" s="9">
        <v>2290.86</v>
      </c>
      <c r="X1249" s="12">
        <v>3.9104999999999563</v>
      </c>
      <c r="Y1249" s="10">
        <v>2015</v>
      </c>
    </row>
    <row r="1250" spans="1:25">
      <c r="A1250" s="1" t="s">
        <v>2887</v>
      </c>
      <c r="B1250" s="8">
        <v>43452</v>
      </c>
      <c r="C1250" s="11" t="s">
        <v>3348</v>
      </c>
      <c r="D1250" s="11" t="s">
        <v>3349</v>
      </c>
      <c r="E1250" s="5" t="s">
        <v>2888</v>
      </c>
      <c r="F1250" s="1" t="s">
        <v>49</v>
      </c>
      <c r="G1250" s="1" t="s">
        <v>1807</v>
      </c>
      <c r="H1250" s="1" t="s">
        <v>3591</v>
      </c>
      <c r="I1250" s="1" t="s">
        <v>3770</v>
      </c>
      <c r="J1250" s="1"/>
      <c r="K1250" s="1" t="s">
        <v>29</v>
      </c>
      <c r="L1250" s="1" t="s">
        <v>30</v>
      </c>
      <c r="M1250" s="1" t="s">
        <v>233</v>
      </c>
      <c r="N1250" s="1" t="s">
        <v>234</v>
      </c>
      <c r="O1250" s="1">
        <v>10009</v>
      </c>
      <c r="P1250" s="1" t="s">
        <v>128</v>
      </c>
      <c r="Q1250" s="1" t="s">
        <v>2889</v>
      </c>
      <c r="R1250" s="1" t="s">
        <v>46</v>
      </c>
      <c r="S1250" s="7">
        <v>38.82</v>
      </c>
      <c r="T1250" s="1">
        <v>1</v>
      </c>
      <c r="U1250" s="9">
        <v>37.869999999999997</v>
      </c>
      <c r="V1250" s="9">
        <v>38.82</v>
      </c>
      <c r="W1250" s="9">
        <v>37.869999999999997</v>
      </c>
      <c r="X1250" s="12">
        <v>0.95000000000000284</v>
      </c>
      <c r="Y1250" s="10">
        <v>2018</v>
      </c>
    </row>
    <row r="1251" spans="1:25">
      <c r="A1251" s="1" t="s">
        <v>2887</v>
      </c>
      <c r="B1251" s="8">
        <v>43452</v>
      </c>
      <c r="C1251" s="11" t="s">
        <v>3348</v>
      </c>
      <c r="D1251" s="11" t="s">
        <v>3349</v>
      </c>
      <c r="E1251" s="5" t="s">
        <v>2888</v>
      </c>
      <c r="F1251" s="1" t="s">
        <v>49</v>
      </c>
      <c r="G1251" s="1" t="s">
        <v>1807</v>
      </c>
      <c r="H1251" s="1" t="s">
        <v>3591</v>
      </c>
      <c r="I1251" s="1" t="s">
        <v>3770</v>
      </c>
      <c r="J1251" s="1"/>
      <c r="K1251" s="1" t="s">
        <v>29</v>
      </c>
      <c r="L1251" s="1" t="s">
        <v>30</v>
      </c>
      <c r="M1251" s="1" t="s">
        <v>233</v>
      </c>
      <c r="N1251" s="1" t="s">
        <v>234</v>
      </c>
      <c r="O1251" s="1">
        <v>10009</v>
      </c>
      <c r="P1251" s="1" t="s">
        <v>128</v>
      </c>
      <c r="Q1251" s="1" t="s">
        <v>2890</v>
      </c>
      <c r="R1251" s="1" t="s">
        <v>35</v>
      </c>
      <c r="S1251" s="7">
        <v>1141.9380000000001</v>
      </c>
      <c r="T1251" s="1">
        <v>1</v>
      </c>
      <c r="U1251" s="9">
        <v>1140.99</v>
      </c>
      <c r="V1251" s="9">
        <v>1141.9380000000001</v>
      </c>
      <c r="W1251" s="9">
        <v>1140.99</v>
      </c>
      <c r="X1251" s="12">
        <v>0.94800000000009277</v>
      </c>
      <c r="Y1251" s="10">
        <v>2018</v>
      </c>
    </row>
    <row r="1252" spans="1:25">
      <c r="A1252" s="1" t="s">
        <v>2887</v>
      </c>
      <c r="B1252" s="8">
        <v>43452</v>
      </c>
      <c r="C1252" s="11" t="s">
        <v>3348</v>
      </c>
      <c r="D1252" s="11" t="s">
        <v>3349</v>
      </c>
      <c r="E1252" s="5" t="s">
        <v>2888</v>
      </c>
      <c r="F1252" s="1" t="s">
        <v>49</v>
      </c>
      <c r="G1252" s="1" t="s">
        <v>1807</v>
      </c>
      <c r="H1252" s="1" t="s">
        <v>3591</v>
      </c>
      <c r="I1252" s="1" t="s">
        <v>3770</v>
      </c>
      <c r="J1252" s="1"/>
      <c r="K1252" s="1" t="s">
        <v>29</v>
      </c>
      <c r="L1252" s="1" t="s">
        <v>30</v>
      </c>
      <c r="M1252" s="1" t="s">
        <v>233</v>
      </c>
      <c r="N1252" s="1" t="s">
        <v>234</v>
      </c>
      <c r="O1252" s="1">
        <v>10009</v>
      </c>
      <c r="P1252" s="1" t="s">
        <v>128</v>
      </c>
      <c r="Q1252" s="1" t="s">
        <v>583</v>
      </c>
      <c r="R1252" s="1" t="s">
        <v>46</v>
      </c>
      <c r="S1252" s="7">
        <v>1704.56</v>
      </c>
      <c r="T1252" s="1">
        <v>1</v>
      </c>
      <c r="U1252" s="9">
        <v>1703.65</v>
      </c>
      <c r="V1252" s="9">
        <v>1704.56</v>
      </c>
      <c r="W1252" s="9">
        <v>1703.65</v>
      </c>
      <c r="X1252" s="12">
        <v>0.90999999999985448</v>
      </c>
      <c r="Y1252" s="10">
        <v>2018</v>
      </c>
    </row>
    <row r="1253" spans="1:25">
      <c r="A1253" s="1" t="s">
        <v>2887</v>
      </c>
      <c r="B1253" s="8">
        <v>43452</v>
      </c>
      <c r="C1253" s="11" t="s">
        <v>3348</v>
      </c>
      <c r="D1253" s="11" t="s">
        <v>3349</v>
      </c>
      <c r="E1253" s="5" t="s">
        <v>2888</v>
      </c>
      <c r="F1253" s="1" t="s">
        <v>49</v>
      </c>
      <c r="G1253" s="1" t="s">
        <v>1807</v>
      </c>
      <c r="H1253" s="1" t="s">
        <v>3591</v>
      </c>
      <c r="I1253" s="1" t="s">
        <v>3770</v>
      </c>
      <c r="J1253" s="1"/>
      <c r="K1253" s="1" t="s">
        <v>29</v>
      </c>
      <c r="L1253" s="1" t="s">
        <v>30</v>
      </c>
      <c r="M1253" s="1" t="s">
        <v>233</v>
      </c>
      <c r="N1253" s="1" t="s">
        <v>234</v>
      </c>
      <c r="O1253" s="1">
        <v>10009</v>
      </c>
      <c r="P1253" s="1" t="s">
        <v>128</v>
      </c>
      <c r="Q1253" s="1" t="s">
        <v>2891</v>
      </c>
      <c r="R1253" s="1" t="s">
        <v>46</v>
      </c>
      <c r="S1253" s="7">
        <v>3.2</v>
      </c>
      <c r="T1253" s="1">
        <v>1</v>
      </c>
      <c r="U1253" s="9">
        <v>2.62</v>
      </c>
      <c r="V1253" s="9">
        <v>3.2</v>
      </c>
      <c r="W1253" s="9">
        <v>2.62</v>
      </c>
      <c r="X1253" s="12">
        <v>0.58000000000000007</v>
      </c>
      <c r="Y1253" s="10">
        <v>2018</v>
      </c>
    </row>
    <row r="1254" spans="1:25">
      <c r="A1254" s="1" t="s">
        <v>2892</v>
      </c>
      <c r="B1254" s="8">
        <v>42467</v>
      </c>
      <c r="C1254" s="11" t="s">
        <v>3359</v>
      </c>
      <c r="D1254" s="11" t="s">
        <v>3360</v>
      </c>
      <c r="E1254" s="5">
        <v>42620</v>
      </c>
      <c r="F1254" s="1" t="s">
        <v>49</v>
      </c>
      <c r="G1254" s="1" t="s">
        <v>78</v>
      </c>
      <c r="H1254" s="1" t="s">
        <v>3364</v>
      </c>
      <c r="I1254" s="1" t="s">
        <v>3365</v>
      </c>
      <c r="J1254" s="1"/>
      <c r="K1254" s="1" t="s">
        <v>29</v>
      </c>
      <c r="L1254" s="1" t="s">
        <v>30</v>
      </c>
      <c r="M1254" s="1" t="s">
        <v>2093</v>
      </c>
      <c r="N1254" s="1" t="s">
        <v>98</v>
      </c>
      <c r="O1254" s="1">
        <v>53209</v>
      </c>
      <c r="P1254" s="1" t="s">
        <v>90</v>
      </c>
      <c r="Q1254" s="1" t="s">
        <v>2893</v>
      </c>
      <c r="R1254" s="1" t="s">
        <v>64</v>
      </c>
      <c r="S1254" s="7">
        <v>1099.96</v>
      </c>
      <c r="T1254" s="1">
        <v>5</v>
      </c>
      <c r="U1254" s="9">
        <v>1099.1300000000001</v>
      </c>
      <c r="V1254" s="9">
        <v>5499.8</v>
      </c>
      <c r="W1254" s="9">
        <v>5495.6500000000005</v>
      </c>
      <c r="X1254" s="12">
        <v>4.1499999999996362</v>
      </c>
      <c r="Y1254" s="10">
        <v>2016</v>
      </c>
    </row>
    <row r="1255" spans="1:25">
      <c r="A1255" s="1" t="s">
        <v>2894</v>
      </c>
      <c r="B1255" s="8">
        <v>43376</v>
      </c>
      <c r="C1255" s="11" t="s">
        <v>3387</v>
      </c>
      <c r="D1255" s="11" t="s">
        <v>3349</v>
      </c>
      <c r="E1255" s="5" t="s">
        <v>2895</v>
      </c>
      <c r="F1255" s="1" t="s">
        <v>49</v>
      </c>
      <c r="G1255" s="1" t="s">
        <v>2896</v>
      </c>
      <c r="H1255" s="1" t="s">
        <v>3941</v>
      </c>
      <c r="I1255" s="1" t="s">
        <v>3405</v>
      </c>
      <c r="J1255" s="1"/>
      <c r="K1255" s="1" t="s">
        <v>87</v>
      </c>
      <c r="L1255" s="1" t="s">
        <v>30</v>
      </c>
      <c r="M1255" s="1" t="s">
        <v>1840</v>
      </c>
      <c r="N1255" s="1" t="s">
        <v>127</v>
      </c>
      <c r="O1255" s="1">
        <v>19013</v>
      </c>
      <c r="P1255" s="1" t="s">
        <v>128</v>
      </c>
      <c r="Q1255" s="1" t="s">
        <v>2188</v>
      </c>
      <c r="R1255" s="1" t="s">
        <v>46</v>
      </c>
      <c r="S1255" s="7">
        <v>5.2480000000000002</v>
      </c>
      <c r="T1255" s="1">
        <v>1</v>
      </c>
      <c r="U1255" s="9">
        <v>4.5199999999999996</v>
      </c>
      <c r="V1255" s="9">
        <v>5.2480000000000002</v>
      </c>
      <c r="W1255" s="9">
        <v>4.5199999999999996</v>
      </c>
      <c r="X1255" s="12">
        <v>0.72800000000000065</v>
      </c>
      <c r="Y1255" s="10">
        <v>2018</v>
      </c>
    </row>
    <row r="1256" spans="1:25">
      <c r="A1256" s="1" t="s">
        <v>2894</v>
      </c>
      <c r="B1256" s="8">
        <v>43376</v>
      </c>
      <c r="C1256" s="11" t="s">
        <v>3387</v>
      </c>
      <c r="D1256" s="11" t="s">
        <v>3349</v>
      </c>
      <c r="E1256" s="5" t="s">
        <v>2895</v>
      </c>
      <c r="F1256" s="1" t="s">
        <v>49</v>
      </c>
      <c r="G1256" s="1" t="s">
        <v>2896</v>
      </c>
      <c r="H1256" s="1" t="s">
        <v>3941</v>
      </c>
      <c r="I1256" s="1" t="s">
        <v>3405</v>
      </c>
      <c r="J1256" s="1"/>
      <c r="K1256" s="1" t="s">
        <v>87</v>
      </c>
      <c r="L1256" s="1" t="s">
        <v>30</v>
      </c>
      <c r="M1256" s="1" t="s">
        <v>1840</v>
      </c>
      <c r="N1256" s="1" t="s">
        <v>127</v>
      </c>
      <c r="O1256" s="1">
        <v>19013</v>
      </c>
      <c r="P1256" s="1" t="s">
        <v>128</v>
      </c>
      <c r="Q1256" s="1" t="s">
        <v>1333</v>
      </c>
      <c r="R1256" s="1" t="s">
        <v>64</v>
      </c>
      <c r="S1256" s="7">
        <v>35.909999999999997</v>
      </c>
      <c r="T1256" s="1">
        <v>1</v>
      </c>
      <c r="U1256" s="9">
        <v>35.479999999999997</v>
      </c>
      <c r="V1256" s="9">
        <v>35.909999999999997</v>
      </c>
      <c r="W1256" s="9">
        <v>35.479999999999997</v>
      </c>
      <c r="X1256" s="12">
        <v>0.42999999999999972</v>
      </c>
      <c r="Y1256" s="10">
        <v>2018</v>
      </c>
    </row>
    <row r="1257" spans="1:25">
      <c r="A1257" s="1" t="s">
        <v>2894</v>
      </c>
      <c r="B1257" s="8">
        <v>43376</v>
      </c>
      <c r="C1257" s="11" t="s">
        <v>3387</v>
      </c>
      <c r="D1257" s="11" t="s">
        <v>3349</v>
      </c>
      <c r="E1257" s="5" t="s">
        <v>2895</v>
      </c>
      <c r="F1257" s="1" t="s">
        <v>49</v>
      </c>
      <c r="G1257" s="1" t="s">
        <v>2896</v>
      </c>
      <c r="H1257" s="1" t="s">
        <v>3941</v>
      </c>
      <c r="I1257" s="1" t="s">
        <v>3405</v>
      </c>
      <c r="J1257" s="1"/>
      <c r="K1257" s="1" t="s">
        <v>87</v>
      </c>
      <c r="L1257" s="1" t="s">
        <v>30</v>
      </c>
      <c r="M1257" s="1" t="s">
        <v>1840</v>
      </c>
      <c r="N1257" s="1" t="s">
        <v>127</v>
      </c>
      <c r="O1257" s="1">
        <v>19013</v>
      </c>
      <c r="P1257" s="1" t="s">
        <v>128</v>
      </c>
      <c r="Q1257" s="1" t="s">
        <v>2898</v>
      </c>
      <c r="R1257" s="1" t="s">
        <v>35</v>
      </c>
      <c r="S1257" s="7">
        <v>6.6959999999999997</v>
      </c>
      <c r="T1257" s="1">
        <v>1</v>
      </c>
      <c r="U1257" s="9">
        <v>5.86</v>
      </c>
      <c r="V1257" s="9">
        <v>6.6959999999999997</v>
      </c>
      <c r="W1257" s="9">
        <v>5.86</v>
      </c>
      <c r="X1257" s="12">
        <v>0.83599999999999941</v>
      </c>
      <c r="Y1257" s="10">
        <v>2018</v>
      </c>
    </row>
    <row r="1258" spans="1:25">
      <c r="A1258" s="1" t="s">
        <v>2894</v>
      </c>
      <c r="B1258" s="8">
        <v>43376</v>
      </c>
      <c r="C1258" s="11" t="s">
        <v>3387</v>
      </c>
      <c r="D1258" s="11" t="s">
        <v>3349</v>
      </c>
      <c r="E1258" s="5" t="s">
        <v>2895</v>
      </c>
      <c r="F1258" s="1" t="s">
        <v>49</v>
      </c>
      <c r="G1258" s="1" t="s">
        <v>2896</v>
      </c>
      <c r="H1258" s="1" t="s">
        <v>3941</v>
      </c>
      <c r="I1258" s="1" t="s">
        <v>3405</v>
      </c>
      <c r="J1258" s="1"/>
      <c r="K1258" s="1" t="s">
        <v>87</v>
      </c>
      <c r="L1258" s="1" t="s">
        <v>30</v>
      </c>
      <c r="M1258" s="1" t="s">
        <v>1840</v>
      </c>
      <c r="N1258" s="1" t="s">
        <v>127</v>
      </c>
      <c r="O1258" s="1">
        <v>19013</v>
      </c>
      <c r="P1258" s="1" t="s">
        <v>128</v>
      </c>
      <c r="Q1258" s="1" t="s">
        <v>2899</v>
      </c>
      <c r="R1258" s="1" t="s">
        <v>35</v>
      </c>
      <c r="S1258" s="7">
        <v>43.872</v>
      </c>
      <c r="T1258" s="1">
        <v>1</v>
      </c>
      <c r="U1258" s="9">
        <v>43.2</v>
      </c>
      <c r="V1258" s="9">
        <v>43.872</v>
      </c>
      <c r="W1258" s="9">
        <v>43.2</v>
      </c>
      <c r="X1258" s="12">
        <v>0.67199999999999704</v>
      </c>
      <c r="Y1258" s="10">
        <v>2018</v>
      </c>
    </row>
    <row r="1259" spans="1:25">
      <c r="A1259" s="1" t="s">
        <v>2900</v>
      </c>
      <c r="B1259" s="8">
        <v>43093</v>
      </c>
      <c r="C1259" s="11" t="s">
        <v>3348</v>
      </c>
      <c r="D1259" s="11" t="s">
        <v>3349</v>
      </c>
      <c r="E1259" s="5" t="s">
        <v>2901</v>
      </c>
      <c r="F1259" s="1" t="s">
        <v>26</v>
      </c>
      <c r="G1259" s="1" t="s">
        <v>1230</v>
      </c>
      <c r="H1259" s="1" t="s">
        <v>3646</v>
      </c>
      <c r="I1259" s="1" t="s">
        <v>3647</v>
      </c>
      <c r="J1259" s="1"/>
      <c r="K1259" s="1" t="s">
        <v>87</v>
      </c>
      <c r="L1259" s="1" t="s">
        <v>30</v>
      </c>
      <c r="M1259" s="1" t="s">
        <v>394</v>
      </c>
      <c r="N1259" s="1" t="s">
        <v>75</v>
      </c>
      <c r="O1259" s="1">
        <v>28205</v>
      </c>
      <c r="P1259" s="1" t="s">
        <v>33</v>
      </c>
      <c r="Q1259" s="1" t="s">
        <v>1844</v>
      </c>
      <c r="R1259" s="1" t="s">
        <v>46</v>
      </c>
      <c r="S1259" s="7">
        <v>27.882000000000001</v>
      </c>
      <c r="T1259" s="1">
        <v>2</v>
      </c>
      <c r="U1259" s="9">
        <v>27.08</v>
      </c>
      <c r="V1259" s="9">
        <v>55.764000000000003</v>
      </c>
      <c r="W1259" s="9">
        <v>54.16</v>
      </c>
      <c r="X1259" s="12">
        <v>1.6040000000000063</v>
      </c>
      <c r="Y1259" s="10">
        <v>2017</v>
      </c>
    </row>
    <row r="1260" spans="1:25">
      <c r="A1260" s="1" t="s">
        <v>2900</v>
      </c>
      <c r="B1260" s="8">
        <v>43093</v>
      </c>
      <c r="C1260" s="11" t="s">
        <v>3348</v>
      </c>
      <c r="D1260" s="11" t="s">
        <v>3349</v>
      </c>
      <c r="E1260" s="5" t="s">
        <v>2901</v>
      </c>
      <c r="F1260" s="1" t="s">
        <v>26</v>
      </c>
      <c r="G1260" s="1" t="s">
        <v>1230</v>
      </c>
      <c r="H1260" s="1" t="s">
        <v>3646</v>
      </c>
      <c r="I1260" s="1" t="s">
        <v>3647</v>
      </c>
      <c r="J1260" s="1"/>
      <c r="K1260" s="1" t="s">
        <v>87</v>
      </c>
      <c r="L1260" s="1" t="s">
        <v>30</v>
      </c>
      <c r="M1260" s="1" t="s">
        <v>394</v>
      </c>
      <c r="N1260" s="1" t="s">
        <v>75</v>
      </c>
      <c r="O1260" s="1">
        <v>28205</v>
      </c>
      <c r="P1260" s="1" t="s">
        <v>33</v>
      </c>
      <c r="Q1260" s="1" t="s">
        <v>2902</v>
      </c>
      <c r="R1260" s="1" t="s">
        <v>46</v>
      </c>
      <c r="S1260" s="7">
        <v>540.048</v>
      </c>
      <c r="T1260" s="1">
        <v>2</v>
      </c>
      <c r="U1260" s="9">
        <v>539.46</v>
      </c>
      <c r="V1260" s="9">
        <v>1080.096</v>
      </c>
      <c r="W1260" s="9">
        <v>1078.92</v>
      </c>
      <c r="X1260" s="12">
        <v>1.1759999999999309</v>
      </c>
      <c r="Y1260" s="10">
        <v>2017</v>
      </c>
    </row>
    <row r="1261" spans="1:25">
      <c r="A1261" s="1" t="s">
        <v>2900</v>
      </c>
      <c r="B1261" s="8">
        <v>43093</v>
      </c>
      <c r="C1261" s="11" t="s">
        <v>3348</v>
      </c>
      <c r="D1261" s="11" t="s">
        <v>3349</v>
      </c>
      <c r="E1261" s="5" t="s">
        <v>2901</v>
      </c>
      <c r="F1261" s="1" t="s">
        <v>26</v>
      </c>
      <c r="G1261" s="1" t="s">
        <v>1230</v>
      </c>
      <c r="H1261" s="1" t="s">
        <v>3646</v>
      </c>
      <c r="I1261" s="1" t="s">
        <v>3647</v>
      </c>
      <c r="J1261" s="1"/>
      <c r="K1261" s="1" t="s">
        <v>87</v>
      </c>
      <c r="L1261" s="1" t="s">
        <v>30</v>
      </c>
      <c r="M1261" s="1" t="s">
        <v>394</v>
      </c>
      <c r="N1261" s="1" t="s">
        <v>75</v>
      </c>
      <c r="O1261" s="1">
        <v>28205</v>
      </c>
      <c r="P1261" s="1" t="s">
        <v>33</v>
      </c>
      <c r="Q1261" s="1" t="s">
        <v>815</v>
      </c>
      <c r="R1261" s="1" t="s">
        <v>64</v>
      </c>
      <c r="S1261" s="7">
        <v>255.68</v>
      </c>
      <c r="T1261" s="1">
        <v>2</v>
      </c>
      <c r="U1261" s="9">
        <v>255.03</v>
      </c>
      <c r="V1261" s="9">
        <v>511.36</v>
      </c>
      <c r="W1261" s="9">
        <v>510.06</v>
      </c>
      <c r="X1261" s="12">
        <v>1.3000000000000114</v>
      </c>
      <c r="Y1261" s="10">
        <v>2017</v>
      </c>
    </row>
    <row r="1262" spans="1:25">
      <c r="A1262" s="1" t="s">
        <v>2903</v>
      </c>
      <c r="B1262" s="8">
        <v>43396</v>
      </c>
      <c r="C1262" s="11" t="s">
        <v>3387</v>
      </c>
      <c r="D1262" s="11" t="s">
        <v>3349</v>
      </c>
      <c r="E1262" s="5" t="s">
        <v>2904</v>
      </c>
      <c r="F1262" s="1" t="s">
        <v>49</v>
      </c>
      <c r="G1262" s="1" t="s">
        <v>2905</v>
      </c>
      <c r="H1262" s="1" t="s">
        <v>3942</v>
      </c>
      <c r="I1262" s="1" t="s">
        <v>3943</v>
      </c>
      <c r="J1262" s="1"/>
      <c r="K1262" s="1" t="s">
        <v>29</v>
      </c>
      <c r="L1262" s="1" t="s">
        <v>30</v>
      </c>
      <c r="M1262" s="1" t="s">
        <v>1241</v>
      </c>
      <c r="N1262" s="1" t="s">
        <v>194</v>
      </c>
      <c r="O1262" s="1">
        <v>32216</v>
      </c>
      <c r="P1262" s="1" t="s">
        <v>33</v>
      </c>
      <c r="Q1262" s="1" t="s">
        <v>2907</v>
      </c>
      <c r="R1262" s="1" t="s">
        <v>64</v>
      </c>
      <c r="S1262" s="7">
        <v>863.88</v>
      </c>
      <c r="T1262" s="1">
        <v>3</v>
      </c>
      <c r="U1262" s="9">
        <v>863.17</v>
      </c>
      <c r="V1262" s="9">
        <v>2591.64</v>
      </c>
      <c r="W1262" s="9">
        <v>2589.5099999999998</v>
      </c>
      <c r="X1262" s="12">
        <v>2.1300000000001091</v>
      </c>
      <c r="Y1262" s="10">
        <v>2018</v>
      </c>
    </row>
    <row r="1263" spans="1:25">
      <c r="A1263" s="1" t="s">
        <v>2908</v>
      </c>
      <c r="B1263" s="8">
        <v>43036</v>
      </c>
      <c r="C1263" s="11" t="s">
        <v>3387</v>
      </c>
      <c r="D1263" s="11" t="s">
        <v>3349</v>
      </c>
      <c r="E1263" s="5">
        <v>42836</v>
      </c>
      <c r="F1263" s="1" t="s">
        <v>49</v>
      </c>
      <c r="G1263" s="1" t="s">
        <v>2909</v>
      </c>
      <c r="H1263" s="1" t="s">
        <v>3944</v>
      </c>
      <c r="I1263" s="1" t="s">
        <v>3945</v>
      </c>
      <c r="J1263" s="1"/>
      <c r="K1263" s="1" t="s">
        <v>41</v>
      </c>
      <c r="L1263" s="1" t="s">
        <v>30</v>
      </c>
      <c r="M1263" s="1" t="s">
        <v>2911</v>
      </c>
      <c r="N1263" s="1" t="s">
        <v>75</v>
      </c>
      <c r="O1263" s="1">
        <v>27834</v>
      </c>
      <c r="P1263" s="1" t="s">
        <v>33</v>
      </c>
      <c r="Q1263" s="1" t="s">
        <v>2912</v>
      </c>
      <c r="R1263" s="1" t="s">
        <v>46</v>
      </c>
      <c r="S1263" s="7">
        <v>17.616</v>
      </c>
      <c r="T1263" s="1">
        <v>2</v>
      </c>
      <c r="U1263" s="9">
        <v>16.71</v>
      </c>
      <c r="V1263" s="9">
        <v>35.231999999999999</v>
      </c>
      <c r="W1263" s="9">
        <v>33.42</v>
      </c>
      <c r="X1263" s="12">
        <v>1.8119999999999976</v>
      </c>
      <c r="Y1263" s="10">
        <v>2017</v>
      </c>
    </row>
    <row r="1264" spans="1:25">
      <c r="A1264" s="1" t="s">
        <v>2913</v>
      </c>
      <c r="B1264" s="8">
        <v>43288</v>
      </c>
      <c r="C1264" s="11" t="s">
        <v>3376</v>
      </c>
      <c r="D1264" s="11" t="s">
        <v>3345</v>
      </c>
      <c r="E1264" s="5">
        <v>43350</v>
      </c>
      <c r="F1264" s="1" t="s">
        <v>26</v>
      </c>
      <c r="G1264" s="1" t="s">
        <v>2696</v>
      </c>
      <c r="H1264" s="1" t="s">
        <v>3562</v>
      </c>
      <c r="I1264" s="1" t="s">
        <v>3660</v>
      </c>
      <c r="J1264" s="1"/>
      <c r="K1264" s="1" t="s">
        <v>29</v>
      </c>
      <c r="L1264" s="1" t="s">
        <v>30</v>
      </c>
      <c r="M1264" s="1" t="s">
        <v>955</v>
      </c>
      <c r="N1264" s="1" t="s">
        <v>234</v>
      </c>
      <c r="O1264" s="1">
        <v>11561</v>
      </c>
      <c r="P1264" s="1" t="s">
        <v>128</v>
      </c>
      <c r="Q1264" s="1" t="s">
        <v>139</v>
      </c>
      <c r="R1264" s="1" t="s">
        <v>46</v>
      </c>
      <c r="S1264" s="7">
        <v>17.472000000000001</v>
      </c>
      <c r="T1264" s="1">
        <v>1</v>
      </c>
      <c r="U1264" s="9">
        <v>17.28</v>
      </c>
      <c r="V1264" s="9">
        <v>17.472000000000001</v>
      </c>
      <c r="W1264" s="9">
        <v>17.28</v>
      </c>
      <c r="X1264" s="12">
        <v>0.19200000000000017</v>
      </c>
      <c r="Y1264" s="10">
        <v>2018</v>
      </c>
    </row>
    <row r="1265" spans="1:25">
      <c r="A1265" s="1" t="s">
        <v>2914</v>
      </c>
      <c r="B1265" s="8">
        <v>42745</v>
      </c>
      <c r="C1265" s="11" t="s">
        <v>3381</v>
      </c>
      <c r="D1265" s="11" t="s">
        <v>3382</v>
      </c>
      <c r="E1265" s="5">
        <v>42776</v>
      </c>
      <c r="F1265" s="1" t="s">
        <v>162</v>
      </c>
      <c r="G1265" s="1" t="s">
        <v>2915</v>
      </c>
      <c r="H1265" s="1" t="s">
        <v>3807</v>
      </c>
      <c r="I1265" s="1" t="s">
        <v>3946</v>
      </c>
      <c r="J1265" s="1"/>
      <c r="K1265" s="1" t="s">
        <v>29</v>
      </c>
      <c r="L1265" s="1" t="s">
        <v>30</v>
      </c>
      <c r="M1265" s="1" t="s">
        <v>2722</v>
      </c>
      <c r="N1265" s="1" t="s">
        <v>224</v>
      </c>
      <c r="O1265" s="1">
        <v>46350</v>
      </c>
      <c r="P1265" s="1" t="s">
        <v>90</v>
      </c>
      <c r="Q1265" s="1" t="s">
        <v>511</v>
      </c>
      <c r="R1265" s="1" t="s">
        <v>64</v>
      </c>
      <c r="S1265" s="7">
        <v>69.900000000000006</v>
      </c>
      <c r="T1265" s="1">
        <v>4</v>
      </c>
      <c r="U1265" s="9">
        <v>69.37</v>
      </c>
      <c r="V1265" s="9">
        <v>279.60000000000002</v>
      </c>
      <c r="W1265" s="9">
        <v>277.48</v>
      </c>
      <c r="X1265" s="12">
        <v>2.1200000000000045</v>
      </c>
      <c r="Y1265" s="10">
        <v>2017</v>
      </c>
    </row>
    <row r="1266" spans="1:25">
      <c r="A1266" s="1" t="s">
        <v>2914</v>
      </c>
      <c r="B1266" s="8">
        <v>42745</v>
      </c>
      <c r="C1266" s="11" t="s">
        <v>3381</v>
      </c>
      <c r="D1266" s="11" t="s">
        <v>3382</v>
      </c>
      <c r="E1266" s="5">
        <v>42776</v>
      </c>
      <c r="F1266" s="1" t="s">
        <v>162</v>
      </c>
      <c r="G1266" s="1" t="s">
        <v>2915</v>
      </c>
      <c r="H1266" s="1" t="s">
        <v>3807</v>
      </c>
      <c r="I1266" s="1" t="s">
        <v>3946</v>
      </c>
      <c r="J1266" s="1"/>
      <c r="K1266" s="1" t="s">
        <v>29</v>
      </c>
      <c r="L1266" s="1" t="s">
        <v>30</v>
      </c>
      <c r="M1266" s="1" t="s">
        <v>2722</v>
      </c>
      <c r="N1266" s="1" t="s">
        <v>224</v>
      </c>
      <c r="O1266" s="1">
        <v>46350</v>
      </c>
      <c r="P1266" s="1" t="s">
        <v>90</v>
      </c>
      <c r="Q1266" s="1" t="s">
        <v>2898</v>
      </c>
      <c r="R1266" s="1" t="s">
        <v>35</v>
      </c>
      <c r="S1266" s="7">
        <v>41.85</v>
      </c>
      <c r="T1266" s="1">
        <v>4</v>
      </c>
      <c r="U1266" s="9">
        <v>41.21</v>
      </c>
      <c r="V1266" s="9">
        <v>167.4</v>
      </c>
      <c r="W1266" s="9">
        <v>164.84</v>
      </c>
      <c r="X1266" s="12">
        <v>2.5600000000000023</v>
      </c>
      <c r="Y1266" s="10">
        <v>2017</v>
      </c>
    </row>
    <row r="1267" spans="1:25">
      <c r="A1267" s="1" t="s">
        <v>2917</v>
      </c>
      <c r="B1267" s="8">
        <v>43140</v>
      </c>
      <c r="C1267" s="11" t="s">
        <v>3461</v>
      </c>
      <c r="D1267" s="11" t="s">
        <v>3382</v>
      </c>
      <c r="E1267" s="5">
        <v>43290</v>
      </c>
      <c r="F1267" s="1" t="s">
        <v>49</v>
      </c>
      <c r="G1267" s="1" t="s">
        <v>2918</v>
      </c>
      <c r="H1267" s="1" t="s">
        <v>3947</v>
      </c>
      <c r="I1267" s="1" t="s">
        <v>3948</v>
      </c>
      <c r="J1267" s="1"/>
      <c r="K1267" s="1" t="s">
        <v>29</v>
      </c>
      <c r="L1267" s="1" t="s">
        <v>30</v>
      </c>
      <c r="M1267" s="1" t="s">
        <v>110</v>
      </c>
      <c r="N1267" s="1" t="s">
        <v>68</v>
      </c>
      <c r="O1267" s="1">
        <v>94122</v>
      </c>
      <c r="P1267" s="1" t="s">
        <v>44</v>
      </c>
      <c r="Q1267" s="1" t="s">
        <v>2920</v>
      </c>
      <c r="R1267" s="1" t="s">
        <v>46</v>
      </c>
      <c r="S1267" s="7">
        <v>6.57</v>
      </c>
      <c r="T1267" s="1">
        <v>9</v>
      </c>
      <c r="U1267" s="9">
        <v>6.47</v>
      </c>
      <c r="V1267" s="9">
        <v>59.13</v>
      </c>
      <c r="W1267" s="9">
        <v>58.23</v>
      </c>
      <c r="X1267" s="12">
        <v>0.90000000000000568</v>
      </c>
      <c r="Y1267" s="10">
        <v>2018</v>
      </c>
    </row>
    <row r="1268" spans="1:25">
      <c r="A1268" s="1" t="s">
        <v>2921</v>
      </c>
      <c r="B1268" s="8">
        <v>42362</v>
      </c>
      <c r="C1268" s="11" t="s">
        <v>3348</v>
      </c>
      <c r="D1268" s="11" t="s">
        <v>3349</v>
      </c>
      <c r="E1268" s="5" t="s">
        <v>2922</v>
      </c>
      <c r="F1268" s="1" t="s">
        <v>49</v>
      </c>
      <c r="G1268" s="1" t="s">
        <v>314</v>
      </c>
      <c r="H1268" s="1" t="s">
        <v>3430</v>
      </c>
      <c r="I1268" s="1" t="s">
        <v>3431</v>
      </c>
      <c r="J1268" s="1"/>
      <c r="K1268" s="1" t="s">
        <v>41</v>
      </c>
      <c r="L1268" s="1" t="s">
        <v>30</v>
      </c>
      <c r="M1268" s="1" t="s">
        <v>42</v>
      </c>
      <c r="N1268" s="1" t="s">
        <v>68</v>
      </c>
      <c r="O1268" s="1">
        <v>90045</v>
      </c>
      <c r="P1268" s="1" t="s">
        <v>44</v>
      </c>
      <c r="Q1268" s="1" t="s">
        <v>1236</v>
      </c>
      <c r="R1268" s="1" t="s">
        <v>46</v>
      </c>
      <c r="S1268" s="7">
        <v>142.86000000000001</v>
      </c>
      <c r="T1268" s="1">
        <v>9</v>
      </c>
      <c r="U1268" s="9">
        <v>142.19</v>
      </c>
      <c r="V1268" s="9">
        <v>1285.7400000000002</v>
      </c>
      <c r="W1268" s="9">
        <v>1279.71</v>
      </c>
      <c r="X1268" s="12">
        <v>6.0300000000002001</v>
      </c>
      <c r="Y1268" s="10">
        <v>2015</v>
      </c>
    </row>
    <row r="1269" spans="1:25">
      <c r="A1269" s="1" t="s">
        <v>2921</v>
      </c>
      <c r="B1269" s="8">
        <v>42362</v>
      </c>
      <c r="C1269" s="11" t="s">
        <v>3348</v>
      </c>
      <c r="D1269" s="11" t="s">
        <v>3349</v>
      </c>
      <c r="E1269" s="5" t="s">
        <v>2922</v>
      </c>
      <c r="F1269" s="1" t="s">
        <v>49</v>
      </c>
      <c r="G1269" s="1" t="s">
        <v>314</v>
      </c>
      <c r="H1269" s="1" t="s">
        <v>3430</v>
      </c>
      <c r="I1269" s="1" t="s">
        <v>3431</v>
      </c>
      <c r="J1269" s="1"/>
      <c r="K1269" s="1" t="s">
        <v>41</v>
      </c>
      <c r="L1269" s="1" t="s">
        <v>30</v>
      </c>
      <c r="M1269" s="1" t="s">
        <v>42</v>
      </c>
      <c r="N1269" s="1" t="s">
        <v>68</v>
      </c>
      <c r="O1269" s="1">
        <v>90045</v>
      </c>
      <c r="P1269" s="1" t="s">
        <v>44</v>
      </c>
      <c r="Q1269" s="1" t="s">
        <v>260</v>
      </c>
      <c r="R1269" s="1" t="s">
        <v>35</v>
      </c>
      <c r="S1269" s="7">
        <v>292.27199999999999</v>
      </c>
      <c r="T1269" s="1">
        <v>9</v>
      </c>
      <c r="U1269" s="9">
        <v>291.82</v>
      </c>
      <c r="V1269" s="9">
        <v>2630.4479999999999</v>
      </c>
      <c r="W1269" s="9">
        <v>2626.38</v>
      </c>
      <c r="X1269" s="12">
        <v>4.0679999999997563</v>
      </c>
      <c r="Y1269" s="10">
        <v>2015</v>
      </c>
    </row>
    <row r="1270" spans="1:25">
      <c r="A1270" s="1" t="s">
        <v>2923</v>
      </c>
      <c r="B1270" s="8">
        <v>43366</v>
      </c>
      <c r="C1270" s="11" t="s">
        <v>3356</v>
      </c>
      <c r="D1270" s="11" t="s">
        <v>3345</v>
      </c>
      <c r="E1270" s="5" t="s">
        <v>2924</v>
      </c>
      <c r="F1270" s="1" t="s">
        <v>49</v>
      </c>
      <c r="G1270" s="1" t="s">
        <v>2856</v>
      </c>
      <c r="H1270" s="1" t="s">
        <v>3938</v>
      </c>
      <c r="I1270" s="1" t="s">
        <v>3939</v>
      </c>
      <c r="J1270" s="1"/>
      <c r="K1270" s="1" t="s">
        <v>41</v>
      </c>
      <c r="L1270" s="1" t="s">
        <v>30</v>
      </c>
      <c r="M1270" s="1" t="s">
        <v>1199</v>
      </c>
      <c r="N1270" s="1" t="s">
        <v>386</v>
      </c>
      <c r="O1270" s="1">
        <v>80027</v>
      </c>
      <c r="P1270" s="1" t="s">
        <v>44</v>
      </c>
      <c r="Q1270" s="1" t="s">
        <v>1258</v>
      </c>
      <c r="R1270" s="1" t="s">
        <v>35</v>
      </c>
      <c r="S1270" s="7">
        <v>29.327999999999999</v>
      </c>
      <c r="T1270" s="1">
        <v>8</v>
      </c>
      <c r="U1270" s="9">
        <v>28.51</v>
      </c>
      <c r="V1270" s="9">
        <v>234.624</v>
      </c>
      <c r="W1270" s="9">
        <v>228.08</v>
      </c>
      <c r="X1270" s="12">
        <v>6.5439999999999827</v>
      </c>
      <c r="Y1270" s="10">
        <v>2018</v>
      </c>
    </row>
    <row r="1271" spans="1:25">
      <c r="A1271" s="1" t="s">
        <v>2925</v>
      </c>
      <c r="B1271" s="8">
        <v>43196</v>
      </c>
      <c r="C1271" s="11" t="s">
        <v>3359</v>
      </c>
      <c r="D1271" s="11" t="s">
        <v>3360</v>
      </c>
      <c r="E1271" s="5">
        <v>43318</v>
      </c>
      <c r="F1271" s="1" t="s">
        <v>49</v>
      </c>
      <c r="G1271" s="1" t="s">
        <v>2926</v>
      </c>
      <c r="H1271" s="1" t="s">
        <v>3551</v>
      </c>
      <c r="I1271" s="1" t="s">
        <v>3949</v>
      </c>
      <c r="J1271" s="1"/>
      <c r="K1271" s="1" t="s">
        <v>29</v>
      </c>
      <c r="L1271" s="1" t="s">
        <v>30</v>
      </c>
      <c r="M1271" s="1" t="s">
        <v>2117</v>
      </c>
      <c r="N1271" s="1" t="s">
        <v>304</v>
      </c>
      <c r="O1271" s="1">
        <v>35630</v>
      </c>
      <c r="P1271" s="1" t="s">
        <v>33</v>
      </c>
      <c r="Q1271" s="1" t="s">
        <v>2928</v>
      </c>
      <c r="R1271" s="1" t="s">
        <v>46</v>
      </c>
      <c r="S1271" s="7">
        <v>12.48</v>
      </c>
      <c r="T1271" s="1">
        <v>3</v>
      </c>
      <c r="U1271" s="9">
        <v>11.51</v>
      </c>
      <c r="V1271" s="9">
        <v>37.44</v>
      </c>
      <c r="W1271" s="9">
        <v>34.53</v>
      </c>
      <c r="X1271" s="12">
        <v>2.9099999999999966</v>
      </c>
      <c r="Y1271" s="10">
        <v>2018</v>
      </c>
    </row>
    <row r="1272" spans="1:25">
      <c r="A1272" s="1" t="s">
        <v>2929</v>
      </c>
      <c r="B1272" s="8">
        <v>42846</v>
      </c>
      <c r="C1272" s="11" t="s">
        <v>3359</v>
      </c>
      <c r="D1272" s="11" t="s">
        <v>3360</v>
      </c>
      <c r="E1272" s="5" t="s">
        <v>2531</v>
      </c>
      <c r="F1272" s="1" t="s">
        <v>49</v>
      </c>
      <c r="G1272" s="1" t="s">
        <v>1773</v>
      </c>
      <c r="H1272" s="1" t="s">
        <v>3761</v>
      </c>
      <c r="I1272" s="1" t="s">
        <v>3762</v>
      </c>
      <c r="J1272" s="1"/>
      <c r="K1272" s="1" t="s">
        <v>41</v>
      </c>
      <c r="L1272" s="1" t="s">
        <v>30</v>
      </c>
      <c r="M1272" s="1" t="s">
        <v>259</v>
      </c>
      <c r="N1272" s="1" t="s">
        <v>182</v>
      </c>
      <c r="O1272" s="1">
        <v>60623</v>
      </c>
      <c r="P1272" s="1" t="s">
        <v>90</v>
      </c>
      <c r="Q1272" s="1" t="s">
        <v>2930</v>
      </c>
      <c r="R1272" s="1" t="s">
        <v>46</v>
      </c>
      <c r="S1272" s="7">
        <v>102.336</v>
      </c>
      <c r="T1272" s="1">
        <v>6</v>
      </c>
      <c r="U1272" s="9">
        <v>102.03</v>
      </c>
      <c r="V1272" s="9">
        <v>614.01599999999996</v>
      </c>
      <c r="W1272" s="9">
        <v>612.18000000000006</v>
      </c>
      <c r="X1272" s="12">
        <v>1.835999999999899</v>
      </c>
      <c r="Y1272" s="10">
        <v>2017</v>
      </c>
    </row>
    <row r="1273" spans="1:25">
      <c r="A1273" s="1" t="s">
        <v>2929</v>
      </c>
      <c r="B1273" s="8">
        <v>42846</v>
      </c>
      <c r="C1273" s="11" t="s">
        <v>3359</v>
      </c>
      <c r="D1273" s="11" t="s">
        <v>3360</v>
      </c>
      <c r="E1273" s="5" t="s">
        <v>2531</v>
      </c>
      <c r="F1273" s="1" t="s">
        <v>49</v>
      </c>
      <c r="G1273" s="1" t="s">
        <v>1773</v>
      </c>
      <c r="H1273" s="1" t="s">
        <v>3761</v>
      </c>
      <c r="I1273" s="1" t="s">
        <v>3762</v>
      </c>
      <c r="J1273" s="1"/>
      <c r="K1273" s="1" t="s">
        <v>41</v>
      </c>
      <c r="L1273" s="1" t="s">
        <v>30</v>
      </c>
      <c r="M1273" s="1" t="s">
        <v>259</v>
      </c>
      <c r="N1273" s="1" t="s">
        <v>182</v>
      </c>
      <c r="O1273" s="1">
        <v>60623</v>
      </c>
      <c r="P1273" s="1" t="s">
        <v>90</v>
      </c>
      <c r="Q1273" s="1" t="s">
        <v>2318</v>
      </c>
      <c r="R1273" s="1" t="s">
        <v>46</v>
      </c>
      <c r="S1273" s="7">
        <v>48.792000000000002</v>
      </c>
      <c r="T1273" s="1">
        <v>6</v>
      </c>
      <c r="U1273" s="9">
        <v>48.47</v>
      </c>
      <c r="V1273" s="9">
        <v>292.75200000000001</v>
      </c>
      <c r="W1273" s="9">
        <v>290.82</v>
      </c>
      <c r="X1273" s="12">
        <v>1.9320000000000164</v>
      </c>
      <c r="Y1273" s="10">
        <v>2017</v>
      </c>
    </row>
    <row r="1274" spans="1:25">
      <c r="A1274" s="1" t="s">
        <v>2929</v>
      </c>
      <c r="B1274" s="8">
        <v>42846</v>
      </c>
      <c r="C1274" s="11" t="s">
        <v>3359</v>
      </c>
      <c r="D1274" s="11" t="s">
        <v>3360</v>
      </c>
      <c r="E1274" s="5" t="s">
        <v>2531</v>
      </c>
      <c r="F1274" s="1" t="s">
        <v>49</v>
      </c>
      <c r="G1274" s="1" t="s">
        <v>1773</v>
      </c>
      <c r="H1274" s="1" t="s">
        <v>3761</v>
      </c>
      <c r="I1274" s="1" t="s">
        <v>3762</v>
      </c>
      <c r="J1274" s="1"/>
      <c r="K1274" s="1" t="s">
        <v>41</v>
      </c>
      <c r="L1274" s="1" t="s">
        <v>30</v>
      </c>
      <c r="M1274" s="1" t="s">
        <v>259</v>
      </c>
      <c r="N1274" s="1" t="s">
        <v>182</v>
      </c>
      <c r="O1274" s="1">
        <v>60623</v>
      </c>
      <c r="P1274" s="1" t="s">
        <v>90</v>
      </c>
      <c r="Q1274" s="1" t="s">
        <v>2931</v>
      </c>
      <c r="R1274" s="1" t="s">
        <v>46</v>
      </c>
      <c r="S1274" s="7">
        <v>44.847999999999999</v>
      </c>
      <c r="T1274" s="1">
        <v>6</v>
      </c>
      <c r="U1274" s="9">
        <v>44.72</v>
      </c>
      <c r="V1274" s="9">
        <v>269.08799999999997</v>
      </c>
      <c r="W1274" s="9">
        <v>268.32</v>
      </c>
      <c r="X1274" s="12">
        <v>0.76799999999997226</v>
      </c>
      <c r="Y1274" s="10">
        <v>2017</v>
      </c>
    </row>
    <row r="1275" spans="1:25">
      <c r="A1275" s="1" t="s">
        <v>2932</v>
      </c>
      <c r="B1275" s="8">
        <v>42881</v>
      </c>
      <c r="C1275" s="11" t="s">
        <v>3363</v>
      </c>
      <c r="D1275" s="11" t="s">
        <v>3360</v>
      </c>
      <c r="E1275" s="5" t="s">
        <v>2933</v>
      </c>
      <c r="F1275" s="1" t="s">
        <v>1050</v>
      </c>
      <c r="G1275" s="1" t="s">
        <v>2617</v>
      </c>
      <c r="H1275" s="1" t="s">
        <v>3914</v>
      </c>
      <c r="I1275" s="1" t="s">
        <v>3915</v>
      </c>
      <c r="J1275" s="1"/>
      <c r="K1275" s="1" t="s">
        <v>29</v>
      </c>
      <c r="L1275" s="1" t="s">
        <v>30</v>
      </c>
      <c r="M1275" s="1" t="s">
        <v>88</v>
      </c>
      <c r="N1275" s="1" t="s">
        <v>89</v>
      </c>
      <c r="O1275" s="1">
        <v>76106</v>
      </c>
      <c r="P1275" s="1" t="s">
        <v>90</v>
      </c>
      <c r="Q1275" s="1" t="s">
        <v>2409</v>
      </c>
      <c r="R1275" s="1" t="s">
        <v>46</v>
      </c>
      <c r="S1275" s="7">
        <v>10.368</v>
      </c>
      <c r="T1275" s="1">
        <v>7</v>
      </c>
      <c r="U1275" s="9">
        <v>9.44</v>
      </c>
      <c r="V1275" s="9">
        <v>72.576000000000008</v>
      </c>
      <c r="W1275" s="9">
        <v>66.08</v>
      </c>
      <c r="X1275" s="12">
        <v>6.4960000000000093</v>
      </c>
      <c r="Y1275" s="10">
        <v>2017</v>
      </c>
    </row>
    <row r="1276" spans="1:25">
      <c r="A1276" s="1" t="s">
        <v>2932</v>
      </c>
      <c r="B1276" s="8">
        <v>42881</v>
      </c>
      <c r="C1276" s="11" t="s">
        <v>3363</v>
      </c>
      <c r="D1276" s="11" t="s">
        <v>3360</v>
      </c>
      <c r="E1276" s="5" t="s">
        <v>2933</v>
      </c>
      <c r="F1276" s="1" t="s">
        <v>1050</v>
      </c>
      <c r="G1276" s="1" t="s">
        <v>2617</v>
      </c>
      <c r="H1276" s="1" t="s">
        <v>3914</v>
      </c>
      <c r="I1276" s="1" t="s">
        <v>3915</v>
      </c>
      <c r="J1276" s="1"/>
      <c r="K1276" s="1" t="s">
        <v>29</v>
      </c>
      <c r="L1276" s="1" t="s">
        <v>30</v>
      </c>
      <c r="M1276" s="1" t="s">
        <v>88</v>
      </c>
      <c r="N1276" s="1" t="s">
        <v>89</v>
      </c>
      <c r="O1276" s="1">
        <v>76106</v>
      </c>
      <c r="P1276" s="1" t="s">
        <v>90</v>
      </c>
      <c r="Q1276" s="1" t="s">
        <v>2934</v>
      </c>
      <c r="R1276" s="1" t="s">
        <v>35</v>
      </c>
      <c r="S1276" s="7">
        <v>388.43</v>
      </c>
      <c r="T1276" s="1">
        <v>7</v>
      </c>
      <c r="U1276" s="9">
        <v>388.36</v>
      </c>
      <c r="V1276" s="9">
        <v>2719.01</v>
      </c>
      <c r="W1276" s="9">
        <v>2718.52</v>
      </c>
      <c r="X1276" s="12">
        <v>0.49000000000023647</v>
      </c>
      <c r="Y1276" s="10">
        <v>2017</v>
      </c>
    </row>
    <row r="1277" spans="1:25">
      <c r="A1277" s="1" t="s">
        <v>2932</v>
      </c>
      <c r="B1277" s="8">
        <v>42881</v>
      </c>
      <c r="C1277" s="11" t="s">
        <v>3363</v>
      </c>
      <c r="D1277" s="11" t="s">
        <v>3360</v>
      </c>
      <c r="E1277" s="5" t="s">
        <v>2933</v>
      </c>
      <c r="F1277" s="1" t="s">
        <v>1050</v>
      </c>
      <c r="G1277" s="1" t="s">
        <v>2617</v>
      </c>
      <c r="H1277" s="1" t="s">
        <v>3914</v>
      </c>
      <c r="I1277" s="1" t="s">
        <v>3915</v>
      </c>
      <c r="J1277" s="1"/>
      <c r="K1277" s="1" t="s">
        <v>29</v>
      </c>
      <c r="L1277" s="1" t="s">
        <v>30</v>
      </c>
      <c r="M1277" s="1" t="s">
        <v>88</v>
      </c>
      <c r="N1277" s="1" t="s">
        <v>89</v>
      </c>
      <c r="O1277" s="1">
        <v>76106</v>
      </c>
      <c r="P1277" s="1" t="s">
        <v>90</v>
      </c>
      <c r="Q1277" s="1" t="s">
        <v>380</v>
      </c>
      <c r="R1277" s="1" t="s">
        <v>46</v>
      </c>
      <c r="S1277" s="7">
        <v>14.352</v>
      </c>
      <c r="T1277" s="1">
        <v>7</v>
      </c>
      <c r="U1277" s="9">
        <v>13.52</v>
      </c>
      <c r="V1277" s="9">
        <v>100.464</v>
      </c>
      <c r="W1277" s="9">
        <v>94.64</v>
      </c>
      <c r="X1277" s="12">
        <v>5.8239999999999981</v>
      </c>
      <c r="Y1277" s="10">
        <v>2017</v>
      </c>
    </row>
    <row r="1278" spans="1:25">
      <c r="A1278" s="1" t="s">
        <v>2932</v>
      </c>
      <c r="B1278" s="8">
        <v>42881</v>
      </c>
      <c r="C1278" s="11" t="s">
        <v>3363</v>
      </c>
      <c r="D1278" s="11" t="s">
        <v>3360</v>
      </c>
      <c r="E1278" s="5" t="s">
        <v>2933</v>
      </c>
      <c r="F1278" s="1" t="s">
        <v>1050</v>
      </c>
      <c r="G1278" s="1" t="s">
        <v>2617</v>
      </c>
      <c r="H1278" s="1" t="s">
        <v>3914</v>
      </c>
      <c r="I1278" s="1" t="s">
        <v>3915</v>
      </c>
      <c r="J1278" s="1"/>
      <c r="K1278" s="1" t="s">
        <v>29</v>
      </c>
      <c r="L1278" s="1" t="s">
        <v>30</v>
      </c>
      <c r="M1278" s="1" t="s">
        <v>88</v>
      </c>
      <c r="N1278" s="1" t="s">
        <v>89</v>
      </c>
      <c r="O1278" s="1">
        <v>76106</v>
      </c>
      <c r="P1278" s="1" t="s">
        <v>90</v>
      </c>
      <c r="Q1278" s="1" t="s">
        <v>2935</v>
      </c>
      <c r="R1278" s="1" t="s">
        <v>64</v>
      </c>
      <c r="S1278" s="7">
        <v>63.991999999999997</v>
      </c>
      <c r="T1278" s="1">
        <v>7</v>
      </c>
      <c r="U1278" s="9">
        <v>63.77</v>
      </c>
      <c r="V1278" s="9">
        <v>447.94399999999996</v>
      </c>
      <c r="W1278" s="9">
        <v>446.39000000000004</v>
      </c>
      <c r="X1278" s="12">
        <v>1.5539999999999168</v>
      </c>
      <c r="Y1278" s="10">
        <v>2017</v>
      </c>
    </row>
    <row r="1279" spans="1:25">
      <c r="A1279" s="1" t="s">
        <v>2936</v>
      </c>
      <c r="B1279" s="8">
        <v>42771</v>
      </c>
      <c r="C1279" s="11" t="s">
        <v>3461</v>
      </c>
      <c r="D1279" s="11" t="s">
        <v>3382</v>
      </c>
      <c r="E1279" s="5">
        <v>42921</v>
      </c>
      <c r="F1279" s="1" t="s">
        <v>49</v>
      </c>
      <c r="G1279" s="1" t="s">
        <v>2937</v>
      </c>
      <c r="H1279" s="1" t="s">
        <v>3813</v>
      </c>
      <c r="I1279" s="1" t="s">
        <v>3950</v>
      </c>
      <c r="J1279" s="1"/>
      <c r="K1279" s="1" t="s">
        <v>29</v>
      </c>
      <c r="L1279" s="1" t="s">
        <v>30</v>
      </c>
      <c r="M1279" s="1" t="s">
        <v>172</v>
      </c>
      <c r="N1279" s="1" t="s">
        <v>89</v>
      </c>
      <c r="O1279" s="1">
        <v>77070</v>
      </c>
      <c r="P1279" s="1" t="s">
        <v>90</v>
      </c>
      <c r="Q1279" s="1" t="s">
        <v>2939</v>
      </c>
      <c r="R1279" s="1" t="s">
        <v>46</v>
      </c>
      <c r="S1279" s="7">
        <v>86.352000000000004</v>
      </c>
      <c r="T1279" s="1">
        <v>7</v>
      </c>
      <c r="U1279" s="9">
        <v>85.45</v>
      </c>
      <c r="V1279" s="9">
        <v>604.46400000000006</v>
      </c>
      <c r="W1279" s="9">
        <v>598.15</v>
      </c>
      <c r="X1279" s="12">
        <v>6.3140000000000782</v>
      </c>
      <c r="Y1279" s="10">
        <v>2017</v>
      </c>
    </row>
    <row r="1280" spans="1:25">
      <c r="A1280" s="1" t="s">
        <v>2940</v>
      </c>
      <c r="B1280" s="8">
        <v>42225</v>
      </c>
      <c r="C1280" s="11" t="s">
        <v>3344</v>
      </c>
      <c r="D1280" s="11" t="s">
        <v>3345</v>
      </c>
      <c r="E1280" s="5">
        <v>42317</v>
      </c>
      <c r="F1280" s="1" t="s">
        <v>162</v>
      </c>
      <c r="G1280" s="1" t="s">
        <v>2356</v>
      </c>
      <c r="H1280" s="1" t="s">
        <v>3418</v>
      </c>
      <c r="I1280" s="1" t="s">
        <v>3869</v>
      </c>
      <c r="J1280" s="1"/>
      <c r="K1280" s="1" t="s">
        <v>41</v>
      </c>
      <c r="L1280" s="1" t="s">
        <v>30</v>
      </c>
      <c r="M1280" s="1" t="s">
        <v>2941</v>
      </c>
      <c r="N1280" s="1" t="s">
        <v>1035</v>
      </c>
      <c r="O1280" s="1">
        <v>31204</v>
      </c>
      <c r="P1280" s="1" t="s">
        <v>33</v>
      </c>
      <c r="Q1280" s="1" t="s">
        <v>2942</v>
      </c>
      <c r="R1280" s="1" t="s">
        <v>64</v>
      </c>
      <c r="S1280" s="7">
        <v>32.97</v>
      </c>
      <c r="T1280" s="1">
        <v>3</v>
      </c>
      <c r="U1280" s="9">
        <v>32.51</v>
      </c>
      <c r="V1280" s="9">
        <v>98.91</v>
      </c>
      <c r="W1280" s="9">
        <v>97.53</v>
      </c>
      <c r="X1280" s="12">
        <v>1.3799999999999955</v>
      </c>
      <c r="Y1280" s="10">
        <v>2015</v>
      </c>
    </row>
    <row r="1281" spans="1:25">
      <c r="A1281" s="1" t="s">
        <v>2940</v>
      </c>
      <c r="B1281" s="8">
        <v>42225</v>
      </c>
      <c r="C1281" s="11" t="s">
        <v>3344</v>
      </c>
      <c r="D1281" s="11" t="s">
        <v>3345</v>
      </c>
      <c r="E1281" s="5">
        <v>42317</v>
      </c>
      <c r="F1281" s="1" t="s">
        <v>162</v>
      </c>
      <c r="G1281" s="1" t="s">
        <v>2356</v>
      </c>
      <c r="H1281" s="1" t="s">
        <v>3418</v>
      </c>
      <c r="I1281" s="1" t="s">
        <v>3869</v>
      </c>
      <c r="J1281" s="1"/>
      <c r="K1281" s="1" t="s">
        <v>41</v>
      </c>
      <c r="L1281" s="1" t="s">
        <v>30</v>
      </c>
      <c r="M1281" s="1" t="s">
        <v>2941</v>
      </c>
      <c r="N1281" s="1" t="s">
        <v>1035</v>
      </c>
      <c r="O1281" s="1">
        <v>31204</v>
      </c>
      <c r="P1281" s="1" t="s">
        <v>33</v>
      </c>
      <c r="Q1281" s="1" t="s">
        <v>2943</v>
      </c>
      <c r="R1281" s="1" t="s">
        <v>64</v>
      </c>
      <c r="S1281" s="7">
        <v>83.88</v>
      </c>
      <c r="T1281" s="1">
        <v>3</v>
      </c>
      <c r="U1281" s="9">
        <v>83.08</v>
      </c>
      <c r="V1281" s="9">
        <v>251.64</v>
      </c>
      <c r="W1281" s="9">
        <v>249.24</v>
      </c>
      <c r="X1281" s="12">
        <v>2.3999999999999773</v>
      </c>
      <c r="Y1281" s="10">
        <v>2015</v>
      </c>
    </row>
    <row r="1282" spans="1:25">
      <c r="A1282" s="1" t="s">
        <v>2944</v>
      </c>
      <c r="B1282" s="8">
        <v>42864</v>
      </c>
      <c r="C1282" s="11" t="s">
        <v>3363</v>
      </c>
      <c r="D1282" s="11" t="s">
        <v>3360</v>
      </c>
      <c r="E1282" s="5">
        <v>42895</v>
      </c>
      <c r="F1282" s="1" t="s">
        <v>162</v>
      </c>
      <c r="G1282" s="1" t="s">
        <v>2103</v>
      </c>
      <c r="H1282" s="1" t="s">
        <v>3826</v>
      </c>
      <c r="I1282" s="1" t="s">
        <v>3827</v>
      </c>
      <c r="J1282" s="1"/>
      <c r="K1282" s="1" t="s">
        <v>29</v>
      </c>
      <c r="L1282" s="1" t="s">
        <v>30</v>
      </c>
      <c r="M1282" s="1" t="s">
        <v>2945</v>
      </c>
      <c r="N1282" s="1" t="s">
        <v>413</v>
      </c>
      <c r="O1282" s="1">
        <v>52402</v>
      </c>
      <c r="P1282" s="1" t="s">
        <v>90</v>
      </c>
      <c r="Q1282" s="1" t="s">
        <v>2946</v>
      </c>
      <c r="R1282" s="1" t="s">
        <v>64</v>
      </c>
      <c r="S1282" s="7">
        <v>278.39999999999998</v>
      </c>
      <c r="T1282" s="1">
        <v>5</v>
      </c>
      <c r="U1282" s="9">
        <v>278.20999999999998</v>
      </c>
      <c r="V1282" s="9">
        <v>1392</v>
      </c>
      <c r="W1282" s="9">
        <v>1391.05</v>
      </c>
      <c r="X1282" s="12">
        <v>0.95000000000004547</v>
      </c>
      <c r="Y1282" s="10">
        <v>2017</v>
      </c>
    </row>
    <row r="1283" spans="1:25">
      <c r="A1283" s="1" t="s">
        <v>2947</v>
      </c>
      <c r="B1283" s="8">
        <v>43347</v>
      </c>
      <c r="C1283" s="11" t="s">
        <v>3356</v>
      </c>
      <c r="D1283" s="11" t="s">
        <v>3345</v>
      </c>
      <c r="E1283" s="5">
        <v>43408</v>
      </c>
      <c r="F1283" s="1" t="s">
        <v>162</v>
      </c>
      <c r="G1283" s="1" t="s">
        <v>1359</v>
      </c>
      <c r="H1283" s="1" t="s">
        <v>3669</v>
      </c>
      <c r="I1283" s="1" t="s">
        <v>3670</v>
      </c>
      <c r="J1283" s="1" t="s">
        <v>3671</v>
      </c>
      <c r="K1283" s="1" t="s">
        <v>29</v>
      </c>
      <c r="L1283" s="1" t="s">
        <v>30</v>
      </c>
      <c r="M1283" s="1" t="s">
        <v>1241</v>
      </c>
      <c r="N1283" s="1" t="s">
        <v>194</v>
      </c>
      <c r="O1283" s="1">
        <v>32216</v>
      </c>
      <c r="P1283" s="1" t="s">
        <v>33</v>
      </c>
      <c r="Q1283" s="1" t="s">
        <v>2948</v>
      </c>
      <c r="R1283" s="1" t="s">
        <v>46</v>
      </c>
      <c r="S1283" s="7">
        <v>15.12</v>
      </c>
      <c r="T1283" s="1">
        <v>3</v>
      </c>
      <c r="U1283" s="9">
        <v>14.77</v>
      </c>
      <c r="V1283" s="9">
        <v>45.36</v>
      </c>
      <c r="W1283" s="9">
        <v>44.31</v>
      </c>
      <c r="X1283" s="12">
        <v>1.0499999999999972</v>
      </c>
      <c r="Y1283" s="10">
        <v>2018</v>
      </c>
    </row>
    <row r="1284" spans="1:25">
      <c r="A1284" s="1" t="s">
        <v>2947</v>
      </c>
      <c r="B1284" s="8">
        <v>43347</v>
      </c>
      <c r="C1284" s="11" t="s">
        <v>3356</v>
      </c>
      <c r="D1284" s="11" t="s">
        <v>3345</v>
      </c>
      <c r="E1284" s="5">
        <v>43408</v>
      </c>
      <c r="F1284" s="1" t="s">
        <v>162</v>
      </c>
      <c r="G1284" s="1" t="s">
        <v>1359</v>
      </c>
      <c r="H1284" s="1" t="s">
        <v>3669</v>
      </c>
      <c r="I1284" s="1" t="s">
        <v>3670</v>
      </c>
      <c r="J1284" s="1" t="s">
        <v>3671</v>
      </c>
      <c r="K1284" s="1" t="s">
        <v>29</v>
      </c>
      <c r="L1284" s="1" t="s">
        <v>30</v>
      </c>
      <c r="M1284" s="1" t="s">
        <v>1241</v>
      </c>
      <c r="N1284" s="1" t="s">
        <v>194</v>
      </c>
      <c r="O1284" s="1">
        <v>32216</v>
      </c>
      <c r="P1284" s="1" t="s">
        <v>33</v>
      </c>
      <c r="Q1284" s="1" t="s">
        <v>2949</v>
      </c>
      <c r="R1284" s="1" t="s">
        <v>46</v>
      </c>
      <c r="S1284" s="7">
        <v>17.43</v>
      </c>
      <c r="T1284" s="1">
        <v>3</v>
      </c>
      <c r="U1284" s="9">
        <v>17.32</v>
      </c>
      <c r="V1284" s="9">
        <v>52.29</v>
      </c>
      <c r="W1284" s="9">
        <v>51.96</v>
      </c>
      <c r="X1284" s="12">
        <v>0.32999999999999829</v>
      </c>
      <c r="Y1284" s="10">
        <v>2018</v>
      </c>
    </row>
    <row r="1285" spans="1:25">
      <c r="A1285" s="1" t="s">
        <v>2947</v>
      </c>
      <c r="B1285" s="8">
        <v>43347</v>
      </c>
      <c r="C1285" s="11" t="s">
        <v>3356</v>
      </c>
      <c r="D1285" s="11" t="s">
        <v>3345</v>
      </c>
      <c r="E1285" s="5">
        <v>43408</v>
      </c>
      <c r="F1285" s="1" t="s">
        <v>162</v>
      </c>
      <c r="G1285" s="1" t="s">
        <v>1359</v>
      </c>
      <c r="H1285" s="1" t="s">
        <v>3669</v>
      </c>
      <c r="I1285" s="1" t="s">
        <v>3670</v>
      </c>
      <c r="J1285" s="1" t="s">
        <v>3671</v>
      </c>
      <c r="K1285" s="1" t="s">
        <v>29</v>
      </c>
      <c r="L1285" s="1" t="s">
        <v>30</v>
      </c>
      <c r="M1285" s="1" t="s">
        <v>1241</v>
      </c>
      <c r="N1285" s="1" t="s">
        <v>194</v>
      </c>
      <c r="O1285" s="1">
        <v>32216</v>
      </c>
      <c r="P1285" s="1" t="s">
        <v>33</v>
      </c>
      <c r="Q1285" s="1" t="s">
        <v>2950</v>
      </c>
      <c r="R1285" s="1" t="s">
        <v>46</v>
      </c>
      <c r="S1285" s="7">
        <v>251.64</v>
      </c>
      <c r="T1285" s="1">
        <v>3</v>
      </c>
      <c r="U1285" s="9">
        <v>251.01</v>
      </c>
      <c r="V1285" s="9">
        <v>754.92</v>
      </c>
      <c r="W1285" s="9">
        <v>753.03</v>
      </c>
      <c r="X1285" s="12">
        <v>1.8899999999999864</v>
      </c>
      <c r="Y1285" s="10">
        <v>2018</v>
      </c>
    </row>
    <row r="1286" spans="1:25">
      <c r="A1286" s="1" t="s">
        <v>2951</v>
      </c>
      <c r="B1286" s="8">
        <v>42533</v>
      </c>
      <c r="C1286" s="11" t="s">
        <v>3403</v>
      </c>
      <c r="D1286" s="11" t="s">
        <v>3360</v>
      </c>
      <c r="E1286" s="5">
        <v>42716</v>
      </c>
      <c r="F1286" s="1" t="s">
        <v>49</v>
      </c>
      <c r="G1286" s="1" t="s">
        <v>1039</v>
      </c>
      <c r="H1286" s="1" t="s">
        <v>3600</v>
      </c>
      <c r="I1286" s="1" t="s">
        <v>3601</v>
      </c>
      <c r="J1286" s="1"/>
      <c r="K1286" s="1" t="s">
        <v>29</v>
      </c>
      <c r="L1286" s="1" t="s">
        <v>30</v>
      </c>
      <c r="M1286" s="1" t="s">
        <v>1005</v>
      </c>
      <c r="N1286" s="1" t="s">
        <v>89</v>
      </c>
      <c r="O1286" s="1">
        <v>78745</v>
      </c>
      <c r="P1286" s="1" t="s">
        <v>90</v>
      </c>
      <c r="Q1286" s="1" t="s">
        <v>2952</v>
      </c>
      <c r="R1286" s="1" t="s">
        <v>46</v>
      </c>
      <c r="S1286" s="7">
        <v>2.7719999999999998</v>
      </c>
      <c r="T1286" s="1">
        <v>7</v>
      </c>
      <c r="U1286" s="9">
        <v>2.4300000000000002</v>
      </c>
      <c r="V1286" s="9">
        <v>19.404</v>
      </c>
      <c r="W1286" s="9">
        <v>17.010000000000002</v>
      </c>
      <c r="X1286" s="12">
        <v>2.3939999999999984</v>
      </c>
      <c r="Y1286" s="10">
        <v>2016</v>
      </c>
    </row>
    <row r="1287" spans="1:25">
      <c r="A1287" s="1" t="s">
        <v>2953</v>
      </c>
      <c r="B1287" s="8">
        <v>42912</v>
      </c>
      <c r="C1287" s="11" t="s">
        <v>3403</v>
      </c>
      <c r="D1287" s="11" t="s">
        <v>3360</v>
      </c>
      <c r="E1287" s="5">
        <v>42801</v>
      </c>
      <c r="F1287" s="1" t="s">
        <v>49</v>
      </c>
      <c r="G1287" s="1" t="s">
        <v>2954</v>
      </c>
      <c r="H1287" s="1" t="s">
        <v>3390</v>
      </c>
      <c r="I1287" s="1" t="s">
        <v>3951</v>
      </c>
      <c r="J1287" s="1"/>
      <c r="K1287" s="1" t="s">
        <v>29</v>
      </c>
      <c r="L1287" s="1" t="s">
        <v>30</v>
      </c>
      <c r="M1287" s="1" t="s">
        <v>2956</v>
      </c>
      <c r="N1287" s="1" t="s">
        <v>1141</v>
      </c>
      <c r="O1287" s="1">
        <v>2908</v>
      </c>
      <c r="P1287" s="1" t="s">
        <v>128</v>
      </c>
      <c r="Q1287" s="1" t="s">
        <v>1234</v>
      </c>
      <c r="R1287" s="1" t="s">
        <v>46</v>
      </c>
      <c r="S1287" s="7">
        <v>14.9</v>
      </c>
      <c r="T1287" s="1">
        <v>2</v>
      </c>
      <c r="U1287" s="9">
        <v>14.79</v>
      </c>
      <c r="V1287" s="9">
        <v>29.8</v>
      </c>
      <c r="W1287" s="9">
        <v>29.58</v>
      </c>
      <c r="X1287" s="12">
        <v>0.22000000000000242</v>
      </c>
      <c r="Y1287" s="10">
        <v>2017</v>
      </c>
    </row>
    <row r="1288" spans="1:25">
      <c r="A1288" s="1" t="s">
        <v>2957</v>
      </c>
      <c r="B1288" s="8">
        <v>42467</v>
      </c>
      <c r="C1288" s="11" t="s">
        <v>3359</v>
      </c>
      <c r="D1288" s="11" t="s">
        <v>3360</v>
      </c>
      <c r="E1288" s="5">
        <v>42589</v>
      </c>
      <c r="F1288" s="1" t="s">
        <v>49</v>
      </c>
      <c r="G1288" s="1" t="s">
        <v>445</v>
      </c>
      <c r="H1288" s="1" t="s">
        <v>3468</v>
      </c>
      <c r="I1288" s="1" t="s">
        <v>3469</v>
      </c>
      <c r="J1288" s="1"/>
      <c r="K1288" s="1" t="s">
        <v>87</v>
      </c>
      <c r="L1288" s="1" t="s">
        <v>30</v>
      </c>
      <c r="M1288" s="1" t="s">
        <v>233</v>
      </c>
      <c r="N1288" s="1" t="s">
        <v>234</v>
      </c>
      <c r="O1288" s="1">
        <v>10035</v>
      </c>
      <c r="P1288" s="1" t="s">
        <v>128</v>
      </c>
      <c r="Q1288" s="1" t="s">
        <v>2958</v>
      </c>
      <c r="R1288" s="1" t="s">
        <v>46</v>
      </c>
      <c r="S1288" s="7">
        <v>15.48</v>
      </c>
      <c r="T1288" s="1">
        <v>1</v>
      </c>
      <c r="U1288" s="9">
        <v>14.59</v>
      </c>
      <c r="V1288" s="9">
        <v>15.48</v>
      </c>
      <c r="W1288" s="9">
        <v>14.59</v>
      </c>
      <c r="X1288" s="12">
        <v>0.89000000000000057</v>
      </c>
      <c r="Y1288" s="10">
        <v>2016</v>
      </c>
    </row>
    <row r="1289" spans="1:25">
      <c r="A1289" s="1" t="s">
        <v>2959</v>
      </c>
      <c r="B1289" s="8">
        <v>43061</v>
      </c>
      <c r="C1289" s="11" t="s">
        <v>3353</v>
      </c>
      <c r="D1289" s="11" t="s">
        <v>3349</v>
      </c>
      <c r="E1289" s="5" t="s">
        <v>2960</v>
      </c>
      <c r="F1289" s="1" t="s">
        <v>49</v>
      </c>
      <c r="G1289" s="1" t="s">
        <v>2961</v>
      </c>
      <c r="H1289" s="1" t="s">
        <v>3952</v>
      </c>
      <c r="I1289" s="1" t="s">
        <v>3953</v>
      </c>
      <c r="J1289" s="1"/>
      <c r="K1289" s="1" t="s">
        <v>41</v>
      </c>
      <c r="L1289" s="1" t="s">
        <v>30</v>
      </c>
      <c r="M1289" s="1" t="s">
        <v>233</v>
      </c>
      <c r="N1289" s="1" t="s">
        <v>234</v>
      </c>
      <c r="O1289" s="1">
        <v>10009</v>
      </c>
      <c r="P1289" s="1" t="s">
        <v>128</v>
      </c>
      <c r="Q1289" s="1" t="s">
        <v>255</v>
      </c>
      <c r="R1289" s="1" t="s">
        <v>35</v>
      </c>
      <c r="S1289" s="7">
        <v>39.880000000000003</v>
      </c>
      <c r="T1289" s="1">
        <v>1</v>
      </c>
      <c r="U1289" s="9">
        <v>39.11</v>
      </c>
      <c r="V1289" s="9">
        <v>39.880000000000003</v>
      </c>
      <c r="W1289" s="9">
        <v>39.11</v>
      </c>
      <c r="X1289" s="12">
        <v>0.77000000000000313</v>
      </c>
      <c r="Y1289" s="10">
        <v>2017</v>
      </c>
    </row>
    <row r="1290" spans="1:25">
      <c r="A1290" s="1" t="s">
        <v>2959</v>
      </c>
      <c r="B1290" s="8">
        <v>43061</v>
      </c>
      <c r="C1290" s="11" t="s">
        <v>3353</v>
      </c>
      <c r="D1290" s="11" t="s">
        <v>3349</v>
      </c>
      <c r="E1290" s="5" t="s">
        <v>2960</v>
      </c>
      <c r="F1290" s="1" t="s">
        <v>49</v>
      </c>
      <c r="G1290" s="1" t="s">
        <v>2961</v>
      </c>
      <c r="H1290" s="1" t="s">
        <v>3952</v>
      </c>
      <c r="I1290" s="1" t="s">
        <v>3953</v>
      </c>
      <c r="J1290" s="1"/>
      <c r="K1290" s="1" t="s">
        <v>41</v>
      </c>
      <c r="L1290" s="1" t="s">
        <v>30</v>
      </c>
      <c r="M1290" s="1" t="s">
        <v>233</v>
      </c>
      <c r="N1290" s="1" t="s">
        <v>234</v>
      </c>
      <c r="O1290" s="1">
        <v>10009</v>
      </c>
      <c r="P1290" s="1" t="s">
        <v>128</v>
      </c>
      <c r="Q1290" s="1" t="s">
        <v>1692</v>
      </c>
      <c r="R1290" s="1" t="s">
        <v>46</v>
      </c>
      <c r="S1290" s="7">
        <v>12.192</v>
      </c>
      <c r="T1290" s="1">
        <v>1</v>
      </c>
      <c r="U1290" s="9">
        <v>11.29</v>
      </c>
      <c r="V1290" s="9">
        <v>12.192</v>
      </c>
      <c r="W1290" s="9">
        <v>11.29</v>
      </c>
      <c r="X1290" s="12">
        <v>0.90200000000000102</v>
      </c>
      <c r="Y1290" s="10">
        <v>2017</v>
      </c>
    </row>
    <row r="1291" spans="1:25">
      <c r="A1291" s="1" t="s">
        <v>2959</v>
      </c>
      <c r="B1291" s="8">
        <v>43061</v>
      </c>
      <c r="C1291" s="11" t="s">
        <v>3353</v>
      </c>
      <c r="D1291" s="11" t="s">
        <v>3349</v>
      </c>
      <c r="E1291" s="5" t="s">
        <v>2960</v>
      </c>
      <c r="F1291" s="1" t="s">
        <v>49</v>
      </c>
      <c r="G1291" s="1" t="s">
        <v>2961</v>
      </c>
      <c r="H1291" s="1" t="s">
        <v>3952</v>
      </c>
      <c r="I1291" s="1" t="s">
        <v>3953</v>
      </c>
      <c r="J1291" s="1"/>
      <c r="K1291" s="1" t="s">
        <v>41</v>
      </c>
      <c r="L1291" s="1" t="s">
        <v>30</v>
      </c>
      <c r="M1291" s="1" t="s">
        <v>233</v>
      </c>
      <c r="N1291" s="1" t="s">
        <v>234</v>
      </c>
      <c r="O1291" s="1">
        <v>10009</v>
      </c>
      <c r="P1291" s="1" t="s">
        <v>128</v>
      </c>
      <c r="Q1291" s="1" t="s">
        <v>2963</v>
      </c>
      <c r="R1291" s="1" t="s">
        <v>46</v>
      </c>
      <c r="S1291" s="7">
        <v>20.82</v>
      </c>
      <c r="T1291" s="1">
        <v>1</v>
      </c>
      <c r="U1291" s="9">
        <v>20.78</v>
      </c>
      <c r="V1291" s="9">
        <v>20.82</v>
      </c>
      <c r="W1291" s="9">
        <v>20.78</v>
      </c>
      <c r="X1291" s="12">
        <v>3.9999999999999147E-2</v>
      </c>
      <c r="Y1291" s="10">
        <v>2017</v>
      </c>
    </row>
    <row r="1292" spans="1:25">
      <c r="A1292" s="1" t="s">
        <v>2964</v>
      </c>
      <c r="B1292" s="8">
        <v>43019</v>
      </c>
      <c r="C1292" s="11" t="s">
        <v>3387</v>
      </c>
      <c r="D1292" s="11" t="s">
        <v>3349</v>
      </c>
      <c r="E1292" s="5">
        <v>43080</v>
      </c>
      <c r="F1292" s="1" t="s">
        <v>162</v>
      </c>
      <c r="G1292" s="1" t="s">
        <v>1738</v>
      </c>
      <c r="H1292" s="1" t="s">
        <v>3753</v>
      </c>
      <c r="I1292" s="1" t="s">
        <v>3754</v>
      </c>
      <c r="J1292" s="1"/>
      <c r="K1292" s="1" t="s">
        <v>87</v>
      </c>
      <c r="L1292" s="1" t="s">
        <v>30</v>
      </c>
      <c r="M1292" s="1" t="s">
        <v>110</v>
      </c>
      <c r="N1292" s="1" t="s">
        <v>68</v>
      </c>
      <c r="O1292" s="1">
        <v>94122</v>
      </c>
      <c r="P1292" s="1" t="s">
        <v>44</v>
      </c>
      <c r="Q1292" s="1" t="s">
        <v>2965</v>
      </c>
      <c r="R1292" s="1" t="s">
        <v>46</v>
      </c>
      <c r="S1292" s="7">
        <v>13.215999999999999</v>
      </c>
      <c r="T1292" s="1">
        <v>9</v>
      </c>
      <c r="U1292" s="9">
        <v>13.11</v>
      </c>
      <c r="V1292" s="9">
        <v>118.94399999999999</v>
      </c>
      <c r="W1292" s="9">
        <v>117.99</v>
      </c>
      <c r="X1292" s="12">
        <v>0.95399999999999352</v>
      </c>
      <c r="Y1292" s="10">
        <v>2017</v>
      </c>
    </row>
    <row r="1293" spans="1:25">
      <c r="A1293" s="1" t="s">
        <v>2964</v>
      </c>
      <c r="B1293" s="8">
        <v>43019</v>
      </c>
      <c r="C1293" s="11" t="s">
        <v>3387</v>
      </c>
      <c r="D1293" s="11" t="s">
        <v>3349</v>
      </c>
      <c r="E1293" s="5">
        <v>43080</v>
      </c>
      <c r="F1293" s="1" t="s">
        <v>162</v>
      </c>
      <c r="G1293" s="1" t="s">
        <v>1738</v>
      </c>
      <c r="H1293" s="1" t="s">
        <v>3753</v>
      </c>
      <c r="I1293" s="1" t="s">
        <v>3754</v>
      </c>
      <c r="J1293" s="1"/>
      <c r="K1293" s="1" t="s">
        <v>87</v>
      </c>
      <c r="L1293" s="1" t="s">
        <v>30</v>
      </c>
      <c r="M1293" s="1" t="s">
        <v>110</v>
      </c>
      <c r="N1293" s="1" t="s">
        <v>68</v>
      </c>
      <c r="O1293" s="1">
        <v>94122</v>
      </c>
      <c r="P1293" s="1" t="s">
        <v>44</v>
      </c>
      <c r="Q1293" s="1" t="s">
        <v>2770</v>
      </c>
      <c r="R1293" s="1" t="s">
        <v>46</v>
      </c>
      <c r="S1293" s="7">
        <v>32.4</v>
      </c>
      <c r="T1293" s="1">
        <v>9</v>
      </c>
      <c r="U1293" s="9">
        <v>32.35</v>
      </c>
      <c r="V1293" s="9">
        <v>291.59999999999997</v>
      </c>
      <c r="W1293" s="9">
        <v>291.15000000000003</v>
      </c>
      <c r="X1293" s="12">
        <v>0.44999999999993179</v>
      </c>
      <c r="Y1293" s="10">
        <v>2017</v>
      </c>
    </row>
    <row r="1294" spans="1:25">
      <c r="A1294" s="1" t="s">
        <v>2966</v>
      </c>
      <c r="B1294" s="8">
        <v>42609</v>
      </c>
      <c r="C1294" s="11" t="s">
        <v>3344</v>
      </c>
      <c r="D1294" s="11" t="s">
        <v>3345</v>
      </c>
      <c r="E1294" s="5">
        <v>42378</v>
      </c>
      <c r="F1294" s="1" t="s">
        <v>49</v>
      </c>
      <c r="G1294" s="1" t="s">
        <v>450</v>
      </c>
      <c r="H1294" s="1" t="s">
        <v>3470</v>
      </c>
      <c r="I1294" s="1" t="s">
        <v>3471</v>
      </c>
      <c r="J1294" s="1"/>
      <c r="K1294" s="1" t="s">
        <v>29</v>
      </c>
      <c r="L1294" s="1" t="s">
        <v>30</v>
      </c>
      <c r="M1294" s="1" t="s">
        <v>778</v>
      </c>
      <c r="N1294" s="1" t="s">
        <v>68</v>
      </c>
      <c r="O1294" s="1">
        <v>92105</v>
      </c>
      <c r="P1294" s="1" t="s">
        <v>44</v>
      </c>
      <c r="Q1294" s="1" t="s">
        <v>480</v>
      </c>
      <c r="R1294" s="1" t="s">
        <v>46</v>
      </c>
      <c r="S1294" s="7">
        <v>32.94</v>
      </c>
      <c r="T1294" s="1">
        <v>9</v>
      </c>
      <c r="U1294" s="9">
        <v>32.26</v>
      </c>
      <c r="V1294" s="9">
        <v>296.45999999999998</v>
      </c>
      <c r="W1294" s="9">
        <v>290.33999999999997</v>
      </c>
      <c r="X1294" s="12">
        <v>6.1200000000000045</v>
      </c>
      <c r="Y1294" s="10">
        <v>2016</v>
      </c>
    </row>
    <row r="1295" spans="1:25">
      <c r="A1295" s="1" t="s">
        <v>2966</v>
      </c>
      <c r="B1295" s="8">
        <v>42609</v>
      </c>
      <c r="C1295" s="11" t="s">
        <v>3344</v>
      </c>
      <c r="D1295" s="11" t="s">
        <v>3345</v>
      </c>
      <c r="E1295" s="5">
        <v>42378</v>
      </c>
      <c r="F1295" s="1" t="s">
        <v>49</v>
      </c>
      <c r="G1295" s="1" t="s">
        <v>450</v>
      </c>
      <c r="H1295" s="1" t="s">
        <v>3470</v>
      </c>
      <c r="I1295" s="1" t="s">
        <v>3471</v>
      </c>
      <c r="J1295" s="1"/>
      <c r="K1295" s="1" t="s">
        <v>29</v>
      </c>
      <c r="L1295" s="1" t="s">
        <v>30</v>
      </c>
      <c r="M1295" s="1" t="s">
        <v>778</v>
      </c>
      <c r="N1295" s="1" t="s">
        <v>68</v>
      </c>
      <c r="O1295" s="1">
        <v>92105</v>
      </c>
      <c r="P1295" s="1" t="s">
        <v>44</v>
      </c>
      <c r="Q1295" s="1" t="s">
        <v>2967</v>
      </c>
      <c r="R1295" s="1" t="s">
        <v>46</v>
      </c>
      <c r="S1295" s="7">
        <v>114.2</v>
      </c>
      <c r="T1295" s="1">
        <v>9</v>
      </c>
      <c r="U1295" s="9">
        <v>113.35</v>
      </c>
      <c r="V1295" s="9">
        <v>1027.8</v>
      </c>
      <c r="W1295" s="9">
        <v>1020.15</v>
      </c>
      <c r="X1295" s="12">
        <v>7.6499999999999773</v>
      </c>
      <c r="Y1295" s="10">
        <v>2016</v>
      </c>
    </row>
    <row r="1296" spans="1:25">
      <c r="A1296" s="1" t="s">
        <v>2966</v>
      </c>
      <c r="B1296" s="8">
        <v>42609</v>
      </c>
      <c r="C1296" s="11" t="s">
        <v>3344</v>
      </c>
      <c r="D1296" s="11" t="s">
        <v>3345</v>
      </c>
      <c r="E1296" s="5">
        <v>42378</v>
      </c>
      <c r="F1296" s="1" t="s">
        <v>49</v>
      </c>
      <c r="G1296" s="1" t="s">
        <v>450</v>
      </c>
      <c r="H1296" s="1" t="s">
        <v>3470</v>
      </c>
      <c r="I1296" s="1" t="s">
        <v>3471</v>
      </c>
      <c r="J1296" s="1"/>
      <c r="K1296" s="1" t="s">
        <v>29</v>
      </c>
      <c r="L1296" s="1" t="s">
        <v>30</v>
      </c>
      <c r="M1296" s="1" t="s">
        <v>778</v>
      </c>
      <c r="N1296" s="1" t="s">
        <v>68</v>
      </c>
      <c r="O1296" s="1">
        <v>92105</v>
      </c>
      <c r="P1296" s="1" t="s">
        <v>44</v>
      </c>
      <c r="Q1296" s="1" t="s">
        <v>333</v>
      </c>
      <c r="R1296" s="1" t="s">
        <v>46</v>
      </c>
      <c r="S1296" s="7">
        <v>3.08</v>
      </c>
      <c r="T1296" s="1">
        <v>9</v>
      </c>
      <c r="U1296" s="9">
        <v>3.07</v>
      </c>
      <c r="V1296" s="9">
        <v>27.72</v>
      </c>
      <c r="W1296" s="9">
        <v>27.63</v>
      </c>
      <c r="X1296" s="12">
        <v>8.9999999999999858E-2</v>
      </c>
      <c r="Y1296" s="10">
        <v>2016</v>
      </c>
    </row>
    <row r="1297" spans="1:25">
      <c r="A1297" s="1" t="s">
        <v>2968</v>
      </c>
      <c r="B1297" s="8">
        <v>42515</v>
      </c>
      <c r="C1297" s="11" t="s">
        <v>3363</v>
      </c>
      <c r="D1297" s="11" t="s">
        <v>3360</v>
      </c>
      <c r="E1297" s="5" t="s">
        <v>2969</v>
      </c>
      <c r="F1297" s="1" t="s">
        <v>49</v>
      </c>
      <c r="G1297" s="1" t="s">
        <v>2970</v>
      </c>
      <c r="H1297" s="1" t="s">
        <v>3486</v>
      </c>
      <c r="I1297" s="1" t="s">
        <v>3954</v>
      </c>
      <c r="J1297" s="1"/>
      <c r="K1297" s="1" t="s">
        <v>29</v>
      </c>
      <c r="L1297" s="1" t="s">
        <v>30</v>
      </c>
      <c r="M1297" s="1" t="s">
        <v>2972</v>
      </c>
      <c r="N1297" s="1" t="s">
        <v>386</v>
      </c>
      <c r="O1297" s="1">
        <v>81001</v>
      </c>
      <c r="P1297" s="1" t="s">
        <v>44</v>
      </c>
      <c r="Q1297" s="1" t="s">
        <v>2318</v>
      </c>
      <c r="R1297" s="1" t="s">
        <v>46</v>
      </c>
      <c r="S1297" s="7">
        <v>845.72799999999995</v>
      </c>
      <c r="T1297" s="1">
        <v>8</v>
      </c>
      <c r="U1297" s="9">
        <v>844.99</v>
      </c>
      <c r="V1297" s="9">
        <v>6765.8239999999996</v>
      </c>
      <c r="W1297" s="9">
        <v>6759.92</v>
      </c>
      <c r="X1297" s="12">
        <v>5.9039999999995416</v>
      </c>
      <c r="Y1297" s="10">
        <v>2016</v>
      </c>
    </row>
    <row r="1298" spans="1:25">
      <c r="A1298" s="1" t="s">
        <v>2973</v>
      </c>
      <c r="B1298" s="8">
        <v>43464</v>
      </c>
      <c r="C1298" s="11" t="s">
        <v>3348</v>
      </c>
      <c r="D1298" s="11" t="s">
        <v>3349</v>
      </c>
      <c r="E1298" s="5">
        <v>43525</v>
      </c>
      <c r="F1298" s="1" t="s">
        <v>49</v>
      </c>
      <c r="G1298" s="1" t="s">
        <v>2974</v>
      </c>
      <c r="H1298" s="1" t="s">
        <v>3818</v>
      </c>
      <c r="I1298" s="1" t="s">
        <v>3691</v>
      </c>
      <c r="J1298" s="1"/>
      <c r="K1298" s="1" t="s">
        <v>41</v>
      </c>
      <c r="L1298" s="1" t="s">
        <v>30</v>
      </c>
      <c r="M1298" s="1" t="s">
        <v>616</v>
      </c>
      <c r="N1298" s="1" t="s">
        <v>68</v>
      </c>
      <c r="O1298" s="1">
        <v>94533</v>
      </c>
      <c r="P1298" s="1" t="s">
        <v>44</v>
      </c>
      <c r="Q1298" s="1" t="s">
        <v>1674</v>
      </c>
      <c r="R1298" s="1" t="s">
        <v>46</v>
      </c>
      <c r="S1298" s="7">
        <v>13.904</v>
      </c>
      <c r="T1298" s="1">
        <v>9</v>
      </c>
      <c r="U1298" s="9">
        <v>13.62</v>
      </c>
      <c r="V1298" s="9">
        <v>125.136</v>
      </c>
      <c r="W1298" s="9">
        <v>122.58</v>
      </c>
      <c r="X1298" s="12">
        <v>2.5559999999999974</v>
      </c>
      <c r="Y1298" s="10">
        <v>2018</v>
      </c>
    </row>
    <row r="1299" spans="1:25">
      <c r="A1299" s="1" t="s">
        <v>2973</v>
      </c>
      <c r="B1299" s="8">
        <v>43464</v>
      </c>
      <c r="C1299" s="11" t="s">
        <v>3348</v>
      </c>
      <c r="D1299" s="11" t="s">
        <v>3349</v>
      </c>
      <c r="E1299" s="5">
        <v>43525</v>
      </c>
      <c r="F1299" s="1" t="s">
        <v>49</v>
      </c>
      <c r="G1299" s="1" t="s">
        <v>2974</v>
      </c>
      <c r="H1299" s="1" t="s">
        <v>3818</v>
      </c>
      <c r="I1299" s="1" t="s">
        <v>3691</v>
      </c>
      <c r="J1299" s="1"/>
      <c r="K1299" s="1" t="s">
        <v>41</v>
      </c>
      <c r="L1299" s="1" t="s">
        <v>30</v>
      </c>
      <c r="M1299" s="1" t="s">
        <v>616</v>
      </c>
      <c r="N1299" s="1" t="s">
        <v>68</v>
      </c>
      <c r="O1299" s="1">
        <v>94533</v>
      </c>
      <c r="P1299" s="1" t="s">
        <v>44</v>
      </c>
      <c r="Q1299" s="1" t="s">
        <v>1805</v>
      </c>
      <c r="R1299" s="1" t="s">
        <v>46</v>
      </c>
      <c r="S1299" s="7">
        <v>20.72</v>
      </c>
      <c r="T1299" s="1">
        <v>9</v>
      </c>
      <c r="U1299" s="9">
        <v>19.89</v>
      </c>
      <c r="V1299" s="9">
        <v>186.48</v>
      </c>
      <c r="W1299" s="9">
        <v>179.01</v>
      </c>
      <c r="X1299" s="12">
        <v>7.4699999999999989</v>
      </c>
      <c r="Y1299" s="10">
        <v>2018</v>
      </c>
    </row>
    <row r="1300" spans="1:25">
      <c r="A1300" s="1" t="s">
        <v>2976</v>
      </c>
      <c r="B1300" s="8">
        <v>42959</v>
      </c>
      <c r="C1300" s="11" t="s">
        <v>3344</v>
      </c>
      <c r="D1300" s="11" t="s">
        <v>3345</v>
      </c>
      <c r="E1300" s="5">
        <v>43081</v>
      </c>
      <c r="F1300" s="1" t="s">
        <v>26</v>
      </c>
      <c r="G1300" s="1" t="s">
        <v>2977</v>
      </c>
      <c r="H1300" s="1" t="s">
        <v>1074</v>
      </c>
      <c r="I1300" s="1" t="s">
        <v>3501</v>
      </c>
      <c r="J1300" s="1"/>
      <c r="K1300" s="1" t="s">
        <v>41</v>
      </c>
      <c r="L1300" s="1" t="s">
        <v>30</v>
      </c>
      <c r="M1300" s="1" t="s">
        <v>369</v>
      </c>
      <c r="N1300" s="1" t="s">
        <v>201</v>
      </c>
      <c r="O1300" s="1">
        <v>55106</v>
      </c>
      <c r="P1300" s="1" t="s">
        <v>90</v>
      </c>
      <c r="Q1300" s="1" t="s">
        <v>1450</v>
      </c>
      <c r="R1300" s="1" t="s">
        <v>64</v>
      </c>
      <c r="S1300" s="7">
        <v>114.95</v>
      </c>
      <c r="T1300" s="1">
        <v>5</v>
      </c>
      <c r="U1300" s="9">
        <v>113.97</v>
      </c>
      <c r="V1300" s="9">
        <v>574.75</v>
      </c>
      <c r="W1300" s="9">
        <v>569.85</v>
      </c>
      <c r="X1300" s="12">
        <v>4.8999999999999773</v>
      </c>
      <c r="Y1300" s="10">
        <v>2017</v>
      </c>
    </row>
    <row r="1301" spans="1:25">
      <c r="A1301" s="1" t="s">
        <v>2979</v>
      </c>
      <c r="B1301" s="8">
        <v>42470</v>
      </c>
      <c r="C1301" s="11" t="s">
        <v>3359</v>
      </c>
      <c r="D1301" s="11" t="s">
        <v>3360</v>
      </c>
      <c r="E1301" s="5">
        <v>42561</v>
      </c>
      <c r="F1301" s="1" t="s">
        <v>162</v>
      </c>
      <c r="G1301" s="1" t="s">
        <v>2753</v>
      </c>
      <c r="H1301" s="1" t="s">
        <v>3924</v>
      </c>
      <c r="I1301" s="1" t="s">
        <v>3925</v>
      </c>
      <c r="J1301" s="1"/>
      <c r="K1301" s="1" t="s">
        <v>29</v>
      </c>
      <c r="L1301" s="1" t="s">
        <v>30</v>
      </c>
      <c r="M1301" s="1" t="s">
        <v>110</v>
      </c>
      <c r="N1301" s="1" t="s">
        <v>68</v>
      </c>
      <c r="O1301" s="1">
        <v>94109</v>
      </c>
      <c r="P1301" s="1" t="s">
        <v>44</v>
      </c>
      <c r="Q1301" s="1" t="s">
        <v>527</v>
      </c>
      <c r="R1301" s="1" t="s">
        <v>46</v>
      </c>
      <c r="S1301" s="7">
        <v>26.96</v>
      </c>
      <c r="T1301" s="1">
        <v>9</v>
      </c>
      <c r="U1301" s="9">
        <v>26.06</v>
      </c>
      <c r="V1301" s="9">
        <v>242.64000000000001</v>
      </c>
      <c r="W1301" s="9">
        <v>234.54</v>
      </c>
      <c r="X1301" s="12">
        <v>8.1000000000000227</v>
      </c>
      <c r="Y1301" s="10">
        <v>2016</v>
      </c>
    </row>
    <row r="1302" spans="1:25">
      <c r="A1302" s="1" t="s">
        <v>2980</v>
      </c>
      <c r="B1302" s="8">
        <v>43092</v>
      </c>
      <c r="C1302" s="11" t="s">
        <v>3348</v>
      </c>
      <c r="D1302" s="11" t="s">
        <v>3349</v>
      </c>
      <c r="E1302" s="5" t="s">
        <v>2981</v>
      </c>
      <c r="F1302" s="1" t="s">
        <v>26</v>
      </c>
      <c r="G1302" s="1" t="s">
        <v>675</v>
      </c>
      <c r="H1302" s="1" t="s">
        <v>3529</v>
      </c>
      <c r="I1302" s="1" t="s">
        <v>3530</v>
      </c>
      <c r="J1302" s="1"/>
      <c r="K1302" s="1" t="s">
        <v>29</v>
      </c>
      <c r="L1302" s="1" t="s">
        <v>30</v>
      </c>
      <c r="M1302" s="1" t="s">
        <v>271</v>
      </c>
      <c r="N1302" s="1" t="s">
        <v>272</v>
      </c>
      <c r="O1302" s="1">
        <v>22153</v>
      </c>
      <c r="P1302" s="1" t="s">
        <v>33</v>
      </c>
      <c r="Q1302" s="1" t="s">
        <v>167</v>
      </c>
      <c r="R1302" s="1" t="s">
        <v>35</v>
      </c>
      <c r="S1302" s="7">
        <v>572.76</v>
      </c>
      <c r="T1302" s="1">
        <v>2</v>
      </c>
      <c r="U1302" s="9">
        <v>572.23</v>
      </c>
      <c r="V1302" s="9">
        <v>1145.52</v>
      </c>
      <c r="W1302" s="9">
        <v>1144.46</v>
      </c>
      <c r="X1302" s="12">
        <v>1.0599999999999454</v>
      </c>
      <c r="Y1302" s="10">
        <v>2017</v>
      </c>
    </row>
    <row r="1303" spans="1:25">
      <c r="A1303" s="1" t="s">
        <v>2980</v>
      </c>
      <c r="B1303" s="8">
        <v>43092</v>
      </c>
      <c r="C1303" s="11" t="s">
        <v>3348</v>
      </c>
      <c r="D1303" s="11" t="s">
        <v>3349</v>
      </c>
      <c r="E1303" s="5" t="s">
        <v>2981</v>
      </c>
      <c r="F1303" s="1" t="s">
        <v>26</v>
      </c>
      <c r="G1303" s="1" t="s">
        <v>675</v>
      </c>
      <c r="H1303" s="1" t="s">
        <v>3529</v>
      </c>
      <c r="I1303" s="1" t="s">
        <v>3530</v>
      </c>
      <c r="J1303" s="1"/>
      <c r="K1303" s="1" t="s">
        <v>29</v>
      </c>
      <c r="L1303" s="1" t="s">
        <v>30</v>
      </c>
      <c r="M1303" s="1" t="s">
        <v>271</v>
      </c>
      <c r="N1303" s="1" t="s">
        <v>272</v>
      </c>
      <c r="O1303" s="1">
        <v>22153</v>
      </c>
      <c r="P1303" s="1" t="s">
        <v>33</v>
      </c>
      <c r="Q1303" s="1" t="s">
        <v>167</v>
      </c>
      <c r="R1303" s="1" t="s">
        <v>35</v>
      </c>
      <c r="S1303" s="7">
        <v>286.38</v>
      </c>
      <c r="T1303" s="1">
        <v>2</v>
      </c>
      <c r="U1303" s="9">
        <v>285.56</v>
      </c>
      <c r="V1303" s="9">
        <v>572.76</v>
      </c>
      <c r="W1303" s="9">
        <v>571.12</v>
      </c>
      <c r="X1303" s="12">
        <v>1.6399999999999864</v>
      </c>
      <c r="Y1303" s="10">
        <v>2017</v>
      </c>
    </row>
    <row r="1304" spans="1:25">
      <c r="A1304" s="1" t="s">
        <v>2982</v>
      </c>
      <c r="B1304" s="8">
        <v>42632</v>
      </c>
      <c r="C1304" s="11" t="s">
        <v>3356</v>
      </c>
      <c r="D1304" s="11" t="s">
        <v>3345</v>
      </c>
      <c r="E1304" s="5" t="s">
        <v>2983</v>
      </c>
      <c r="F1304" s="1" t="s">
        <v>26</v>
      </c>
      <c r="G1304" s="1" t="s">
        <v>2984</v>
      </c>
      <c r="H1304" s="1" t="s">
        <v>3385</v>
      </c>
      <c r="I1304" s="1" t="s">
        <v>3558</v>
      </c>
      <c r="J1304" s="1"/>
      <c r="K1304" s="1" t="s">
        <v>87</v>
      </c>
      <c r="L1304" s="1" t="s">
        <v>30</v>
      </c>
      <c r="M1304" s="1" t="s">
        <v>917</v>
      </c>
      <c r="N1304" s="1" t="s">
        <v>272</v>
      </c>
      <c r="O1304" s="1">
        <v>22204</v>
      </c>
      <c r="P1304" s="1" t="s">
        <v>33</v>
      </c>
      <c r="Q1304" s="1" t="s">
        <v>2986</v>
      </c>
      <c r="R1304" s="1" t="s">
        <v>35</v>
      </c>
      <c r="S1304" s="7">
        <v>61.96</v>
      </c>
      <c r="T1304" s="1">
        <v>2</v>
      </c>
      <c r="U1304" s="9">
        <v>61.66</v>
      </c>
      <c r="V1304" s="9">
        <v>123.92</v>
      </c>
      <c r="W1304" s="9">
        <v>123.32</v>
      </c>
      <c r="X1304" s="12">
        <v>0.60000000000000853</v>
      </c>
      <c r="Y1304" s="10">
        <v>2016</v>
      </c>
    </row>
    <row r="1305" spans="1:25">
      <c r="A1305" s="1" t="s">
        <v>2987</v>
      </c>
      <c r="B1305" s="8">
        <v>43166</v>
      </c>
      <c r="C1305" s="11" t="s">
        <v>3429</v>
      </c>
      <c r="D1305" s="11" t="s">
        <v>3382</v>
      </c>
      <c r="E1305" s="5">
        <v>43288</v>
      </c>
      <c r="F1305" s="1" t="s">
        <v>49</v>
      </c>
      <c r="G1305" s="1" t="s">
        <v>2988</v>
      </c>
      <c r="H1305" s="1" t="s">
        <v>3753</v>
      </c>
      <c r="I1305" s="1" t="s">
        <v>3955</v>
      </c>
      <c r="J1305" s="1"/>
      <c r="K1305" s="1" t="s">
        <v>29</v>
      </c>
      <c r="L1305" s="1" t="s">
        <v>30</v>
      </c>
      <c r="M1305" s="1" t="s">
        <v>420</v>
      </c>
      <c r="N1305" s="1" t="s">
        <v>1035</v>
      </c>
      <c r="O1305" s="1">
        <v>31907</v>
      </c>
      <c r="P1305" s="1" t="s">
        <v>33</v>
      </c>
      <c r="Q1305" s="1" t="s">
        <v>2990</v>
      </c>
      <c r="R1305" s="1" t="s">
        <v>35</v>
      </c>
      <c r="S1305" s="7">
        <v>23.99</v>
      </c>
      <c r="T1305" s="1">
        <v>3</v>
      </c>
      <c r="U1305" s="9">
        <v>23.25</v>
      </c>
      <c r="V1305" s="9">
        <v>71.97</v>
      </c>
      <c r="W1305" s="9">
        <v>69.75</v>
      </c>
      <c r="X1305" s="12">
        <v>2.2199999999999989</v>
      </c>
      <c r="Y1305" s="10">
        <v>2018</v>
      </c>
    </row>
    <row r="1306" spans="1:25">
      <c r="A1306" s="1" t="s">
        <v>2987</v>
      </c>
      <c r="B1306" s="8">
        <v>43166</v>
      </c>
      <c r="C1306" s="11" t="s">
        <v>3429</v>
      </c>
      <c r="D1306" s="11" t="s">
        <v>3382</v>
      </c>
      <c r="E1306" s="5">
        <v>43288</v>
      </c>
      <c r="F1306" s="1" t="s">
        <v>49</v>
      </c>
      <c r="G1306" s="1" t="s">
        <v>2988</v>
      </c>
      <c r="H1306" s="1" t="s">
        <v>3753</v>
      </c>
      <c r="I1306" s="1" t="s">
        <v>3955</v>
      </c>
      <c r="J1306" s="1"/>
      <c r="K1306" s="1" t="s">
        <v>29</v>
      </c>
      <c r="L1306" s="1" t="s">
        <v>30</v>
      </c>
      <c r="M1306" s="1" t="s">
        <v>420</v>
      </c>
      <c r="N1306" s="1" t="s">
        <v>1035</v>
      </c>
      <c r="O1306" s="1">
        <v>31907</v>
      </c>
      <c r="P1306" s="1" t="s">
        <v>33</v>
      </c>
      <c r="Q1306" s="1" t="s">
        <v>2120</v>
      </c>
      <c r="R1306" s="1" t="s">
        <v>64</v>
      </c>
      <c r="S1306" s="7">
        <v>287.97000000000003</v>
      </c>
      <c r="T1306" s="1">
        <v>3</v>
      </c>
      <c r="U1306" s="9">
        <v>287.77999999999997</v>
      </c>
      <c r="V1306" s="9">
        <v>863.91000000000008</v>
      </c>
      <c r="W1306" s="9">
        <v>863.33999999999992</v>
      </c>
      <c r="X1306" s="12">
        <v>0.57000000000016371</v>
      </c>
      <c r="Y1306" s="10">
        <v>2018</v>
      </c>
    </row>
    <row r="1307" spans="1:25">
      <c r="A1307" s="1" t="s">
        <v>2991</v>
      </c>
      <c r="B1307" s="8">
        <v>42930</v>
      </c>
      <c r="C1307" s="11" t="s">
        <v>3376</v>
      </c>
      <c r="D1307" s="11" t="s">
        <v>3345</v>
      </c>
      <c r="E1307" s="5" t="s">
        <v>1481</v>
      </c>
      <c r="F1307" s="1" t="s">
        <v>26</v>
      </c>
      <c r="G1307" s="1" t="s">
        <v>2012</v>
      </c>
      <c r="H1307" s="1" t="s">
        <v>3813</v>
      </c>
      <c r="I1307" s="1" t="s">
        <v>3814</v>
      </c>
      <c r="J1307" s="1"/>
      <c r="K1307" s="1" t="s">
        <v>29</v>
      </c>
      <c r="L1307" s="1" t="s">
        <v>30</v>
      </c>
      <c r="M1307" s="1" t="s">
        <v>172</v>
      </c>
      <c r="N1307" s="1" t="s">
        <v>89</v>
      </c>
      <c r="O1307" s="1">
        <v>77036</v>
      </c>
      <c r="P1307" s="1" t="s">
        <v>90</v>
      </c>
      <c r="Q1307" s="1" t="s">
        <v>2992</v>
      </c>
      <c r="R1307" s="1" t="s">
        <v>64</v>
      </c>
      <c r="S1307" s="7">
        <v>419.94400000000002</v>
      </c>
      <c r="T1307" s="1">
        <v>7</v>
      </c>
      <c r="U1307" s="9">
        <v>419.72</v>
      </c>
      <c r="V1307" s="9">
        <v>2939.6080000000002</v>
      </c>
      <c r="W1307" s="9">
        <v>2938.04</v>
      </c>
      <c r="X1307" s="12">
        <v>1.568000000000211</v>
      </c>
      <c r="Y1307" s="10">
        <v>2017</v>
      </c>
    </row>
    <row r="1308" spans="1:25">
      <c r="A1308" s="1" t="s">
        <v>2993</v>
      </c>
      <c r="B1308" s="8">
        <v>42906</v>
      </c>
      <c r="C1308" s="11" t="s">
        <v>3403</v>
      </c>
      <c r="D1308" s="11" t="s">
        <v>3360</v>
      </c>
      <c r="E1308" s="5" t="s">
        <v>2994</v>
      </c>
      <c r="F1308" s="1" t="s">
        <v>162</v>
      </c>
      <c r="G1308" s="1" t="s">
        <v>807</v>
      </c>
      <c r="H1308" s="1" t="s">
        <v>3557</v>
      </c>
      <c r="I1308" s="1" t="s">
        <v>3558</v>
      </c>
      <c r="J1308" s="1"/>
      <c r="K1308" s="1" t="s">
        <v>29</v>
      </c>
      <c r="L1308" s="1" t="s">
        <v>30</v>
      </c>
      <c r="M1308" s="1" t="s">
        <v>500</v>
      </c>
      <c r="N1308" s="1" t="s">
        <v>68</v>
      </c>
      <c r="O1308" s="1">
        <v>91104</v>
      </c>
      <c r="P1308" s="1" t="s">
        <v>44</v>
      </c>
      <c r="Q1308" s="1" t="s">
        <v>1519</v>
      </c>
      <c r="R1308" s="1" t="s">
        <v>46</v>
      </c>
      <c r="S1308" s="7">
        <v>46.76</v>
      </c>
      <c r="T1308" s="1">
        <v>9</v>
      </c>
      <c r="U1308" s="9">
        <v>46.62</v>
      </c>
      <c r="V1308" s="9">
        <v>420.84</v>
      </c>
      <c r="W1308" s="9">
        <v>419.58</v>
      </c>
      <c r="X1308" s="12">
        <v>1.2599999999999909</v>
      </c>
      <c r="Y1308" s="10">
        <v>2017</v>
      </c>
    </row>
    <row r="1309" spans="1:25">
      <c r="A1309" s="1" t="s">
        <v>2993</v>
      </c>
      <c r="B1309" s="8">
        <v>42906</v>
      </c>
      <c r="C1309" s="11" t="s">
        <v>3403</v>
      </c>
      <c r="D1309" s="11" t="s">
        <v>3360</v>
      </c>
      <c r="E1309" s="5" t="s">
        <v>2994</v>
      </c>
      <c r="F1309" s="1" t="s">
        <v>162</v>
      </c>
      <c r="G1309" s="1" t="s">
        <v>807</v>
      </c>
      <c r="H1309" s="1" t="s">
        <v>3557</v>
      </c>
      <c r="I1309" s="1" t="s">
        <v>3558</v>
      </c>
      <c r="J1309" s="1"/>
      <c r="K1309" s="1" t="s">
        <v>29</v>
      </c>
      <c r="L1309" s="1" t="s">
        <v>30</v>
      </c>
      <c r="M1309" s="1" t="s">
        <v>500</v>
      </c>
      <c r="N1309" s="1" t="s">
        <v>68</v>
      </c>
      <c r="O1309" s="1">
        <v>91104</v>
      </c>
      <c r="P1309" s="1" t="s">
        <v>44</v>
      </c>
      <c r="Q1309" s="1" t="s">
        <v>2513</v>
      </c>
      <c r="R1309" s="1" t="s">
        <v>46</v>
      </c>
      <c r="S1309" s="7">
        <v>17.712</v>
      </c>
      <c r="T1309" s="1">
        <v>9</v>
      </c>
      <c r="U1309" s="9">
        <v>17.71</v>
      </c>
      <c r="V1309" s="9">
        <v>159.40799999999999</v>
      </c>
      <c r="W1309" s="9">
        <v>159.39000000000001</v>
      </c>
      <c r="X1309" s="12">
        <v>1.799999999997226E-2</v>
      </c>
      <c r="Y1309" s="10">
        <v>2017</v>
      </c>
    </row>
    <row r="1310" spans="1:25">
      <c r="A1310" s="1" t="s">
        <v>2993</v>
      </c>
      <c r="B1310" s="8">
        <v>42906</v>
      </c>
      <c r="C1310" s="11" t="s">
        <v>3403</v>
      </c>
      <c r="D1310" s="11" t="s">
        <v>3360</v>
      </c>
      <c r="E1310" s="5" t="s">
        <v>2994</v>
      </c>
      <c r="F1310" s="1" t="s">
        <v>162</v>
      </c>
      <c r="G1310" s="1" t="s">
        <v>807</v>
      </c>
      <c r="H1310" s="1" t="s">
        <v>3557</v>
      </c>
      <c r="I1310" s="1" t="s">
        <v>3558</v>
      </c>
      <c r="J1310" s="1"/>
      <c r="K1310" s="1" t="s">
        <v>29</v>
      </c>
      <c r="L1310" s="1" t="s">
        <v>30</v>
      </c>
      <c r="M1310" s="1" t="s">
        <v>500</v>
      </c>
      <c r="N1310" s="1" t="s">
        <v>68</v>
      </c>
      <c r="O1310" s="1">
        <v>91104</v>
      </c>
      <c r="P1310" s="1" t="s">
        <v>44</v>
      </c>
      <c r="Q1310" s="1" t="s">
        <v>2995</v>
      </c>
      <c r="R1310" s="1" t="s">
        <v>46</v>
      </c>
      <c r="S1310" s="7">
        <v>21.78</v>
      </c>
      <c r="T1310" s="1">
        <v>9</v>
      </c>
      <c r="U1310" s="9">
        <v>21.26</v>
      </c>
      <c r="V1310" s="9">
        <v>196.02</v>
      </c>
      <c r="W1310" s="9">
        <v>191.34</v>
      </c>
      <c r="X1310" s="12">
        <v>4.6800000000000068</v>
      </c>
      <c r="Y1310" s="10">
        <v>2017</v>
      </c>
    </row>
    <row r="1311" spans="1:25">
      <c r="A1311" s="1" t="s">
        <v>2993</v>
      </c>
      <c r="B1311" s="8">
        <v>42906</v>
      </c>
      <c r="C1311" s="11" t="s">
        <v>3403</v>
      </c>
      <c r="D1311" s="11" t="s">
        <v>3360</v>
      </c>
      <c r="E1311" s="5" t="s">
        <v>2994</v>
      </c>
      <c r="F1311" s="1" t="s">
        <v>162</v>
      </c>
      <c r="G1311" s="1" t="s">
        <v>807</v>
      </c>
      <c r="H1311" s="1" t="s">
        <v>3557</v>
      </c>
      <c r="I1311" s="1" t="s">
        <v>3558</v>
      </c>
      <c r="J1311" s="1"/>
      <c r="K1311" s="1" t="s">
        <v>29</v>
      </c>
      <c r="L1311" s="1" t="s">
        <v>30</v>
      </c>
      <c r="M1311" s="1" t="s">
        <v>500</v>
      </c>
      <c r="N1311" s="1" t="s">
        <v>68</v>
      </c>
      <c r="O1311" s="1">
        <v>91104</v>
      </c>
      <c r="P1311" s="1" t="s">
        <v>44</v>
      </c>
      <c r="Q1311" s="1" t="s">
        <v>1274</v>
      </c>
      <c r="R1311" s="1" t="s">
        <v>46</v>
      </c>
      <c r="S1311" s="7">
        <v>161.94</v>
      </c>
      <c r="T1311" s="1">
        <v>9</v>
      </c>
      <c r="U1311" s="9">
        <v>161.44999999999999</v>
      </c>
      <c r="V1311" s="9">
        <v>1457.46</v>
      </c>
      <c r="W1311" s="9">
        <v>1453.05</v>
      </c>
      <c r="X1311" s="12">
        <v>4.4100000000000819</v>
      </c>
      <c r="Y1311" s="10">
        <v>2017</v>
      </c>
    </row>
    <row r="1312" spans="1:25">
      <c r="A1312" s="1" t="s">
        <v>2993</v>
      </c>
      <c r="B1312" s="8">
        <v>42906</v>
      </c>
      <c r="C1312" s="11" t="s">
        <v>3403</v>
      </c>
      <c r="D1312" s="11" t="s">
        <v>3360</v>
      </c>
      <c r="E1312" s="5" t="s">
        <v>2994</v>
      </c>
      <c r="F1312" s="1" t="s">
        <v>162</v>
      </c>
      <c r="G1312" s="1" t="s">
        <v>807</v>
      </c>
      <c r="H1312" s="1" t="s">
        <v>3557</v>
      </c>
      <c r="I1312" s="1" t="s">
        <v>3558</v>
      </c>
      <c r="J1312" s="1"/>
      <c r="K1312" s="1" t="s">
        <v>29</v>
      </c>
      <c r="L1312" s="1" t="s">
        <v>30</v>
      </c>
      <c r="M1312" s="1" t="s">
        <v>500</v>
      </c>
      <c r="N1312" s="1" t="s">
        <v>68</v>
      </c>
      <c r="O1312" s="1">
        <v>91104</v>
      </c>
      <c r="P1312" s="1" t="s">
        <v>44</v>
      </c>
      <c r="Q1312" s="1" t="s">
        <v>2996</v>
      </c>
      <c r="R1312" s="1" t="s">
        <v>35</v>
      </c>
      <c r="S1312" s="7">
        <v>161.56800000000001</v>
      </c>
      <c r="T1312" s="1">
        <v>9</v>
      </c>
      <c r="U1312" s="9">
        <v>161.22</v>
      </c>
      <c r="V1312" s="9">
        <v>1454.1120000000001</v>
      </c>
      <c r="W1312" s="9">
        <v>1450.98</v>
      </c>
      <c r="X1312" s="12">
        <v>3.1320000000000618</v>
      </c>
      <c r="Y1312" s="10">
        <v>2017</v>
      </c>
    </row>
    <row r="1313" spans="1:25">
      <c r="A1313" s="1" t="s">
        <v>2997</v>
      </c>
      <c r="B1313" s="8">
        <v>42990</v>
      </c>
      <c r="C1313" s="11" t="s">
        <v>3356</v>
      </c>
      <c r="D1313" s="11" t="s">
        <v>3345</v>
      </c>
      <c r="E1313" s="5" t="s">
        <v>115</v>
      </c>
      <c r="F1313" s="1" t="s">
        <v>49</v>
      </c>
      <c r="G1313" s="1" t="s">
        <v>1694</v>
      </c>
      <c r="H1313" s="1" t="s">
        <v>3524</v>
      </c>
      <c r="I1313" s="1" t="s">
        <v>3747</v>
      </c>
      <c r="J1313" s="1"/>
      <c r="K1313" s="1" t="s">
        <v>29</v>
      </c>
      <c r="L1313" s="1" t="s">
        <v>30</v>
      </c>
      <c r="M1313" s="1" t="s">
        <v>1204</v>
      </c>
      <c r="N1313" s="1" t="s">
        <v>1014</v>
      </c>
      <c r="O1313" s="1">
        <v>1841</v>
      </c>
      <c r="P1313" s="1" t="s">
        <v>128</v>
      </c>
      <c r="Q1313" s="1" t="s">
        <v>2998</v>
      </c>
      <c r="R1313" s="1" t="s">
        <v>46</v>
      </c>
      <c r="S1313" s="7">
        <v>3.69</v>
      </c>
      <c r="T1313" s="1">
        <v>1</v>
      </c>
      <c r="U1313" s="9">
        <v>2.7</v>
      </c>
      <c r="V1313" s="9">
        <v>3.69</v>
      </c>
      <c r="W1313" s="9">
        <v>2.7</v>
      </c>
      <c r="X1313" s="12">
        <v>0.98999999999999977</v>
      </c>
      <c r="Y1313" s="10">
        <v>2017</v>
      </c>
    </row>
    <row r="1314" spans="1:25">
      <c r="A1314" s="1" t="s">
        <v>2997</v>
      </c>
      <c r="B1314" s="8">
        <v>42990</v>
      </c>
      <c r="C1314" s="11" t="s">
        <v>3356</v>
      </c>
      <c r="D1314" s="11" t="s">
        <v>3345</v>
      </c>
      <c r="E1314" s="5" t="s">
        <v>115</v>
      </c>
      <c r="F1314" s="1" t="s">
        <v>49</v>
      </c>
      <c r="G1314" s="1" t="s">
        <v>1694</v>
      </c>
      <c r="H1314" s="1" t="s">
        <v>3524</v>
      </c>
      <c r="I1314" s="1" t="s">
        <v>3747</v>
      </c>
      <c r="J1314" s="1"/>
      <c r="K1314" s="1" t="s">
        <v>29</v>
      </c>
      <c r="L1314" s="1" t="s">
        <v>30</v>
      </c>
      <c r="M1314" s="1" t="s">
        <v>1204</v>
      </c>
      <c r="N1314" s="1" t="s">
        <v>1014</v>
      </c>
      <c r="O1314" s="1">
        <v>1841</v>
      </c>
      <c r="P1314" s="1" t="s">
        <v>128</v>
      </c>
      <c r="Q1314" s="1" t="s">
        <v>2999</v>
      </c>
      <c r="R1314" s="1" t="s">
        <v>46</v>
      </c>
      <c r="S1314" s="7">
        <v>122.12</v>
      </c>
      <c r="T1314" s="1">
        <v>1</v>
      </c>
      <c r="U1314" s="9">
        <v>121.37</v>
      </c>
      <c r="V1314" s="9">
        <v>122.12</v>
      </c>
      <c r="W1314" s="9">
        <v>121.37</v>
      </c>
      <c r="X1314" s="12">
        <v>0.75</v>
      </c>
      <c r="Y1314" s="10">
        <v>2017</v>
      </c>
    </row>
    <row r="1315" spans="1:25">
      <c r="A1315" s="1" t="s">
        <v>3000</v>
      </c>
      <c r="B1315" s="8">
        <v>43002</v>
      </c>
      <c r="C1315" s="11" t="s">
        <v>3356</v>
      </c>
      <c r="D1315" s="11" t="s">
        <v>3345</v>
      </c>
      <c r="E1315" s="5">
        <v>42745</v>
      </c>
      <c r="F1315" s="1" t="s">
        <v>49</v>
      </c>
      <c r="G1315" s="1" t="s">
        <v>95</v>
      </c>
      <c r="H1315" s="1" t="s">
        <v>3368</v>
      </c>
      <c r="I1315" s="1" t="s">
        <v>3369</v>
      </c>
      <c r="J1315" s="1"/>
      <c r="K1315" s="1" t="s">
        <v>29</v>
      </c>
      <c r="L1315" s="1" t="s">
        <v>30</v>
      </c>
      <c r="M1315" s="1" t="s">
        <v>420</v>
      </c>
      <c r="N1315" s="1" t="s">
        <v>421</v>
      </c>
      <c r="O1315" s="1">
        <v>43229</v>
      </c>
      <c r="P1315" s="1" t="s">
        <v>128</v>
      </c>
      <c r="Q1315" s="1" t="s">
        <v>2031</v>
      </c>
      <c r="R1315" s="1" t="s">
        <v>35</v>
      </c>
      <c r="S1315" s="7">
        <v>155.37200000000001</v>
      </c>
      <c r="T1315" s="1">
        <v>4</v>
      </c>
      <c r="U1315" s="9">
        <v>154.79</v>
      </c>
      <c r="V1315" s="9">
        <v>621.48800000000006</v>
      </c>
      <c r="W1315" s="9">
        <v>619.16</v>
      </c>
      <c r="X1315" s="12">
        <v>2.3280000000000882</v>
      </c>
      <c r="Y1315" s="10">
        <v>2017</v>
      </c>
    </row>
    <row r="1316" spans="1:25">
      <c r="A1316" s="1" t="s">
        <v>3001</v>
      </c>
      <c r="B1316" s="8">
        <v>43087</v>
      </c>
      <c r="C1316" s="11" t="s">
        <v>3348</v>
      </c>
      <c r="D1316" s="11" t="s">
        <v>3349</v>
      </c>
      <c r="E1316" s="5" t="s">
        <v>3002</v>
      </c>
      <c r="F1316" s="1" t="s">
        <v>49</v>
      </c>
      <c r="G1316" s="1" t="s">
        <v>3003</v>
      </c>
      <c r="H1316" s="1" t="s">
        <v>3420</v>
      </c>
      <c r="I1316" s="1" t="s">
        <v>3956</v>
      </c>
      <c r="J1316" s="1"/>
      <c r="K1316" s="1" t="s">
        <v>41</v>
      </c>
      <c r="L1316" s="1" t="s">
        <v>30</v>
      </c>
      <c r="M1316" s="1" t="s">
        <v>42</v>
      </c>
      <c r="N1316" s="1" t="s">
        <v>68</v>
      </c>
      <c r="O1316" s="1">
        <v>90032</v>
      </c>
      <c r="P1316" s="1" t="s">
        <v>44</v>
      </c>
      <c r="Q1316" s="1" t="s">
        <v>3005</v>
      </c>
      <c r="R1316" s="1" t="s">
        <v>46</v>
      </c>
      <c r="S1316" s="7">
        <v>38.880000000000003</v>
      </c>
      <c r="T1316" s="1">
        <v>9</v>
      </c>
      <c r="U1316" s="9">
        <v>38</v>
      </c>
      <c r="V1316" s="9">
        <v>349.92</v>
      </c>
      <c r="W1316" s="9">
        <v>342</v>
      </c>
      <c r="X1316" s="12">
        <v>7.9200000000000159</v>
      </c>
      <c r="Y1316" s="10">
        <v>2017</v>
      </c>
    </row>
    <row r="1317" spans="1:25">
      <c r="A1317" s="1" t="s">
        <v>3001</v>
      </c>
      <c r="B1317" s="8">
        <v>43087</v>
      </c>
      <c r="C1317" s="11" t="s">
        <v>3348</v>
      </c>
      <c r="D1317" s="11" t="s">
        <v>3349</v>
      </c>
      <c r="E1317" s="5" t="s">
        <v>3002</v>
      </c>
      <c r="F1317" s="1" t="s">
        <v>49</v>
      </c>
      <c r="G1317" s="1" t="s">
        <v>3003</v>
      </c>
      <c r="H1317" s="1" t="s">
        <v>3420</v>
      </c>
      <c r="I1317" s="1" t="s">
        <v>3956</v>
      </c>
      <c r="J1317" s="1"/>
      <c r="K1317" s="1" t="s">
        <v>41</v>
      </c>
      <c r="L1317" s="1" t="s">
        <v>30</v>
      </c>
      <c r="M1317" s="1" t="s">
        <v>42</v>
      </c>
      <c r="N1317" s="1" t="s">
        <v>68</v>
      </c>
      <c r="O1317" s="1">
        <v>90032</v>
      </c>
      <c r="P1317" s="1" t="s">
        <v>44</v>
      </c>
      <c r="Q1317" s="1" t="s">
        <v>3006</v>
      </c>
      <c r="R1317" s="1" t="s">
        <v>35</v>
      </c>
      <c r="S1317" s="7">
        <v>183.84</v>
      </c>
      <c r="T1317" s="1">
        <v>9</v>
      </c>
      <c r="U1317" s="9">
        <v>183.21</v>
      </c>
      <c r="V1317" s="9">
        <v>1654.56</v>
      </c>
      <c r="W1317" s="9">
        <v>1648.89</v>
      </c>
      <c r="X1317" s="12">
        <v>5.6699999999998454</v>
      </c>
      <c r="Y1317" s="10">
        <v>2017</v>
      </c>
    </row>
    <row r="1318" spans="1:25">
      <c r="A1318" s="1" t="s">
        <v>3001</v>
      </c>
      <c r="B1318" s="8">
        <v>43087</v>
      </c>
      <c r="C1318" s="11" t="s">
        <v>3348</v>
      </c>
      <c r="D1318" s="11" t="s">
        <v>3349</v>
      </c>
      <c r="E1318" s="5" t="s">
        <v>3002</v>
      </c>
      <c r="F1318" s="1" t="s">
        <v>49</v>
      </c>
      <c r="G1318" s="1" t="s">
        <v>3003</v>
      </c>
      <c r="H1318" s="1" t="s">
        <v>3420</v>
      </c>
      <c r="I1318" s="1" t="s">
        <v>3956</v>
      </c>
      <c r="J1318" s="1"/>
      <c r="K1318" s="1" t="s">
        <v>41</v>
      </c>
      <c r="L1318" s="1" t="s">
        <v>30</v>
      </c>
      <c r="M1318" s="1" t="s">
        <v>42</v>
      </c>
      <c r="N1318" s="1" t="s">
        <v>68</v>
      </c>
      <c r="O1318" s="1">
        <v>90032</v>
      </c>
      <c r="P1318" s="1" t="s">
        <v>44</v>
      </c>
      <c r="Q1318" s="1" t="s">
        <v>1305</v>
      </c>
      <c r="R1318" s="1" t="s">
        <v>46</v>
      </c>
      <c r="S1318" s="7">
        <v>579.29999999999995</v>
      </c>
      <c r="T1318" s="1">
        <v>9</v>
      </c>
      <c r="U1318" s="9">
        <v>579.25</v>
      </c>
      <c r="V1318" s="9">
        <v>5213.7</v>
      </c>
      <c r="W1318" s="9">
        <v>5213.25</v>
      </c>
      <c r="X1318" s="12">
        <v>0.4499999999998181</v>
      </c>
      <c r="Y1318" s="10">
        <v>2017</v>
      </c>
    </row>
    <row r="1319" spans="1:25">
      <c r="A1319" s="1" t="s">
        <v>3007</v>
      </c>
      <c r="B1319" s="8">
        <v>43385</v>
      </c>
      <c r="C1319" s="11" t="s">
        <v>3387</v>
      </c>
      <c r="D1319" s="11" t="s">
        <v>3349</v>
      </c>
      <c r="E1319" s="5" t="s">
        <v>684</v>
      </c>
      <c r="F1319" s="1" t="s">
        <v>49</v>
      </c>
      <c r="G1319" s="1" t="s">
        <v>498</v>
      </c>
      <c r="H1319" s="1" t="s">
        <v>3482</v>
      </c>
      <c r="I1319" s="1" t="s">
        <v>3483</v>
      </c>
      <c r="J1319" s="1"/>
      <c r="K1319" s="1" t="s">
        <v>29</v>
      </c>
      <c r="L1319" s="1" t="s">
        <v>30</v>
      </c>
      <c r="M1319" s="1" t="s">
        <v>126</v>
      </c>
      <c r="N1319" s="1" t="s">
        <v>127</v>
      </c>
      <c r="O1319" s="1">
        <v>19120</v>
      </c>
      <c r="P1319" s="1" t="s">
        <v>128</v>
      </c>
      <c r="Q1319" s="1" t="s">
        <v>3008</v>
      </c>
      <c r="R1319" s="1" t="s">
        <v>64</v>
      </c>
      <c r="S1319" s="7">
        <v>14.2</v>
      </c>
      <c r="T1319" s="1">
        <v>1</v>
      </c>
      <c r="U1319" s="9">
        <v>13.64</v>
      </c>
      <c r="V1319" s="9">
        <v>14.2</v>
      </c>
      <c r="W1319" s="9">
        <v>13.64</v>
      </c>
      <c r="X1319" s="12">
        <v>0.55999999999999872</v>
      </c>
      <c r="Y1319" s="10">
        <v>2018</v>
      </c>
    </row>
    <row r="1320" spans="1:25">
      <c r="A1320" s="1" t="s">
        <v>3009</v>
      </c>
      <c r="B1320" s="8">
        <v>42011</v>
      </c>
      <c r="C1320" s="11" t="s">
        <v>3381</v>
      </c>
      <c r="D1320" s="11" t="s">
        <v>3382</v>
      </c>
      <c r="E1320" s="5">
        <v>42131</v>
      </c>
      <c r="F1320" s="1" t="s">
        <v>49</v>
      </c>
      <c r="G1320" s="1" t="s">
        <v>3010</v>
      </c>
      <c r="H1320" s="1" t="s">
        <v>3533</v>
      </c>
      <c r="I1320" s="1" t="s">
        <v>3957</v>
      </c>
      <c r="J1320" s="1"/>
      <c r="K1320" s="1" t="s">
        <v>41</v>
      </c>
      <c r="L1320" s="1" t="s">
        <v>30</v>
      </c>
      <c r="M1320" s="1" t="s">
        <v>3012</v>
      </c>
      <c r="N1320" s="1" t="s">
        <v>194</v>
      </c>
      <c r="O1320" s="1">
        <v>32725</v>
      </c>
      <c r="P1320" s="1" t="s">
        <v>33</v>
      </c>
      <c r="Q1320" s="1" t="s">
        <v>2907</v>
      </c>
      <c r="R1320" s="1" t="s">
        <v>64</v>
      </c>
      <c r="S1320" s="7">
        <v>575.91999999999996</v>
      </c>
      <c r="T1320" s="1">
        <v>3</v>
      </c>
      <c r="U1320" s="9">
        <v>574.96</v>
      </c>
      <c r="V1320" s="9">
        <v>1727.7599999999998</v>
      </c>
      <c r="W1320" s="9">
        <v>1724.88</v>
      </c>
      <c r="X1320" s="12">
        <v>2.8799999999996544</v>
      </c>
      <c r="Y1320" s="10">
        <v>2015</v>
      </c>
    </row>
    <row r="1321" spans="1:25">
      <c r="A1321" s="1" t="s">
        <v>3009</v>
      </c>
      <c r="B1321" s="8">
        <v>42011</v>
      </c>
      <c r="C1321" s="11" t="s">
        <v>3381</v>
      </c>
      <c r="D1321" s="11" t="s">
        <v>3382</v>
      </c>
      <c r="E1321" s="5">
        <v>42131</v>
      </c>
      <c r="F1321" s="1" t="s">
        <v>49</v>
      </c>
      <c r="G1321" s="1" t="s">
        <v>3010</v>
      </c>
      <c r="H1321" s="1" t="s">
        <v>3533</v>
      </c>
      <c r="I1321" s="1" t="s">
        <v>3957</v>
      </c>
      <c r="J1321" s="1"/>
      <c r="K1321" s="1" t="s">
        <v>41</v>
      </c>
      <c r="L1321" s="1" t="s">
        <v>30</v>
      </c>
      <c r="M1321" s="1" t="s">
        <v>3012</v>
      </c>
      <c r="N1321" s="1" t="s">
        <v>194</v>
      </c>
      <c r="O1321" s="1">
        <v>32725</v>
      </c>
      <c r="P1321" s="1" t="s">
        <v>33</v>
      </c>
      <c r="Q1321" s="1" t="s">
        <v>1953</v>
      </c>
      <c r="R1321" s="1" t="s">
        <v>46</v>
      </c>
      <c r="S1321" s="7">
        <v>5.1840000000000002</v>
      </c>
      <c r="T1321" s="1">
        <v>3</v>
      </c>
      <c r="U1321" s="9">
        <v>4.82</v>
      </c>
      <c r="V1321" s="9">
        <v>15.552</v>
      </c>
      <c r="W1321" s="9">
        <v>14.46</v>
      </c>
      <c r="X1321" s="12">
        <v>1.0919999999999987</v>
      </c>
      <c r="Y1321" s="10">
        <v>2015</v>
      </c>
    </row>
    <row r="1322" spans="1:25">
      <c r="A1322" s="1" t="s">
        <v>3013</v>
      </c>
      <c r="B1322" s="8">
        <v>43161</v>
      </c>
      <c r="C1322" s="11" t="s">
        <v>3429</v>
      </c>
      <c r="D1322" s="11" t="s">
        <v>3382</v>
      </c>
      <c r="E1322" s="5">
        <v>43314</v>
      </c>
      <c r="F1322" s="1" t="s">
        <v>49</v>
      </c>
      <c r="G1322" s="1" t="s">
        <v>3014</v>
      </c>
      <c r="H1322" s="1" t="s">
        <v>3388</v>
      </c>
      <c r="I1322" s="1" t="s">
        <v>3558</v>
      </c>
      <c r="J1322" s="1"/>
      <c r="K1322" s="1" t="s">
        <v>29</v>
      </c>
      <c r="L1322" s="1" t="s">
        <v>30</v>
      </c>
      <c r="M1322" s="1" t="s">
        <v>829</v>
      </c>
      <c r="N1322" s="1" t="s">
        <v>421</v>
      </c>
      <c r="O1322" s="1">
        <v>45231</v>
      </c>
      <c r="P1322" s="1" t="s">
        <v>128</v>
      </c>
      <c r="Q1322" s="1" t="s">
        <v>2242</v>
      </c>
      <c r="R1322" s="1" t="s">
        <v>46</v>
      </c>
      <c r="S1322" s="7">
        <v>5.2290000000000001</v>
      </c>
      <c r="T1322" s="1">
        <v>4</v>
      </c>
      <c r="U1322" s="9">
        <v>4.59</v>
      </c>
      <c r="V1322" s="9">
        <v>20.916</v>
      </c>
      <c r="W1322" s="9">
        <v>18.36</v>
      </c>
      <c r="X1322" s="12">
        <v>2.5560000000000009</v>
      </c>
      <c r="Y1322" s="10">
        <v>2018</v>
      </c>
    </row>
    <row r="1323" spans="1:25">
      <c r="A1323" s="1" t="s">
        <v>3013</v>
      </c>
      <c r="B1323" s="8">
        <v>43161</v>
      </c>
      <c r="C1323" s="11" t="s">
        <v>3429</v>
      </c>
      <c r="D1323" s="11" t="s">
        <v>3382</v>
      </c>
      <c r="E1323" s="5">
        <v>43314</v>
      </c>
      <c r="F1323" s="1" t="s">
        <v>49</v>
      </c>
      <c r="G1323" s="1" t="s">
        <v>3014</v>
      </c>
      <c r="H1323" s="1" t="s">
        <v>3388</v>
      </c>
      <c r="I1323" s="1" t="s">
        <v>3558</v>
      </c>
      <c r="J1323" s="1"/>
      <c r="K1323" s="1" t="s">
        <v>29</v>
      </c>
      <c r="L1323" s="1" t="s">
        <v>30</v>
      </c>
      <c r="M1323" s="1" t="s">
        <v>829</v>
      </c>
      <c r="N1323" s="1" t="s">
        <v>421</v>
      </c>
      <c r="O1323" s="1">
        <v>45231</v>
      </c>
      <c r="P1323" s="1" t="s">
        <v>128</v>
      </c>
      <c r="Q1323" s="1" t="s">
        <v>1639</v>
      </c>
      <c r="R1323" s="1" t="s">
        <v>46</v>
      </c>
      <c r="S1323" s="7">
        <v>285.55200000000002</v>
      </c>
      <c r="T1323" s="1">
        <v>4</v>
      </c>
      <c r="U1323" s="9">
        <v>285.41000000000003</v>
      </c>
      <c r="V1323" s="9">
        <v>1142.2080000000001</v>
      </c>
      <c r="W1323" s="9">
        <v>1141.6400000000001</v>
      </c>
      <c r="X1323" s="12">
        <v>0.56799999999998363</v>
      </c>
      <c r="Y1323" s="10">
        <v>2018</v>
      </c>
    </row>
    <row r="1324" spans="1:25">
      <c r="A1324" s="1" t="s">
        <v>3016</v>
      </c>
      <c r="B1324" s="8">
        <v>43162</v>
      </c>
      <c r="C1324" s="11" t="s">
        <v>3429</v>
      </c>
      <c r="D1324" s="11" t="s">
        <v>3382</v>
      </c>
      <c r="E1324" s="5">
        <v>43315</v>
      </c>
      <c r="F1324" s="1" t="s">
        <v>49</v>
      </c>
      <c r="G1324" s="1" t="s">
        <v>3017</v>
      </c>
      <c r="H1324" s="1" t="s">
        <v>3698</v>
      </c>
      <c r="I1324" s="1" t="s">
        <v>3628</v>
      </c>
      <c r="J1324" s="1"/>
      <c r="K1324" s="1" t="s">
        <v>29</v>
      </c>
      <c r="L1324" s="1" t="s">
        <v>30</v>
      </c>
      <c r="M1324" s="1" t="s">
        <v>3019</v>
      </c>
      <c r="N1324" s="1" t="s">
        <v>32</v>
      </c>
      <c r="O1324" s="1">
        <v>42071</v>
      </c>
      <c r="P1324" s="1" t="s">
        <v>33</v>
      </c>
      <c r="Q1324" s="1" t="s">
        <v>3020</v>
      </c>
      <c r="R1324" s="1" t="s">
        <v>46</v>
      </c>
      <c r="S1324" s="7">
        <v>72.8</v>
      </c>
      <c r="T1324" s="1">
        <v>4</v>
      </c>
      <c r="U1324" s="9">
        <v>72.63</v>
      </c>
      <c r="V1324" s="9">
        <v>291.2</v>
      </c>
      <c r="W1324" s="9">
        <v>290.52</v>
      </c>
      <c r="X1324" s="12">
        <v>0.68000000000000682</v>
      </c>
      <c r="Y1324" s="10">
        <v>2018</v>
      </c>
    </row>
    <row r="1325" spans="1:25">
      <c r="A1325" s="1" t="s">
        <v>3021</v>
      </c>
      <c r="B1325" s="8">
        <v>43353</v>
      </c>
      <c r="C1325" s="11" t="s">
        <v>3356</v>
      </c>
      <c r="D1325" s="11" t="s">
        <v>3345</v>
      </c>
      <c r="E1325" s="5">
        <v>43383</v>
      </c>
      <c r="F1325" s="1" t="s">
        <v>162</v>
      </c>
      <c r="G1325" s="1" t="s">
        <v>3022</v>
      </c>
      <c r="H1325" s="1" t="s">
        <v>3958</v>
      </c>
      <c r="I1325" s="1" t="s">
        <v>3959</v>
      </c>
      <c r="J1325" s="1"/>
      <c r="K1325" s="1" t="s">
        <v>29</v>
      </c>
      <c r="L1325" s="1" t="s">
        <v>30</v>
      </c>
      <c r="M1325" s="1" t="s">
        <v>438</v>
      </c>
      <c r="N1325" s="1" t="s">
        <v>75</v>
      </c>
      <c r="O1325" s="1">
        <v>28403</v>
      </c>
      <c r="P1325" s="1" t="s">
        <v>33</v>
      </c>
      <c r="Q1325" s="1" t="s">
        <v>3024</v>
      </c>
      <c r="R1325" s="1" t="s">
        <v>46</v>
      </c>
      <c r="S1325" s="7">
        <v>10.816000000000001</v>
      </c>
      <c r="T1325" s="1">
        <v>2</v>
      </c>
      <c r="U1325" s="9">
        <v>10.77</v>
      </c>
      <c r="V1325" s="9">
        <v>21.632000000000001</v>
      </c>
      <c r="W1325" s="9">
        <v>21.54</v>
      </c>
      <c r="X1325" s="12">
        <v>9.2000000000002302E-2</v>
      </c>
      <c r="Y1325" s="10">
        <v>2018</v>
      </c>
    </row>
    <row r="1326" spans="1:25">
      <c r="A1326" s="1" t="s">
        <v>3025</v>
      </c>
      <c r="B1326" s="8">
        <v>42275</v>
      </c>
      <c r="C1326" s="11" t="s">
        <v>3356</v>
      </c>
      <c r="D1326" s="11" t="s">
        <v>3345</v>
      </c>
      <c r="E1326" s="5">
        <v>42073</v>
      </c>
      <c r="F1326" s="1" t="s">
        <v>49</v>
      </c>
      <c r="G1326" s="1" t="s">
        <v>3026</v>
      </c>
      <c r="H1326" s="1" t="s">
        <v>3854</v>
      </c>
      <c r="I1326" s="1" t="s">
        <v>3960</v>
      </c>
      <c r="J1326" s="1"/>
      <c r="K1326" s="1" t="s">
        <v>41</v>
      </c>
      <c r="L1326" s="1" t="s">
        <v>30</v>
      </c>
      <c r="M1326" s="1" t="s">
        <v>1204</v>
      </c>
      <c r="N1326" s="1" t="s">
        <v>1014</v>
      </c>
      <c r="O1326" s="1">
        <v>1841</v>
      </c>
      <c r="P1326" s="1" t="s">
        <v>128</v>
      </c>
      <c r="Q1326" s="1" t="s">
        <v>1328</v>
      </c>
      <c r="R1326" s="1" t="s">
        <v>46</v>
      </c>
      <c r="S1326" s="7">
        <v>46.26</v>
      </c>
      <c r="T1326" s="1">
        <v>1</v>
      </c>
      <c r="U1326" s="9">
        <v>45.29</v>
      </c>
      <c r="V1326" s="9">
        <v>46.26</v>
      </c>
      <c r="W1326" s="9">
        <v>45.29</v>
      </c>
      <c r="X1326" s="12">
        <v>0.96999999999999886</v>
      </c>
      <c r="Y1326" s="10">
        <v>2015</v>
      </c>
    </row>
    <row r="1327" spans="1:25">
      <c r="A1327" s="1" t="s">
        <v>3028</v>
      </c>
      <c r="B1327" s="8">
        <v>42151</v>
      </c>
      <c r="C1327" s="11" t="s">
        <v>3363</v>
      </c>
      <c r="D1327" s="11" t="s">
        <v>3360</v>
      </c>
      <c r="E1327" s="5" t="s">
        <v>3029</v>
      </c>
      <c r="F1327" s="1" t="s">
        <v>162</v>
      </c>
      <c r="G1327" s="1" t="s">
        <v>685</v>
      </c>
      <c r="H1327" s="1" t="s">
        <v>3533</v>
      </c>
      <c r="I1327" s="1" t="s">
        <v>3534</v>
      </c>
      <c r="J1327" s="1"/>
      <c r="K1327" s="1" t="s">
        <v>29</v>
      </c>
      <c r="L1327" s="1" t="s">
        <v>30</v>
      </c>
      <c r="M1327" s="1" t="s">
        <v>259</v>
      </c>
      <c r="N1327" s="1" t="s">
        <v>182</v>
      </c>
      <c r="O1327" s="1">
        <v>60653</v>
      </c>
      <c r="P1327" s="1" t="s">
        <v>90</v>
      </c>
      <c r="Q1327" s="1" t="s">
        <v>3030</v>
      </c>
      <c r="R1327" s="1" t="s">
        <v>46</v>
      </c>
      <c r="S1327" s="7">
        <v>17.46</v>
      </c>
      <c r="T1327" s="1">
        <v>6</v>
      </c>
      <c r="U1327" s="9">
        <v>16.75</v>
      </c>
      <c r="V1327" s="9">
        <v>104.76</v>
      </c>
      <c r="W1327" s="9">
        <v>100.5</v>
      </c>
      <c r="X1327" s="12">
        <v>4.2600000000000051</v>
      </c>
      <c r="Y1327" s="10">
        <v>2015</v>
      </c>
    </row>
    <row r="1328" spans="1:25">
      <c r="A1328" s="1" t="s">
        <v>3031</v>
      </c>
      <c r="B1328" s="8">
        <v>42535</v>
      </c>
      <c r="C1328" s="11" t="s">
        <v>3403</v>
      </c>
      <c r="D1328" s="11" t="s">
        <v>3360</v>
      </c>
      <c r="E1328" s="5" t="s">
        <v>3032</v>
      </c>
      <c r="F1328" s="1" t="s">
        <v>49</v>
      </c>
      <c r="G1328" s="1" t="s">
        <v>445</v>
      </c>
      <c r="H1328" s="1" t="s">
        <v>3468</v>
      </c>
      <c r="I1328" s="1" t="s">
        <v>3469</v>
      </c>
      <c r="J1328" s="1"/>
      <c r="K1328" s="1" t="s">
        <v>87</v>
      </c>
      <c r="L1328" s="1" t="s">
        <v>30</v>
      </c>
      <c r="M1328" s="1" t="s">
        <v>126</v>
      </c>
      <c r="N1328" s="1" t="s">
        <v>127</v>
      </c>
      <c r="O1328" s="1">
        <v>19120</v>
      </c>
      <c r="P1328" s="1" t="s">
        <v>128</v>
      </c>
      <c r="Q1328" s="1" t="s">
        <v>2837</v>
      </c>
      <c r="R1328" s="1" t="s">
        <v>35</v>
      </c>
      <c r="S1328" s="7">
        <v>51.072000000000003</v>
      </c>
      <c r="T1328" s="1">
        <v>1</v>
      </c>
      <c r="U1328" s="9">
        <v>50.77</v>
      </c>
      <c r="V1328" s="9">
        <v>51.072000000000003</v>
      </c>
      <c r="W1328" s="9">
        <v>50.77</v>
      </c>
      <c r="X1328" s="12">
        <v>0.3019999999999996</v>
      </c>
      <c r="Y1328" s="10">
        <v>2016</v>
      </c>
    </row>
    <row r="1329" spans="1:25">
      <c r="A1329" s="1" t="s">
        <v>3033</v>
      </c>
      <c r="B1329" s="8">
        <v>42824</v>
      </c>
      <c r="C1329" s="11" t="s">
        <v>3429</v>
      </c>
      <c r="D1329" s="11" t="s">
        <v>3382</v>
      </c>
      <c r="E1329" s="5">
        <v>42739</v>
      </c>
      <c r="F1329" s="1" t="s">
        <v>162</v>
      </c>
      <c r="G1329" s="1" t="s">
        <v>3034</v>
      </c>
      <c r="H1329" s="1" t="s">
        <v>3931</v>
      </c>
      <c r="I1329" s="1" t="s">
        <v>3961</v>
      </c>
      <c r="J1329" s="1"/>
      <c r="K1329" s="1" t="s">
        <v>41</v>
      </c>
      <c r="L1329" s="1" t="s">
        <v>30</v>
      </c>
      <c r="M1329" s="1" t="s">
        <v>2300</v>
      </c>
      <c r="N1329" s="1" t="s">
        <v>617</v>
      </c>
      <c r="O1329" s="1">
        <v>6360</v>
      </c>
      <c r="P1329" s="1" t="s">
        <v>128</v>
      </c>
      <c r="Q1329" s="1" t="s">
        <v>2425</v>
      </c>
      <c r="R1329" s="1" t="s">
        <v>46</v>
      </c>
      <c r="S1329" s="7">
        <v>11.34</v>
      </c>
      <c r="T1329" s="1">
        <v>6</v>
      </c>
      <c r="U1329" s="9">
        <v>11.27</v>
      </c>
      <c r="V1329" s="9">
        <v>68.039999999999992</v>
      </c>
      <c r="W1329" s="9">
        <v>67.62</v>
      </c>
      <c r="X1329" s="12">
        <v>0.41999999999998749</v>
      </c>
      <c r="Y1329" s="10">
        <v>2017</v>
      </c>
    </row>
    <row r="1330" spans="1:25">
      <c r="A1330" s="1" t="s">
        <v>3036</v>
      </c>
      <c r="B1330" s="8">
        <v>43388</v>
      </c>
      <c r="C1330" s="11" t="s">
        <v>3387</v>
      </c>
      <c r="D1330" s="11" t="s">
        <v>3349</v>
      </c>
      <c r="E1330" s="5" t="s">
        <v>3037</v>
      </c>
      <c r="F1330" s="1" t="s">
        <v>26</v>
      </c>
      <c r="G1330" s="1" t="s">
        <v>3038</v>
      </c>
      <c r="H1330" s="1" t="s">
        <v>3513</v>
      </c>
      <c r="I1330" s="1" t="s">
        <v>3485</v>
      </c>
      <c r="J1330" s="1"/>
      <c r="K1330" s="1" t="s">
        <v>87</v>
      </c>
      <c r="L1330" s="1" t="s">
        <v>30</v>
      </c>
      <c r="M1330" s="1" t="s">
        <v>110</v>
      </c>
      <c r="N1330" s="1" t="s">
        <v>68</v>
      </c>
      <c r="O1330" s="1">
        <v>94110</v>
      </c>
      <c r="P1330" s="1" t="s">
        <v>44</v>
      </c>
      <c r="Q1330" s="1" t="s">
        <v>3040</v>
      </c>
      <c r="R1330" s="1" t="s">
        <v>46</v>
      </c>
      <c r="S1330" s="7">
        <v>87.92</v>
      </c>
      <c r="T1330" s="1">
        <v>9</v>
      </c>
      <c r="U1330" s="9">
        <v>87.9</v>
      </c>
      <c r="V1330" s="9">
        <v>791.28</v>
      </c>
      <c r="W1330" s="9">
        <v>791.1</v>
      </c>
      <c r="X1330" s="12">
        <v>0.17999999999994998</v>
      </c>
      <c r="Y1330" s="10">
        <v>2018</v>
      </c>
    </row>
    <row r="1331" spans="1:25">
      <c r="A1331" s="1" t="s">
        <v>3041</v>
      </c>
      <c r="B1331" s="8">
        <v>42878</v>
      </c>
      <c r="C1331" s="11" t="s">
        <v>3363</v>
      </c>
      <c r="D1331" s="11" t="s">
        <v>3360</v>
      </c>
      <c r="E1331" s="5" t="s">
        <v>3042</v>
      </c>
      <c r="F1331" s="1" t="s">
        <v>49</v>
      </c>
      <c r="G1331" s="1" t="s">
        <v>3043</v>
      </c>
      <c r="H1331" s="1" t="s">
        <v>3805</v>
      </c>
      <c r="I1331" s="1" t="s">
        <v>3909</v>
      </c>
      <c r="J1331" s="1"/>
      <c r="K1331" s="1" t="s">
        <v>29</v>
      </c>
      <c r="L1331" s="1" t="s">
        <v>30</v>
      </c>
      <c r="M1331" s="1" t="s">
        <v>110</v>
      </c>
      <c r="N1331" s="1" t="s">
        <v>68</v>
      </c>
      <c r="O1331" s="1">
        <v>94109</v>
      </c>
      <c r="P1331" s="1" t="s">
        <v>44</v>
      </c>
      <c r="Q1331" s="1" t="s">
        <v>2867</v>
      </c>
      <c r="R1331" s="1" t="s">
        <v>35</v>
      </c>
      <c r="S1331" s="7">
        <v>37.049999999999997</v>
      </c>
      <c r="T1331" s="1">
        <v>9</v>
      </c>
      <c r="U1331" s="9">
        <v>36.89</v>
      </c>
      <c r="V1331" s="9">
        <v>333.45</v>
      </c>
      <c r="W1331" s="9">
        <v>332.01</v>
      </c>
      <c r="X1331" s="12">
        <v>1.4399999999999977</v>
      </c>
      <c r="Y1331" s="10">
        <v>2017</v>
      </c>
    </row>
    <row r="1332" spans="1:25">
      <c r="A1332" s="1" t="s">
        <v>3045</v>
      </c>
      <c r="B1332" s="8">
        <v>43137</v>
      </c>
      <c r="C1332" s="11" t="s">
        <v>3461</v>
      </c>
      <c r="D1332" s="11" t="s">
        <v>3382</v>
      </c>
      <c r="E1332" s="5">
        <v>43257</v>
      </c>
      <c r="F1332" s="1" t="s">
        <v>49</v>
      </c>
      <c r="G1332" s="1" t="s">
        <v>3046</v>
      </c>
      <c r="H1332" s="1" t="s">
        <v>3370</v>
      </c>
      <c r="I1332" s="1" t="s">
        <v>3962</v>
      </c>
      <c r="J1332" s="1"/>
      <c r="K1332" s="1" t="s">
        <v>87</v>
      </c>
      <c r="L1332" s="1" t="s">
        <v>30</v>
      </c>
      <c r="M1332" s="1" t="s">
        <v>2154</v>
      </c>
      <c r="N1332" s="1" t="s">
        <v>421</v>
      </c>
      <c r="O1332" s="1">
        <v>44052</v>
      </c>
      <c r="P1332" s="1" t="s">
        <v>128</v>
      </c>
      <c r="Q1332" s="1" t="s">
        <v>1574</v>
      </c>
      <c r="R1332" s="1" t="s">
        <v>64</v>
      </c>
      <c r="S1332" s="7">
        <v>2.97</v>
      </c>
      <c r="T1332" s="1">
        <v>4</v>
      </c>
      <c r="U1332" s="9">
        <v>2.87</v>
      </c>
      <c r="V1332" s="9">
        <v>11.88</v>
      </c>
      <c r="W1332" s="9">
        <v>11.48</v>
      </c>
      <c r="X1332" s="12">
        <v>0.40000000000000036</v>
      </c>
      <c r="Y1332" s="10">
        <v>2018</v>
      </c>
    </row>
    <row r="1333" spans="1:25">
      <c r="A1333" s="1" t="s">
        <v>3045</v>
      </c>
      <c r="B1333" s="8">
        <v>43137</v>
      </c>
      <c r="C1333" s="11" t="s">
        <v>3461</v>
      </c>
      <c r="D1333" s="11" t="s">
        <v>3382</v>
      </c>
      <c r="E1333" s="5">
        <v>43257</v>
      </c>
      <c r="F1333" s="1" t="s">
        <v>49</v>
      </c>
      <c r="G1333" s="1" t="s">
        <v>3046</v>
      </c>
      <c r="H1333" s="1" t="s">
        <v>3370</v>
      </c>
      <c r="I1333" s="1" t="s">
        <v>3962</v>
      </c>
      <c r="J1333" s="1"/>
      <c r="K1333" s="1" t="s">
        <v>87</v>
      </c>
      <c r="L1333" s="1" t="s">
        <v>30</v>
      </c>
      <c r="M1333" s="1" t="s">
        <v>2154</v>
      </c>
      <c r="N1333" s="1" t="s">
        <v>421</v>
      </c>
      <c r="O1333" s="1">
        <v>44052</v>
      </c>
      <c r="P1333" s="1" t="s">
        <v>128</v>
      </c>
      <c r="Q1333" s="1" t="s">
        <v>1435</v>
      </c>
      <c r="R1333" s="1" t="s">
        <v>46</v>
      </c>
      <c r="S1333" s="7">
        <v>27.44</v>
      </c>
      <c r="T1333" s="1">
        <v>4</v>
      </c>
      <c r="U1333" s="9">
        <v>27.29</v>
      </c>
      <c r="V1333" s="9">
        <v>109.76</v>
      </c>
      <c r="W1333" s="9">
        <v>109.16</v>
      </c>
      <c r="X1333" s="12">
        <v>0.60000000000000853</v>
      </c>
      <c r="Y1333" s="10">
        <v>2018</v>
      </c>
    </row>
    <row r="1334" spans="1:25">
      <c r="A1334" s="1" t="s">
        <v>3048</v>
      </c>
      <c r="B1334" s="8">
        <v>42051</v>
      </c>
      <c r="C1334" s="11" t="s">
        <v>3461</v>
      </c>
      <c r="D1334" s="11" t="s">
        <v>3382</v>
      </c>
      <c r="E1334" s="5" t="s">
        <v>3049</v>
      </c>
      <c r="F1334" s="1" t="s">
        <v>49</v>
      </c>
      <c r="G1334" s="1" t="s">
        <v>3050</v>
      </c>
      <c r="H1334" s="1" t="s">
        <v>3537</v>
      </c>
      <c r="I1334" s="1" t="s">
        <v>3393</v>
      </c>
      <c r="J1334" s="1"/>
      <c r="K1334" s="1" t="s">
        <v>29</v>
      </c>
      <c r="L1334" s="1" t="s">
        <v>30</v>
      </c>
      <c r="M1334" s="1" t="s">
        <v>677</v>
      </c>
      <c r="N1334" s="1" t="s">
        <v>89</v>
      </c>
      <c r="O1334" s="1">
        <v>75220</v>
      </c>
      <c r="P1334" s="1" t="s">
        <v>90</v>
      </c>
      <c r="Q1334" s="1" t="s">
        <v>2418</v>
      </c>
      <c r="R1334" s="1" t="s">
        <v>46</v>
      </c>
      <c r="S1334" s="7">
        <v>1.08</v>
      </c>
      <c r="T1334" s="1">
        <v>7</v>
      </c>
      <c r="U1334" s="9">
        <v>0.93</v>
      </c>
      <c r="V1334" s="9">
        <v>7.5600000000000005</v>
      </c>
      <c r="W1334" s="9">
        <v>6.5100000000000007</v>
      </c>
      <c r="X1334" s="12">
        <v>1.0499999999999998</v>
      </c>
      <c r="Y1334" s="10">
        <v>2015</v>
      </c>
    </row>
    <row r="1335" spans="1:25">
      <c r="A1335" s="1" t="s">
        <v>3048</v>
      </c>
      <c r="B1335" s="8">
        <v>42051</v>
      </c>
      <c r="C1335" s="11" t="s">
        <v>3461</v>
      </c>
      <c r="D1335" s="11" t="s">
        <v>3382</v>
      </c>
      <c r="E1335" s="5" t="s">
        <v>3049</v>
      </c>
      <c r="F1335" s="1" t="s">
        <v>49</v>
      </c>
      <c r="G1335" s="1" t="s">
        <v>3050</v>
      </c>
      <c r="H1335" s="1" t="s">
        <v>3537</v>
      </c>
      <c r="I1335" s="1" t="s">
        <v>3393</v>
      </c>
      <c r="J1335" s="1"/>
      <c r="K1335" s="1" t="s">
        <v>29</v>
      </c>
      <c r="L1335" s="1" t="s">
        <v>30</v>
      </c>
      <c r="M1335" s="1" t="s">
        <v>677</v>
      </c>
      <c r="N1335" s="1" t="s">
        <v>89</v>
      </c>
      <c r="O1335" s="1">
        <v>75220</v>
      </c>
      <c r="P1335" s="1" t="s">
        <v>90</v>
      </c>
      <c r="Q1335" s="1" t="s">
        <v>3052</v>
      </c>
      <c r="R1335" s="1" t="s">
        <v>46</v>
      </c>
      <c r="S1335" s="7">
        <v>7.96</v>
      </c>
      <c r="T1335" s="1">
        <v>7</v>
      </c>
      <c r="U1335" s="9">
        <v>7.64</v>
      </c>
      <c r="V1335" s="9">
        <v>55.72</v>
      </c>
      <c r="W1335" s="9">
        <v>53.48</v>
      </c>
      <c r="X1335" s="12">
        <v>2.240000000000002</v>
      </c>
      <c r="Y1335" s="10">
        <v>2015</v>
      </c>
    </row>
    <row r="1336" spans="1:25">
      <c r="A1336" s="1" t="s">
        <v>3053</v>
      </c>
      <c r="B1336" s="8">
        <v>42160</v>
      </c>
      <c r="C1336" s="11" t="s">
        <v>3403</v>
      </c>
      <c r="D1336" s="11" t="s">
        <v>3360</v>
      </c>
      <c r="E1336" s="5">
        <v>42282</v>
      </c>
      <c r="F1336" s="1" t="s">
        <v>49</v>
      </c>
      <c r="G1336" s="1" t="s">
        <v>85</v>
      </c>
      <c r="H1336" s="1" t="s">
        <v>3366</v>
      </c>
      <c r="I1336" s="1" t="s">
        <v>3367</v>
      </c>
      <c r="J1336" s="1"/>
      <c r="K1336" s="1" t="s">
        <v>87</v>
      </c>
      <c r="L1336" s="1" t="s">
        <v>30</v>
      </c>
      <c r="M1336" s="1" t="s">
        <v>42</v>
      </c>
      <c r="N1336" s="1" t="s">
        <v>68</v>
      </c>
      <c r="O1336" s="1">
        <v>90049</v>
      </c>
      <c r="P1336" s="1" t="s">
        <v>44</v>
      </c>
      <c r="Q1336" s="1" t="s">
        <v>2290</v>
      </c>
      <c r="R1336" s="1" t="s">
        <v>46</v>
      </c>
      <c r="S1336" s="7">
        <v>140.73599999999999</v>
      </c>
      <c r="T1336" s="1">
        <v>9</v>
      </c>
      <c r="U1336" s="9">
        <v>139.83000000000001</v>
      </c>
      <c r="V1336" s="9">
        <v>1266.6239999999998</v>
      </c>
      <c r="W1336" s="9">
        <v>1258.47</v>
      </c>
      <c r="X1336" s="12">
        <v>8.153999999999769</v>
      </c>
      <c r="Y1336" s="10">
        <v>2015</v>
      </c>
    </row>
    <row r="1337" spans="1:25">
      <c r="A1337" s="1" t="s">
        <v>3054</v>
      </c>
      <c r="B1337" s="8">
        <v>42871</v>
      </c>
      <c r="C1337" s="11" t="s">
        <v>3363</v>
      </c>
      <c r="D1337" s="11" t="s">
        <v>3360</v>
      </c>
      <c r="E1337" s="5" t="s">
        <v>1449</v>
      </c>
      <c r="F1337" s="1" t="s">
        <v>49</v>
      </c>
      <c r="G1337" s="1" t="s">
        <v>3055</v>
      </c>
      <c r="H1337" s="1" t="s">
        <v>3437</v>
      </c>
      <c r="I1337" s="1" t="s">
        <v>3724</v>
      </c>
      <c r="J1337" s="1"/>
      <c r="K1337" s="1" t="s">
        <v>29</v>
      </c>
      <c r="L1337" s="1" t="s">
        <v>30</v>
      </c>
      <c r="M1337" s="1" t="s">
        <v>3057</v>
      </c>
      <c r="N1337" s="1" t="s">
        <v>617</v>
      </c>
      <c r="O1337" s="1">
        <v>6457</v>
      </c>
      <c r="P1337" s="1" t="s">
        <v>128</v>
      </c>
      <c r="Q1337" s="1" t="s">
        <v>3058</v>
      </c>
      <c r="R1337" s="1" t="s">
        <v>46</v>
      </c>
      <c r="S1337" s="7">
        <v>552.55999999999995</v>
      </c>
      <c r="T1337" s="1">
        <v>6</v>
      </c>
      <c r="U1337" s="9">
        <v>551.95000000000005</v>
      </c>
      <c r="V1337" s="9">
        <v>3315.3599999999997</v>
      </c>
      <c r="W1337" s="9">
        <v>3311.7000000000003</v>
      </c>
      <c r="X1337" s="12">
        <v>3.6599999999993997</v>
      </c>
      <c r="Y1337" s="10">
        <v>2017</v>
      </c>
    </row>
    <row r="1338" spans="1:25">
      <c r="A1338" s="1" t="s">
        <v>3059</v>
      </c>
      <c r="B1338" s="8">
        <v>43135</v>
      </c>
      <c r="C1338" s="11" t="s">
        <v>3461</v>
      </c>
      <c r="D1338" s="11" t="s">
        <v>3382</v>
      </c>
      <c r="E1338" s="5">
        <v>43285</v>
      </c>
      <c r="F1338" s="1" t="s">
        <v>49</v>
      </c>
      <c r="G1338" s="1" t="s">
        <v>3060</v>
      </c>
      <c r="H1338" s="1" t="s">
        <v>3963</v>
      </c>
      <c r="I1338" s="1" t="s">
        <v>3964</v>
      </c>
      <c r="J1338" s="1"/>
      <c r="K1338" s="1" t="s">
        <v>29</v>
      </c>
      <c r="L1338" s="1" t="s">
        <v>30</v>
      </c>
      <c r="M1338" s="1" t="s">
        <v>42</v>
      </c>
      <c r="N1338" s="1" t="s">
        <v>68</v>
      </c>
      <c r="O1338" s="1">
        <v>90008</v>
      </c>
      <c r="P1338" s="1" t="s">
        <v>44</v>
      </c>
      <c r="Q1338" s="1" t="s">
        <v>2898</v>
      </c>
      <c r="R1338" s="1" t="s">
        <v>35</v>
      </c>
      <c r="S1338" s="7">
        <v>25.11</v>
      </c>
      <c r="T1338" s="1">
        <v>9</v>
      </c>
      <c r="U1338" s="9">
        <v>24.28</v>
      </c>
      <c r="V1338" s="9">
        <v>225.99</v>
      </c>
      <c r="W1338" s="9">
        <v>218.52</v>
      </c>
      <c r="X1338" s="12">
        <v>7.4699999999999989</v>
      </c>
      <c r="Y1338" s="10">
        <v>2018</v>
      </c>
    </row>
    <row r="1339" spans="1:25">
      <c r="A1339" s="1" t="s">
        <v>3062</v>
      </c>
      <c r="B1339" s="8">
        <v>43190</v>
      </c>
      <c r="C1339" s="11" t="s">
        <v>3429</v>
      </c>
      <c r="D1339" s="11" t="s">
        <v>3382</v>
      </c>
      <c r="E1339" s="5">
        <v>43135</v>
      </c>
      <c r="F1339" s="1" t="s">
        <v>26</v>
      </c>
      <c r="G1339" s="1" t="s">
        <v>3063</v>
      </c>
      <c r="H1339" s="1" t="s">
        <v>3503</v>
      </c>
      <c r="I1339" s="1" t="s">
        <v>3965</v>
      </c>
      <c r="J1339" s="1"/>
      <c r="K1339" s="1" t="s">
        <v>29</v>
      </c>
      <c r="L1339" s="1" t="s">
        <v>30</v>
      </c>
      <c r="M1339" s="1" t="s">
        <v>233</v>
      </c>
      <c r="N1339" s="1" t="s">
        <v>234</v>
      </c>
      <c r="O1339" s="1">
        <v>10011</v>
      </c>
      <c r="P1339" s="1" t="s">
        <v>128</v>
      </c>
      <c r="Q1339" s="1" t="s">
        <v>3065</v>
      </c>
      <c r="R1339" s="1" t="s">
        <v>35</v>
      </c>
      <c r="S1339" s="7">
        <v>29.78</v>
      </c>
      <c r="T1339" s="1">
        <v>1</v>
      </c>
      <c r="U1339" s="9">
        <v>29.58</v>
      </c>
      <c r="V1339" s="9">
        <v>29.78</v>
      </c>
      <c r="W1339" s="9">
        <v>29.58</v>
      </c>
      <c r="X1339" s="12">
        <v>0.20000000000000284</v>
      </c>
      <c r="Y1339" s="10">
        <v>2018</v>
      </c>
    </row>
    <row r="1340" spans="1:25">
      <c r="A1340" s="1" t="s">
        <v>3062</v>
      </c>
      <c r="B1340" s="8">
        <v>43190</v>
      </c>
      <c r="C1340" s="11" t="s">
        <v>3429</v>
      </c>
      <c r="D1340" s="11" t="s">
        <v>3382</v>
      </c>
      <c r="E1340" s="5">
        <v>43135</v>
      </c>
      <c r="F1340" s="1" t="s">
        <v>26</v>
      </c>
      <c r="G1340" s="1" t="s">
        <v>3063</v>
      </c>
      <c r="H1340" s="1" t="s">
        <v>3503</v>
      </c>
      <c r="I1340" s="1" t="s">
        <v>3965</v>
      </c>
      <c r="J1340" s="1"/>
      <c r="K1340" s="1" t="s">
        <v>29</v>
      </c>
      <c r="L1340" s="1" t="s">
        <v>30</v>
      </c>
      <c r="M1340" s="1" t="s">
        <v>233</v>
      </c>
      <c r="N1340" s="1" t="s">
        <v>234</v>
      </c>
      <c r="O1340" s="1">
        <v>10011</v>
      </c>
      <c r="P1340" s="1" t="s">
        <v>128</v>
      </c>
      <c r="Q1340" s="1" t="s">
        <v>3066</v>
      </c>
      <c r="R1340" s="1" t="s">
        <v>64</v>
      </c>
      <c r="S1340" s="7">
        <v>677.58</v>
      </c>
      <c r="T1340" s="1">
        <v>1</v>
      </c>
      <c r="U1340" s="9">
        <v>677.48</v>
      </c>
      <c r="V1340" s="9">
        <v>677.58</v>
      </c>
      <c r="W1340" s="9">
        <v>677.48</v>
      </c>
      <c r="X1340" s="12">
        <v>0.10000000000002274</v>
      </c>
      <c r="Y1340" s="10">
        <v>2018</v>
      </c>
    </row>
    <row r="1341" spans="1:25">
      <c r="A1341" s="1" t="s">
        <v>3062</v>
      </c>
      <c r="B1341" s="8">
        <v>43190</v>
      </c>
      <c r="C1341" s="11" t="s">
        <v>3429</v>
      </c>
      <c r="D1341" s="11" t="s">
        <v>3382</v>
      </c>
      <c r="E1341" s="5">
        <v>43135</v>
      </c>
      <c r="F1341" s="1" t="s">
        <v>26</v>
      </c>
      <c r="G1341" s="1" t="s">
        <v>3063</v>
      </c>
      <c r="H1341" s="1" t="s">
        <v>3503</v>
      </c>
      <c r="I1341" s="1" t="s">
        <v>3965</v>
      </c>
      <c r="J1341" s="1"/>
      <c r="K1341" s="1" t="s">
        <v>29</v>
      </c>
      <c r="L1341" s="1" t="s">
        <v>30</v>
      </c>
      <c r="M1341" s="1" t="s">
        <v>233</v>
      </c>
      <c r="N1341" s="1" t="s">
        <v>234</v>
      </c>
      <c r="O1341" s="1">
        <v>10011</v>
      </c>
      <c r="P1341" s="1" t="s">
        <v>128</v>
      </c>
      <c r="Q1341" s="1" t="s">
        <v>3067</v>
      </c>
      <c r="R1341" s="1" t="s">
        <v>46</v>
      </c>
      <c r="S1341" s="7">
        <v>75.040000000000006</v>
      </c>
      <c r="T1341" s="1">
        <v>1</v>
      </c>
      <c r="U1341" s="9">
        <v>74.14</v>
      </c>
      <c r="V1341" s="9">
        <v>75.040000000000006</v>
      </c>
      <c r="W1341" s="9">
        <v>74.14</v>
      </c>
      <c r="X1341" s="12">
        <v>0.90000000000000568</v>
      </c>
      <c r="Y1341" s="10">
        <v>2018</v>
      </c>
    </row>
    <row r="1342" spans="1:25">
      <c r="A1342" s="1" t="s">
        <v>3068</v>
      </c>
      <c r="B1342" s="8">
        <v>43132</v>
      </c>
      <c r="C1342" s="11" t="s">
        <v>3461</v>
      </c>
      <c r="D1342" s="11" t="s">
        <v>3382</v>
      </c>
      <c r="E1342" s="5">
        <v>43191</v>
      </c>
      <c r="F1342" s="1" t="s">
        <v>162</v>
      </c>
      <c r="G1342" s="1" t="s">
        <v>3069</v>
      </c>
      <c r="H1342" s="1" t="s">
        <v>3966</v>
      </c>
      <c r="I1342" s="1" t="s">
        <v>3967</v>
      </c>
      <c r="J1342" s="1"/>
      <c r="K1342" s="1" t="s">
        <v>41</v>
      </c>
      <c r="L1342" s="1" t="s">
        <v>30</v>
      </c>
      <c r="M1342" s="1" t="s">
        <v>1241</v>
      </c>
      <c r="N1342" s="1" t="s">
        <v>75</v>
      </c>
      <c r="O1342" s="1">
        <v>28540</v>
      </c>
      <c r="P1342" s="1" t="s">
        <v>33</v>
      </c>
      <c r="Q1342" s="1" t="s">
        <v>3071</v>
      </c>
      <c r="R1342" s="1" t="s">
        <v>64</v>
      </c>
      <c r="S1342" s="7">
        <v>695.7</v>
      </c>
      <c r="T1342" s="1">
        <v>2</v>
      </c>
      <c r="U1342" s="9">
        <v>695.28</v>
      </c>
      <c r="V1342" s="9">
        <v>1391.4</v>
      </c>
      <c r="W1342" s="9">
        <v>1390.56</v>
      </c>
      <c r="X1342" s="12">
        <v>0.84000000000014552</v>
      </c>
      <c r="Y1342" s="10">
        <v>2018</v>
      </c>
    </row>
    <row r="1343" spans="1:25">
      <c r="A1343" s="1" t="s">
        <v>3068</v>
      </c>
      <c r="B1343" s="8">
        <v>43132</v>
      </c>
      <c r="C1343" s="11" t="s">
        <v>3461</v>
      </c>
      <c r="D1343" s="11" t="s">
        <v>3382</v>
      </c>
      <c r="E1343" s="5">
        <v>43191</v>
      </c>
      <c r="F1343" s="1" t="s">
        <v>162</v>
      </c>
      <c r="G1343" s="1" t="s">
        <v>3069</v>
      </c>
      <c r="H1343" s="1" t="s">
        <v>3966</v>
      </c>
      <c r="I1343" s="1" t="s">
        <v>3967</v>
      </c>
      <c r="J1343" s="1"/>
      <c r="K1343" s="1" t="s">
        <v>41</v>
      </c>
      <c r="L1343" s="1" t="s">
        <v>30</v>
      </c>
      <c r="M1343" s="1" t="s">
        <v>1241</v>
      </c>
      <c r="N1343" s="1" t="s">
        <v>75</v>
      </c>
      <c r="O1343" s="1">
        <v>28540</v>
      </c>
      <c r="P1343" s="1" t="s">
        <v>33</v>
      </c>
      <c r="Q1343" s="1" t="s">
        <v>2783</v>
      </c>
      <c r="R1343" s="1" t="s">
        <v>46</v>
      </c>
      <c r="S1343" s="7">
        <v>15.66</v>
      </c>
      <c r="T1343" s="1">
        <v>2</v>
      </c>
      <c r="U1343" s="9">
        <v>14.93</v>
      </c>
      <c r="V1343" s="9">
        <v>31.32</v>
      </c>
      <c r="W1343" s="9">
        <v>29.86</v>
      </c>
      <c r="X1343" s="12">
        <v>1.4600000000000009</v>
      </c>
      <c r="Y1343" s="10">
        <v>2018</v>
      </c>
    </row>
    <row r="1344" spans="1:25">
      <c r="A1344" s="1" t="s">
        <v>3068</v>
      </c>
      <c r="B1344" s="8">
        <v>43132</v>
      </c>
      <c r="C1344" s="11" t="s">
        <v>3461</v>
      </c>
      <c r="D1344" s="11" t="s">
        <v>3382</v>
      </c>
      <c r="E1344" s="5">
        <v>43191</v>
      </c>
      <c r="F1344" s="1" t="s">
        <v>162</v>
      </c>
      <c r="G1344" s="1" t="s">
        <v>3069</v>
      </c>
      <c r="H1344" s="1" t="s">
        <v>3966</v>
      </c>
      <c r="I1344" s="1" t="s">
        <v>3967</v>
      </c>
      <c r="J1344" s="1"/>
      <c r="K1344" s="1" t="s">
        <v>41</v>
      </c>
      <c r="L1344" s="1" t="s">
        <v>30</v>
      </c>
      <c r="M1344" s="1" t="s">
        <v>1241</v>
      </c>
      <c r="N1344" s="1" t="s">
        <v>75</v>
      </c>
      <c r="O1344" s="1">
        <v>28540</v>
      </c>
      <c r="P1344" s="1" t="s">
        <v>33</v>
      </c>
      <c r="Q1344" s="1" t="s">
        <v>149</v>
      </c>
      <c r="R1344" s="1" t="s">
        <v>46</v>
      </c>
      <c r="S1344" s="7">
        <v>28.853999999999999</v>
      </c>
      <c r="T1344" s="1">
        <v>2</v>
      </c>
      <c r="U1344" s="9">
        <v>28.41</v>
      </c>
      <c r="V1344" s="9">
        <v>57.707999999999998</v>
      </c>
      <c r="W1344" s="9">
        <v>56.82</v>
      </c>
      <c r="X1344" s="12">
        <v>0.88799999999999812</v>
      </c>
      <c r="Y1344" s="10">
        <v>2018</v>
      </c>
    </row>
    <row r="1345" spans="1:25">
      <c r="A1345" s="1" t="s">
        <v>3072</v>
      </c>
      <c r="B1345" s="8">
        <v>42518</v>
      </c>
      <c r="C1345" s="11" t="s">
        <v>3363</v>
      </c>
      <c r="D1345" s="11" t="s">
        <v>3360</v>
      </c>
      <c r="E1345" s="5">
        <v>42375</v>
      </c>
      <c r="F1345" s="1" t="s">
        <v>49</v>
      </c>
      <c r="G1345" s="1" t="s">
        <v>345</v>
      </c>
      <c r="H1345" s="1" t="s">
        <v>3439</v>
      </c>
      <c r="I1345" s="1" t="s">
        <v>3440</v>
      </c>
      <c r="J1345" s="1"/>
      <c r="K1345" s="1" t="s">
        <v>29</v>
      </c>
      <c r="L1345" s="1" t="s">
        <v>30</v>
      </c>
      <c r="M1345" s="1" t="s">
        <v>3073</v>
      </c>
      <c r="N1345" s="1" t="s">
        <v>234</v>
      </c>
      <c r="O1345" s="1">
        <v>11520</v>
      </c>
      <c r="P1345" s="1" t="s">
        <v>128</v>
      </c>
      <c r="Q1345" s="1" t="s">
        <v>3074</v>
      </c>
      <c r="R1345" s="1" t="s">
        <v>46</v>
      </c>
      <c r="S1345" s="7">
        <v>47.82</v>
      </c>
      <c r="T1345" s="1">
        <v>1</v>
      </c>
      <c r="U1345" s="9">
        <v>47.44</v>
      </c>
      <c r="V1345" s="9">
        <v>47.82</v>
      </c>
      <c r="W1345" s="9">
        <v>47.44</v>
      </c>
      <c r="X1345" s="12">
        <v>0.38000000000000256</v>
      </c>
      <c r="Y1345" s="10">
        <v>2016</v>
      </c>
    </row>
    <row r="1346" spans="1:25">
      <c r="A1346" s="1" t="s">
        <v>3072</v>
      </c>
      <c r="B1346" s="8">
        <v>42518</v>
      </c>
      <c r="C1346" s="11" t="s">
        <v>3363</v>
      </c>
      <c r="D1346" s="11" t="s">
        <v>3360</v>
      </c>
      <c r="E1346" s="5">
        <v>42375</v>
      </c>
      <c r="F1346" s="1" t="s">
        <v>49</v>
      </c>
      <c r="G1346" s="1" t="s">
        <v>345</v>
      </c>
      <c r="H1346" s="1" t="s">
        <v>3439</v>
      </c>
      <c r="I1346" s="1" t="s">
        <v>3440</v>
      </c>
      <c r="J1346" s="1"/>
      <c r="K1346" s="1" t="s">
        <v>29</v>
      </c>
      <c r="L1346" s="1" t="s">
        <v>30</v>
      </c>
      <c r="M1346" s="1" t="s">
        <v>3073</v>
      </c>
      <c r="N1346" s="1" t="s">
        <v>234</v>
      </c>
      <c r="O1346" s="1">
        <v>11520</v>
      </c>
      <c r="P1346" s="1" t="s">
        <v>128</v>
      </c>
      <c r="Q1346" s="1" t="s">
        <v>3075</v>
      </c>
      <c r="R1346" s="1" t="s">
        <v>46</v>
      </c>
      <c r="S1346" s="7">
        <v>13.05</v>
      </c>
      <c r="T1346" s="1">
        <v>1</v>
      </c>
      <c r="U1346" s="9">
        <v>12.85</v>
      </c>
      <c r="V1346" s="9">
        <v>13.05</v>
      </c>
      <c r="W1346" s="9">
        <v>12.85</v>
      </c>
      <c r="X1346" s="12">
        <v>0.20000000000000107</v>
      </c>
      <c r="Y1346" s="10">
        <v>2016</v>
      </c>
    </row>
    <row r="1347" spans="1:25">
      <c r="A1347" s="1" t="s">
        <v>3076</v>
      </c>
      <c r="B1347" s="8">
        <v>42080</v>
      </c>
      <c r="C1347" s="11" t="s">
        <v>3429</v>
      </c>
      <c r="D1347" s="11" t="s">
        <v>3382</v>
      </c>
      <c r="E1347" s="5" t="s">
        <v>3077</v>
      </c>
      <c r="F1347" s="1" t="s">
        <v>49</v>
      </c>
      <c r="G1347" s="1" t="s">
        <v>1426</v>
      </c>
      <c r="H1347" s="1" t="s">
        <v>3684</v>
      </c>
      <c r="I1347" s="1" t="s">
        <v>3393</v>
      </c>
      <c r="J1347" s="1"/>
      <c r="K1347" s="1" t="s">
        <v>29</v>
      </c>
      <c r="L1347" s="1" t="s">
        <v>30</v>
      </c>
      <c r="M1347" s="1" t="s">
        <v>765</v>
      </c>
      <c r="N1347" s="1" t="s">
        <v>201</v>
      </c>
      <c r="O1347" s="1">
        <v>55044</v>
      </c>
      <c r="P1347" s="1" t="s">
        <v>90</v>
      </c>
      <c r="Q1347" s="1" t="s">
        <v>1876</v>
      </c>
      <c r="R1347" s="1" t="s">
        <v>46</v>
      </c>
      <c r="S1347" s="7">
        <v>93.78</v>
      </c>
      <c r="T1347" s="1">
        <v>5</v>
      </c>
      <c r="U1347" s="9">
        <v>93.01</v>
      </c>
      <c r="V1347" s="9">
        <v>468.9</v>
      </c>
      <c r="W1347" s="9">
        <v>465.05</v>
      </c>
      <c r="X1347" s="12">
        <v>3.8499999999999659</v>
      </c>
      <c r="Y1347" s="10">
        <v>2015</v>
      </c>
    </row>
    <row r="1348" spans="1:25">
      <c r="A1348" s="1" t="s">
        <v>3076</v>
      </c>
      <c r="B1348" s="8">
        <v>42080</v>
      </c>
      <c r="C1348" s="11" t="s">
        <v>3429</v>
      </c>
      <c r="D1348" s="11" t="s">
        <v>3382</v>
      </c>
      <c r="E1348" s="5" t="s">
        <v>3077</v>
      </c>
      <c r="F1348" s="1" t="s">
        <v>49</v>
      </c>
      <c r="G1348" s="1" t="s">
        <v>1426</v>
      </c>
      <c r="H1348" s="1" t="s">
        <v>3684</v>
      </c>
      <c r="I1348" s="1" t="s">
        <v>3393</v>
      </c>
      <c r="J1348" s="1"/>
      <c r="K1348" s="1" t="s">
        <v>29</v>
      </c>
      <c r="L1348" s="1" t="s">
        <v>30</v>
      </c>
      <c r="M1348" s="1" t="s">
        <v>765</v>
      </c>
      <c r="N1348" s="1" t="s">
        <v>201</v>
      </c>
      <c r="O1348" s="1">
        <v>55044</v>
      </c>
      <c r="P1348" s="1" t="s">
        <v>90</v>
      </c>
      <c r="Q1348" s="1" t="s">
        <v>3078</v>
      </c>
      <c r="R1348" s="1" t="s">
        <v>46</v>
      </c>
      <c r="S1348" s="7">
        <v>47.18</v>
      </c>
      <c r="T1348" s="1">
        <v>5</v>
      </c>
      <c r="U1348" s="9">
        <v>46.28</v>
      </c>
      <c r="V1348" s="9">
        <v>235.9</v>
      </c>
      <c r="W1348" s="9">
        <v>231.4</v>
      </c>
      <c r="X1348" s="12">
        <v>4.5</v>
      </c>
      <c r="Y1348" s="10">
        <v>2015</v>
      </c>
    </row>
    <row r="1349" spans="1:25">
      <c r="A1349" s="1" t="s">
        <v>3076</v>
      </c>
      <c r="B1349" s="8">
        <v>42080</v>
      </c>
      <c r="C1349" s="11" t="s">
        <v>3429</v>
      </c>
      <c r="D1349" s="11" t="s">
        <v>3382</v>
      </c>
      <c r="E1349" s="5" t="s">
        <v>3077</v>
      </c>
      <c r="F1349" s="1" t="s">
        <v>49</v>
      </c>
      <c r="G1349" s="1" t="s">
        <v>1426</v>
      </c>
      <c r="H1349" s="1" t="s">
        <v>3684</v>
      </c>
      <c r="I1349" s="1" t="s">
        <v>3393</v>
      </c>
      <c r="J1349" s="1"/>
      <c r="K1349" s="1" t="s">
        <v>29</v>
      </c>
      <c r="L1349" s="1" t="s">
        <v>30</v>
      </c>
      <c r="M1349" s="1" t="s">
        <v>765</v>
      </c>
      <c r="N1349" s="1" t="s">
        <v>201</v>
      </c>
      <c r="O1349" s="1">
        <v>55044</v>
      </c>
      <c r="P1349" s="1" t="s">
        <v>90</v>
      </c>
      <c r="Q1349" s="1" t="s">
        <v>3079</v>
      </c>
      <c r="R1349" s="1" t="s">
        <v>46</v>
      </c>
      <c r="S1349" s="7">
        <v>19.68</v>
      </c>
      <c r="T1349" s="1">
        <v>5</v>
      </c>
      <c r="U1349" s="9">
        <v>19.03</v>
      </c>
      <c r="V1349" s="9">
        <v>98.4</v>
      </c>
      <c r="W1349" s="9">
        <v>95.15</v>
      </c>
      <c r="X1349" s="12">
        <v>3.25</v>
      </c>
      <c r="Y1349" s="10">
        <v>2015</v>
      </c>
    </row>
    <row r="1350" spans="1:25">
      <c r="A1350" s="1" t="s">
        <v>3076</v>
      </c>
      <c r="B1350" s="8">
        <v>42080</v>
      </c>
      <c r="C1350" s="11" t="s">
        <v>3429</v>
      </c>
      <c r="D1350" s="11" t="s">
        <v>3382</v>
      </c>
      <c r="E1350" s="5" t="s">
        <v>3077</v>
      </c>
      <c r="F1350" s="1" t="s">
        <v>49</v>
      </c>
      <c r="G1350" s="1" t="s">
        <v>1426</v>
      </c>
      <c r="H1350" s="1" t="s">
        <v>3684</v>
      </c>
      <c r="I1350" s="1" t="s">
        <v>3393</v>
      </c>
      <c r="J1350" s="1"/>
      <c r="K1350" s="1" t="s">
        <v>29</v>
      </c>
      <c r="L1350" s="1" t="s">
        <v>30</v>
      </c>
      <c r="M1350" s="1" t="s">
        <v>765</v>
      </c>
      <c r="N1350" s="1" t="s">
        <v>201</v>
      </c>
      <c r="O1350" s="1">
        <v>55044</v>
      </c>
      <c r="P1350" s="1" t="s">
        <v>90</v>
      </c>
      <c r="Q1350" s="1" t="s">
        <v>3080</v>
      </c>
      <c r="R1350" s="1" t="s">
        <v>46</v>
      </c>
      <c r="S1350" s="7">
        <v>53.4</v>
      </c>
      <c r="T1350" s="1">
        <v>5</v>
      </c>
      <c r="U1350" s="9">
        <v>52.76</v>
      </c>
      <c r="V1350" s="9">
        <v>267</v>
      </c>
      <c r="W1350" s="9">
        <v>263.8</v>
      </c>
      <c r="X1350" s="12">
        <v>3.1999999999999886</v>
      </c>
      <c r="Y1350" s="10">
        <v>2015</v>
      </c>
    </row>
    <row r="1351" spans="1:25">
      <c r="A1351" s="1" t="s">
        <v>3076</v>
      </c>
      <c r="B1351" s="8">
        <v>42080</v>
      </c>
      <c r="C1351" s="11" t="s">
        <v>3429</v>
      </c>
      <c r="D1351" s="11" t="s">
        <v>3382</v>
      </c>
      <c r="E1351" s="5" t="s">
        <v>3077</v>
      </c>
      <c r="F1351" s="1" t="s">
        <v>49</v>
      </c>
      <c r="G1351" s="1" t="s">
        <v>1426</v>
      </c>
      <c r="H1351" s="1" t="s">
        <v>3684</v>
      </c>
      <c r="I1351" s="1" t="s">
        <v>3393</v>
      </c>
      <c r="J1351" s="1"/>
      <c r="K1351" s="1" t="s">
        <v>29</v>
      </c>
      <c r="L1351" s="1" t="s">
        <v>30</v>
      </c>
      <c r="M1351" s="1" t="s">
        <v>765</v>
      </c>
      <c r="N1351" s="1" t="s">
        <v>201</v>
      </c>
      <c r="O1351" s="1">
        <v>55044</v>
      </c>
      <c r="P1351" s="1" t="s">
        <v>90</v>
      </c>
      <c r="Q1351" s="1" t="s">
        <v>3081</v>
      </c>
      <c r="R1351" s="1" t="s">
        <v>46</v>
      </c>
      <c r="S1351" s="7">
        <v>35.880000000000003</v>
      </c>
      <c r="T1351" s="1">
        <v>5</v>
      </c>
      <c r="U1351" s="9">
        <v>35.299999999999997</v>
      </c>
      <c r="V1351" s="9">
        <v>179.4</v>
      </c>
      <c r="W1351" s="9">
        <v>176.5</v>
      </c>
      <c r="X1351" s="12">
        <v>2.9000000000000057</v>
      </c>
      <c r="Y1351" s="10">
        <v>2015</v>
      </c>
    </row>
    <row r="1352" spans="1:25">
      <c r="A1352" s="1" t="s">
        <v>3082</v>
      </c>
      <c r="B1352" s="8">
        <v>42073</v>
      </c>
      <c r="C1352" s="11" t="s">
        <v>3429</v>
      </c>
      <c r="D1352" s="11" t="s">
        <v>3382</v>
      </c>
      <c r="E1352" s="5">
        <v>42226</v>
      </c>
      <c r="F1352" s="1" t="s">
        <v>26</v>
      </c>
      <c r="G1352" s="1" t="s">
        <v>3083</v>
      </c>
      <c r="H1352" s="1" t="s">
        <v>3968</v>
      </c>
      <c r="I1352" s="1" t="s">
        <v>3496</v>
      </c>
      <c r="J1352" s="1"/>
      <c r="K1352" s="1" t="s">
        <v>29</v>
      </c>
      <c r="L1352" s="1" t="s">
        <v>30</v>
      </c>
      <c r="M1352" s="1" t="s">
        <v>1945</v>
      </c>
      <c r="N1352" s="1" t="s">
        <v>182</v>
      </c>
      <c r="O1352" s="1">
        <v>60201</v>
      </c>
      <c r="P1352" s="1" t="s">
        <v>90</v>
      </c>
      <c r="Q1352" s="1" t="s">
        <v>2635</v>
      </c>
      <c r="R1352" s="1" t="s">
        <v>35</v>
      </c>
      <c r="S1352" s="7">
        <v>258.279</v>
      </c>
      <c r="T1352" s="1">
        <v>6</v>
      </c>
      <c r="U1352" s="9">
        <v>257.86</v>
      </c>
      <c r="V1352" s="9">
        <v>1549.674</v>
      </c>
      <c r="W1352" s="9">
        <v>1547.16</v>
      </c>
      <c r="X1352" s="12">
        <v>2.5139999999998963</v>
      </c>
      <c r="Y1352" s="10">
        <v>2015</v>
      </c>
    </row>
    <row r="1353" spans="1:25">
      <c r="A1353" s="1" t="s">
        <v>3085</v>
      </c>
      <c r="B1353" s="8">
        <v>42822</v>
      </c>
      <c r="C1353" s="11" t="s">
        <v>3429</v>
      </c>
      <c r="D1353" s="11" t="s">
        <v>3382</v>
      </c>
      <c r="E1353" s="5" t="s">
        <v>3086</v>
      </c>
      <c r="F1353" s="1" t="s">
        <v>162</v>
      </c>
      <c r="G1353" s="1" t="s">
        <v>3069</v>
      </c>
      <c r="H1353" s="1" t="s">
        <v>3966</v>
      </c>
      <c r="I1353" s="1" t="s">
        <v>3967</v>
      </c>
      <c r="J1353" s="1"/>
      <c r="K1353" s="1" t="s">
        <v>41</v>
      </c>
      <c r="L1353" s="1" t="s">
        <v>30</v>
      </c>
      <c r="M1353" s="1" t="s">
        <v>917</v>
      </c>
      <c r="N1353" s="1" t="s">
        <v>272</v>
      </c>
      <c r="O1353" s="1">
        <v>22204</v>
      </c>
      <c r="P1353" s="1" t="s">
        <v>33</v>
      </c>
      <c r="Q1353" s="1" t="s">
        <v>3087</v>
      </c>
      <c r="R1353" s="1" t="s">
        <v>46</v>
      </c>
      <c r="S1353" s="7">
        <v>31.4</v>
      </c>
      <c r="T1353" s="1">
        <v>2</v>
      </c>
      <c r="U1353" s="9">
        <v>30.72</v>
      </c>
      <c r="V1353" s="9">
        <v>62.8</v>
      </c>
      <c r="W1353" s="9">
        <v>61.44</v>
      </c>
      <c r="X1353" s="12">
        <v>1.3599999999999994</v>
      </c>
      <c r="Y1353" s="10">
        <v>2017</v>
      </c>
    </row>
    <row r="1354" spans="1:25">
      <c r="A1354" s="1" t="s">
        <v>3088</v>
      </c>
      <c r="B1354" s="8">
        <v>43195</v>
      </c>
      <c r="C1354" s="11" t="s">
        <v>3359</v>
      </c>
      <c r="D1354" s="11" t="s">
        <v>3360</v>
      </c>
      <c r="E1354" s="5">
        <v>43348</v>
      </c>
      <c r="F1354" s="1" t="s">
        <v>49</v>
      </c>
      <c r="G1354" s="1" t="s">
        <v>2395</v>
      </c>
      <c r="H1354" s="1" t="s">
        <v>3473</v>
      </c>
      <c r="I1354" s="1" t="s">
        <v>3860</v>
      </c>
      <c r="J1354" s="1"/>
      <c r="K1354" s="1" t="s">
        <v>41</v>
      </c>
      <c r="L1354" s="1" t="s">
        <v>30</v>
      </c>
      <c r="M1354" s="1" t="s">
        <v>110</v>
      </c>
      <c r="N1354" s="1" t="s">
        <v>68</v>
      </c>
      <c r="O1354" s="1">
        <v>94109</v>
      </c>
      <c r="P1354" s="1" t="s">
        <v>44</v>
      </c>
      <c r="Q1354" s="1" t="s">
        <v>1646</v>
      </c>
      <c r="R1354" s="1" t="s">
        <v>64</v>
      </c>
      <c r="S1354" s="7">
        <v>183.96</v>
      </c>
      <c r="T1354" s="1">
        <v>9</v>
      </c>
      <c r="U1354" s="9">
        <v>183.21</v>
      </c>
      <c r="V1354" s="9">
        <v>1655.64</v>
      </c>
      <c r="W1354" s="9">
        <v>1648.89</v>
      </c>
      <c r="X1354" s="12">
        <v>6.75</v>
      </c>
      <c r="Y1354" s="10">
        <v>2018</v>
      </c>
    </row>
    <row r="1355" spans="1:25">
      <c r="A1355" s="1" t="s">
        <v>3088</v>
      </c>
      <c r="B1355" s="8">
        <v>43195</v>
      </c>
      <c r="C1355" s="11" t="s">
        <v>3359</v>
      </c>
      <c r="D1355" s="11" t="s">
        <v>3360</v>
      </c>
      <c r="E1355" s="5">
        <v>43348</v>
      </c>
      <c r="F1355" s="1" t="s">
        <v>49</v>
      </c>
      <c r="G1355" s="1" t="s">
        <v>2395</v>
      </c>
      <c r="H1355" s="1" t="s">
        <v>3473</v>
      </c>
      <c r="I1355" s="1" t="s">
        <v>3860</v>
      </c>
      <c r="J1355" s="1"/>
      <c r="K1355" s="1" t="s">
        <v>41</v>
      </c>
      <c r="L1355" s="1" t="s">
        <v>30</v>
      </c>
      <c r="M1355" s="1" t="s">
        <v>110</v>
      </c>
      <c r="N1355" s="1" t="s">
        <v>68</v>
      </c>
      <c r="O1355" s="1">
        <v>94109</v>
      </c>
      <c r="P1355" s="1" t="s">
        <v>44</v>
      </c>
      <c r="Q1355" s="1" t="s">
        <v>2274</v>
      </c>
      <c r="R1355" s="1" t="s">
        <v>46</v>
      </c>
      <c r="S1355" s="7">
        <v>17.61</v>
      </c>
      <c r="T1355" s="1">
        <v>9</v>
      </c>
      <c r="U1355" s="9">
        <v>16.73</v>
      </c>
      <c r="V1355" s="9">
        <v>158.49</v>
      </c>
      <c r="W1355" s="9">
        <v>150.57</v>
      </c>
      <c r="X1355" s="12">
        <v>7.9200000000000159</v>
      </c>
      <c r="Y1355" s="10">
        <v>2018</v>
      </c>
    </row>
    <row r="1356" spans="1:25">
      <c r="A1356" s="1" t="s">
        <v>3088</v>
      </c>
      <c r="B1356" s="8">
        <v>43195</v>
      </c>
      <c r="C1356" s="11" t="s">
        <v>3359</v>
      </c>
      <c r="D1356" s="11" t="s">
        <v>3360</v>
      </c>
      <c r="E1356" s="5">
        <v>43348</v>
      </c>
      <c r="F1356" s="1" t="s">
        <v>49</v>
      </c>
      <c r="G1356" s="1" t="s">
        <v>2395</v>
      </c>
      <c r="H1356" s="1" t="s">
        <v>3473</v>
      </c>
      <c r="I1356" s="1" t="s">
        <v>3860</v>
      </c>
      <c r="J1356" s="1"/>
      <c r="K1356" s="1" t="s">
        <v>41</v>
      </c>
      <c r="L1356" s="1" t="s">
        <v>30</v>
      </c>
      <c r="M1356" s="1" t="s">
        <v>110</v>
      </c>
      <c r="N1356" s="1" t="s">
        <v>68</v>
      </c>
      <c r="O1356" s="1">
        <v>94109</v>
      </c>
      <c r="P1356" s="1" t="s">
        <v>44</v>
      </c>
      <c r="Q1356" s="1" t="s">
        <v>745</v>
      </c>
      <c r="R1356" s="1" t="s">
        <v>35</v>
      </c>
      <c r="S1356" s="7">
        <v>300.904</v>
      </c>
      <c r="T1356" s="1">
        <v>9</v>
      </c>
      <c r="U1356" s="9">
        <v>299.98</v>
      </c>
      <c r="V1356" s="9">
        <v>2708.136</v>
      </c>
      <c r="W1356" s="9">
        <v>2699.82</v>
      </c>
      <c r="X1356" s="12">
        <v>8.3159999999998035</v>
      </c>
      <c r="Y1356" s="10">
        <v>2018</v>
      </c>
    </row>
    <row r="1357" spans="1:25">
      <c r="A1357" s="1" t="s">
        <v>3089</v>
      </c>
      <c r="B1357" s="8">
        <v>42131</v>
      </c>
      <c r="C1357" s="11" t="s">
        <v>3363</v>
      </c>
      <c r="D1357" s="11" t="s">
        <v>3360</v>
      </c>
      <c r="E1357" s="5">
        <v>42131</v>
      </c>
      <c r="F1357" s="1" t="s">
        <v>1050</v>
      </c>
      <c r="G1357" s="1" t="s">
        <v>2926</v>
      </c>
      <c r="H1357" s="1" t="s">
        <v>3551</v>
      </c>
      <c r="I1357" s="1" t="s">
        <v>3949</v>
      </c>
      <c r="J1357" s="1"/>
      <c r="K1357" s="1" t="s">
        <v>29</v>
      </c>
      <c r="L1357" s="1" t="s">
        <v>30</v>
      </c>
      <c r="M1357" s="1" t="s">
        <v>172</v>
      </c>
      <c r="N1357" s="1" t="s">
        <v>89</v>
      </c>
      <c r="O1357" s="1">
        <v>77036</v>
      </c>
      <c r="P1357" s="1" t="s">
        <v>90</v>
      </c>
      <c r="Q1357" s="1" t="s">
        <v>696</v>
      </c>
      <c r="R1357" s="1" t="s">
        <v>46</v>
      </c>
      <c r="S1357" s="7">
        <v>220.77600000000001</v>
      </c>
      <c r="T1357" s="1">
        <v>7</v>
      </c>
      <c r="U1357" s="9">
        <v>220.33</v>
      </c>
      <c r="V1357" s="9">
        <v>1545.432</v>
      </c>
      <c r="W1357" s="9">
        <v>1542.3100000000002</v>
      </c>
      <c r="X1357" s="12">
        <v>3.1219999999998436</v>
      </c>
      <c r="Y1357" s="10">
        <v>2015</v>
      </c>
    </row>
    <row r="1358" spans="1:25">
      <c r="A1358" s="1" t="s">
        <v>3089</v>
      </c>
      <c r="B1358" s="8">
        <v>42131</v>
      </c>
      <c r="C1358" s="11" t="s">
        <v>3363</v>
      </c>
      <c r="D1358" s="11" t="s">
        <v>3360</v>
      </c>
      <c r="E1358" s="5">
        <v>42131</v>
      </c>
      <c r="F1358" s="1" t="s">
        <v>1050</v>
      </c>
      <c r="G1358" s="1" t="s">
        <v>2926</v>
      </c>
      <c r="H1358" s="1" t="s">
        <v>3551</v>
      </c>
      <c r="I1358" s="1" t="s">
        <v>3949</v>
      </c>
      <c r="J1358" s="1"/>
      <c r="K1358" s="1" t="s">
        <v>29</v>
      </c>
      <c r="L1358" s="1" t="s">
        <v>30</v>
      </c>
      <c r="M1358" s="1" t="s">
        <v>172</v>
      </c>
      <c r="N1358" s="1" t="s">
        <v>89</v>
      </c>
      <c r="O1358" s="1">
        <v>77036</v>
      </c>
      <c r="P1358" s="1" t="s">
        <v>90</v>
      </c>
      <c r="Q1358" s="1" t="s">
        <v>2930</v>
      </c>
      <c r="R1358" s="1" t="s">
        <v>46</v>
      </c>
      <c r="S1358" s="7">
        <v>281.42399999999998</v>
      </c>
      <c r="T1358" s="1">
        <v>7</v>
      </c>
      <c r="U1358" s="9">
        <v>281.24</v>
      </c>
      <c r="V1358" s="9">
        <v>1969.9679999999998</v>
      </c>
      <c r="W1358" s="9">
        <v>1968.68</v>
      </c>
      <c r="X1358" s="12">
        <v>1.2879999999997835</v>
      </c>
      <c r="Y1358" s="10">
        <v>2015</v>
      </c>
    </row>
    <row r="1359" spans="1:25">
      <c r="A1359" s="1" t="s">
        <v>3090</v>
      </c>
      <c r="B1359" s="8">
        <v>42860</v>
      </c>
      <c r="C1359" s="11" t="s">
        <v>3363</v>
      </c>
      <c r="D1359" s="11" t="s">
        <v>3360</v>
      </c>
      <c r="E1359" s="5">
        <v>42921</v>
      </c>
      <c r="F1359" s="1" t="s">
        <v>162</v>
      </c>
      <c r="G1359" s="1" t="s">
        <v>3091</v>
      </c>
      <c r="H1359" s="1" t="s">
        <v>3643</v>
      </c>
      <c r="I1359" s="1" t="s">
        <v>3909</v>
      </c>
      <c r="J1359" s="1"/>
      <c r="K1359" s="1" t="s">
        <v>29</v>
      </c>
      <c r="L1359" s="1" t="s">
        <v>30</v>
      </c>
      <c r="M1359" s="1" t="s">
        <v>1199</v>
      </c>
      <c r="N1359" s="1" t="s">
        <v>32</v>
      </c>
      <c r="O1359" s="1">
        <v>40214</v>
      </c>
      <c r="P1359" s="1" t="s">
        <v>33</v>
      </c>
      <c r="Q1359" s="1" t="s">
        <v>3093</v>
      </c>
      <c r="R1359" s="1" t="s">
        <v>46</v>
      </c>
      <c r="S1359" s="7">
        <v>79.14</v>
      </c>
      <c r="T1359" s="1">
        <v>4</v>
      </c>
      <c r="U1359" s="9">
        <v>78.650000000000006</v>
      </c>
      <c r="V1359" s="9">
        <v>316.56</v>
      </c>
      <c r="W1359" s="9">
        <v>314.60000000000002</v>
      </c>
      <c r="X1359" s="12">
        <v>1.9599999999999795</v>
      </c>
      <c r="Y1359" s="10">
        <v>2017</v>
      </c>
    </row>
    <row r="1360" spans="1:25">
      <c r="A1360" s="1" t="s">
        <v>3094</v>
      </c>
      <c r="B1360" s="8">
        <v>43216</v>
      </c>
      <c r="C1360" s="11" t="s">
        <v>3359</v>
      </c>
      <c r="D1360" s="11" t="s">
        <v>3360</v>
      </c>
      <c r="E1360" s="5" t="s">
        <v>2676</v>
      </c>
      <c r="F1360" s="1" t="s">
        <v>162</v>
      </c>
      <c r="G1360" s="1" t="s">
        <v>3095</v>
      </c>
      <c r="H1360" s="1" t="s">
        <v>3926</v>
      </c>
      <c r="I1360" s="1" t="s">
        <v>3969</v>
      </c>
      <c r="J1360" s="1"/>
      <c r="K1360" s="1" t="s">
        <v>29</v>
      </c>
      <c r="L1360" s="1" t="s">
        <v>30</v>
      </c>
      <c r="M1360" s="1" t="s">
        <v>88</v>
      </c>
      <c r="N1360" s="1" t="s">
        <v>89</v>
      </c>
      <c r="O1360" s="1">
        <v>76106</v>
      </c>
      <c r="P1360" s="1" t="s">
        <v>90</v>
      </c>
      <c r="Q1360" s="1" t="s">
        <v>1667</v>
      </c>
      <c r="R1360" s="1" t="s">
        <v>35</v>
      </c>
      <c r="S1360" s="7">
        <v>1.988</v>
      </c>
      <c r="T1360" s="1">
        <v>7</v>
      </c>
      <c r="U1360" s="9">
        <v>1.1100000000000001</v>
      </c>
      <c r="V1360" s="9">
        <v>13.916</v>
      </c>
      <c r="W1360" s="9">
        <v>7.7700000000000005</v>
      </c>
      <c r="X1360" s="12">
        <v>6.1459999999999999</v>
      </c>
      <c r="Y1360" s="10">
        <v>2018</v>
      </c>
    </row>
    <row r="1361" spans="1:25">
      <c r="A1361" s="1" t="s">
        <v>3097</v>
      </c>
      <c r="B1361" s="8">
        <v>42273</v>
      </c>
      <c r="C1361" s="11" t="s">
        <v>3356</v>
      </c>
      <c r="D1361" s="11" t="s">
        <v>3345</v>
      </c>
      <c r="E1361" s="5">
        <v>42014</v>
      </c>
      <c r="F1361" s="1" t="s">
        <v>26</v>
      </c>
      <c r="G1361" s="1" t="s">
        <v>3098</v>
      </c>
      <c r="H1361" s="1" t="s">
        <v>3937</v>
      </c>
      <c r="I1361" s="1" t="s">
        <v>3970</v>
      </c>
      <c r="J1361" s="1"/>
      <c r="K1361" s="1" t="s">
        <v>29</v>
      </c>
      <c r="L1361" s="1" t="s">
        <v>30</v>
      </c>
      <c r="M1361" s="1" t="s">
        <v>42</v>
      </c>
      <c r="N1361" s="1" t="s">
        <v>68</v>
      </c>
      <c r="O1361" s="1">
        <v>90049</v>
      </c>
      <c r="P1361" s="1" t="s">
        <v>44</v>
      </c>
      <c r="Q1361" s="1" t="s">
        <v>3100</v>
      </c>
      <c r="R1361" s="1" t="s">
        <v>35</v>
      </c>
      <c r="S1361" s="7">
        <v>145.56800000000001</v>
      </c>
      <c r="T1361" s="1">
        <v>9</v>
      </c>
      <c r="U1361" s="9">
        <v>145.04</v>
      </c>
      <c r="V1361" s="9">
        <v>1310.1120000000001</v>
      </c>
      <c r="W1361" s="9">
        <v>1305.3599999999999</v>
      </c>
      <c r="X1361" s="12">
        <v>4.7520000000001801</v>
      </c>
      <c r="Y1361" s="10">
        <v>2015</v>
      </c>
    </row>
    <row r="1362" spans="1:25">
      <c r="A1362" s="1" t="s">
        <v>3101</v>
      </c>
      <c r="B1362" s="8">
        <v>43392</v>
      </c>
      <c r="C1362" s="11" t="s">
        <v>3387</v>
      </c>
      <c r="D1362" s="11" t="s">
        <v>3349</v>
      </c>
      <c r="E1362" s="5" t="s">
        <v>3102</v>
      </c>
      <c r="F1362" s="1" t="s">
        <v>49</v>
      </c>
      <c r="G1362" s="1" t="s">
        <v>3103</v>
      </c>
      <c r="H1362" s="1" t="s">
        <v>3971</v>
      </c>
      <c r="I1362" s="1" t="s">
        <v>3972</v>
      </c>
      <c r="J1362" s="1"/>
      <c r="K1362" s="1" t="s">
        <v>41</v>
      </c>
      <c r="L1362" s="1" t="s">
        <v>30</v>
      </c>
      <c r="M1362" s="1" t="s">
        <v>126</v>
      </c>
      <c r="N1362" s="1" t="s">
        <v>127</v>
      </c>
      <c r="O1362" s="1">
        <v>19120</v>
      </c>
      <c r="P1362" s="1" t="s">
        <v>128</v>
      </c>
      <c r="Q1362" s="1" t="s">
        <v>2124</v>
      </c>
      <c r="R1362" s="1" t="s">
        <v>46</v>
      </c>
      <c r="S1362" s="7">
        <v>123.256</v>
      </c>
      <c r="T1362" s="1">
        <v>1</v>
      </c>
      <c r="U1362" s="9">
        <v>122.68</v>
      </c>
      <c r="V1362" s="9">
        <v>123.256</v>
      </c>
      <c r="W1362" s="9">
        <v>122.68</v>
      </c>
      <c r="X1362" s="12">
        <v>0.57599999999999341</v>
      </c>
      <c r="Y1362" s="10">
        <v>2018</v>
      </c>
    </row>
    <row r="1363" spans="1:25">
      <c r="A1363" s="1" t="s">
        <v>3101</v>
      </c>
      <c r="B1363" s="8">
        <v>43392</v>
      </c>
      <c r="C1363" s="11" t="s">
        <v>3387</v>
      </c>
      <c r="D1363" s="11" t="s">
        <v>3349</v>
      </c>
      <c r="E1363" s="5" t="s">
        <v>3102</v>
      </c>
      <c r="F1363" s="1" t="s">
        <v>49</v>
      </c>
      <c r="G1363" s="1" t="s">
        <v>3103</v>
      </c>
      <c r="H1363" s="1" t="s">
        <v>3971</v>
      </c>
      <c r="I1363" s="1" t="s">
        <v>3972</v>
      </c>
      <c r="J1363" s="1"/>
      <c r="K1363" s="1" t="s">
        <v>41</v>
      </c>
      <c r="L1363" s="1" t="s">
        <v>30</v>
      </c>
      <c r="M1363" s="1" t="s">
        <v>126</v>
      </c>
      <c r="N1363" s="1" t="s">
        <v>127</v>
      </c>
      <c r="O1363" s="1">
        <v>19120</v>
      </c>
      <c r="P1363" s="1" t="s">
        <v>128</v>
      </c>
      <c r="Q1363" s="1" t="s">
        <v>3105</v>
      </c>
      <c r="R1363" s="1" t="s">
        <v>46</v>
      </c>
      <c r="S1363" s="7">
        <v>23.68</v>
      </c>
      <c r="T1363" s="1">
        <v>1</v>
      </c>
      <c r="U1363" s="9">
        <v>22.7</v>
      </c>
      <c r="V1363" s="9">
        <v>23.68</v>
      </c>
      <c r="W1363" s="9">
        <v>22.7</v>
      </c>
      <c r="X1363" s="12">
        <v>0.98000000000000043</v>
      </c>
      <c r="Y1363" s="10">
        <v>2018</v>
      </c>
    </row>
    <row r="1364" spans="1:25">
      <c r="A1364" s="1" t="s">
        <v>3101</v>
      </c>
      <c r="B1364" s="8">
        <v>43392</v>
      </c>
      <c r="C1364" s="11" t="s">
        <v>3387</v>
      </c>
      <c r="D1364" s="11" t="s">
        <v>3349</v>
      </c>
      <c r="E1364" s="5" t="s">
        <v>3102</v>
      </c>
      <c r="F1364" s="1" t="s">
        <v>49</v>
      </c>
      <c r="G1364" s="1" t="s">
        <v>3103</v>
      </c>
      <c r="H1364" s="1" t="s">
        <v>3971</v>
      </c>
      <c r="I1364" s="1" t="s">
        <v>3972</v>
      </c>
      <c r="J1364" s="1"/>
      <c r="K1364" s="1" t="s">
        <v>41</v>
      </c>
      <c r="L1364" s="1" t="s">
        <v>30</v>
      </c>
      <c r="M1364" s="1" t="s">
        <v>126</v>
      </c>
      <c r="N1364" s="1" t="s">
        <v>127</v>
      </c>
      <c r="O1364" s="1">
        <v>19120</v>
      </c>
      <c r="P1364" s="1" t="s">
        <v>128</v>
      </c>
      <c r="Q1364" s="1" t="s">
        <v>3106</v>
      </c>
      <c r="R1364" s="1" t="s">
        <v>64</v>
      </c>
      <c r="S1364" s="7">
        <v>309.57600000000002</v>
      </c>
      <c r="T1364" s="1">
        <v>1</v>
      </c>
      <c r="U1364" s="9">
        <v>308.69</v>
      </c>
      <c r="V1364" s="9">
        <v>309.57600000000002</v>
      </c>
      <c r="W1364" s="9">
        <v>308.69</v>
      </c>
      <c r="X1364" s="12">
        <v>0.8860000000000241</v>
      </c>
      <c r="Y1364" s="10">
        <v>2018</v>
      </c>
    </row>
    <row r="1365" spans="1:25">
      <c r="A1365" s="1" t="s">
        <v>3107</v>
      </c>
      <c r="B1365" s="8">
        <v>43384</v>
      </c>
      <c r="C1365" s="11" t="s">
        <v>3387</v>
      </c>
      <c r="D1365" s="11" t="s">
        <v>3349</v>
      </c>
      <c r="E1365" s="5">
        <v>43415</v>
      </c>
      <c r="F1365" s="1" t="s">
        <v>162</v>
      </c>
      <c r="G1365" s="1" t="s">
        <v>3108</v>
      </c>
      <c r="H1365" s="1" t="s">
        <v>3670</v>
      </c>
      <c r="I1365" s="1" t="s">
        <v>3973</v>
      </c>
      <c r="J1365" s="1"/>
      <c r="K1365" s="1" t="s">
        <v>41</v>
      </c>
      <c r="L1365" s="1" t="s">
        <v>30</v>
      </c>
      <c r="M1365" s="1" t="s">
        <v>1067</v>
      </c>
      <c r="N1365" s="1" t="s">
        <v>265</v>
      </c>
      <c r="O1365" s="1">
        <v>85705</v>
      </c>
      <c r="P1365" s="1" t="s">
        <v>44</v>
      </c>
      <c r="Q1365" s="1" t="s">
        <v>1999</v>
      </c>
      <c r="R1365" s="1" t="s">
        <v>46</v>
      </c>
      <c r="S1365" s="7">
        <v>38.387999999999998</v>
      </c>
      <c r="T1365" s="1">
        <v>8</v>
      </c>
      <c r="U1365" s="9">
        <v>38.26</v>
      </c>
      <c r="V1365" s="9">
        <v>307.10399999999998</v>
      </c>
      <c r="W1365" s="9">
        <v>306.08</v>
      </c>
      <c r="X1365" s="12">
        <v>1.0240000000000009</v>
      </c>
      <c r="Y1365" s="10">
        <v>2018</v>
      </c>
    </row>
    <row r="1366" spans="1:25">
      <c r="A1366" s="1" t="s">
        <v>3107</v>
      </c>
      <c r="B1366" s="8">
        <v>43384</v>
      </c>
      <c r="C1366" s="11" t="s">
        <v>3387</v>
      </c>
      <c r="D1366" s="11" t="s">
        <v>3349</v>
      </c>
      <c r="E1366" s="5">
        <v>43415</v>
      </c>
      <c r="F1366" s="1" t="s">
        <v>162</v>
      </c>
      <c r="G1366" s="1" t="s">
        <v>3108</v>
      </c>
      <c r="H1366" s="1" t="s">
        <v>3670</v>
      </c>
      <c r="I1366" s="1" t="s">
        <v>3973</v>
      </c>
      <c r="J1366" s="1"/>
      <c r="K1366" s="1" t="s">
        <v>41</v>
      </c>
      <c r="L1366" s="1" t="s">
        <v>30</v>
      </c>
      <c r="M1366" s="1" t="s">
        <v>1067</v>
      </c>
      <c r="N1366" s="1" t="s">
        <v>265</v>
      </c>
      <c r="O1366" s="1">
        <v>85705</v>
      </c>
      <c r="P1366" s="1" t="s">
        <v>44</v>
      </c>
      <c r="Q1366" s="1" t="s">
        <v>3110</v>
      </c>
      <c r="R1366" s="1" t="s">
        <v>64</v>
      </c>
      <c r="S1366" s="7">
        <v>95.994</v>
      </c>
      <c r="T1366" s="1">
        <v>8</v>
      </c>
      <c r="U1366" s="9">
        <v>95.61</v>
      </c>
      <c r="V1366" s="9">
        <v>767.952</v>
      </c>
      <c r="W1366" s="9">
        <v>764.88</v>
      </c>
      <c r="X1366" s="12">
        <v>3.0720000000000027</v>
      </c>
      <c r="Y1366" s="10">
        <v>2018</v>
      </c>
    </row>
    <row r="1367" spans="1:25">
      <c r="A1367" s="1" t="s">
        <v>3107</v>
      </c>
      <c r="B1367" s="8">
        <v>43384</v>
      </c>
      <c r="C1367" s="11" t="s">
        <v>3387</v>
      </c>
      <c r="D1367" s="11" t="s">
        <v>3349</v>
      </c>
      <c r="E1367" s="5">
        <v>43415</v>
      </c>
      <c r="F1367" s="1" t="s">
        <v>162</v>
      </c>
      <c r="G1367" s="1" t="s">
        <v>3108</v>
      </c>
      <c r="H1367" s="1" t="s">
        <v>3670</v>
      </c>
      <c r="I1367" s="1" t="s">
        <v>3973</v>
      </c>
      <c r="J1367" s="1"/>
      <c r="K1367" s="1" t="s">
        <v>41</v>
      </c>
      <c r="L1367" s="1" t="s">
        <v>30</v>
      </c>
      <c r="M1367" s="1" t="s">
        <v>1067</v>
      </c>
      <c r="N1367" s="1" t="s">
        <v>265</v>
      </c>
      <c r="O1367" s="1">
        <v>85705</v>
      </c>
      <c r="P1367" s="1" t="s">
        <v>44</v>
      </c>
      <c r="Q1367" s="1" t="s">
        <v>3111</v>
      </c>
      <c r="R1367" s="1" t="s">
        <v>64</v>
      </c>
      <c r="S1367" s="7">
        <v>239.952</v>
      </c>
      <c r="T1367" s="1">
        <v>8</v>
      </c>
      <c r="U1367" s="9">
        <v>238.97</v>
      </c>
      <c r="V1367" s="9">
        <v>1919.616</v>
      </c>
      <c r="W1367" s="9">
        <v>1911.76</v>
      </c>
      <c r="X1367" s="12">
        <v>7.8559999999999945</v>
      </c>
      <c r="Y1367" s="10">
        <v>2018</v>
      </c>
    </row>
    <row r="1368" spans="1:25">
      <c r="A1368" s="1" t="s">
        <v>3107</v>
      </c>
      <c r="B1368" s="8">
        <v>43384</v>
      </c>
      <c r="C1368" s="11" t="s">
        <v>3387</v>
      </c>
      <c r="D1368" s="11" t="s">
        <v>3349</v>
      </c>
      <c r="E1368" s="5">
        <v>43415</v>
      </c>
      <c r="F1368" s="1" t="s">
        <v>162</v>
      </c>
      <c r="G1368" s="1" t="s">
        <v>3108</v>
      </c>
      <c r="H1368" s="1" t="s">
        <v>3670</v>
      </c>
      <c r="I1368" s="1" t="s">
        <v>3973</v>
      </c>
      <c r="J1368" s="1"/>
      <c r="K1368" s="1" t="s">
        <v>41</v>
      </c>
      <c r="L1368" s="1" t="s">
        <v>30</v>
      </c>
      <c r="M1368" s="1" t="s">
        <v>1067</v>
      </c>
      <c r="N1368" s="1" t="s">
        <v>265</v>
      </c>
      <c r="O1368" s="1">
        <v>85705</v>
      </c>
      <c r="P1368" s="1" t="s">
        <v>44</v>
      </c>
      <c r="Q1368" s="1" t="s">
        <v>713</v>
      </c>
      <c r="R1368" s="1" t="s">
        <v>64</v>
      </c>
      <c r="S1368" s="7">
        <v>201.584</v>
      </c>
      <c r="T1368" s="1">
        <v>8</v>
      </c>
      <c r="U1368" s="9">
        <v>201.48</v>
      </c>
      <c r="V1368" s="9">
        <v>1612.672</v>
      </c>
      <c r="W1368" s="9">
        <v>1611.84</v>
      </c>
      <c r="X1368" s="12">
        <v>0.83200000000010732</v>
      </c>
      <c r="Y1368" s="10">
        <v>2018</v>
      </c>
    </row>
    <row r="1369" spans="1:25">
      <c r="A1369" s="1" t="s">
        <v>3107</v>
      </c>
      <c r="B1369" s="8">
        <v>43384</v>
      </c>
      <c r="C1369" s="11" t="s">
        <v>3387</v>
      </c>
      <c r="D1369" s="11" t="s">
        <v>3349</v>
      </c>
      <c r="E1369" s="5">
        <v>43415</v>
      </c>
      <c r="F1369" s="1" t="s">
        <v>162</v>
      </c>
      <c r="G1369" s="1" t="s">
        <v>3108</v>
      </c>
      <c r="H1369" s="1" t="s">
        <v>3670</v>
      </c>
      <c r="I1369" s="1" t="s">
        <v>3973</v>
      </c>
      <c r="J1369" s="1"/>
      <c r="K1369" s="1" t="s">
        <v>41</v>
      </c>
      <c r="L1369" s="1" t="s">
        <v>30</v>
      </c>
      <c r="M1369" s="1" t="s">
        <v>1067</v>
      </c>
      <c r="N1369" s="1" t="s">
        <v>265</v>
      </c>
      <c r="O1369" s="1">
        <v>85705</v>
      </c>
      <c r="P1369" s="1" t="s">
        <v>44</v>
      </c>
      <c r="Q1369" s="1" t="s">
        <v>973</v>
      </c>
      <c r="R1369" s="1" t="s">
        <v>35</v>
      </c>
      <c r="S1369" s="7">
        <v>899.13599999999997</v>
      </c>
      <c r="T1369" s="1">
        <v>8</v>
      </c>
      <c r="U1369" s="9">
        <v>898.82</v>
      </c>
      <c r="V1369" s="9">
        <v>7193.0879999999997</v>
      </c>
      <c r="W1369" s="9">
        <v>7190.56</v>
      </c>
      <c r="X1369" s="12">
        <v>2.5279999999993379</v>
      </c>
      <c r="Y1369" s="10">
        <v>2018</v>
      </c>
    </row>
    <row r="1370" spans="1:25">
      <c r="A1370" s="1" t="s">
        <v>3112</v>
      </c>
      <c r="B1370" s="8">
        <v>43319</v>
      </c>
      <c r="C1370" s="11" t="s">
        <v>3344</v>
      </c>
      <c r="D1370" s="11" t="s">
        <v>3345</v>
      </c>
      <c r="E1370" s="5">
        <v>43411</v>
      </c>
      <c r="F1370" s="1" t="s">
        <v>162</v>
      </c>
      <c r="G1370" s="1" t="s">
        <v>3113</v>
      </c>
      <c r="H1370" s="1" t="s">
        <v>3974</v>
      </c>
      <c r="I1370" s="1" t="s">
        <v>3975</v>
      </c>
      <c r="J1370" s="1"/>
      <c r="K1370" s="1" t="s">
        <v>87</v>
      </c>
      <c r="L1370" s="1" t="s">
        <v>30</v>
      </c>
      <c r="M1370" s="1" t="s">
        <v>3115</v>
      </c>
      <c r="N1370" s="1" t="s">
        <v>68</v>
      </c>
      <c r="O1370" s="1">
        <v>90660</v>
      </c>
      <c r="P1370" s="1" t="s">
        <v>44</v>
      </c>
      <c r="Q1370" s="1" t="s">
        <v>932</v>
      </c>
      <c r="R1370" s="1" t="s">
        <v>35</v>
      </c>
      <c r="S1370" s="7">
        <v>145.9</v>
      </c>
      <c r="T1370" s="1">
        <v>9</v>
      </c>
      <c r="U1370" s="9">
        <v>145.41</v>
      </c>
      <c r="V1370" s="9">
        <v>1313.1000000000001</v>
      </c>
      <c r="W1370" s="9">
        <v>1308.69</v>
      </c>
      <c r="X1370" s="12">
        <v>4.4100000000000819</v>
      </c>
      <c r="Y1370" s="10">
        <v>2018</v>
      </c>
    </row>
    <row r="1371" spans="1:25">
      <c r="A1371" s="1" t="s">
        <v>3116</v>
      </c>
      <c r="B1371" s="8">
        <v>42728</v>
      </c>
      <c r="C1371" s="11" t="s">
        <v>3348</v>
      </c>
      <c r="D1371" s="11" t="s">
        <v>3349</v>
      </c>
      <c r="E1371" s="5" t="s">
        <v>3117</v>
      </c>
      <c r="F1371" s="1" t="s">
        <v>49</v>
      </c>
      <c r="G1371" s="1" t="s">
        <v>3055</v>
      </c>
      <c r="H1371" s="1" t="s">
        <v>3437</v>
      </c>
      <c r="I1371" s="1" t="s">
        <v>3724</v>
      </c>
      <c r="J1371" s="1"/>
      <c r="K1371" s="1" t="s">
        <v>29</v>
      </c>
      <c r="L1371" s="1" t="s">
        <v>30</v>
      </c>
      <c r="M1371" s="1" t="s">
        <v>884</v>
      </c>
      <c r="N1371" s="1" t="s">
        <v>386</v>
      </c>
      <c r="O1371" s="1">
        <v>80906</v>
      </c>
      <c r="P1371" s="1" t="s">
        <v>44</v>
      </c>
      <c r="Q1371" s="1" t="s">
        <v>633</v>
      </c>
      <c r="R1371" s="1" t="s">
        <v>35</v>
      </c>
      <c r="S1371" s="7">
        <v>590.05799999999999</v>
      </c>
      <c r="T1371" s="1">
        <v>8</v>
      </c>
      <c r="U1371" s="9">
        <v>589.64</v>
      </c>
      <c r="V1371" s="9">
        <v>4720.4639999999999</v>
      </c>
      <c r="W1371" s="9">
        <v>4717.12</v>
      </c>
      <c r="X1371" s="12">
        <v>3.3440000000000509</v>
      </c>
      <c r="Y1371" s="10">
        <v>2016</v>
      </c>
    </row>
    <row r="1372" spans="1:25">
      <c r="A1372" s="1" t="s">
        <v>3116</v>
      </c>
      <c r="B1372" s="8">
        <v>42728</v>
      </c>
      <c r="C1372" s="11" t="s">
        <v>3348</v>
      </c>
      <c r="D1372" s="11" t="s">
        <v>3349</v>
      </c>
      <c r="E1372" s="5" t="s">
        <v>3117</v>
      </c>
      <c r="F1372" s="1" t="s">
        <v>49</v>
      </c>
      <c r="G1372" s="1" t="s">
        <v>3055</v>
      </c>
      <c r="H1372" s="1" t="s">
        <v>3437</v>
      </c>
      <c r="I1372" s="1" t="s">
        <v>3724</v>
      </c>
      <c r="J1372" s="1"/>
      <c r="K1372" s="1" t="s">
        <v>29</v>
      </c>
      <c r="L1372" s="1" t="s">
        <v>30</v>
      </c>
      <c r="M1372" s="1" t="s">
        <v>884</v>
      </c>
      <c r="N1372" s="1" t="s">
        <v>386</v>
      </c>
      <c r="O1372" s="1">
        <v>80906</v>
      </c>
      <c r="P1372" s="1" t="s">
        <v>44</v>
      </c>
      <c r="Q1372" s="1" t="s">
        <v>2006</v>
      </c>
      <c r="R1372" s="1" t="s">
        <v>46</v>
      </c>
      <c r="S1372" s="7">
        <v>14.04</v>
      </c>
      <c r="T1372" s="1">
        <v>8</v>
      </c>
      <c r="U1372" s="9">
        <v>13.66</v>
      </c>
      <c r="V1372" s="9">
        <v>112.32</v>
      </c>
      <c r="W1372" s="9">
        <v>109.28</v>
      </c>
      <c r="X1372" s="12">
        <v>3.039999999999992</v>
      </c>
      <c r="Y1372" s="10">
        <v>2016</v>
      </c>
    </row>
    <row r="1373" spans="1:25">
      <c r="A1373" s="1" t="s">
        <v>3118</v>
      </c>
      <c r="B1373" s="8">
        <v>43284</v>
      </c>
      <c r="C1373" s="11" t="s">
        <v>3376</v>
      </c>
      <c r="D1373" s="11" t="s">
        <v>3345</v>
      </c>
      <c r="E1373" s="5">
        <v>43437</v>
      </c>
      <c r="F1373" s="1" t="s">
        <v>49</v>
      </c>
      <c r="G1373" s="1" t="s">
        <v>3119</v>
      </c>
      <c r="H1373" s="1" t="s">
        <v>3537</v>
      </c>
      <c r="I1373" s="1" t="s">
        <v>3976</v>
      </c>
      <c r="J1373" s="1"/>
      <c r="K1373" s="1" t="s">
        <v>87</v>
      </c>
      <c r="L1373" s="1" t="s">
        <v>30</v>
      </c>
      <c r="M1373" s="1" t="s">
        <v>2657</v>
      </c>
      <c r="N1373" s="1" t="s">
        <v>2248</v>
      </c>
      <c r="O1373" s="1">
        <v>20735</v>
      </c>
      <c r="P1373" s="1" t="s">
        <v>128</v>
      </c>
      <c r="Q1373" s="1" t="s">
        <v>3121</v>
      </c>
      <c r="R1373" s="1" t="s">
        <v>64</v>
      </c>
      <c r="S1373" s="7">
        <v>49.08</v>
      </c>
      <c r="T1373" s="1">
        <v>2</v>
      </c>
      <c r="U1373" s="9">
        <v>48.6</v>
      </c>
      <c r="V1373" s="9">
        <v>98.16</v>
      </c>
      <c r="W1373" s="9">
        <v>97.2</v>
      </c>
      <c r="X1373" s="12">
        <v>0.95999999999999375</v>
      </c>
      <c r="Y1373" s="10">
        <v>2018</v>
      </c>
    </row>
    <row r="1374" spans="1:25">
      <c r="A1374" s="1" t="s">
        <v>3122</v>
      </c>
      <c r="B1374" s="8">
        <v>42008</v>
      </c>
      <c r="C1374" s="11" t="s">
        <v>3381</v>
      </c>
      <c r="D1374" s="11" t="s">
        <v>3382</v>
      </c>
      <c r="E1374" s="5">
        <v>42159</v>
      </c>
      <c r="F1374" s="1" t="s">
        <v>26</v>
      </c>
      <c r="G1374" s="1" t="s">
        <v>250</v>
      </c>
      <c r="H1374" s="1" t="s">
        <v>3412</v>
      </c>
      <c r="I1374" s="1" t="s">
        <v>3413</v>
      </c>
      <c r="J1374" s="1"/>
      <c r="K1374" s="1" t="s">
        <v>29</v>
      </c>
      <c r="L1374" s="1" t="s">
        <v>30</v>
      </c>
      <c r="M1374" s="1" t="s">
        <v>1715</v>
      </c>
      <c r="N1374" s="1" t="s">
        <v>68</v>
      </c>
      <c r="O1374" s="1">
        <v>94591</v>
      </c>
      <c r="P1374" s="1" t="s">
        <v>44</v>
      </c>
      <c r="Q1374" s="1" t="s">
        <v>1841</v>
      </c>
      <c r="R1374" s="1" t="s">
        <v>46</v>
      </c>
      <c r="S1374" s="7">
        <v>29.6</v>
      </c>
      <c r="T1374" s="1">
        <v>9</v>
      </c>
      <c r="U1374" s="9">
        <v>29.5</v>
      </c>
      <c r="V1374" s="9">
        <v>266.40000000000003</v>
      </c>
      <c r="W1374" s="9">
        <v>265.5</v>
      </c>
      <c r="X1374" s="12">
        <v>0.90000000000003411</v>
      </c>
      <c r="Y1374" s="10">
        <v>2015</v>
      </c>
    </row>
    <row r="1375" spans="1:25">
      <c r="A1375" s="1" t="s">
        <v>3122</v>
      </c>
      <c r="B1375" s="8">
        <v>42008</v>
      </c>
      <c r="C1375" s="11" t="s">
        <v>3381</v>
      </c>
      <c r="D1375" s="11" t="s">
        <v>3382</v>
      </c>
      <c r="E1375" s="5">
        <v>42159</v>
      </c>
      <c r="F1375" s="1" t="s">
        <v>26</v>
      </c>
      <c r="G1375" s="1" t="s">
        <v>250</v>
      </c>
      <c r="H1375" s="1" t="s">
        <v>3412</v>
      </c>
      <c r="I1375" s="1" t="s">
        <v>3413</v>
      </c>
      <c r="J1375" s="1"/>
      <c r="K1375" s="1" t="s">
        <v>29</v>
      </c>
      <c r="L1375" s="1" t="s">
        <v>30</v>
      </c>
      <c r="M1375" s="1" t="s">
        <v>1715</v>
      </c>
      <c r="N1375" s="1" t="s">
        <v>68</v>
      </c>
      <c r="O1375" s="1">
        <v>94591</v>
      </c>
      <c r="P1375" s="1" t="s">
        <v>44</v>
      </c>
      <c r="Q1375" s="1" t="s">
        <v>3123</v>
      </c>
      <c r="R1375" s="1" t="s">
        <v>46</v>
      </c>
      <c r="S1375" s="7">
        <v>17.088000000000001</v>
      </c>
      <c r="T1375" s="1">
        <v>9</v>
      </c>
      <c r="U1375" s="9">
        <v>16.940000000000001</v>
      </c>
      <c r="V1375" s="9">
        <v>153.792</v>
      </c>
      <c r="W1375" s="9">
        <v>152.46</v>
      </c>
      <c r="X1375" s="12">
        <v>1.3319999999999936</v>
      </c>
      <c r="Y1375" s="10">
        <v>2015</v>
      </c>
    </row>
    <row r="1376" spans="1:25">
      <c r="A1376" s="1" t="s">
        <v>3124</v>
      </c>
      <c r="B1376" s="8">
        <v>42627</v>
      </c>
      <c r="C1376" s="11" t="s">
        <v>3356</v>
      </c>
      <c r="D1376" s="11" t="s">
        <v>3345</v>
      </c>
      <c r="E1376" s="5" t="s">
        <v>2494</v>
      </c>
      <c r="F1376" s="1" t="s">
        <v>49</v>
      </c>
      <c r="G1376" s="1" t="s">
        <v>1672</v>
      </c>
      <c r="H1376" s="1" t="s">
        <v>3739</v>
      </c>
      <c r="I1376" s="1" t="s">
        <v>3740</v>
      </c>
      <c r="J1376" s="1"/>
      <c r="K1376" s="1" t="s">
        <v>29</v>
      </c>
      <c r="L1376" s="1" t="s">
        <v>30</v>
      </c>
      <c r="M1376" s="1" t="s">
        <v>3125</v>
      </c>
      <c r="N1376" s="1" t="s">
        <v>105</v>
      </c>
      <c r="O1376" s="1">
        <v>84604</v>
      </c>
      <c r="P1376" s="1" t="s">
        <v>44</v>
      </c>
      <c r="Q1376" s="1" t="s">
        <v>3126</v>
      </c>
      <c r="R1376" s="1" t="s">
        <v>35</v>
      </c>
      <c r="S1376" s="7">
        <v>912.75</v>
      </c>
      <c r="T1376" s="1">
        <v>8</v>
      </c>
      <c r="U1376" s="9">
        <v>912.27</v>
      </c>
      <c r="V1376" s="9">
        <v>7302</v>
      </c>
      <c r="W1376" s="9">
        <v>7298.16</v>
      </c>
      <c r="X1376" s="12">
        <v>3.8400000000001455</v>
      </c>
      <c r="Y1376" s="10">
        <v>2016</v>
      </c>
    </row>
    <row r="1377" spans="1:25">
      <c r="A1377" s="1" t="s">
        <v>3127</v>
      </c>
      <c r="B1377" s="8">
        <v>42102</v>
      </c>
      <c r="C1377" s="11" t="s">
        <v>3359</v>
      </c>
      <c r="D1377" s="11" t="s">
        <v>3360</v>
      </c>
      <c r="E1377" s="5">
        <v>42255</v>
      </c>
      <c r="F1377" s="1" t="s">
        <v>26</v>
      </c>
      <c r="G1377" s="1" t="s">
        <v>733</v>
      </c>
      <c r="H1377" s="1" t="s">
        <v>3523</v>
      </c>
      <c r="I1377" s="1" t="s">
        <v>3469</v>
      </c>
      <c r="J1377" s="1"/>
      <c r="K1377" s="1" t="s">
        <v>29</v>
      </c>
      <c r="L1377" s="1" t="s">
        <v>30</v>
      </c>
      <c r="M1377" s="1" t="s">
        <v>3128</v>
      </c>
      <c r="N1377" s="1" t="s">
        <v>105</v>
      </c>
      <c r="O1377" s="1">
        <v>84062</v>
      </c>
      <c r="P1377" s="1" t="s">
        <v>44</v>
      </c>
      <c r="Q1377" s="1" t="s">
        <v>3129</v>
      </c>
      <c r="R1377" s="1" t="s">
        <v>46</v>
      </c>
      <c r="S1377" s="7">
        <v>1089.75</v>
      </c>
      <c r="T1377" s="1">
        <v>8</v>
      </c>
      <c r="U1377" s="9">
        <v>1089.44</v>
      </c>
      <c r="V1377" s="9">
        <v>8718</v>
      </c>
      <c r="W1377" s="9">
        <v>8715.52</v>
      </c>
      <c r="X1377" s="12">
        <v>2.4799999999995634</v>
      </c>
      <c r="Y1377" s="10">
        <v>2015</v>
      </c>
    </row>
    <row r="1378" spans="1:25">
      <c r="A1378" s="1" t="s">
        <v>3127</v>
      </c>
      <c r="B1378" s="8">
        <v>42102</v>
      </c>
      <c r="C1378" s="11" t="s">
        <v>3359</v>
      </c>
      <c r="D1378" s="11" t="s">
        <v>3360</v>
      </c>
      <c r="E1378" s="5">
        <v>42255</v>
      </c>
      <c r="F1378" s="1" t="s">
        <v>26</v>
      </c>
      <c r="G1378" s="1" t="s">
        <v>733</v>
      </c>
      <c r="H1378" s="1" t="s">
        <v>3523</v>
      </c>
      <c r="I1378" s="1" t="s">
        <v>3469</v>
      </c>
      <c r="J1378" s="1"/>
      <c r="K1378" s="1" t="s">
        <v>29</v>
      </c>
      <c r="L1378" s="1" t="s">
        <v>30</v>
      </c>
      <c r="M1378" s="1" t="s">
        <v>3128</v>
      </c>
      <c r="N1378" s="1" t="s">
        <v>105</v>
      </c>
      <c r="O1378" s="1">
        <v>84062</v>
      </c>
      <c r="P1378" s="1" t="s">
        <v>44</v>
      </c>
      <c r="Q1378" s="1" t="s">
        <v>3130</v>
      </c>
      <c r="R1378" s="1" t="s">
        <v>46</v>
      </c>
      <c r="S1378" s="7">
        <v>447.84</v>
      </c>
      <c r="T1378" s="1">
        <v>8</v>
      </c>
      <c r="U1378" s="9">
        <v>447.4</v>
      </c>
      <c r="V1378" s="9">
        <v>3582.72</v>
      </c>
      <c r="W1378" s="9">
        <v>3579.2</v>
      </c>
      <c r="X1378" s="12">
        <v>3.5199999999999818</v>
      </c>
      <c r="Y1378" s="10">
        <v>2015</v>
      </c>
    </row>
    <row r="1379" spans="1:25">
      <c r="A1379" s="1" t="s">
        <v>3127</v>
      </c>
      <c r="B1379" s="8">
        <v>42102</v>
      </c>
      <c r="C1379" s="11" t="s">
        <v>3359</v>
      </c>
      <c r="D1379" s="11" t="s">
        <v>3360</v>
      </c>
      <c r="E1379" s="5">
        <v>42255</v>
      </c>
      <c r="F1379" s="1" t="s">
        <v>26</v>
      </c>
      <c r="G1379" s="1" t="s">
        <v>733</v>
      </c>
      <c r="H1379" s="1" t="s">
        <v>3523</v>
      </c>
      <c r="I1379" s="1" t="s">
        <v>3469</v>
      </c>
      <c r="J1379" s="1"/>
      <c r="K1379" s="1" t="s">
        <v>29</v>
      </c>
      <c r="L1379" s="1" t="s">
        <v>30</v>
      </c>
      <c r="M1379" s="1" t="s">
        <v>3128</v>
      </c>
      <c r="N1379" s="1" t="s">
        <v>105</v>
      </c>
      <c r="O1379" s="1">
        <v>84062</v>
      </c>
      <c r="P1379" s="1" t="s">
        <v>44</v>
      </c>
      <c r="Q1379" s="1" t="s">
        <v>3131</v>
      </c>
      <c r="R1379" s="1" t="s">
        <v>46</v>
      </c>
      <c r="S1379" s="7">
        <v>16.399999999999999</v>
      </c>
      <c r="T1379" s="1">
        <v>8</v>
      </c>
      <c r="U1379" s="9">
        <v>15.73</v>
      </c>
      <c r="V1379" s="9">
        <v>131.19999999999999</v>
      </c>
      <c r="W1379" s="9">
        <v>125.84</v>
      </c>
      <c r="X1379" s="12">
        <v>5.3599999999999852</v>
      </c>
      <c r="Y1379" s="10">
        <v>2015</v>
      </c>
    </row>
    <row r="1380" spans="1:25">
      <c r="A1380" s="1" t="s">
        <v>3127</v>
      </c>
      <c r="B1380" s="8">
        <v>42102</v>
      </c>
      <c r="C1380" s="11" t="s">
        <v>3359</v>
      </c>
      <c r="D1380" s="11" t="s">
        <v>3360</v>
      </c>
      <c r="E1380" s="5">
        <v>42255</v>
      </c>
      <c r="F1380" s="1" t="s">
        <v>26</v>
      </c>
      <c r="G1380" s="1" t="s">
        <v>733</v>
      </c>
      <c r="H1380" s="1" t="s">
        <v>3523</v>
      </c>
      <c r="I1380" s="1" t="s">
        <v>3469</v>
      </c>
      <c r="J1380" s="1"/>
      <c r="K1380" s="1" t="s">
        <v>29</v>
      </c>
      <c r="L1380" s="1" t="s">
        <v>30</v>
      </c>
      <c r="M1380" s="1" t="s">
        <v>3128</v>
      </c>
      <c r="N1380" s="1" t="s">
        <v>105</v>
      </c>
      <c r="O1380" s="1">
        <v>84062</v>
      </c>
      <c r="P1380" s="1" t="s">
        <v>44</v>
      </c>
      <c r="Q1380" s="1" t="s">
        <v>3132</v>
      </c>
      <c r="R1380" s="1" t="s">
        <v>64</v>
      </c>
      <c r="S1380" s="7">
        <v>399.96</v>
      </c>
      <c r="T1380" s="1">
        <v>8</v>
      </c>
      <c r="U1380" s="9">
        <v>399.87</v>
      </c>
      <c r="V1380" s="9">
        <v>3199.68</v>
      </c>
      <c r="W1380" s="9">
        <v>3198.96</v>
      </c>
      <c r="X1380" s="12">
        <v>0.71999999999979991</v>
      </c>
      <c r="Y1380" s="10">
        <v>2015</v>
      </c>
    </row>
    <row r="1381" spans="1:25">
      <c r="A1381" s="1" t="s">
        <v>3127</v>
      </c>
      <c r="B1381" s="8">
        <v>42102</v>
      </c>
      <c r="C1381" s="11" t="s">
        <v>3359</v>
      </c>
      <c r="D1381" s="11" t="s">
        <v>3360</v>
      </c>
      <c r="E1381" s="5">
        <v>42255</v>
      </c>
      <c r="F1381" s="1" t="s">
        <v>26</v>
      </c>
      <c r="G1381" s="1" t="s">
        <v>733</v>
      </c>
      <c r="H1381" s="1" t="s">
        <v>3523</v>
      </c>
      <c r="I1381" s="1" t="s">
        <v>3469</v>
      </c>
      <c r="J1381" s="1"/>
      <c r="K1381" s="1" t="s">
        <v>29</v>
      </c>
      <c r="L1381" s="1" t="s">
        <v>30</v>
      </c>
      <c r="M1381" s="1" t="s">
        <v>3128</v>
      </c>
      <c r="N1381" s="1" t="s">
        <v>105</v>
      </c>
      <c r="O1381" s="1">
        <v>84062</v>
      </c>
      <c r="P1381" s="1" t="s">
        <v>44</v>
      </c>
      <c r="Q1381" s="1" t="s">
        <v>3133</v>
      </c>
      <c r="R1381" s="1" t="s">
        <v>46</v>
      </c>
      <c r="S1381" s="7">
        <v>158.9</v>
      </c>
      <c r="T1381" s="1">
        <v>8</v>
      </c>
      <c r="U1381" s="9">
        <v>158.16999999999999</v>
      </c>
      <c r="V1381" s="9">
        <v>1271.2</v>
      </c>
      <c r="W1381" s="9">
        <v>1265.3599999999999</v>
      </c>
      <c r="X1381" s="12">
        <v>5.8400000000001455</v>
      </c>
      <c r="Y1381" s="10">
        <v>2015</v>
      </c>
    </row>
    <row r="1382" spans="1:25">
      <c r="A1382" s="1" t="s">
        <v>3127</v>
      </c>
      <c r="B1382" s="8">
        <v>42102</v>
      </c>
      <c r="C1382" s="11" t="s">
        <v>3359</v>
      </c>
      <c r="D1382" s="11" t="s">
        <v>3360</v>
      </c>
      <c r="E1382" s="5">
        <v>42255</v>
      </c>
      <c r="F1382" s="1" t="s">
        <v>26</v>
      </c>
      <c r="G1382" s="1" t="s">
        <v>733</v>
      </c>
      <c r="H1382" s="1" t="s">
        <v>3523</v>
      </c>
      <c r="I1382" s="1" t="s">
        <v>3469</v>
      </c>
      <c r="J1382" s="1"/>
      <c r="K1382" s="1" t="s">
        <v>29</v>
      </c>
      <c r="L1382" s="1" t="s">
        <v>30</v>
      </c>
      <c r="M1382" s="1" t="s">
        <v>3128</v>
      </c>
      <c r="N1382" s="1" t="s">
        <v>105</v>
      </c>
      <c r="O1382" s="1">
        <v>84062</v>
      </c>
      <c r="P1382" s="1" t="s">
        <v>44</v>
      </c>
      <c r="Q1382" s="1" t="s">
        <v>350</v>
      </c>
      <c r="R1382" s="1" t="s">
        <v>46</v>
      </c>
      <c r="S1382" s="7">
        <v>13.183999999999999</v>
      </c>
      <c r="T1382" s="1">
        <v>8</v>
      </c>
      <c r="U1382" s="9">
        <v>12.9</v>
      </c>
      <c r="V1382" s="9">
        <v>105.47199999999999</v>
      </c>
      <c r="W1382" s="9">
        <v>103.2</v>
      </c>
      <c r="X1382" s="12">
        <v>2.2719999999999914</v>
      </c>
      <c r="Y1382" s="10">
        <v>2015</v>
      </c>
    </row>
    <row r="1383" spans="1:25">
      <c r="A1383" s="1" t="s">
        <v>3134</v>
      </c>
      <c r="B1383" s="8">
        <v>42803</v>
      </c>
      <c r="C1383" s="11" t="s">
        <v>3429</v>
      </c>
      <c r="D1383" s="11" t="s">
        <v>3382</v>
      </c>
      <c r="E1383" s="5">
        <v>42987</v>
      </c>
      <c r="F1383" s="1" t="s">
        <v>49</v>
      </c>
      <c r="G1383" s="1" t="s">
        <v>3135</v>
      </c>
      <c r="H1383" s="1" t="s">
        <v>3430</v>
      </c>
      <c r="I1383" s="1" t="s">
        <v>3369</v>
      </c>
      <c r="J1383" s="1"/>
      <c r="K1383" s="1" t="s">
        <v>87</v>
      </c>
      <c r="L1383" s="1" t="s">
        <v>30</v>
      </c>
      <c r="M1383" s="1" t="s">
        <v>385</v>
      </c>
      <c r="N1383" s="1" t="s">
        <v>182</v>
      </c>
      <c r="O1383" s="1">
        <v>60505</v>
      </c>
      <c r="P1383" s="1" t="s">
        <v>90</v>
      </c>
      <c r="Q1383" s="1" t="s">
        <v>1847</v>
      </c>
      <c r="R1383" s="1" t="s">
        <v>35</v>
      </c>
      <c r="S1383" s="7">
        <v>83.951999999999998</v>
      </c>
      <c r="T1383" s="1">
        <v>6</v>
      </c>
      <c r="U1383" s="9">
        <v>83.39</v>
      </c>
      <c r="V1383" s="9">
        <v>503.71199999999999</v>
      </c>
      <c r="W1383" s="9">
        <v>500.34000000000003</v>
      </c>
      <c r="X1383" s="12">
        <v>3.3719999999999573</v>
      </c>
      <c r="Y1383" s="10">
        <v>2017</v>
      </c>
    </row>
    <row r="1384" spans="1:25">
      <c r="A1384" s="1" t="s">
        <v>3137</v>
      </c>
      <c r="B1384" s="8">
        <v>42857</v>
      </c>
      <c r="C1384" s="11" t="s">
        <v>3363</v>
      </c>
      <c r="D1384" s="11" t="s">
        <v>3360</v>
      </c>
      <c r="E1384" s="5">
        <v>42857</v>
      </c>
      <c r="F1384" s="1" t="s">
        <v>1050</v>
      </c>
      <c r="G1384" s="1" t="s">
        <v>3138</v>
      </c>
      <c r="H1384" s="1" t="s">
        <v>3414</v>
      </c>
      <c r="I1384" s="1" t="s">
        <v>3977</v>
      </c>
      <c r="J1384" s="1"/>
      <c r="K1384" s="1" t="s">
        <v>87</v>
      </c>
      <c r="L1384" s="1" t="s">
        <v>30</v>
      </c>
      <c r="M1384" s="1" t="s">
        <v>3140</v>
      </c>
      <c r="N1384" s="1" t="s">
        <v>1035</v>
      </c>
      <c r="O1384" s="1">
        <v>30080</v>
      </c>
      <c r="P1384" s="1" t="s">
        <v>33</v>
      </c>
      <c r="Q1384" s="1" t="s">
        <v>2806</v>
      </c>
      <c r="R1384" s="1" t="s">
        <v>46</v>
      </c>
      <c r="S1384" s="7">
        <v>80.98</v>
      </c>
      <c r="T1384" s="1">
        <v>3</v>
      </c>
      <c r="U1384" s="9">
        <v>80.760000000000005</v>
      </c>
      <c r="V1384" s="9">
        <v>242.94</v>
      </c>
      <c r="W1384" s="9">
        <v>242.28000000000003</v>
      </c>
      <c r="X1384" s="12">
        <v>0.65999999999996817</v>
      </c>
      <c r="Y1384" s="10">
        <v>2017</v>
      </c>
    </row>
    <row r="1385" spans="1:25">
      <c r="A1385" s="1" t="s">
        <v>3137</v>
      </c>
      <c r="B1385" s="8">
        <v>42857</v>
      </c>
      <c r="C1385" s="11" t="s">
        <v>3363</v>
      </c>
      <c r="D1385" s="11" t="s">
        <v>3360</v>
      </c>
      <c r="E1385" s="5">
        <v>42857</v>
      </c>
      <c r="F1385" s="1" t="s">
        <v>1050</v>
      </c>
      <c r="G1385" s="1" t="s">
        <v>3138</v>
      </c>
      <c r="H1385" s="1" t="s">
        <v>3414</v>
      </c>
      <c r="I1385" s="1" t="s">
        <v>3977</v>
      </c>
      <c r="J1385" s="1"/>
      <c r="K1385" s="1" t="s">
        <v>87</v>
      </c>
      <c r="L1385" s="1" t="s">
        <v>30</v>
      </c>
      <c r="M1385" s="1" t="s">
        <v>3140</v>
      </c>
      <c r="N1385" s="1" t="s">
        <v>1035</v>
      </c>
      <c r="O1385" s="1">
        <v>30080</v>
      </c>
      <c r="P1385" s="1" t="s">
        <v>33</v>
      </c>
      <c r="Q1385" s="1" t="s">
        <v>3141</v>
      </c>
      <c r="R1385" s="1" t="s">
        <v>46</v>
      </c>
      <c r="S1385" s="7">
        <v>348.84</v>
      </c>
      <c r="T1385" s="1">
        <v>3</v>
      </c>
      <c r="U1385" s="9">
        <v>348.73</v>
      </c>
      <c r="V1385" s="9">
        <v>1046.52</v>
      </c>
      <c r="W1385" s="9">
        <v>1046.19</v>
      </c>
      <c r="X1385" s="12">
        <v>0.32999999999992724</v>
      </c>
      <c r="Y1385" s="10">
        <v>2017</v>
      </c>
    </row>
    <row r="1386" spans="1:25">
      <c r="A1386" s="1" t="s">
        <v>3137</v>
      </c>
      <c r="B1386" s="8">
        <v>42857</v>
      </c>
      <c r="C1386" s="11" t="s">
        <v>3363</v>
      </c>
      <c r="D1386" s="11" t="s">
        <v>3360</v>
      </c>
      <c r="E1386" s="5">
        <v>42857</v>
      </c>
      <c r="F1386" s="1" t="s">
        <v>1050</v>
      </c>
      <c r="G1386" s="1" t="s">
        <v>3138</v>
      </c>
      <c r="H1386" s="1" t="s">
        <v>3414</v>
      </c>
      <c r="I1386" s="1" t="s">
        <v>3977</v>
      </c>
      <c r="J1386" s="1"/>
      <c r="K1386" s="1" t="s">
        <v>87</v>
      </c>
      <c r="L1386" s="1" t="s">
        <v>30</v>
      </c>
      <c r="M1386" s="1" t="s">
        <v>3140</v>
      </c>
      <c r="N1386" s="1" t="s">
        <v>1035</v>
      </c>
      <c r="O1386" s="1">
        <v>30080</v>
      </c>
      <c r="P1386" s="1" t="s">
        <v>33</v>
      </c>
      <c r="Q1386" s="1" t="s">
        <v>3142</v>
      </c>
      <c r="R1386" s="1" t="s">
        <v>46</v>
      </c>
      <c r="S1386" s="7">
        <v>9.4499999999999993</v>
      </c>
      <c r="T1386" s="1">
        <v>3</v>
      </c>
      <c r="U1386" s="9">
        <v>9.1300000000000008</v>
      </c>
      <c r="V1386" s="9">
        <v>28.349999999999998</v>
      </c>
      <c r="W1386" s="9">
        <v>27.39</v>
      </c>
      <c r="X1386" s="12">
        <v>0.9599999999999973</v>
      </c>
      <c r="Y1386" s="10">
        <v>2017</v>
      </c>
    </row>
    <row r="1387" spans="1:25">
      <c r="A1387" s="1" t="s">
        <v>3137</v>
      </c>
      <c r="B1387" s="8">
        <v>42857</v>
      </c>
      <c r="C1387" s="11" t="s">
        <v>3363</v>
      </c>
      <c r="D1387" s="11" t="s">
        <v>3360</v>
      </c>
      <c r="E1387" s="5">
        <v>42857</v>
      </c>
      <c r="F1387" s="1" t="s">
        <v>1050</v>
      </c>
      <c r="G1387" s="1" t="s">
        <v>3138</v>
      </c>
      <c r="H1387" s="1" t="s">
        <v>3414</v>
      </c>
      <c r="I1387" s="1" t="s">
        <v>3977</v>
      </c>
      <c r="J1387" s="1"/>
      <c r="K1387" s="1" t="s">
        <v>87</v>
      </c>
      <c r="L1387" s="1" t="s">
        <v>30</v>
      </c>
      <c r="M1387" s="1" t="s">
        <v>3140</v>
      </c>
      <c r="N1387" s="1" t="s">
        <v>1035</v>
      </c>
      <c r="O1387" s="1">
        <v>30080</v>
      </c>
      <c r="P1387" s="1" t="s">
        <v>33</v>
      </c>
      <c r="Q1387" s="1" t="s">
        <v>885</v>
      </c>
      <c r="R1387" s="1" t="s">
        <v>35</v>
      </c>
      <c r="S1387" s="7">
        <v>18.84</v>
      </c>
      <c r="T1387" s="1">
        <v>3</v>
      </c>
      <c r="U1387" s="9">
        <v>18.47</v>
      </c>
      <c r="V1387" s="9">
        <v>56.519999999999996</v>
      </c>
      <c r="W1387" s="9">
        <v>55.41</v>
      </c>
      <c r="X1387" s="12">
        <v>1.1099999999999994</v>
      </c>
      <c r="Y1387" s="10">
        <v>2017</v>
      </c>
    </row>
    <row r="1388" spans="1:25">
      <c r="A1388" s="1" t="s">
        <v>3137</v>
      </c>
      <c r="B1388" s="8">
        <v>42857</v>
      </c>
      <c r="C1388" s="11" t="s">
        <v>3363</v>
      </c>
      <c r="D1388" s="11" t="s">
        <v>3360</v>
      </c>
      <c r="E1388" s="5">
        <v>42857</v>
      </c>
      <c r="F1388" s="1" t="s">
        <v>1050</v>
      </c>
      <c r="G1388" s="1" t="s">
        <v>3138</v>
      </c>
      <c r="H1388" s="1" t="s">
        <v>3414</v>
      </c>
      <c r="I1388" s="1" t="s">
        <v>3977</v>
      </c>
      <c r="J1388" s="1"/>
      <c r="K1388" s="1" t="s">
        <v>87</v>
      </c>
      <c r="L1388" s="1" t="s">
        <v>30</v>
      </c>
      <c r="M1388" s="1" t="s">
        <v>3140</v>
      </c>
      <c r="N1388" s="1" t="s">
        <v>1035</v>
      </c>
      <c r="O1388" s="1">
        <v>30080</v>
      </c>
      <c r="P1388" s="1" t="s">
        <v>33</v>
      </c>
      <c r="Q1388" s="1" t="s">
        <v>1823</v>
      </c>
      <c r="R1388" s="1" t="s">
        <v>35</v>
      </c>
      <c r="S1388" s="7">
        <v>239.98</v>
      </c>
      <c r="T1388" s="1">
        <v>3</v>
      </c>
      <c r="U1388" s="9">
        <v>239.85</v>
      </c>
      <c r="V1388" s="9">
        <v>719.93999999999994</v>
      </c>
      <c r="W1388" s="9">
        <v>719.55</v>
      </c>
      <c r="X1388" s="12">
        <v>0.38999999999998636</v>
      </c>
      <c r="Y1388" s="10">
        <v>2017</v>
      </c>
    </row>
    <row r="1389" spans="1:25">
      <c r="A1389" s="1" t="s">
        <v>3137</v>
      </c>
      <c r="B1389" s="8">
        <v>42857</v>
      </c>
      <c r="C1389" s="11" t="s">
        <v>3363</v>
      </c>
      <c r="D1389" s="11" t="s">
        <v>3360</v>
      </c>
      <c r="E1389" s="5">
        <v>42857</v>
      </c>
      <c r="F1389" s="1" t="s">
        <v>1050</v>
      </c>
      <c r="G1389" s="1" t="s">
        <v>3138</v>
      </c>
      <c r="H1389" s="1" t="s">
        <v>3414</v>
      </c>
      <c r="I1389" s="1" t="s">
        <v>3977</v>
      </c>
      <c r="J1389" s="1"/>
      <c r="K1389" s="1" t="s">
        <v>87</v>
      </c>
      <c r="L1389" s="1" t="s">
        <v>30</v>
      </c>
      <c r="M1389" s="1" t="s">
        <v>3140</v>
      </c>
      <c r="N1389" s="1" t="s">
        <v>1035</v>
      </c>
      <c r="O1389" s="1">
        <v>30080</v>
      </c>
      <c r="P1389" s="1" t="s">
        <v>33</v>
      </c>
      <c r="Q1389" s="1" t="s">
        <v>3143</v>
      </c>
      <c r="R1389" s="1" t="s">
        <v>46</v>
      </c>
      <c r="S1389" s="7">
        <v>167.96</v>
      </c>
      <c r="T1389" s="1">
        <v>3</v>
      </c>
      <c r="U1389" s="9">
        <v>167.15</v>
      </c>
      <c r="V1389" s="9">
        <v>503.88</v>
      </c>
      <c r="W1389" s="9">
        <v>501.45000000000005</v>
      </c>
      <c r="X1389" s="12">
        <v>2.42999999999995</v>
      </c>
      <c r="Y1389" s="10">
        <v>2017</v>
      </c>
    </row>
    <row r="1390" spans="1:25">
      <c r="A1390" s="1" t="s">
        <v>3137</v>
      </c>
      <c r="B1390" s="8">
        <v>42857</v>
      </c>
      <c r="C1390" s="11" t="s">
        <v>3363</v>
      </c>
      <c r="D1390" s="11" t="s">
        <v>3360</v>
      </c>
      <c r="E1390" s="5">
        <v>42857</v>
      </c>
      <c r="F1390" s="1" t="s">
        <v>1050</v>
      </c>
      <c r="G1390" s="1" t="s">
        <v>3138</v>
      </c>
      <c r="H1390" s="1" t="s">
        <v>3414</v>
      </c>
      <c r="I1390" s="1" t="s">
        <v>3977</v>
      </c>
      <c r="J1390" s="1"/>
      <c r="K1390" s="1" t="s">
        <v>87</v>
      </c>
      <c r="L1390" s="1" t="s">
        <v>30</v>
      </c>
      <c r="M1390" s="1" t="s">
        <v>3140</v>
      </c>
      <c r="N1390" s="1" t="s">
        <v>1035</v>
      </c>
      <c r="O1390" s="1">
        <v>30080</v>
      </c>
      <c r="P1390" s="1" t="s">
        <v>33</v>
      </c>
      <c r="Q1390" s="1" t="s">
        <v>511</v>
      </c>
      <c r="R1390" s="1" t="s">
        <v>64</v>
      </c>
      <c r="S1390" s="7">
        <v>104.85</v>
      </c>
      <c r="T1390" s="1">
        <v>3</v>
      </c>
      <c r="U1390" s="9">
        <v>104.15</v>
      </c>
      <c r="V1390" s="9">
        <v>314.54999999999995</v>
      </c>
      <c r="W1390" s="9">
        <v>312.45000000000005</v>
      </c>
      <c r="X1390" s="12">
        <v>2.0999999999999091</v>
      </c>
      <c r="Y1390" s="10">
        <v>2017</v>
      </c>
    </row>
    <row r="1391" spans="1:25">
      <c r="A1391" s="1" t="s">
        <v>3137</v>
      </c>
      <c r="B1391" s="8">
        <v>42857</v>
      </c>
      <c r="C1391" s="11" t="s">
        <v>3363</v>
      </c>
      <c r="D1391" s="11" t="s">
        <v>3360</v>
      </c>
      <c r="E1391" s="5">
        <v>42857</v>
      </c>
      <c r="F1391" s="1" t="s">
        <v>1050</v>
      </c>
      <c r="G1391" s="1" t="s">
        <v>3138</v>
      </c>
      <c r="H1391" s="1" t="s">
        <v>3414</v>
      </c>
      <c r="I1391" s="1" t="s">
        <v>3977</v>
      </c>
      <c r="J1391" s="1"/>
      <c r="K1391" s="1" t="s">
        <v>87</v>
      </c>
      <c r="L1391" s="1" t="s">
        <v>30</v>
      </c>
      <c r="M1391" s="1" t="s">
        <v>3140</v>
      </c>
      <c r="N1391" s="1" t="s">
        <v>1035</v>
      </c>
      <c r="O1391" s="1">
        <v>30080</v>
      </c>
      <c r="P1391" s="1" t="s">
        <v>33</v>
      </c>
      <c r="Q1391" s="1" t="s">
        <v>971</v>
      </c>
      <c r="R1391" s="1" t="s">
        <v>64</v>
      </c>
      <c r="S1391" s="7">
        <v>484.83</v>
      </c>
      <c r="T1391" s="1">
        <v>3</v>
      </c>
      <c r="U1391" s="9">
        <v>484.55</v>
      </c>
      <c r="V1391" s="9">
        <v>1454.49</v>
      </c>
      <c r="W1391" s="9">
        <v>1453.65</v>
      </c>
      <c r="X1391" s="12">
        <v>0.83999999999991815</v>
      </c>
      <c r="Y1391" s="10">
        <v>2017</v>
      </c>
    </row>
    <row r="1392" spans="1:25">
      <c r="A1392" s="1" t="s">
        <v>3137</v>
      </c>
      <c r="B1392" s="8">
        <v>42857</v>
      </c>
      <c r="C1392" s="11" t="s">
        <v>3363</v>
      </c>
      <c r="D1392" s="11" t="s">
        <v>3360</v>
      </c>
      <c r="E1392" s="5">
        <v>42857</v>
      </c>
      <c r="F1392" s="1" t="s">
        <v>1050</v>
      </c>
      <c r="G1392" s="1" t="s">
        <v>3138</v>
      </c>
      <c r="H1392" s="1" t="s">
        <v>3414</v>
      </c>
      <c r="I1392" s="1" t="s">
        <v>3977</v>
      </c>
      <c r="J1392" s="1"/>
      <c r="K1392" s="1" t="s">
        <v>87</v>
      </c>
      <c r="L1392" s="1" t="s">
        <v>30</v>
      </c>
      <c r="M1392" s="1" t="s">
        <v>3140</v>
      </c>
      <c r="N1392" s="1" t="s">
        <v>1035</v>
      </c>
      <c r="O1392" s="1">
        <v>30080</v>
      </c>
      <c r="P1392" s="1" t="s">
        <v>33</v>
      </c>
      <c r="Q1392" s="1" t="s">
        <v>1404</v>
      </c>
      <c r="R1392" s="1" t="s">
        <v>46</v>
      </c>
      <c r="S1392" s="7">
        <v>122.97</v>
      </c>
      <c r="T1392" s="1">
        <v>3</v>
      </c>
      <c r="U1392" s="9">
        <v>122.82</v>
      </c>
      <c r="V1392" s="9">
        <v>368.90999999999997</v>
      </c>
      <c r="W1392" s="9">
        <v>368.46</v>
      </c>
      <c r="X1392" s="12">
        <v>0.44999999999998863</v>
      </c>
      <c r="Y1392" s="10">
        <v>2017</v>
      </c>
    </row>
    <row r="1393" spans="1:25">
      <c r="A1393" s="1" t="s">
        <v>3137</v>
      </c>
      <c r="B1393" s="8">
        <v>42857</v>
      </c>
      <c r="C1393" s="11" t="s">
        <v>3363</v>
      </c>
      <c r="D1393" s="11" t="s">
        <v>3360</v>
      </c>
      <c r="E1393" s="5">
        <v>42857</v>
      </c>
      <c r="F1393" s="1" t="s">
        <v>1050</v>
      </c>
      <c r="G1393" s="1" t="s">
        <v>3138</v>
      </c>
      <c r="H1393" s="1" t="s">
        <v>3414</v>
      </c>
      <c r="I1393" s="1" t="s">
        <v>3977</v>
      </c>
      <c r="J1393" s="1"/>
      <c r="K1393" s="1" t="s">
        <v>87</v>
      </c>
      <c r="L1393" s="1" t="s">
        <v>30</v>
      </c>
      <c r="M1393" s="1" t="s">
        <v>3140</v>
      </c>
      <c r="N1393" s="1" t="s">
        <v>1035</v>
      </c>
      <c r="O1393" s="1">
        <v>30080</v>
      </c>
      <c r="P1393" s="1" t="s">
        <v>33</v>
      </c>
      <c r="Q1393" s="1" t="s">
        <v>788</v>
      </c>
      <c r="R1393" s="1" t="s">
        <v>46</v>
      </c>
      <c r="S1393" s="7">
        <v>154.44</v>
      </c>
      <c r="T1393" s="1">
        <v>3</v>
      </c>
      <c r="U1393" s="9">
        <v>154.18</v>
      </c>
      <c r="V1393" s="9">
        <v>463.32</v>
      </c>
      <c r="W1393" s="9">
        <v>462.54</v>
      </c>
      <c r="X1393" s="12">
        <v>0.77999999999997272</v>
      </c>
      <c r="Y1393" s="10">
        <v>2017</v>
      </c>
    </row>
    <row r="1394" spans="1:25">
      <c r="A1394" s="1" t="s">
        <v>3137</v>
      </c>
      <c r="B1394" s="8">
        <v>42857</v>
      </c>
      <c r="C1394" s="11" t="s">
        <v>3363</v>
      </c>
      <c r="D1394" s="11" t="s">
        <v>3360</v>
      </c>
      <c r="E1394" s="5">
        <v>42857</v>
      </c>
      <c r="F1394" s="1" t="s">
        <v>1050</v>
      </c>
      <c r="G1394" s="1" t="s">
        <v>3138</v>
      </c>
      <c r="H1394" s="1" t="s">
        <v>3414</v>
      </c>
      <c r="I1394" s="1" t="s">
        <v>3977</v>
      </c>
      <c r="J1394" s="1"/>
      <c r="K1394" s="1" t="s">
        <v>87</v>
      </c>
      <c r="L1394" s="1" t="s">
        <v>30</v>
      </c>
      <c r="M1394" s="1" t="s">
        <v>3140</v>
      </c>
      <c r="N1394" s="1" t="s">
        <v>1035</v>
      </c>
      <c r="O1394" s="1">
        <v>30080</v>
      </c>
      <c r="P1394" s="1" t="s">
        <v>33</v>
      </c>
      <c r="Q1394" s="1" t="s">
        <v>254</v>
      </c>
      <c r="R1394" s="1" t="s">
        <v>46</v>
      </c>
      <c r="S1394" s="7">
        <v>342.37</v>
      </c>
      <c r="T1394" s="1">
        <v>3</v>
      </c>
      <c r="U1394" s="9">
        <v>342.3</v>
      </c>
      <c r="V1394" s="9">
        <v>1027.1100000000001</v>
      </c>
      <c r="W1394" s="9">
        <v>1026.9000000000001</v>
      </c>
      <c r="X1394" s="12">
        <v>0.21000000000003638</v>
      </c>
      <c r="Y1394" s="10">
        <v>2017</v>
      </c>
    </row>
    <row r="1395" spans="1:25">
      <c r="A1395" s="1" t="s">
        <v>3144</v>
      </c>
      <c r="B1395" s="8">
        <v>43166</v>
      </c>
      <c r="C1395" s="11" t="s">
        <v>3429</v>
      </c>
      <c r="D1395" s="11" t="s">
        <v>3382</v>
      </c>
      <c r="E1395" s="5">
        <v>43197</v>
      </c>
      <c r="F1395" s="1" t="s">
        <v>162</v>
      </c>
      <c r="G1395" s="1" t="s">
        <v>3145</v>
      </c>
      <c r="H1395" s="1" t="s">
        <v>3978</v>
      </c>
      <c r="I1395" s="1" t="s">
        <v>3979</v>
      </c>
      <c r="J1395" s="1"/>
      <c r="K1395" s="1" t="s">
        <v>41</v>
      </c>
      <c r="L1395" s="1" t="s">
        <v>30</v>
      </c>
      <c r="M1395" s="1" t="s">
        <v>1814</v>
      </c>
      <c r="N1395" s="1" t="s">
        <v>75</v>
      </c>
      <c r="O1395" s="1">
        <v>27217</v>
      </c>
      <c r="P1395" s="1" t="s">
        <v>33</v>
      </c>
      <c r="Q1395" s="1" t="s">
        <v>636</v>
      </c>
      <c r="R1395" s="1" t="s">
        <v>46</v>
      </c>
      <c r="S1395" s="7">
        <v>9.5519999999999996</v>
      </c>
      <c r="T1395" s="1">
        <v>2</v>
      </c>
      <c r="U1395" s="9">
        <v>8.6199999999999992</v>
      </c>
      <c r="V1395" s="9">
        <v>19.103999999999999</v>
      </c>
      <c r="W1395" s="9">
        <v>17.239999999999998</v>
      </c>
      <c r="X1395" s="12">
        <v>1.8640000000000008</v>
      </c>
      <c r="Y1395" s="10">
        <v>2018</v>
      </c>
    </row>
    <row r="1396" spans="1:25">
      <c r="A1396" s="1" t="s">
        <v>3147</v>
      </c>
      <c r="B1396" s="8">
        <v>43353</v>
      </c>
      <c r="C1396" s="11" t="s">
        <v>3356</v>
      </c>
      <c r="D1396" s="11" t="s">
        <v>3345</v>
      </c>
      <c r="E1396" s="5" t="s">
        <v>3148</v>
      </c>
      <c r="F1396" s="1" t="s">
        <v>49</v>
      </c>
      <c r="G1396" s="1" t="s">
        <v>2157</v>
      </c>
      <c r="H1396" s="1" t="s">
        <v>3834</v>
      </c>
      <c r="I1396" s="1" t="s">
        <v>3835</v>
      </c>
      <c r="J1396" s="1"/>
      <c r="K1396" s="1" t="s">
        <v>41</v>
      </c>
      <c r="L1396" s="1" t="s">
        <v>30</v>
      </c>
      <c r="M1396" s="1" t="s">
        <v>385</v>
      </c>
      <c r="N1396" s="1" t="s">
        <v>182</v>
      </c>
      <c r="O1396" s="1">
        <v>60505</v>
      </c>
      <c r="P1396" s="1" t="s">
        <v>90</v>
      </c>
      <c r="Q1396" s="1" t="s">
        <v>3149</v>
      </c>
      <c r="R1396" s="1" t="s">
        <v>35</v>
      </c>
      <c r="S1396" s="7">
        <v>652.45000000000005</v>
      </c>
      <c r="T1396" s="1">
        <v>6</v>
      </c>
      <c r="U1396" s="9">
        <v>651.80999999999995</v>
      </c>
      <c r="V1396" s="9">
        <v>3914.7000000000003</v>
      </c>
      <c r="W1396" s="9">
        <v>3910.8599999999997</v>
      </c>
      <c r="X1396" s="12">
        <v>3.8400000000006003</v>
      </c>
      <c r="Y1396" s="10">
        <v>2018</v>
      </c>
    </row>
    <row r="1397" spans="1:25">
      <c r="A1397" s="1" t="s">
        <v>3147</v>
      </c>
      <c r="B1397" s="8">
        <v>43353</v>
      </c>
      <c r="C1397" s="11" t="s">
        <v>3356</v>
      </c>
      <c r="D1397" s="11" t="s">
        <v>3345</v>
      </c>
      <c r="E1397" s="5" t="s">
        <v>3148</v>
      </c>
      <c r="F1397" s="1" t="s">
        <v>49</v>
      </c>
      <c r="G1397" s="1" t="s">
        <v>2157</v>
      </c>
      <c r="H1397" s="1" t="s">
        <v>3834</v>
      </c>
      <c r="I1397" s="1" t="s">
        <v>3835</v>
      </c>
      <c r="J1397" s="1"/>
      <c r="K1397" s="1" t="s">
        <v>41</v>
      </c>
      <c r="L1397" s="1" t="s">
        <v>30</v>
      </c>
      <c r="M1397" s="1" t="s">
        <v>385</v>
      </c>
      <c r="N1397" s="1" t="s">
        <v>182</v>
      </c>
      <c r="O1397" s="1">
        <v>60505</v>
      </c>
      <c r="P1397" s="1" t="s">
        <v>90</v>
      </c>
      <c r="Q1397" s="1" t="s">
        <v>3150</v>
      </c>
      <c r="R1397" s="1" t="s">
        <v>35</v>
      </c>
      <c r="S1397" s="7">
        <v>66.644999999999996</v>
      </c>
      <c r="T1397" s="1">
        <v>6</v>
      </c>
      <c r="U1397" s="9">
        <v>66.17</v>
      </c>
      <c r="V1397" s="9">
        <v>399.87</v>
      </c>
      <c r="W1397" s="9">
        <v>397.02</v>
      </c>
      <c r="X1397" s="12">
        <v>2.8500000000000227</v>
      </c>
      <c r="Y1397" s="10">
        <v>2018</v>
      </c>
    </row>
    <row r="1398" spans="1:25">
      <c r="A1398" s="1" t="s">
        <v>3151</v>
      </c>
      <c r="B1398" s="8">
        <v>43063</v>
      </c>
      <c r="C1398" s="11" t="s">
        <v>3353</v>
      </c>
      <c r="D1398" s="11" t="s">
        <v>3349</v>
      </c>
      <c r="E1398" s="5" t="s">
        <v>2960</v>
      </c>
      <c r="F1398" s="1" t="s">
        <v>162</v>
      </c>
      <c r="G1398" s="1" t="s">
        <v>2730</v>
      </c>
      <c r="H1398" s="1" t="s">
        <v>3737</v>
      </c>
      <c r="I1398" s="1" t="s">
        <v>3721</v>
      </c>
      <c r="J1398" s="1"/>
      <c r="K1398" s="1" t="s">
        <v>29</v>
      </c>
      <c r="L1398" s="1" t="s">
        <v>30</v>
      </c>
      <c r="M1398" s="1" t="s">
        <v>233</v>
      </c>
      <c r="N1398" s="1" t="s">
        <v>234</v>
      </c>
      <c r="O1398" s="1">
        <v>10035</v>
      </c>
      <c r="P1398" s="1" t="s">
        <v>128</v>
      </c>
      <c r="Q1398" s="1" t="s">
        <v>3152</v>
      </c>
      <c r="R1398" s="1" t="s">
        <v>46</v>
      </c>
      <c r="S1398" s="7">
        <v>17.216000000000001</v>
      </c>
      <c r="T1398" s="1">
        <v>1</v>
      </c>
      <c r="U1398" s="9">
        <v>17.02</v>
      </c>
      <c r="V1398" s="9">
        <v>17.216000000000001</v>
      </c>
      <c r="W1398" s="9">
        <v>17.02</v>
      </c>
      <c r="X1398" s="12">
        <v>0.19600000000000151</v>
      </c>
      <c r="Y1398" s="10">
        <v>2017</v>
      </c>
    </row>
    <row r="1399" spans="1:25">
      <c r="A1399" s="1" t="s">
        <v>3151</v>
      </c>
      <c r="B1399" s="8">
        <v>43063</v>
      </c>
      <c r="C1399" s="11" t="s">
        <v>3353</v>
      </c>
      <c r="D1399" s="11" t="s">
        <v>3349</v>
      </c>
      <c r="E1399" s="5" t="s">
        <v>2960</v>
      </c>
      <c r="F1399" s="1" t="s">
        <v>162</v>
      </c>
      <c r="G1399" s="1" t="s">
        <v>2730</v>
      </c>
      <c r="H1399" s="1" t="s">
        <v>3737</v>
      </c>
      <c r="I1399" s="1" t="s">
        <v>3721</v>
      </c>
      <c r="J1399" s="1"/>
      <c r="K1399" s="1" t="s">
        <v>29</v>
      </c>
      <c r="L1399" s="1" t="s">
        <v>30</v>
      </c>
      <c r="M1399" s="1" t="s">
        <v>233</v>
      </c>
      <c r="N1399" s="1" t="s">
        <v>234</v>
      </c>
      <c r="O1399" s="1">
        <v>10035</v>
      </c>
      <c r="P1399" s="1" t="s">
        <v>128</v>
      </c>
      <c r="Q1399" s="1" t="s">
        <v>1938</v>
      </c>
      <c r="R1399" s="1" t="s">
        <v>46</v>
      </c>
      <c r="S1399" s="7">
        <v>11.56</v>
      </c>
      <c r="T1399" s="1">
        <v>1</v>
      </c>
      <c r="U1399" s="9">
        <v>10.77</v>
      </c>
      <c r="V1399" s="9">
        <v>11.56</v>
      </c>
      <c r="W1399" s="9">
        <v>10.77</v>
      </c>
      <c r="X1399" s="12">
        <v>0.79000000000000092</v>
      </c>
      <c r="Y1399" s="10">
        <v>2017</v>
      </c>
    </row>
    <row r="1400" spans="1:25">
      <c r="A1400" s="1" t="s">
        <v>3151</v>
      </c>
      <c r="B1400" s="8">
        <v>43063</v>
      </c>
      <c r="C1400" s="11" t="s">
        <v>3353</v>
      </c>
      <c r="D1400" s="11" t="s">
        <v>3349</v>
      </c>
      <c r="E1400" s="5" t="s">
        <v>2960</v>
      </c>
      <c r="F1400" s="1" t="s">
        <v>162</v>
      </c>
      <c r="G1400" s="1" t="s">
        <v>2730</v>
      </c>
      <c r="H1400" s="1" t="s">
        <v>3737</v>
      </c>
      <c r="I1400" s="1" t="s">
        <v>3721</v>
      </c>
      <c r="J1400" s="1"/>
      <c r="K1400" s="1" t="s">
        <v>29</v>
      </c>
      <c r="L1400" s="1" t="s">
        <v>30</v>
      </c>
      <c r="M1400" s="1" t="s">
        <v>233</v>
      </c>
      <c r="N1400" s="1" t="s">
        <v>234</v>
      </c>
      <c r="O1400" s="1">
        <v>10035</v>
      </c>
      <c r="P1400" s="1" t="s">
        <v>128</v>
      </c>
      <c r="Q1400" s="1" t="s">
        <v>623</v>
      </c>
      <c r="R1400" s="1" t="s">
        <v>64</v>
      </c>
      <c r="S1400" s="7">
        <v>88.4</v>
      </c>
      <c r="T1400" s="1">
        <v>1</v>
      </c>
      <c r="U1400" s="9">
        <v>87.67</v>
      </c>
      <c r="V1400" s="9">
        <v>88.4</v>
      </c>
      <c r="W1400" s="9">
        <v>87.67</v>
      </c>
      <c r="X1400" s="12">
        <v>0.73000000000000398</v>
      </c>
      <c r="Y1400" s="10">
        <v>2017</v>
      </c>
    </row>
    <row r="1401" spans="1:25">
      <c r="A1401" s="1" t="s">
        <v>3151</v>
      </c>
      <c r="B1401" s="8">
        <v>43063</v>
      </c>
      <c r="C1401" s="11" t="s">
        <v>3353</v>
      </c>
      <c r="D1401" s="11" t="s">
        <v>3349</v>
      </c>
      <c r="E1401" s="5" t="s">
        <v>2960</v>
      </c>
      <c r="F1401" s="1" t="s">
        <v>162</v>
      </c>
      <c r="G1401" s="1" t="s">
        <v>2730</v>
      </c>
      <c r="H1401" s="1" t="s">
        <v>3737</v>
      </c>
      <c r="I1401" s="1" t="s">
        <v>3721</v>
      </c>
      <c r="J1401" s="1"/>
      <c r="K1401" s="1" t="s">
        <v>29</v>
      </c>
      <c r="L1401" s="1" t="s">
        <v>30</v>
      </c>
      <c r="M1401" s="1" t="s">
        <v>233</v>
      </c>
      <c r="N1401" s="1" t="s">
        <v>234</v>
      </c>
      <c r="O1401" s="1">
        <v>10035</v>
      </c>
      <c r="P1401" s="1" t="s">
        <v>128</v>
      </c>
      <c r="Q1401" s="1" t="s">
        <v>3153</v>
      </c>
      <c r="R1401" s="1" t="s">
        <v>46</v>
      </c>
      <c r="S1401" s="7">
        <v>6.48</v>
      </c>
      <c r="T1401" s="1">
        <v>1</v>
      </c>
      <c r="U1401" s="9">
        <v>6.44</v>
      </c>
      <c r="V1401" s="9">
        <v>6.48</v>
      </c>
      <c r="W1401" s="9">
        <v>6.44</v>
      </c>
      <c r="X1401" s="12">
        <v>4.0000000000000036E-2</v>
      </c>
      <c r="Y1401" s="10">
        <v>2017</v>
      </c>
    </row>
    <row r="1402" spans="1:25">
      <c r="A1402" s="1" t="s">
        <v>3154</v>
      </c>
      <c r="B1402" s="8">
        <v>42746</v>
      </c>
      <c r="C1402" s="11" t="s">
        <v>3381</v>
      </c>
      <c r="D1402" s="11" t="s">
        <v>3382</v>
      </c>
      <c r="E1402" s="5">
        <v>42866</v>
      </c>
      <c r="F1402" s="1" t="s">
        <v>49</v>
      </c>
      <c r="G1402" s="1" t="s">
        <v>3155</v>
      </c>
      <c r="H1402" s="1" t="s">
        <v>3445</v>
      </c>
      <c r="I1402" s="1" t="s">
        <v>3019</v>
      </c>
      <c r="J1402" s="1"/>
      <c r="K1402" s="1" t="s">
        <v>87</v>
      </c>
      <c r="L1402" s="1" t="s">
        <v>30</v>
      </c>
      <c r="M1402" s="1" t="s">
        <v>1609</v>
      </c>
      <c r="N1402" s="1" t="s">
        <v>272</v>
      </c>
      <c r="O1402" s="1">
        <v>24153</v>
      </c>
      <c r="P1402" s="1" t="s">
        <v>33</v>
      </c>
      <c r="Q1402" s="1" t="s">
        <v>218</v>
      </c>
      <c r="R1402" s="1" t="s">
        <v>64</v>
      </c>
      <c r="S1402" s="7">
        <v>21.8</v>
      </c>
      <c r="T1402" s="1">
        <v>2</v>
      </c>
      <c r="U1402" s="9">
        <v>21.02</v>
      </c>
      <c r="V1402" s="9">
        <v>43.6</v>
      </c>
      <c r="W1402" s="9">
        <v>42.04</v>
      </c>
      <c r="X1402" s="12">
        <v>1.5600000000000023</v>
      </c>
      <c r="Y1402" s="10">
        <v>2017</v>
      </c>
    </row>
    <row r="1403" spans="1:25">
      <c r="A1403" s="1" t="s">
        <v>3154</v>
      </c>
      <c r="B1403" s="8">
        <v>42746</v>
      </c>
      <c r="C1403" s="11" t="s">
        <v>3381</v>
      </c>
      <c r="D1403" s="11" t="s">
        <v>3382</v>
      </c>
      <c r="E1403" s="5">
        <v>42866</v>
      </c>
      <c r="F1403" s="1" t="s">
        <v>49</v>
      </c>
      <c r="G1403" s="1" t="s">
        <v>3155</v>
      </c>
      <c r="H1403" s="1" t="s">
        <v>3445</v>
      </c>
      <c r="I1403" s="1" t="s">
        <v>3019</v>
      </c>
      <c r="J1403" s="1"/>
      <c r="K1403" s="1" t="s">
        <v>87</v>
      </c>
      <c r="L1403" s="1" t="s">
        <v>30</v>
      </c>
      <c r="M1403" s="1" t="s">
        <v>1609</v>
      </c>
      <c r="N1403" s="1" t="s">
        <v>272</v>
      </c>
      <c r="O1403" s="1">
        <v>24153</v>
      </c>
      <c r="P1403" s="1" t="s">
        <v>33</v>
      </c>
      <c r="Q1403" s="1" t="s">
        <v>1763</v>
      </c>
      <c r="R1403" s="1" t="s">
        <v>46</v>
      </c>
      <c r="S1403" s="7">
        <v>251.79</v>
      </c>
      <c r="T1403" s="1">
        <v>2</v>
      </c>
      <c r="U1403" s="9">
        <v>250.81</v>
      </c>
      <c r="V1403" s="9">
        <v>503.58</v>
      </c>
      <c r="W1403" s="9">
        <v>501.62</v>
      </c>
      <c r="X1403" s="12">
        <v>1.9599999999999795</v>
      </c>
      <c r="Y1403" s="10">
        <v>2017</v>
      </c>
    </row>
    <row r="1404" spans="1:25">
      <c r="A1404" s="1" t="s">
        <v>3157</v>
      </c>
      <c r="B1404" s="8">
        <v>42844</v>
      </c>
      <c r="C1404" s="11" t="s">
        <v>3359</v>
      </c>
      <c r="D1404" s="11" t="s">
        <v>3360</v>
      </c>
      <c r="E1404" s="5" t="s">
        <v>3158</v>
      </c>
      <c r="F1404" s="1" t="s">
        <v>49</v>
      </c>
      <c r="G1404" s="1" t="s">
        <v>335</v>
      </c>
      <c r="H1404" s="1" t="s">
        <v>3435</v>
      </c>
      <c r="I1404" s="1" t="s">
        <v>3436</v>
      </c>
      <c r="J1404" s="1"/>
      <c r="K1404" s="1" t="s">
        <v>87</v>
      </c>
      <c r="L1404" s="1" t="s">
        <v>30</v>
      </c>
      <c r="M1404" s="1" t="s">
        <v>420</v>
      </c>
      <c r="N1404" s="1" t="s">
        <v>421</v>
      </c>
      <c r="O1404" s="1">
        <v>43229</v>
      </c>
      <c r="P1404" s="1" t="s">
        <v>128</v>
      </c>
      <c r="Q1404" s="1" t="s">
        <v>3159</v>
      </c>
      <c r="R1404" s="1" t="s">
        <v>35</v>
      </c>
      <c r="S1404" s="7">
        <v>205.17599999999999</v>
      </c>
      <c r="T1404" s="1">
        <v>4</v>
      </c>
      <c r="U1404" s="9">
        <v>204.56</v>
      </c>
      <c r="V1404" s="9">
        <v>820.70399999999995</v>
      </c>
      <c r="W1404" s="9">
        <v>818.24</v>
      </c>
      <c r="X1404" s="12">
        <v>2.4639999999999418</v>
      </c>
      <c r="Y1404" s="10">
        <v>2017</v>
      </c>
    </row>
    <row r="1405" spans="1:25">
      <c r="A1405" s="1" t="s">
        <v>3157</v>
      </c>
      <c r="B1405" s="8">
        <v>42844</v>
      </c>
      <c r="C1405" s="11" t="s">
        <v>3359</v>
      </c>
      <c r="D1405" s="11" t="s">
        <v>3360</v>
      </c>
      <c r="E1405" s="5" t="s">
        <v>3158</v>
      </c>
      <c r="F1405" s="1" t="s">
        <v>49</v>
      </c>
      <c r="G1405" s="1" t="s">
        <v>335</v>
      </c>
      <c r="H1405" s="1" t="s">
        <v>3435</v>
      </c>
      <c r="I1405" s="1" t="s">
        <v>3436</v>
      </c>
      <c r="J1405" s="1"/>
      <c r="K1405" s="1" t="s">
        <v>87</v>
      </c>
      <c r="L1405" s="1" t="s">
        <v>30</v>
      </c>
      <c r="M1405" s="1" t="s">
        <v>420</v>
      </c>
      <c r="N1405" s="1" t="s">
        <v>421</v>
      </c>
      <c r="O1405" s="1">
        <v>43229</v>
      </c>
      <c r="P1405" s="1" t="s">
        <v>128</v>
      </c>
      <c r="Q1405" s="1" t="s">
        <v>3160</v>
      </c>
      <c r="R1405" s="1" t="s">
        <v>46</v>
      </c>
      <c r="S1405" s="7">
        <v>419.4</v>
      </c>
      <c r="T1405" s="1">
        <v>4</v>
      </c>
      <c r="U1405" s="9">
        <v>418.98</v>
      </c>
      <c r="V1405" s="9">
        <v>1677.6</v>
      </c>
      <c r="W1405" s="9">
        <v>1675.92</v>
      </c>
      <c r="X1405" s="12">
        <v>1.6799999999998363</v>
      </c>
      <c r="Y1405" s="10">
        <v>2017</v>
      </c>
    </row>
    <row r="1406" spans="1:25">
      <c r="A1406" s="1" t="s">
        <v>3161</v>
      </c>
      <c r="B1406" s="8">
        <v>42159</v>
      </c>
      <c r="C1406" s="11" t="s">
        <v>3403</v>
      </c>
      <c r="D1406" s="11" t="s">
        <v>3360</v>
      </c>
      <c r="E1406" s="5">
        <v>42220</v>
      </c>
      <c r="F1406" s="1" t="s">
        <v>162</v>
      </c>
      <c r="G1406" s="1" t="s">
        <v>1220</v>
      </c>
      <c r="H1406" s="1" t="s">
        <v>3507</v>
      </c>
      <c r="I1406" s="1" t="s">
        <v>3419</v>
      </c>
      <c r="J1406" s="1"/>
      <c r="K1406" s="1" t="s">
        <v>87</v>
      </c>
      <c r="L1406" s="1" t="s">
        <v>30</v>
      </c>
      <c r="M1406" s="1" t="s">
        <v>126</v>
      </c>
      <c r="N1406" s="1" t="s">
        <v>127</v>
      </c>
      <c r="O1406" s="1">
        <v>19143</v>
      </c>
      <c r="P1406" s="1" t="s">
        <v>128</v>
      </c>
      <c r="Q1406" s="1" t="s">
        <v>1595</v>
      </c>
      <c r="R1406" s="1" t="s">
        <v>46</v>
      </c>
      <c r="S1406" s="7">
        <v>10.304</v>
      </c>
      <c r="T1406" s="1">
        <v>1</v>
      </c>
      <c r="U1406" s="9">
        <v>10.24</v>
      </c>
      <c r="V1406" s="9">
        <v>10.304</v>
      </c>
      <c r="W1406" s="9">
        <v>10.24</v>
      </c>
      <c r="X1406" s="12">
        <v>6.4000000000000057E-2</v>
      </c>
      <c r="Y1406" s="10">
        <v>2015</v>
      </c>
    </row>
    <row r="1407" spans="1:25">
      <c r="A1407" s="1" t="s">
        <v>3161</v>
      </c>
      <c r="B1407" s="8">
        <v>42159</v>
      </c>
      <c r="C1407" s="11" t="s">
        <v>3403</v>
      </c>
      <c r="D1407" s="11" t="s">
        <v>3360</v>
      </c>
      <c r="E1407" s="5">
        <v>42220</v>
      </c>
      <c r="F1407" s="1" t="s">
        <v>162</v>
      </c>
      <c r="G1407" s="1" t="s">
        <v>1220</v>
      </c>
      <c r="H1407" s="1" t="s">
        <v>3507</v>
      </c>
      <c r="I1407" s="1" t="s">
        <v>3419</v>
      </c>
      <c r="J1407" s="1"/>
      <c r="K1407" s="1" t="s">
        <v>87</v>
      </c>
      <c r="L1407" s="1" t="s">
        <v>30</v>
      </c>
      <c r="M1407" s="1" t="s">
        <v>126</v>
      </c>
      <c r="N1407" s="1" t="s">
        <v>127</v>
      </c>
      <c r="O1407" s="1">
        <v>19143</v>
      </c>
      <c r="P1407" s="1" t="s">
        <v>128</v>
      </c>
      <c r="Q1407" s="1" t="s">
        <v>3162</v>
      </c>
      <c r="R1407" s="1" t="s">
        <v>35</v>
      </c>
      <c r="S1407" s="7">
        <v>154.76400000000001</v>
      </c>
      <c r="T1407" s="1">
        <v>1</v>
      </c>
      <c r="U1407" s="9">
        <v>154.54</v>
      </c>
      <c r="V1407" s="9">
        <v>154.76400000000001</v>
      </c>
      <c r="W1407" s="9">
        <v>154.54</v>
      </c>
      <c r="X1407" s="12">
        <v>0.22400000000001796</v>
      </c>
      <c r="Y1407" s="10">
        <v>2015</v>
      </c>
    </row>
    <row r="1408" spans="1:25">
      <c r="A1408" s="1" t="s">
        <v>3161</v>
      </c>
      <c r="B1408" s="8">
        <v>42159</v>
      </c>
      <c r="C1408" s="11" t="s">
        <v>3403</v>
      </c>
      <c r="D1408" s="11" t="s">
        <v>3360</v>
      </c>
      <c r="E1408" s="5">
        <v>42220</v>
      </c>
      <c r="F1408" s="1" t="s">
        <v>162</v>
      </c>
      <c r="G1408" s="1" t="s">
        <v>1220</v>
      </c>
      <c r="H1408" s="1" t="s">
        <v>3507</v>
      </c>
      <c r="I1408" s="1" t="s">
        <v>3419</v>
      </c>
      <c r="J1408" s="1"/>
      <c r="K1408" s="1" t="s">
        <v>87</v>
      </c>
      <c r="L1408" s="1" t="s">
        <v>30</v>
      </c>
      <c r="M1408" s="1" t="s">
        <v>126</v>
      </c>
      <c r="N1408" s="1" t="s">
        <v>127</v>
      </c>
      <c r="O1408" s="1">
        <v>19143</v>
      </c>
      <c r="P1408" s="1" t="s">
        <v>128</v>
      </c>
      <c r="Q1408" s="1" t="s">
        <v>603</v>
      </c>
      <c r="R1408" s="1" t="s">
        <v>64</v>
      </c>
      <c r="S1408" s="7">
        <v>116.78400000000001</v>
      </c>
      <c r="T1408" s="1">
        <v>1</v>
      </c>
      <c r="U1408" s="9">
        <v>115.93</v>
      </c>
      <c r="V1408" s="9">
        <v>116.78400000000001</v>
      </c>
      <c r="W1408" s="9">
        <v>115.93</v>
      </c>
      <c r="X1408" s="12">
        <v>0.8539999999999992</v>
      </c>
      <c r="Y1408" s="10">
        <v>2015</v>
      </c>
    </row>
    <row r="1409" spans="1:25">
      <c r="A1409" s="1" t="s">
        <v>3163</v>
      </c>
      <c r="B1409" s="8">
        <v>42775</v>
      </c>
      <c r="C1409" s="11" t="s">
        <v>3461</v>
      </c>
      <c r="D1409" s="11" t="s">
        <v>3382</v>
      </c>
      <c r="E1409" s="5">
        <v>42895</v>
      </c>
      <c r="F1409" s="1" t="s">
        <v>49</v>
      </c>
      <c r="G1409" s="1" t="s">
        <v>269</v>
      </c>
      <c r="H1409" s="1" t="s">
        <v>3418</v>
      </c>
      <c r="I1409" s="1" t="s">
        <v>3419</v>
      </c>
      <c r="J1409" s="1"/>
      <c r="K1409" s="1" t="s">
        <v>29</v>
      </c>
      <c r="L1409" s="1" t="s">
        <v>30</v>
      </c>
      <c r="M1409" s="1" t="s">
        <v>233</v>
      </c>
      <c r="N1409" s="1" t="s">
        <v>234</v>
      </c>
      <c r="O1409" s="1">
        <v>10024</v>
      </c>
      <c r="P1409" s="1" t="s">
        <v>128</v>
      </c>
      <c r="Q1409" s="1" t="s">
        <v>3164</v>
      </c>
      <c r="R1409" s="1" t="s">
        <v>46</v>
      </c>
      <c r="S1409" s="7">
        <v>75.48</v>
      </c>
      <c r="T1409" s="1">
        <v>1</v>
      </c>
      <c r="U1409" s="9">
        <v>75.150000000000006</v>
      </c>
      <c r="V1409" s="9">
        <v>75.48</v>
      </c>
      <c r="W1409" s="9">
        <v>75.150000000000006</v>
      </c>
      <c r="X1409" s="12">
        <v>0.32999999999999829</v>
      </c>
      <c r="Y1409" s="10">
        <v>2017</v>
      </c>
    </row>
    <row r="1410" spans="1:25">
      <c r="A1410" s="1" t="s">
        <v>3163</v>
      </c>
      <c r="B1410" s="8">
        <v>42775</v>
      </c>
      <c r="C1410" s="11" t="s">
        <v>3461</v>
      </c>
      <c r="D1410" s="11" t="s">
        <v>3382</v>
      </c>
      <c r="E1410" s="5">
        <v>42895</v>
      </c>
      <c r="F1410" s="1" t="s">
        <v>49</v>
      </c>
      <c r="G1410" s="1" t="s">
        <v>269</v>
      </c>
      <c r="H1410" s="1" t="s">
        <v>3418</v>
      </c>
      <c r="I1410" s="1" t="s">
        <v>3419</v>
      </c>
      <c r="J1410" s="1"/>
      <c r="K1410" s="1" t="s">
        <v>29</v>
      </c>
      <c r="L1410" s="1" t="s">
        <v>30</v>
      </c>
      <c r="M1410" s="1" t="s">
        <v>233</v>
      </c>
      <c r="N1410" s="1" t="s">
        <v>234</v>
      </c>
      <c r="O1410" s="1">
        <v>10024</v>
      </c>
      <c r="P1410" s="1" t="s">
        <v>128</v>
      </c>
      <c r="Q1410" s="1" t="s">
        <v>967</v>
      </c>
      <c r="R1410" s="1" t="s">
        <v>35</v>
      </c>
      <c r="S1410" s="7">
        <v>39.979999999999997</v>
      </c>
      <c r="T1410" s="1">
        <v>1</v>
      </c>
      <c r="U1410" s="9">
        <v>39.14</v>
      </c>
      <c r="V1410" s="9">
        <v>39.979999999999997</v>
      </c>
      <c r="W1410" s="9">
        <v>39.14</v>
      </c>
      <c r="X1410" s="12">
        <v>0.83999999999999631</v>
      </c>
      <c r="Y1410" s="10">
        <v>2017</v>
      </c>
    </row>
    <row r="1411" spans="1:25">
      <c r="A1411" s="1" t="s">
        <v>3165</v>
      </c>
      <c r="B1411" s="8">
        <v>43003</v>
      </c>
      <c r="C1411" s="11" t="s">
        <v>3356</v>
      </c>
      <c r="D1411" s="11" t="s">
        <v>3345</v>
      </c>
      <c r="E1411" s="5" t="s">
        <v>2622</v>
      </c>
      <c r="F1411" s="1" t="s">
        <v>49</v>
      </c>
      <c r="G1411" s="1" t="s">
        <v>3166</v>
      </c>
      <c r="H1411" s="1" t="s">
        <v>3700</v>
      </c>
      <c r="I1411" s="1" t="s">
        <v>3980</v>
      </c>
      <c r="J1411" s="1"/>
      <c r="K1411" s="1" t="s">
        <v>29</v>
      </c>
      <c r="L1411" s="1" t="s">
        <v>30</v>
      </c>
      <c r="M1411" s="1" t="s">
        <v>457</v>
      </c>
      <c r="N1411" s="1" t="s">
        <v>265</v>
      </c>
      <c r="O1411" s="1">
        <v>85023</v>
      </c>
      <c r="P1411" s="1" t="s">
        <v>44</v>
      </c>
      <c r="Q1411" s="1" t="s">
        <v>2367</v>
      </c>
      <c r="R1411" s="1" t="s">
        <v>35</v>
      </c>
      <c r="S1411" s="7">
        <v>393.16500000000002</v>
      </c>
      <c r="T1411" s="1">
        <v>8</v>
      </c>
      <c r="U1411" s="9">
        <v>392.91</v>
      </c>
      <c r="V1411" s="9">
        <v>3145.32</v>
      </c>
      <c r="W1411" s="9">
        <v>3143.28</v>
      </c>
      <c r="X1411" s="12">
        <v>2.0399999999999636</v>
      </c>
      <c r="Y1411" s="10">
        <v>2017</v>
      </c>
    </row>
    <row r="1412" spans="1:25">
      <c r="A1412" s="1" t="s">
        <v>3168</v>
      </c>
      <c r="B1412" s="8">
        <v>43201</v>
      </c>
      <c r="C1412" s="11" t="s">
        <v>3359</v>
      </c>
      <c r="D1412" s="11" t="s">
        <v>3360</v>
      </c>
      <c r="E1412" s="5">
        <v>43415</v>
      </c>
      <c r="F1412" s="1" t="s">
        <v>49</v>
      </c>
      <c r="G1412" s="1" t="s">
        <v>3113</v>
      </c>
      <c r="H1412" s="1" t="s">
        <v>3974</v>
      </c>
      <c r="I1412" s="1" t="s">
        <v>3975</v>
      </c>
      <c r="J1412" s="1"/>
      <c r="K1412" s="1" t="s">
        <v>87</v>
      </c>
      <c r="L1412" s="1" t="s">
        <v>30</v>
      </c>
      <c r="M1412" s="1" t="s">
        <v>627</v>
      </c>
      <c r="N1412" s="1" t="s">
        <v>89</v>
      </c>
      <c r="O1412" s="1">
        <v>75051</v>
      </c>
      <c r="P1412" s="1" t="s">
        <v>90</v>
      </c>
      <c r="Q1412" s="1" t="s">
        <v>1354</v>
      </c>
      <c r="R1412" s="1" t="s">
        <v>46</v>
      </c>
      <c r="S1412" s="7">
        <v>23.68</v>
      </c>
      <c r="T1412" s="1">
        <v>7</v>
      </c>
      <c r="U1412" s="9">
        <v>23.61</v>
      </c>
      <c r="V1412" s="9">
        <v>165.76</v>
      </c>
      <c r="W1412" s="9">
        <v>165.26999999999998</v>
      </c>
      <c r="X1412" s="12">
        <v>0.49000000000000909</v>
      </c>
      <c r="Y1412" s="10">
        <v>2018</v>
      </c>
    </row>
    <row r="1413" spans="1:25">
      <c r="A1413" s="1" t="s">
        <v>3169</v>
      </c>
      <c r="B1413" s="8">
        <v>42985</v>
      </c>
      <c r="C1413" s="11" t="s">
        <v>3356</v>
      </c>
      <c r="D1413" s="11" t="s">
        <v>3345</v>
      </c>
      <c r="E1413" s="5" t="s">
        <v>3170</v>
      </c>
      <c r="F1413" s="1" t="s">
        <v>49</v>
      </c>
      <c r="G1413" s="1" t="s">
        <v>482</v>
      </c>
      <c r="H1413" s="1" t="s">
        <v>3477</v>
      </c>
      <c r="I1413" s="1" t="s">
        <v>3478</v>
      </c>
      <c r="J1413" s="1"/>
      <c r="K1413" s="1" t="s">
        <v>41</v>
      </c>
      <c r="L1413" s="1" t="s">
        <v>30</v>
      </c>
      <c r="M1413" s="1" t="s">
        <v>233</v>
      </c>
      <c r="N1413" s="1" t="s">
        <v>234</v>
      </c>
      <c r="O1413" s="1">
        <v>10035</v>
      </c>
      <c r="P1413" s="1" t="s">
        <v>128</v>
      </c>
      <c r="Q1413" s="1" t="s">
        <v>2009</v>
      </c>
      <c r="R1413" s="1" t="s">
        <v>35</v>
      </c>
      <c r="S1413" s="7">
        <v>408.00599999999997</v>
      </c>
      <c r="T1413" s="1">
        <v>1</v>
      </c>
      <c r="U1413" s="9">
        <v>407.19</v>
      </c>
      <c r="V1413" s="9">
        <v>408.00599999999997</v>
      </c>
      <c r="W1413" s="9">
        <v>407.19</v>
      </c>
      <c r="X1413" s="12">
        <v>0.81599999999997408</v>
      </c>
      <c r="Y1413" s="10">
        <v>2017</v>
      </c>
    </row>
    <row r="1414" spans="1:25">
      <c r="A1414" s="1" t="s">
        <v>3169</v>
      </c>
      <c r="B1414" s="8">
        <v>42985</v>
      </c>
      <c r="C1414" s="11" t="s">
        <v>3356</v>
      </c>
      <c r="D1414" s="11" t="s">
        <v>3345</v>
      </c>
      <c r="E1414" s="5" t="s">
        <v>3170</v>
      </c>
      <c r="F1414" s="1" t="s">
        <v>49</v>
      </c>
      <c r="G1414" s="1" t="s">
        <v>482</v>
      </c>
      <c r="H1414" s="1" t="s">
        <v>3477</v>
      </c>
      <c r="I1414" s="1" t="s">
        <v>3478</v>
      </c>
      <c r="J1414" s="1"/>
      <c r="K1414" s="1" t="s">
        <v>41</v>
      </c>
      <c r="L1414" s="1" t="s">
        <v>30</v>
      </c>
      <c r="M1414" s="1" t="s">
        <v>233</v>
      </c>
      <c r="N1414" s="1" t="s">
        <v>234</v>
      </c>
      <c r="O1414" s="1">
        <v>10035</v>
      </c>
      <c r="P1414" s="1" t="s">
        <v>128</v>
      </c>
      <c r="Q1414" s="1" t="s">
        <v>1513</v>
      </c>
      <c r="R1414" s="1" t="s">
        <v>35</v>
      </c>
      <c r="S1414" s="7">
        <v>165.28</v>
      </c>
      <c r="T1414" s="1">
        <v>1</v>
      </c>
      <c r="U1414" s="9">
        <v>164.67</v>
      </c>
      <c r="V1414" s="9">
        <v>165.28</v>
      </c>
      <c r="W1414" s="9">
        <v>164.67</v>
      </c>
      <c r="X1414" s="12">
        <v>0.61000000000001364</v>
      </c>
      <c r="Y1414" s="10">
        <v>2017</v>
      </c>
    </row>
    <row r="1415" spans="1:25">
      <c r="A1415" s="1" t="s">
        <v>3171</v>
      </c>
      <c r="B1415" s="8">
        <v>42185</v>
      </c>
      <c r="C1415" s="11" t="s">
        <v>3403</v>
      </c>
      <c r="D1415" s="11" t="s">
        <v>3360</v>
      </c>
      <c r="E1415" s="5">
        <v>42131</v>
      </c>
      <c r="F1415" s="1" t="s">
        <v>49</v>
      </c>
      <c r="G1415" s="1" t="s">
        <v>3172</v>
      </c>
      <c r="H1415" s="1" t="s">
        <v>3482</v>
      </c>
      <c r="I1415" s="1" t="s">
        <v>3389</v>
      </c>
      <c r="J1415" s="1"/>
      <c r="K1415" s="1" t="s">
        <v>29</v>
      </c>
      <c r="L1415" s="1" t="s">
        <v>30</v>
      </c>
      <c r="M1415" s="1" t="s">
        <v>233</v>
      </c>
      <c r="N1415" s="1" t="s">
        <v>234</v>
      </c>
      <c r="O1415" s="1">
        <v>10024</v>
      </c>
      <c r="P1415" s="1" t="s">
        <v>128</v>
      </c>
      <c r="Q1415" s="1" t="s">
        <v>3174</v>
      </c>
      <c r="R1415" s="1" t="s">
        <v>46</v>
      </c>
      <c r="S1415" s="7">
        <v>334.76799999999997</v>
      </c>
      <c r="T1415" s="1">
        <v>1</v>
      </c>
      <c r="U1415" s="9">
        <v>334.11</v>
      </c>
      <c r="V1415" s="9">
        <v>334.76799999999997</v>
      </c>
      <c r="W1415" s="9">
        <v>334.11</v>
      </c>
      <c r="X1415" s="12">
        <v>0.65799999999995862</v>
      </c>
      <c r="Y1415" s="10">
        <v>2015</v>
      </c>
    </row>
    <row r="1416" spans="1:25">
      <c r="A1416" s="1" t="s">
        <v>3175</v>
      </c>
      <c r="B1416" s="8">
        <v>43128</v>
      </c>
      <c r="C1416" s="11" t="s">
        <v>3381</v>
      </c>
      <c r="D1416" s="11" t="s">
        <v>3382</v>
      </c>
      <c r="E1416" s="5" t="s">
        <v>3176</v>
      </c>
      <c r="F1416" s="1" t="s">
        <v>26</v>
      </c>
      <c r="G1416" s="1" t="s">
        <v>3177</v>
      </c>
      <c r="H1416" s="1" t="s">
        <v>3968</v>
      </c>
      <c r="I1416" s="1" t="s">
        <v>3815</v>
      </c>
      <c r="J1416" s="1"/>
      <c r="K1416" s="1" t="s">
        <v>87</v>
      </c>
      <c r="L1416" s="1" t="s">
        <v>30</v>
      </c>
      <c r="M1416" s="1" t="s">
        <v>1392</v>
      </c>
      <c r="N1416" s="1" t="s">
        <v>68</v>
      </c>
      <c r="O1416" s="1">
        <v>92627</v>
      </c>
      <c r="P1416" s="1" t="s">
        <v>44</v>
      </c>
      <c r="Q1416" s="1" t="s">
        <v>2935</v>
      </c>
      <c r="R1416" s="1" t="s">
        <v>64</v>
      </c>
      <c r="S1416" s="7">
        <v>239.97</v>
      </c>
      <c r="T1416" s="1">
        <v>9</v>
      </c>
      <c r="U1416" s="9">
        <v>239.38</v>
      </c>
      <c r="V1416" s="9">
        <v>2159.73</v>
      </c>
      <c r="W1416" s="9">
        <v>2154.42</v>
      </c>
      <c r="X1416" s="12">
        <v>5.3099999999999454</v>
      </c>
      <c r="Y1416" s="10">
        <v>2018</v>
      </c>
    </row>
    <row r="1417" spans="1:25">
      <c r="A1417" s="1" t="s">
        <v>3175</v>
      </c>
      <c r="B1417" s="8">
        <v>43128</v>
      </c>
      <c r="C1417" s="11" t="s">
        <v>3381</v>
      </c>
      <c r="D1417" s="11" t="s">
        <v>3382</v>
      </c>
      <c r="E1417" s="5" t="s">
        <v>3176</v>
      </c>
      <c r="F1417" s="1" t="s">
        <v>26</v>
      </c>
      <c r="G1417" s="1" t="s">
        <v>3177</v>
      </c>
      <c r="H1417" s="1" t="s">
        <v>3968</v>
      </c>
      <c r="I1417" s="1" t="s">
        <v>3815</v>
      </c>
      <c r="J1417" s="1"/>
      <c r="K1417" s="1" t="s">
        <v>87</v>
      </c>
      <c r="L1417" s="1" t="s">
        <v>30</v>
      </c>
      <c r="M1417" s="1" t="s">
        <v>1392</v>
      </c>
      <c r="N1417" s="1" t="s">
        <v>68</v>
      </c>
      <c r="O1417" s="1">
        <v>92627</v>
      </c>
      <c r="P1417" s="1" t="s">
        <v>44</v>
      </c>
      <c r="Q1417" s="1" t="s">
        <v>3179</v>
      </c>
      <c r="R1417" s="1" t="s">
        <v>35</v>
      </c>
      <c r="S1417" s="7">
        <v>37.74</v>
      </c>
      <c r="T1417" s="1">
        <v>9</v>
      </c>
      <c r="U1417" s="9">
        <v>37.36</v>
      </c>
      <c r="V1417" s="9">
        <v>339.66</v>
      </c>
      <c r="W1417" s="9">
        <v>336.24</v>
      </c>
      <c r="X1417" s="12">
        <v>3.4200000000000159</v>
      </c>
      <c r="Y1417" s="10">
        <v>2018</v>
      </c>
    </row>
    <row r="1418" spans="1:25">
      <c r="A1418" s="1" t="s">
        <v>3180</v>
      </c>
      <c r="B1418" s="8">
        <v>42634</v>
      </c>
      <c r="C1418" s="11" t="s">
        <v>3356</v>
      </c>
      <c r="D1418" s="11" t="s">
        <v>3345</v>
      </c>
      <c r="E1418" s="5" t="s">
        <v>2983</v>
      </c>
      <c r="F1418" s="1" t="s">
        <v>162</v>
      </c>
      <c r="G1418" s="1" t="s">
        <v>3181</v>
      </c>
      <c r="H1418" s="1" t="s">
        <v>3981</v>
      </c>
      <c r="I1418" s="1" t="s">
        <v>3351</v>
      </c>
      <c r="J1418" s="1"/>
      <c r="K1418" s="1" t="s">
        <v>41</v>
      </c>
      <c r="L1418" s="1" t="s">
        <v>30</v>
      </c>
      <c r="M1418" s="1" t="s">
        <v>172</v>
      </c>
      <c r="N1418" s="1" t="s">
        <v>89</v>
      </c>
      <c r="O1418" s="1">
        <v>77041</v>
      </c>
      <c r="P1418" s="1" t="s">
        <v>90</v>
      </c>
      <c r="Q1418" s="1" t="s">
        <v>3183</v>
      </c>
      <c r="R1418" s="1" t="s">
        <v>64</v>
      </c>
      <c r="S1418" s="7">
        <v>946.34400000000005</v>
      </c>
      <c r="T1418" s="1">
        <v>7</v>
      </c>
      <c r="U1418" s="9">
        <v>945.88</v>
      </c>
      <c r="V1418" s="9">
        <v>6624.4080000000004</v>
      </c>
      <c r="W1418" s="9">
        <v>6621.16</v>
      </c>
      <c r="X1418" s="12">
        <v>3.248000000000502</v>
      </c>
      <c r="Y1418" s="10">
        <v>2016</v>
      </c>
    </row>
    <row r="1419" spans="1:25">
      <c r="A1419" s="1" t="s">
        <v>3180</v>
      </c>
      <c r="B1419" s="8">
        <v>42634</v>
      </c>
      <c r="C1419" s="11" t="s">
        <v>3356</v>
      </c>
      <c r="D1419" s="11" t="s">
        <v>3345</v>
      </c>
      <c r="E1419" s="5" t="s">
        <v>2983</v>
      </c>
      <c r="F1419" s="1" t="s">
        <v>162</v>
      </c>
      <c r="G1419" s="1" t="s">
        <v>3181</v>
      </c>
      <c r="H1419" s="1" t="s">
        <v>3981</v>
      </c>
      <c r="I1419" s="1" t="s">
        <v>3351</v>
      </c>
      <c r="J1419" s="1"/>
      <c r="K1419" s="1" t="s">
        <v>41</v>
      </c>
      <c r="L1419" s="1" t="s">
        <v>30</v>
      </c>
      <c r="M1419" s="1" t="s">
        <v>172</v>
      </c>
      <c r="N1419" s="1" t="s">
        <v>89</v>
      </c>
      <c r="O1419" s="1">
        <v>77041</v>
      </c>
      <c r="P1419" s="1" t="s">
        <v>90</v>
      </c>
      <c r="Q1419" s="1" t="s">
        <v>2328</v>
      </c>
      <c r="R1419" s="1" t="s">
        <v>64</v>
      </c>
      <c r="S1419" s="7">
        <v>151.19999999999999</v>
      </c>
      <c r="T1419" s="1">
        <v>7</v>
      </c>
      <c r="U1419" s="9">
        <v>151.06</v>
      </c>
      <c r="V1419" s="9">
        <v>1058.3999999999999</v>
      </c>
      <c r="W1419" s="9">
        <v>1057.42</v>
      </c>
      <c r="X1419" s="12">
        <v>0.97999999999979082</v>
      </c>
      <c r="Y1419" s="10">
        <v>2016</v>
      </c>
    </row>
    <row r="1420" spans="1:25">
      <c r="A1420" s="1" t="s">
        <v>3180</v>
      </c>
      <c r="B1420" s="8">
        <v>42634</v>
      </c>
      <c r="C1420" s="11" t="s">
        <v>3356</v>
      </c>
      <c r="D1420" s="11" t="s">
        <v>3345</v>
      </c>
      <c r="E1420" s="5" t="s">
        <v>2983</v>
      </c>
      <c r="F1420" s="1" t="s">
        <v>162</v>
      </c>
      <c r="G1420" s="1" t="s">
        <v>3181</v>
      </c>
      <c r="H1420" s="1" t="s">
        <v>3981</v>
      </c>
      <c r="I1420" s="1" t="s">
        <v>3351</v>
      </c>
      <c r="J1420" s="1"/>
      <c r="K1420" s="1" t="s">
        <v>41</v>
      </c>
      <c r="L1420" s="1" t="s">
        <v>30</v>
      </c>
      <c r="M1420" s="1" t="s">
        <v>172</v>
      </c>
      <c r="N1420" s="1" t="s">
        <v>89</v>
      </c>
      <c r="O1420" s="1">
        <v>77041</v>
      </c>
      <c r="P1420" s="1" t="s">
        <v>90</v>
      </c>
      <c r="Q1420" s="1" t="s">
        <v>227</v>
      </c>
      <c r="R1420" s="1" t="s">
        <v>35</v>
      </c>
      <c r="S1420" s="7">
        <v>4.9279999999999999</v>
      </c>
      <c r="T1420" s="1">
        <v>7</v>
      </c>
      <c r="U1420" s="9">
        <v>4.1500000000000004</v>
      </c>
      <c r="V1420" s="9">
        <v>34.496000000000002</v>
      </c>
      <c r="W1420" s="9">
        <v>29.050000000000004</v>
      </c>
      <c r="X1420" s="12">
        <v>5.445999999999998</v>
      </c>
      <c r="Y1420" s="10">
        <v>2016</v>
      </c>
    </row>
    <row r="1421" spans="1:25">
      <c r="A1421" s="1" t="s">
        <v>3184</v>
      </c>
      <c r="B1421" s="8">
        <v>42639</v>
      </c>
      <c r="C1421" s="11" t="s">
        <v>3356</v>
      </c>
      <c r="D1421" s="11" t="s">
        <v>3345</v>
      </c>
      <c r="E1421" s="5" t="s">
        <v>131</v>
      </c>
      <c r="F1421" s="1" t="s">
        <v>49</v>
      </c>
      <c r="G1421" s="1" t="s">
        <v>3185</v>
      </c>
      <c r="H1421" s="1" t="s">
        <v>3449</v>
      </c>
      <c r="I1421" s="1" t="s">
        <v>3539</v>
      </c>
      <c r="J1421" s="1"/>
      <c r="K1421" s="1" t="s">
        <v>41</v>
      </c>
      <c r="L1421" s="1" t="s">
        <v>30</v>
      </c>
      <c r="M1421" s="1" t="s">
        <v>1484</v>
      </c>
      <c r="N1421" s="1" t="s">
        <v>265</v>
      </c>
      <c r="O1421" s="1">
        <v>85204</v>
      </c>
      <c r="P1421" s="1" t="s">
        <v>44</v>
      </c>
      <c r="Q1421" s="1" t="s">
        <v>3187</v>
      </c>
      <c r="R1421" s="1" t="s">
        <v>46</v>
      </c>
      <c r="S1421" s="7">
        <v>86.272000000000006</v>
      </c>
      <c r="T1421" s="1">
        <v>8</v>
      </c>
      <c r="U1421" s="9">
        <v>85.73</v>
      </c>
      <c r="V1421" s="9">
        <v>690.17600000000004</v>
      </c>
      <c r="W1421" s="9">
        <v>685.84</v>
      </c>
      <c r="X1421" s="12">
        <v>4.3360000000000127</v>
      </c>
      <c r="Y1421" s="10">
        <v>2016</v>
      </c>
    </row>
    <row r="1422" spans="1:25">
      <c r="A1422" s="1" t="s">
        <v>3184</v>
      </c>
      <c r="B1422" s="8">
        <v>42639</v>
      </c>
      <c r="C1422" s="11" t="s">
        <v>3356</v>
      </c>
      <c r="D1422" s="11" t="s">
        <v>3345</v>
      </c>
      <c r="E1422" s="5" t="s">
        <v>131</v>
      </c>
      <c r="F1422" s="1" t="s">
        <v>49</v>
      </c>
      <c r="G1422" s="1" t="s">
        <v>3185</v>
      </c>
      <c r="H1422" s="1" t="s">
        <v>3449</v>
      </c>
      <c r="I1422" s="1" t="s">
        <v>3539</v>
      </c>
      <c r="J1422" s="1"/>
      <c r="K1422" s="1" t="s">
        <v>41</v>
      </c>
      <c r="L1422" s="1" t="s">
        <v>30</v>
      </c>
      <c r="M1422" s="1" t="s">
        <v>1484</v>
      </c>
      <c r="N1422" s="1" t="s">
        <v>265</v>
      </c>
      <c r="O1422" s="1">
        <v>85204</v>
      </c>
      <c r="P1422" s="1" t="s">
        <v>44</v>
      </c>
      <c r="Q1422" s="1" t="s">
        <v>872</v>
      </c>
      <c r="R1422" s="1" t="s">
        <v>46</v>
      </c>
      <c r="S1422" s="7">
        <v>72.587999999999994</v>
      </c>
      <c r="T1422" s="1">
        <v>8</v>
      </c>
      <c r="U1422" s="9">
        <v>72.03</v>
      </c>
      <c r="V1422" s="9">
        <v>580.70399999999995</v>
      </c>
      <c r="W1422" s="9">
        <v>576.24</v>
      </c>
      <c r="X1422" s="12">
        <v>4.4639999999999418</v>
      </c>
      <c r="Y1422" s="10">
        <v>2016</v>
      </c>
    </row>
    <row r="1423" spans="1:25">
      <c r="A1423" s="1" t="s">
        <v>3184</v>
      </c>
      <c r="B1423" s="8">
        <v>42639</v>
      </c>
      <c r="C1423" s="11" t="s">
        <v>3356</v>
      </c>
      <c r="D1423" s="11" t="s">
        <v>3345</v>
      </c>
      <c r="E1423" s="5" t="s">
        <v>131</v>
      </c>
      <c r="F1423" s="1" t="s">
        <v>49</v>
      </c>
      <c r="G1423" s="1" t="s">
        <v>3185</v>
      </c>
      <c r="H1423" s="1" t="s">
        <v>3449</v>
      </c>
      <c r="I1423" s="1" t="s">
        <v>3539</v>
      </c>
      <c r="J1423" s="1"/>
      <c r="K1423" s="1" t="s">
        <v>41</v>
      </c>
      <c r="L1423" s="1" t="s">
        <v>30</v>
      </c>
      <c r="M1423" s="1" t="s">
        <v>1484</v>
      </c>
      <c r="N1423" s="1" t="s">
        <v>265</v>
      </c>
      <c r="O1423" s="1">
        <v>85204</v>
      </c>
      <c r="P1423" s="1" t="s">
        <v>44</v>
      </c>
      <c r="Q1423" s="1" t="s">
        <v>3188</v>
      </c>
      <c r="R1423" s="1" t="s">
        <v>46</v>
      </c>
      <c r="S1423" s="7">
        <v>60.671999999999997</v>
      </c>
      <c r="T1423" s="1">
        <v>8</v>
      </c>
      <c r="U1423" s="9">
        <v>59.89</v>
      </c>
      <c r="V1423" s="9">
        <v>485.37599999999998</v>
      </c>
      <c r="W1423" s="9">
        <v>479.12</v>
      </c>
      <c r="X1423" s="12">
        <v>6.2559999999999718</v>
      </c>
      <c r="Y1423" s="10">
        <v>2016</v>
      </c>
    </row>
    <row r="1424" spans="1:25">
      <c r="A1424" s="1" t="s">
        <v>3184</v>
      </c>
      <c r="B1424" s="8">
        <v>42639</v>
      </c>
      <c r="C1424" s="11" t="s">
        <v>3356</v>
      </c>
      <c r="D1424" s="11" t="s">
        <v>3345</v>
      </c>
      <c r="E1424" s="5" t="s">
        <v>131</v>
      </c>
      <c r="F1424" s="1" t="s">
        <v>49</v>
      </c>
      <c r="G1424" s="1" t="s">
        <v>3185</v>
      </c>
      <c r="H1424" s="1" t="s">
        <v>3449</v>
      </c>
      <c r="I1424" s="1" t="s">
        <v>3539</v>
      </c>
      <c r="J1424" s="1"/>
      <c r="K1424" s="1" t="s">
        <v>41</v>
      </c>
      <c r="L1424" s="1" t="s">
        <v>30</v>
      </c>
      <c r="M1424" s="1" t="s">
        <v>1484</v>
      </c>
      <c r="N1424" s="1" t="s">
        <v>265</v>
      </c>
      <c r="O1424" s="1">
        <v>85204</v>
      </c>
      <c r="P1424" s="1" t="s">
        <v>44</v>
      </c>
      <c r="Q1424" s="1" t="s">
        <v>2225</v>
      </c>
      <c r="R1424" s="1" t="s">
        <v>46</v>
      </c>
      <c r="S1424" s="7">
        <v>77.031000000000006</v>
      </c>
      <c r="T1424" s="1">
        <v>8</v>
      </c>
      <c r="U1424" s="9">
        <v>76.92</v>
      </c>
      <c r="V1424" s="9">
        <v>616.24800000000005</v>
      </c>
      <c r="W1424" s="9">
        <v>615.36</v>
      </c>
      <c r="X1424" s="12">
        <v>0.88800000000003365</v>
      </c>
      <c r="Y1424" s="10">
        <v>2016</v>
      </c>
    </row>
    <row r="1425" spans="1:25">
      <c r="A1425" s="1" t="s">
        <v>3184</v>
      </c>
      <c r="B1425" s="8">
        <v>42639</v>
      </c>
      <c r="C1425" s="11" t="s">
        <v>3356</v>
      </c>
      <c r="D1425" s="11" t="s">
        <v>3345</v>
      </c>
      <c r="E1425" s="5" t="s">
        <v>131</v>
      </c>
      <c r="F1425" s="1" t="s">
        <v>49</v>
      </c>
      <c r="G1425" s="1" t="s">
        <v>3185</v>
      </c>
      <c r="H1425" s="1" t="s">
        <v>3449</v>
      </c>
      <c r="I1425" s="1" t="s">
        <v>3539</v>
      </c>
      <c r="J1425" s="1"/>
      <c r="K1425" s="1" t="s">
        <v>41</v>
      </c>
      <c r="L1425" s="1" t="s">
        <v>30</v>
      </c>
      <c r="M1425" s="1" t="s">
        <v>1484</v>
      </c>
      <c r="N1425" s="1" t="s">
        <v>265</v>
      </c>
      <c r="O1425" s="1">
        <v>85204</v>
      </c>
      <c r="P1425" s="1" t="s">
        <v>44</v>
      </c>
      <c r="Q1425" s="1" t="s">
        <v>1142</v>
      </c>
      <c r="R1425" s="1" t="s">
        <v>46</v>
      </c>
      <c r="S1425" s="7">
        <v>119.904</v>
      </c>
      <c r="T1425" s="1">
        <v>8</v>
      </c>
      <c r="U1425" s="9">
        <v>119.34</v>
      </c>
      <c r="V1425" s="9">
        <v>959.23199999999997</v>
      </c>
      <c r="W1425" s="9">
        <v>954.72</v>
      </c>
      <c r="X1425" s="12">
        <v>4.5119999999999436</v>
      </c>
      <c r="Y1425" s="10">
        <v>2016</v>
      </c>
    </row>
    <row r="1426" spans="1:25">
      <c r="A1426" s="1" t="s">
        <v>3184</v>
      </c>
      <c r="B1426" s="8">
        <v>42639</v>
      </c>
      <c r="C1426" s="11" t="s">
        <v>3356</v>
      </c>
      <c r="D1426" s="11" t="s">
        <v>3345</v>
      </c>
      <c r="E1426" s="5" t="s">
        <v>131</v>
      </c>
      <c r="F1426" s="1" t="s">
        <v>49</v>
      </c>
      <c r="G1426" s="1" t="s">
        <v>3185</v>
      </c>
      <c r="H1426" s="1" t="s">
        <v>3449</v>
      </c>
      <c r="I1426" s="1" t="s">
        <v>3539</v>
      </c>
      <c r="J1426" s="1"/>
      <c r="K1426" s="1" t="s">
        <v>41</v>
      </c>
      <c r="L1426" s="1" t="s">
        <v>30</v>
      </c>
      <c r="M1426" s="1" t="s">
        <v>1484</v>
      </c>
      <c r="N1426" s="1" t="s">
        <v>265</v>
      </c>
      <c r="O1426" s="1">
        <v>85204</v>
      </c>
      <c r="P1426" s="1" t="s">
        <v>44</v>
      </c>
      <c r="Q1426" s="1" t="s">
        <v>3189</v>
      </c>
      <c r="R1426" s="1" t="s">
        <v>64</v>
      </c>
      <c r="S1426" s="7">
        <v>263.95999999999998</v>
      </c>
      <c r="T1426" s="1">
        <v>8</v>
      </c>
      <c r="U1426" s="9">
        <v>263.89</v>
      </c>
      <c r="V1426" s="9">
        <v>2111.6799999999998</v>
      </c>
      <c r="W1426" s="9">
        <v>2111.12</v>
      </c>
      <c r="X1426" s="12">
        <v>0.55999999999994543</v>
      </c>
      <c r="Y1426" s="10">
        <v>2016</v>
      </c>
    </row>
    <row r="1427" spans="1:25">
      <c r="A1427" s="1" t="s">
        <v>3184</v>
      </c>
      <c r="B1427" s="8">
        <v>42639</v>
      </c>
      <c r="C1427" s="11" t="s">
        <v>3356</v>
      </c>
      <c r="D1427" s="11" t="s">
        <v>3345</v>
      </c>
      <c r="E1427" s="5" t="s">
        <v>131</v>
      </c>
      <c r="F1427" s="1" t="s">
        <v>49</v>
      </c>
      <c r="G1427" s="1" t="s">
        <v>3185</v>
      </c>
      <c r="H1427" s="1" t="s">
        <v>3449</v>
      </c>
      <c r="I1427" s="1" t="s">
        <v>3539</v>
      </c>
      <c r="J1427" s="1"/>
      <c r="K1427" s="1" t="s">
        <v>41</v>
      </c>
      <c r="L1427" s="1" t="s">
        <v>30</v>
      </c>
      <c r="M1427" s="1" t="s">
        <v>1484</v>
      </c>
      <c r="N1427" s="1" t="s">
        <v>265</v>
      </c>
      <c r="O1427" s="1">
        <v>85204</v>
      </c>
      <c r="P1427" s="1" t="s">
        <v>44</v>
      </c>
      <c r="Q1427" s="1" t="s">
        <v>1325</v>
      </c>
      <c r="R1427" s="1" t="s">
        <v>46</v>
      </c>
      <c r="S1427" s="7">
        <v>363.64800000000002</v>
      </c>
      <c r="T1427" s="1">
        <v>8</v>
      </c>
      <c r="U1427" s="9">
        <v>363.08</v>
      </c>
      <c r="V1427" s="9">
        <v>2909.1840000000002</v>
      </c>
      <c r="W1427" s="9">
        <v>2904.64</v>
      </c>
      <c r="X1427" s="12">
        <v>4.5440000000003238</v>
      </c>
      <c r="Y1427" s="10">
        <v>2016</v>
      </c>
    </row>
    <row r="1428" spans="1:25">
      <c r="A1428" s="1" t="s">
        <v>3190</v>
      </c>
      <c r="B1428" s="8">
        <v>42674</v>
      </c>
      <c r="C1428" s="11" t="s">
        <v>3387</v>
      </c>
      <c r="D1428" s="11" t="s">
        <v>3349</v>
      </c>
      <c r="E1428" s="5">
        <v>42471</v>
      </c>
      <c r="F1428" s="1" t="s">
        <v>26</v>
      </c>
      <c r="G1428" s="1" t="s">
        <v>3191</v>
      </c>
      <c r="H1428" s="1" t="s">
        <v>3982</v>
      </c>
      <c r="I1428" s="1" t="s">
        <v>3983</v>
      </c>
      <c r="J1428" s="1"/>
      <c r="K1428" s="1" t="s">
        <v>41</v>
      </c>
      <c r="L1428" s="1" t="s">
        <v>30</v>
      </c>
      <c r="M1428" s="1" t="s">
        <v>2164</v>
      </c>
      <c r="N1428" s="1" t="s">
        <v>68</v>
      </c>
      <c r="O1428" s="1">
        <v>93905</v>
      </c>
      <c r="P1428" s="1" t="s">
        <v>44</v>
      </c>
      <c r="Q1428" s="1" t="s">
        <v>1662</v>
      </c>
      <c r="R1428" s="1" t="s">
        <v>46</v>
      </c>
      <c r="S1428" s="7">
        <v>9.7279999999999998</v>
      </c>
      <c r="T1428" s="1">
        <v>9</v>
      </c>
      <c r="U1428" s="9">
        <v>9</v>
      </c>
      <c r="V1428" s="9">
        <v>87.551999999999992</v>
      </c>
      <c r="W1428" s="9">
        <v>81</v>
      </c>
      <c r="X1428" s="12">
        <v>6.5519999999999925</v>
      </c>
      <c r="Y1428" s="10">
        <v>2016</v>
      </c>
    </row>
    <row r="1429" spans="1:25">
      <c r="A1429" s="1" t="s">
        <v>3190</v>
      </c>
      <c r="B1429" s="8">
        <v>42674</v>
      </c>
      <c r="C1429" s="11" t="s">
        <v>3387</v>
      </c>
      <c r="D1429" s="11" t="s">
        <v>3349</v>
      </c>
      <c r="E1429" s="5">
        <v>42471</v>
      </c>
      <c r="F1429" s="1" t="s">
        <v>26</v>
      </c>
      <c r="G1429" s="1" t="s">
        <v>3191</v>
      </c>
      <c r="H1429" s="1" t="s">
        <v>3982</v>
      </c>
      <c r="I1429" s="1" t="s">
        <v>3983</v>
      </c>
      <c r="J1429" s="1"/>
      <c r="K1429" s="1" t="s">
        <v>41</v>
      </c>
      <c r="L1429" s="1" t="s">
        <v>30</v>
      </c>
      <c r="M1429" s="1" t="s">
        <v>2164</v>
      </c>
      <c r="N1429" s="1" t="s">
        <v>68</v>
      </c>
      <c r="O1429" s="1">
        <v>93905</v>
      </c>
      <c r="P1429" s="1" t="s">
        <v>44</v>
      </c>
      <c r="Q1429" s="1" t="s">
        <v>423</v>
      </c>
      <c r="R1429" s="1" t="s">
        <v>46</v>
      </c>
      <c r="S1429" s="7">
        <v>14.75</v>
      </c>
      <c r="T1429" s="1">
        <v>9</v>
      </c>
      <c r="U1429" s="9">
        <v>14.38</v>
      </c>
      <c r="V1429" s="9">
        <v>132.75</v>
      </c>
      <c r="W1429" s="9">
        <v>129.42000000000002</v>
      </c>
      <c r="X1429" s="12">
        <v>3.3299999999999841</v>
      </c>
      <c r="Y1429" s="10">
        <v>2016</v>
      </c>
    </row>
    <row r="1430" spans="1:25">
      <c r="A1430" s="1" t="s">
        <v>3190</v>
      </c>
      <c r="B1430" s="8">
        <v>42674</v>
      </c>
      <c r="C1430" s="11" t="s">
        <v>3387</v>
      </c>
      <c r="D1430" s="11" t="s">
        <v>3349</v>
      </c>
      <c r="E1430" s="5">
        <v>42471</v>
      </c>
      <c r="F1430" s="1" t="s">
        <v>26</v>
      </c>
      <c r="G1430" s="1" t="s">
        <v>3191</v>
      </c>
      <c r="H1430" s="1" t="s">
        <v>3982</v>
      </c>
      <c r="I1430" s="1" t="s">
        <v>3983</v>
      </c>
      <c r="J1430" s="1"/>
      <c r="K1430" s="1" t="s">
        <v>41</v>
      </c>
      <c r="L1430" s="1" t="s">
        <v>30</v>
      </c>
      <c r="M1430" s="1" t="s">
        <v>2164</v>
      </c>
      <c r="N1430" s="1" t="s">
        <v>68</v>
      </c>
      <c r="O1430" s="1">
        <v>93905</v>
      </c>
      <c r="P1430" s="1" t="s">
        <v>44</v>
      </c>
      <c r="Q1430" s="1" t="s">
        <v>3193</v>
      </c>
      <c r="R1430" s="1" t="s">
        <v>46</v>
      </c>
      <c r="S1430" s="7">
        <v>29.8</v>
      </c>
      <c r="T1430" s="1">
        <v>9</v>
      </c>
      <c r="U1430" s="9">
        <v>29.02</v>
      </c>
      <c r="V1430" s="9">
        <v>268.2</v>
      </c>
      <c r="W1430" s="9">
        <v>261.18</v>
      </c>
      <c r="X1430" s="12">
        <v>7.0199999999999818</v>
      </c>
      <c r="Y1430" s="10">
        <v>2016</v>
      </c>
    </row>
    <row r="1431" spans="1:25">
      <c r="A1431" s="1" t="s">
        <v>3190</v>
      </c>
      <c r="B1431" s="8">
        <v>42674</v>
      </c>
      <c r="C1431" s="11" t="s">
        <v>3387</v>
      </c>
      <c r="D1431" s="11" t="s">
        <v>3349</v>
      </c>
      <c r="E1431" s="5">
        <v>42471</v>
      </c>
      <c r="F1431" s="1" t="s">
        <v>26</v>
      </c>
      <c r="G1431" s="1" t="s">
        <v>3191</v>
      </c>
      <c r="H1431" s="1" t="s">
        <v>3982</v>
      </c>
      <c r="I1431" s="1" t="s">
        <v>3983</v>
      </c>
      <c r="J1431" s="1"/>
      <c r="K1431" s="1" t="s">
        <v>41</v>
      </c>
      <c r="L1431" s="1" t="s">
        <v>30</v>
      </c>
      <c r="M1431" s="1" t="s">
        <v>2164</v>
      </c>
      <c r="N1431" s="1" t="s">
        <v>68</v>
      </c>
      <c r="O1431" s="1">
        <v>93905</v>
      </c>
      <c r="P1431" s="1" t="s">
        <v>44</v>
      </c>
      <c r="Q1431" s="1" t="s">
        <v>1842</v>
      </c>
      <c r="R1431" s="1" t="s">
        <v>46</v>
      </c>
      <c r="S1431" s="7">
        <v>427.42</v>
      </c>
      <c r="T1431" s="1">
        <v>9</v>
      </c>
      <c r="U1431" s="9">
        <v>427.03</v>
      </c>
      <c r="V1431" s="9">
        <v>3846.78</v>
      </c>
      <c r="W1431" s="9">
        <v>3843.2699999999995</v>
      </c>
      <c r="X1431" s="12">
        <v>3.510000000000673</v>
      </c>
      <c r="Y1431" s="10">
        <v>2016</v>
      </c>
    </row>
    <row r="1432" spans="1:25">
      <c r="A1432" s="1" t="s">
        <v>3194</v>
      </c>
      <c r="B1432" s="8">
        <v>43430</v>
      </c>
      <c r="C1432" s="11" t="s">
        <v>3353</v>
      </c>
      <c r="D1432" s="11" t="s">
        <v>3349</v>
      </c>
      <c r="E1432" s="5" t="s">
        <v>3195</v>
      </c>
      <c r="F1432" s="1" t="s">
        <v>49</v>
      </c>
      <c r="G1432" s="1" t="s">
        <v>2025</v>
      </c>
      <c r="H1432" s="1" t="s">
        <v>3698</v>
      </c>
      <c r="I1432" s="1" t="s">
        <v>3815</v>
      </c>
      <c r="J1432" s="1"/>
      <c r="K1432" s="1" t="s">
        <v>29</v>
      </c>
      <c r="L1432" s="1" t="s">
        <v>30</v>
      </c>
      <c r="M1432" s="1" t="s">
        <v>420</v>
      </c>
      <c r="N1432" s="1" t="s">
        <v>421</v>
      </c>
      <c r="O1432" s="1">
        <v>43229</v>
      </c>
      <c r="P1432" s="1" t="s">
        <v>128</v>
      </c>
      <c r="Q1432" s="1" t="s">
        <v>1646</v>
      </c>
      <c r="R1432" s="1" t="s">
        <v>64</v>
      </c>
      <c r="S1432" s="7">
        <v>220.75200000000001</v>
      </c>
      <c r="T1432" s="1">
        <v>4</v>
      </c>
      <c r="U1432" s="9">
        <v>220.67</v>
      </c>
      <c r="V1432" s="9">
        <v>883.00800000000004</v>
      </c>
      <c r="W1432" s="9">
        <v>882.68</v>
      </c>
      <c r="X1432" s="12">
        <v>0.32800000000008822</v>
      </c>
      <c r="Y1432" s="10">
        <v>2018</v>
      </c>
    </row>
    <row r="1433" spans="1:25">
      <c r="A1433" s="1" t="s">
        <v>3196</v>
      </c>
      <c r="B1433" s="8">
        <v>42357</v>
      </c>
      <c r="C1433" s="11" t="s">
        <v>3348</v>
      </c>
      <c r="D1433" s="11" t="s">
        <v>3349</v>
      </c>
      <c r="E1433" s="5" t="s">
        <v>2746</v>
      </c>
      <c r="F1433" s="1" t="s">
        <v>26</v>
      </c>
      <c r="G1433" s="1" t="s">
        <v>78</v>
      </c>
      <c r="H1433" s="1" t="s">
        <v>3364</v>
      </c>
      <c r="I1433" s="1" t="s">
        <v>3365</v>
      </c>
      <c r="J1433" s="1"/>
      <c r="K1433" s="1" t="s">
        <v>29</v>
      </c>
      <c r="L1433" s="1" t="s">
        <v>30</v>
      </c>
      <c r="M1433" s="1" t="s">
        <v>2117</v>
      </c>
      <c r="N1433" s="1" t="s">
        <v>304</v>
      </c>
      <c r="O1433" s="1">
        <v>35630</v>
      </c>
      <c r="P1433" s="1" t="s">
        <v>33</v>
      </c>
      <c r="Q1433" s="1" t="s">
        <v>3197</v>
      </c>
      <c r="R1433" s="1" t="s">
        <v>46</v>
      </c>
      <c r="S1433" s="7">
        <v>152.76</v>
      </c>
      <c r="T1433" s="1">
        <v>3</v>
      </c>
      <c r="U1433" s="9">
        <v>152.09</v>
      </c>
      <c r="V1433" s="9">
        <v>458.28</v>
      </c>
      <c r="W1433" s="9">
        <v>456.27</v>
      </c>
      <c r="X1433" s="12">
        <v>2.0099999999999909</v>
      </c>
      <c r="Y1433" s="10">
        <v>2015</v>
      </c>
    </row>
    <row r="1434" spans="1:25">
      <c r="A1434" s="1" t="s">
        <v>3196</v>
      </c>
      <c r="B1434" s="8">
        <v>42357</v>
      </c>
      <c r="C1434" s="11" t="s">
        <v>3348</v>
      </c>
      <c r="D1434" s="11" t="s">
        <v>3349</v>
      </c>
      <c r="E1434" s="5" t="s">
        <v>2746</v>
      </c>
      <c r="F1434" s="1" t="s">
        <v>26</v>
      </c>
      <c r="G1434" s="1" t="s">
        <v>78</v>
      </c>
      <c r="H1434" s="1" t="s">
        <v>3364</v>
      </c>
      <c r="I1434" s="1" t="s">
        <v>3365</v>
      </c>
      <c r="J1434" s="1"/>
      <c r="K1434" s="1" t="s">
        <v>29</v>
      </c>
      <c r="L1434" s="1" t="s">
        <v>30</v>
      </c>
      <c r="M1434" s="1" t="s">
        <v>2117</v>
      </c>
      <c r="N1434" s="1" t="s">
        <v>304</v>
      </c>
      <c r="O1434" s="1">
        <v>35630</v>
      </c>
      <c r="P1434" s="1" t="s">
        <v>33</v>
      </c>
      <c r="Q1434" s="1" t="s">
        <v>1628</v>
      </c>
      <c r="R1434" s="1" t="s">
        <v>46</v>
      </c>
      <c r="S1434" s="7">
        <v>7.27</v>
      </c>
      <c r="T1434" s="1">
        <v>3</v>
      </c>
      <c r="U1434" s="9">
        <v>6.34</v>
      </c>
      <c r="V1434" s="9">
        <v>21.81</v>
      </c>
      <c r="W1434" s="9">
        <v>19.02</v>
      </c>
      <c r="X1434" s="12">
        <v>2.7899999999999991</v>
      </c>
      <c r="Y1434" s="10">
        <v>2015</v>
      </c>
    </row>
    <row r="1435" spans="1:25">
      <c r="A1435" s="1" t="s">
        <v>3196</v>
      </c>
      <c r="B1435" s="8">
        <v>42357</v>
      </c>
      <c r="C1435" s="11" t="s">
        <v>3348</v>
      </c>
      <c r="D1435" s="11" t="s">
        <v>3349</v>
      </c>
      <c r="E1435" s="5" t="s">
        <v>2746</v>
      </c>
      <c r="F1435" s="1" t="s">
        <v>26</v>
      </c>
      <c r="G1435" s="1" t="s">
        <v>78</v>
      </c>
      <c r="H1435" s="1" t="s">
        <v>3364</v>
      </c>
      <c r="I1435" s="1" t="s">
        <v>3365</v>
      </c>
      <c r="J1435" s="1"/>
      <c r="K1435" s="1" t="s">
        <v>29</v>
      </c>
      <c r="L1435" s="1" t="s">
        <v>30</v>
      </c>
      <c r="M1435" s="1" t="s">
        <v>2117</v>
      </c>
      <c r="N1435" s="1" t="s">
        <v>304</v>
      </c>
      <c r="O1435" s="1">
        <v>35630</v>
      </c>
      <c r="P1435" s="1" t="s">
        <v>33</v>
      </c>
      <c r="Q1435" s="1" t="s">
        <v>288</v>
      </c>
      <c r="R1435" s="1" t="s">
        <v>35</v>
      </c>
      <c r="S1435" s="7">
        <v>1819.86</v>
      </c>
      <c r="T1435" s="1">
        <v>3</v>
      </c>
      <c r="U1435" s="9">
        <v>1818.88</v>
      </c>
      <c r="V1435" s="9">
        <v>5459.58</v>
      </c>
      <c r="W1435" s="9">
        <v>5456.64</v>
      </c>
      <c r="X1435" s="12">
        <v>2.9399999999995998</v>
      </c>
      <c r="Y1435" s="10">
        <v>2015</v>
      </c>
    </row>
    <row r="1436" spans="1:25">
      <c r="A1436" s="1" t="s">
        <v>3198</v>
      </c>
      <c r="B1436" s="8">
        <v>43095</v>
      </c>
      <c r="C1436" s="11" t="s">
        <v>3348</v>
      </c>
      <c r="D1436" s="11" t="s">
        <v>3349</v>
      </c>
      <c r="E1436" s="5" t="s">
        <v>3199</v>
      </c>
      <c r="F1436" s="1" t="s">
        <v>49</v>
      </c>
      <c r="G1436" s="1" t="s">
        <v>1561</v>
      </c>
      <c r="H1436" s="1" t="s">
        <v>3513</v>
      </c>
      <c r="I1436" s="1" t="s">
        <v>3628</v>
      </c>
      <c r="J1436" s="1"/>
      <c r="K1436" s="1" t="s">
        <v>29</v>
      </c>
      <c r="L1436" s="1" t="s">
        <v>30</v>
      </c>
      <c r="M1436" s="1" t="s">
        <v>80</v>
      </c>
      <c r="N1436" s="1" t="s">
        <v>81</v>
      </c>
      <c r="O1436" s="1">
        <v>98105</v>
      </c>
      <c r="P1436" s="1" t="s">
        <v>44</v>
      </c>
      <c r="Q1436" s="1" t="s">
        <v>3200</v>
      </c>
      <c r="R1436" s="1" t="s">
        <v>46</v>
      </c>
      <c r="S1436" s="7">
        <v>33.9</v>
      </c>
      <c r="T1436" s="1">
        <v>9</v>
      </c>
      <c r="U1436" s="9">
        <v>33.020000000000003</v>
      </c>
      <c r="V1436" s="9">
        <v>305.09999999999997</v>
      </c>
      <c r="W1436" s="9">
        <v>297.18</v>
      </c>
      <c r="X1436" s="12">
        <v>7.9199999999999591</v>
      </c>
      <c r="Y1436" s="10">
        <v>2017</v>
      </c>
    </row>
    <row r="1437" spans="1:25">
      <c r="A1437" s="1" t="s">
        <v>3201</v>
      </c>
      <c r="B1437" s="8">
        <v>43271</v>
      </c>
      <c r="C1437" s="11" t="s">
        <v>3403</v>
      </c>
      <c r="D1437" s="11" t="s">
        <v>3360</v>
      </c>
      <c r="E1437" s="5" t="s">
        <v>2102</v>
      </c>
      <c r="F1437" s="1" t="s">
        <v>49</v>
      </c>
      <c r="G1437" s="1" t="s">
        <v>3202</v>
      </c>
      <c r="H1437" s="1" t="s">
        <v>3984</v>
      </c>
      <c r="I1437" s="1" t="s">
        <v>3985</v>
      </c>
      <c r="J1437" s="1"/>
      <c r="K1437" s="1" t="s">
        <v>29</v>
      </c>
      <c r="L1437" s="1" t="s">
        <v>30</v>
      </c>
      <c r="M1437" s="1" t="s">
        <v>3204</v>
      </c>
      <c r="N1437" s="1" t="s">
        <v>421</v>
      </c>
      <c r="O1437" s="1">
        <v>44134</v>
      </c>
      <c r="P1437" s="1" t="s">
        <v>128</v>
      </c>
      <c r="Q1437" s="1" t="s">
        <v>3205</v>
      </c>
      <c r="R1437" s="1" t="s">
        <v>46</v>
      </c>
      <c r="S1437" s="7">
        <v>31.103999999999999</v>
      </c>
      <c r="T1437" s="1">
        <v>4</v>
      </c>
      <c r="U1437" s="9">
        <v>30.15</v>
      </c>
      <c r="V1437" s="9">
        <v>124.416</v>
      </c>
      <c r="W1437" s="9">
        <v>120.6</v>
      </c>
      <c r="X1437" s="12">
        <v>3.8160000000000025</v>
      </c>
      <c r="Y1437" s="10">
        <v>2018</v>
      </c>
    </row>
    <row r="1438" spans="1:25">
      <c r="A1438" s="1" t="s">
        <v>3201</v>
      </c>
      <c r="B1438" s="8">
        <v>43271</v>
      </c>
      <c r="C1438" s="11" t="s">
        <v>3403</v>
      </c>
      <c r="D1438" s="11" t="s">
        <v>3360</v>
      </c>
      <c r="E1438" s="5" t="s">
        <v>2102</v>
      </c>
      <c r="F1438" s="1" t="s">
        <v>49</v>
      </c>
      <c r="G1438" s="1" t="s">
        <v>3202</v>
      </c>
      <c r="H1438" s="1" t="s">
        <v>3984</v>
      </c>
      <c r="I1438" s="1" t="s">
        <v>3985</v>
      </c>
      <c r="J1438" s="1"/>
      <c r="K1438" s="1" t="s">
        <v>29</v>
      </c>
      <c r="L1438" s="1" t="s">
        <v>30</v>
      </c>
      <c r="M1438" s="1" t="s">
        <v>3204</v>
      </c>
      <c r="N1438" s="1" t="s">
        <v>421</v>
      </c>
      <c r="O1438" s="1">
        <v>44134</v>
      </c>
      <c r="P1438" s="1" t="s">
        <v>128</v>
      </c>
      <c r="Q1438" s="1" t="s">
        <v>3079</v>
      </c>
      <c r="R1438" s="1" t="s">
        <v>46</v>
      </c>
      <c r="S1438" s="7">
        <v>5.2480000000000002</v>
      </c>
      <c r="T1438" s="1">
        <v>4</v>
      </c>
      <c r="U1438" s="9">
        <v>4.8499999999999996</v>
      </c>
      <c r="V1438" s="9">
        <v>20.992000000000001</v>
      </c>
      <c r="W1438" s="9">
        <v>19.399999999999999</v>
      </c>
      <c r="X1438" s="12">
        <v>1.5920000000000023</v>
      </c>
      <c r="Y1438" s="10">
        <v>2018</v>
      </c>
    </row>
    <row r="1439" spans="1:25">
      <c r="A1439" s="1" t="s">
        <v>3206</v>
      </c>
      <c r="B1439" s="8">
        <v>42658</v>
      </c>
      <c r="C1439" s="11" t="s">
        <v>3387</v>
      </c>
      <c r="D1439" s="11" t="s">
        <v>3349</v>
      </c>
      <c r="E1439" s="5" t="s">
        <v>3207</v>
      </c>
      <c r="F1439" s="1" t="s">
        <v>1050</v>
      </c>
      <c r="G1439" s="1" t="s">
        <v>284</v>
      </c>
      <c r="H1439" s="1" t="s">
        <v>3422</v>
      </c>
      <c r="I1439" s="1" t="s">
        <v>3423</v>
      </c>
      <c r="J1439" s="1"/>
      <c r="K1439" s="1" t="s">
        <v>29</v>
      </c>
      <c r="L1439" s="1" t="s">
        <v>30</v>
      </c>
      <c r="M1439" s="1" t="s">
        <v>1313</v>
      </c>
      <c r="N1439" s="1" t="s">
        <v>89</v>
      </c>
      <c r="O1439" s="1">
        <v>79109</v>
      </c>
      <c r="P1439" s="1" t="s">
        <v>90</v>
      </c>
      <c r="Q1439" s="1" t="s">
        <v>3208</v>
      </c>
      <c r="R1439" s="1" t="s">
        <v>64</v>
      </c>
      <c r="S1439" s="7">
        <v>263.88</v>
      </c>
      <c r="T1439" s="1">
        <v>7</v>
      </c>
      <c r="U1439" s="9">
        <v>263.70999999999998</v>
      </c>
      <c r="V1439" s="9">
        <v>1847.1599999999999</v>
      </c>
      <c r="W1439" s="9">
        <v>1845.9699999999998</v>
      </c>
      <c r="X1439" s="12">
        <v>1.1900000000000546</v>
      </c>
      <c r="Y1439" s="10">
        <v>2016</v>
      </c>
    </row>
    <row r="1440" spans="1:25">
      <c r="A1440" s="1" t="s">
        <v>3206</v>
      </c>
      <c r="B1440" s="8">
        <v>42658</v>
      </c>
      <c r="C1440" s="11" t="s">
        <v>3387</v>
      </c>
      <c r="D1440" s="11" t="s">
        <v>3349</v>
      </c>
      <c r="E1440" s="5" t="s">
        <v>3207</v>
      </c>
      <c r="F1440" s="1" t="s">
        <v>1050</v>
      </c>
      <c r="G1440" s="1" t="s">
        <v>284</v>
      </c>
      <c r="H1440" s="1" t="s">
        <v>3422</v>
      </c>
      <c r="I1440" s="1" t="s">
        <v>3423</v>
      </c>
      <c r="J1440" s="1"/>
      <c r="K1440" s="1" t="s">
        <v>29</v>
      </c>
      <c r="L1440" s="1" t="s">
        <v>30</v>
      </c>
      <c r="M1440" s="1" t="s">
        <v>1313</v>
      </c>
      <c r="N1440" s="1" t="s">
        <v>89</v>
      </c>
      <c r="O1440" s="1">
        <v>79109</v>
      </c>
      <c r="P1440" s="1" t="s">
        <v>90</v>
      </c>
      <c r="Q1440" s="1" t="s">
        <v>1526</v>
      </c>
      <c r="R1440" s="1" t="s">
        <v>35</v>
      </c>
      <c r="S1440" s="7">
        <v>2453.4299999999998</v>
      </c>
      <c r="T1440" s="1">
        <v>7</v>
      </c>
      <c r="U1440" s="9">
        <v>2452.69</v>
      </c>
      <c r="V1440" s="9">
        <v>17174.009999999998</v>
      </c>
      <c r="W1440" s="9">
        <v>17168.830000000002</v>
      </c>
      <c r="X1440" s="12">
        <v>5.1799999999966531</v>
      </c>
      <c r="Y1440" s="10">
        <v>2016</v>
      </c>
    </row>
    <row r="1441" spans="1:25">
      <c r="A1441" s="1" t="s">
        <v>3209</v>
      </c>
      <c r="B1441" s="8">
        <v>43438</v>
      </c>
      <c r="C1441" s="11" t="s">
        <v>3348</v>
      </c>
      <c r="D1441" s="11" t="s">
        <v>3349</v>
      </c>
      <c r="E1441" s="5" t="s">
        <v>2177</v>
      </c>
      <c r="F1441" s="1" t="s">
        <v>26</v>
      </c>
      <c r="G1441" s="1" t="s">
        <v>1524</v>
      </c>
      <c r="H1441" s="1" t="s">
        <v>3702</v>
      </c>
      <c r="I1441" s="1" t="s">
        <v>3373</v>
      </c>
      <c r="J1441" s="1"/>
      <c r="K1441" s="1" t="s">
        <v>29</v>
      </c>
      <c r="L1441" s="1" t="s">
        <v>30</v>
      </c>
      <c r="M1441" s="1" t="s">
        <v>2956</v>
      </c>
      <c r="N1441" s="1" t="s">
        <v>1141</v>
      </c>
      <c r="O1441" s="1">
        <v>2908</v>
      </c>
      <c r="P1441" s="1" t="s">
        <v>128</v>
      </c>
      <c r="Q1441" s="1" t="s">
        <v>3210</v>
      </c>
      <c r="R1441" s="1" t="s">
        <v>46</v>
      </c>
      <c r="S1441" s="7">
        <v>29.7</v>
      </c>
      <c r="T1441" s="1">
        <v>2</v>
      </c>
      <c r="U1441" s="9">
        <v>29.43</v>
      </c>
      <c r="V1441" s="9">
        <v>59.4</v>
      </c>
      <c r="W1441" s="9">
        <v>58.86</v>
      </c>
      <c r="X1441" s="12">
        <v>0.53999999999999915</v>
      </c>
      <c r="Y1441" s="10">
        <v>2018</v>
      </c>
    </row>
    <row r="1442" spans="1:25">
      <c r="A1442" s="1" t="s">
        <v>3209</v>
      </c>
      <c r="B1442" s="8">
        <v>43438</v>
      </c>
      <c r="C1442" s="11" t="s">
        <v>3348</v>
      </c>
      <c r="D1442" s="11" t="s">
        <v>3349</v>
      </c>
      <c r="E1442" s="5" t="s">
        <v>2177</v>
      </c>
      <c r="F1442" s="1" t="s">
        <v>26</v>
      </c>
      <c r="G1442" s="1" t="s">
        <v>1524</v>
      </c>
      <c r="H1442" s="1" t="s">
        <v>3702</v>
      </c>
      <c r="I1442" s="1" t="s">
        <v>3373</v>
      </c>
      <c r="J1442" s="1"/>
      <c r="K1442" s="1" t="s">
        <v>29</v>
      </c>
      <c r="L1442" s="1" t="s">
        <v>30</v>
      </c>
      <c r="M1442" s="1" t="s">
        <v>2956</v>
      </c>
      <c r="N1442" s="1" t="s">
        <v>1141</v>
      </c>
      <c r="O1442" s="1">
        <v>2908</v>
      </c>
      <c r="P1442" s="1" t="s">
        <v>128</v>
      </c>
      <c r="Q1442" s="1" t="s">
        <v>3211</v>
      </c>
      <c r="R1442" s="1" t="s">
        <v>46</v>
      </c>
      <c r="S1442" s="7">
        <v>39.96</v>
      </c>
      <c r="T1442" s="1">
        <v>2</v>
      </c>
      <c r="U1442" s="9">
        <v>39.24</v>
      </c>
      <c r="V1442" s="9">
        <v>79.92</v>
      </c>
      <c r="W1442" s="9">
        <v>78.48</v>
      </c>
      <c r="X1442" s="12">
        <v>1.4399999999999977</v>
      </c>
      <c r="Y1442" s="10">
        <v>2018</v>
      </c>
    </row>
    <row r="1443" spans="1:25">
      <c r="A1443" s="1" t="s">
        <v>3212</v>
      </c>
      <c r="B1443" s="8">
        <v>43453</v>
      </c>
      <c r="C1443" s="11" t="s">
        <v>3348</v>
      </c>
      <c r="D1443" s="11" t="s">
        <v>3349</v>
      </c>
      <c r="E1443" s="5" t="s">
        <v>2888</v>
      </c>
      <c r="F1443" s="1" t="s">
        <v>26</v>
      </c>
      <c r="G1443" s="1" t="s">
        <v>3213</v>
      </c>
      <c r="H1443" s="1" t="s">
        <v>3537</v>
      </c>
      <c r="I1443" s="1" t="s">
        <v>3986</v>
      </c>
      <c r="J1443" s="1"/>
      <c r="K1443" s="1" t="s">
        <v>29</v>
      </c>
      <c r="L1443" s="1" t="s">
        <v>30</v>
      </c>
      <c r="M1443" s="1" t="s">
        <v>110</v>
      </c>
      <c r="N1443" s="1" t="s">
        <v>68</v>
      </c>
      <c r="O1443" s="1">
        <v>94110</v>
      </c>
      <c r="P1443" s="1" t="s">
        <v>44</v>
      </c>
      <c r="Q1443" s="1" t="s">
        <v>2282</v>
      </c>
      <c r="R1443" s="1" t="s">
        <v>46</v>
      </c>
      <c r="S1443" s="7">
        <v>36.671999999999997</v>
      </c>
      <c r="T1443" s="1">
        <v>9</v>
      </c>
      <c r="U1443" s="9">
        <v>36</v>
      </c>
      <c r="V1443" s="9">
        <v>330.048</v>
      </c>
      <c r="W1443" s="9">
        <v>324</v>
      </c>
      <c r="X1443" s="12">
        <v>6.0480000000000018</v>
      </c>
      <c r="Y1443" s="10">
        <v>2018</v>
      </c>
    </row>
    <row r="1444" spans="1:25">
      <c r="A1444" s="1" t="s">
        <v>3215</v>
      </c>
      <c r="B1444" s="8">
        <v>43228</v>
      </c>
      <c r="C1444" s="11" t="s">
        <v>3363</v>
      </c>
      <c r="D1444" s="11" t="s">
        <v>3360</v>
      </c>
      <c r="E1444" s="5">
        <v>43320</v>
      </c>
      <c r="F1444" s="1" t="s">
        <v>162</v>
      </c>
      <c r="G1444" s="1" t="s">
        <v>3216</v>
      </c>
      <c r="H1444" s="1" t="s">
        <v>3824</v>
      </c>
      <c r="I1444" s="1" t="s">
        <v>3987</v>
      </c>
      <c r="J1444" s="1"/>
      <c r="K1444" s="1" t="s">
        <v>41</v>
      </c>
      <c r="L1444" s="1" t="s">
        <v>30</v>
      </c>
      <c r="M1444" s="1" t="s">
        <v>1192</v>
      </c>
      <c r="N1444" s="1" t="s">
        <v>32</v>
      </c>
      <c r="O1444" s="1">
        <v>40475</v>
      </c>
      <c r="P1444" s="1" t="s">
        <v>33</v>
      </c>
      <c r="Q1444" s="1" t="s">
        <v>1029</v>
      </c>
      <c r="R1444" s="1" t="s">
        <v>46</v>
      </c>
      <c r="S1444" s="7">
        <v>13.76</v>
      </c>
      <c r="T1444" s="1">
        <v>4</v>
      </c>
      <c r="U1444" s="9">
        <v>12.86</v>
      </c>
      <c r="V1444" s="9">
        <v>55.04</v>
      </c>
      <c r="W1444" s="9">
        <v>51.44</v>
      </c>
      <c r="X1444" s="12">
        <v>3.6000000000000014</v>
      </c>
      <c r="Y1444" s="10">
        <v>2018</v>
      </c>
    </row>
    <row r="1445" spans="1:25">
      <c r="A1445" s="1" t="s">
        <v>3218</v>
      </c>
      <c r="B1445" s="8">
        <v>42379</v>
      </c>
      <c r="C1445" s="11" t="s">
        <v>3381</v>
      </c>
      <c r="D1445" s="11" t="s">
        <v>3382</v>
      </c>
      <c r="E1445" s="5">
        <v>42531</v>
      </c>
      <c r="F1445" s="1" t="s">
        <v>49</v>
      </c>
      <c r="G1445" s="1" t="s">
        <v>3219</v>
      </c>
      <c r="H1445" s="1" t="s">
        <v>3988</v>
      </c>
      <c r="I1445" s="1" t="s">
        <v>3989</v>
      </c>
      <c r="J1445" s="1"/>
      <c r="K1445" s="1" t="s">
        <v>41</v>
      </c>
      <c r="L1445" s="1" t="s">
        <v>30</v>
      </c>
      <c r="M1445" s="1" t="s">
        <v>385</v>
      </c>
      <c r="N1445" s="1" t="s">
        <v>386</v>
      </c>
      <c r="O1445" s="1">
        <v>80013</v>
      </c>
      <c r="P1445" s="1" t="s">
        <v>44</v>
      </c>
      <c r="Q1445" s="1" t="s">
        <v>459</v>
      </c>
      <c r="R1445" s="1" t="s">
        <v>46</v>
      </c>
      <c r="S1445" s="7">
        <v>139.42400000000001</v>
      </c>
      <c r="T1445" s="1">
        <v>8</v>
      </c>
      <c r="U1445" s="9">
        <v>138.94999999999999</v>
      </c>
      <c r="V1445" s="9">
        <v>1115.3920000000001</v>
      </c>
      <c r="W1445" s="9">
        <v>1111.5999999999999</v>
      </c>
      <c r="X1445" s="12">
        <v>3.7920000000001437</v>
      </c>
      <c r="Y1445" s="10">
        <v>2016</v>
      </c>
    </row>
    <row r="1446" spans="1:25">
      <c r="A1446" s="1" t="s">
        <v>3221</v>
      </c>
      <c r="B1446" s="8">
        <v>42878</v>
      </c>
      <c r="C1446" s="11" t="s">
        <v>3363</v>
      </c>
      <c r="D1446" s="11" t="s">
        <v>3360</v>
      </c>
      <c r="E1446" s="5" t="s">
        <v>3222</v>
      </c>
      <c r="F1446" s="1" t="s">
        <v>49</v>
      </c>
      <c r="G1446" s="1" t="s">
        <v>754</v>
      </c>
      <c r="H1446" s="1" t="s">
        <v>3374</v>
      </c>
      <c r="I1446" s="1" t="s">
        <v>3544</v>
      </c>
      <c r="J1446" s="1"/>
      <c r="K1446" s="1" t="s">
        <v>29</v>
      </c>
      <c r="L1446" s="1" t="s">
        <v>30</v>
      </c>
      <c r="M1446" s="1" t="s">
        <v>259</v>
      </c>
      <c r="N1446" s="1" t="s">
        <v>182</v>
      </c>
      <c r="O1446" s="1">
        <v>60623</v>
      </c>
      <c r="P1446" s="1" t="s">
        <v>90</v>
      </c>
      <c r="Q1446" s="1" t="s">
        <v>2893</v>
      </c>
      <c r="R1446" s="1" t="s">
        <v>64</v>
      </c>
      <c r="S1446" s="7">
        <v>1979.9280000000001</v>
      </c>
      <c r="T1446" s="1">
        <v>6</v>
      </c>
      <c r="U1446" s="9">
        <v>1978.98</v>
      </c>
      <c r="V1446" s="9">
        <v>11879.568000000001</v>
      </c>
      <c r="W1446" s="9">
        <v>11873.880000000001</v>
      </c>
      <c r="X1446" s="12">
        <v>5.6880000000001019</v>
      </c>
      <c r="Y1446" s="10">
        <v>2017</v>
      </c>
    </row>
    <row r="1447" spans="1:25">
      <c r="A1447" s="1" t="s">
        <v>3223</v>
      </c>
      <c r="B1447" s="8">
        <v>43264</v>
      </c>
      <c r="C1447" s="11" t="s">
        <v>3403</v>
      </c>
      <c r="D1447" s="11" t="s">
        <v>3360</v>
      </c>
      <c r="E1447" s="5" t="s">
        <v>3224</v>
      </c>
      <c r="F1447" s="1" t="s">
        <v>162</v>
      </c>
      <c r="G1447" s="1" t="s">
        <v>1220</v>
      </c>
      <c r="H1447" s="1" t="s">
        <v>3507</v>
      </c>
      <c r="I1447" s="1" t="s">
        <v>3419</v>
      </c>
      <c r="J1447" s="1"/>
      <c r="K1447" s="1" t="s">
        <v>87</v>
      </c>
      <c r="L1447" s="1" t="s">
        <v>30</v>
      </c>
      <c r="M1447" s="1" t="s">
        <v>259</v>
      </c>
      <c r="N1447" s="1" t="s">
        <v>182</v>
      </c>
      <c r="O1447" s="1">
        <v>60653</v>
      </c>
      <c r="P1447" s="1" t="s">
        <v>90</v>
      </c>
      <c r="Q1447" s="1" t="s">
        <v>788</v>
      </c>
      <c r="R1447" s="1" t="s">
        <v>46</v>
      </c>
      <c r="S1447" s="7">
        <v>164.73599999999999</v>
      </c>
      <c r="T1447" s="1">
        <v>6</v>
      </c>
      <c r="U1447" s="9">
        <v>164.43</v>
      </c>
      <c r="V1447" s="9">
        <v>988.41599999999994</v>
      </c>
      <c r="W1447" s="9">
        <v>986.58</v>
      </c>
      <c r="X1447" s="12">
        <v>1.835999999999899</v>
      </c>
      <c r="Y1447" s="10">
        <v>2018</v>
      </c>
    </row>
    <row r="1448" spans="1:25">
      <c r="A1448" s="1" t="s">
        <v>3223</v>
      </c>
      <c r="B1448" s="8">
        <v>43264</v>
      </c>
      <c r="C1448" s="11" t="s">
        <v>3403</v>
      </c>
      <c r="D1448" s="11" t="s">
        <v>3360</v>
      </c>
      <c r="E1448" s="5" t="s">
        <v>3224</v>
      </c>
      <c r="F1448" s="1" t="s">
        <v>162</v>
      </c>
      <c r="G1448" s="1" t="s">
        <v>1220</v>
      </c>
      <c r="H1448" s="1" t="s">
        <v>3507</v>
      </c>
      <c r="I1448" s="1" t="s">
        <v>3419</v>
      </c>
      <c r="J1448" s="1"/>
      <c r="K1448" s="1" t="s">
        <v>87</v>
      </c>
      <c r="L1448" s="1" t="s">
        <v>30</v>
      </c>
      <c r="M1448" s="1" t="s">
        <v>259</v>
      </c>
      <c r="N1448" s="1" t="s">
        <v>182</v>
      </c>
      <c r="O1448" s="1">
        <v>60653</v>
      </c>
      <c r="P1448" s="1" t="s">
        <v>90</v>
      </c>
      <c r="Q1448" s="1" t="s">
        <v>3225</v>
      </c>
      <c r="R1448" s="1" t="s">
        <v>35</v>
      </c>
      <c r="S1448" s="7">
        <v>470.30200000000002</v>
      </c>
      <c r="T1448" s="1">
        <v>6</v>
      </c>
      <c r="U1448" s="9">
        <v>469.44</v>
      </c>
      <c r="V1448" s="9">
        <v>2821.8119999999999</v>
      </c>
      <c r="W1448" s="9">
        <v>2816.64</v>
      </c>
      <c r="X1448" s="12">
        <v>5.1720000000000255</v>
      </c>
      <c r="Y1448" s="10">
        <v>2018</v>
      </c>
    </row>
    <row r="1449" spans="1:25">
      <c r="A1449" s="1" t="s">
        <v>3223</v>
      </c>
      <c r="B1449" s="8">
        <v>43264</v>
      </c>
      <c r="C1449" s="11" t="s">
        <v>3403</v>
      </c>
      <c r="D1449" s="11" t="s">
        <v>3360</v>
      </c>
      <c r="E1449" s="5" t="s">
        <v>3224</v>
      </c>
      <c r="F1449" s="1" t="s">
        <v>162</v>
      </c>
      <c r="G1449" s="1" t="s">
        <v>1220</v>
      </c>
      <c r="H1449" s="1" t="s">
        <v>3507</v>
      </c>
      <c r="I1449" s="1" t="s">
        <v>3419</v>
      </c>
      <c r="J1449" s="1"/>
      <c r="K1449" s="1" t="s">
        <v>87</v>
      </c>
      <c r="L1449" s="1" t="s">
        <v>30</v>
      </c>
      <c r="M1449" s="1" t="s">
        <v>259</v>
      </c>
      <c r="N1449" s="1" t="s">
        <v>182</v>
      </c>
      <c r="O1449" s="1">
        <v>60653</v>
      </c>
      <c r="P1449" s="1" t="s">
        <v>90</v>
      </c>
      <c r="Q1449" s="1" t="s">
        <v>3226</v>
      </c>
      <c r="R1449" s="1" t="s">
        <v>64</v>
      </c>
      <c r="S1449" s="7">
        <v>47.984000000000002</v>
      </c>
      <c r="T1449" s="1">
        <v>6</v>
      </c>
      <c r="U1449" s="9">
        <v>47.81</v>
      </c>
      <c r="V1449" s="9">
        <v>287.904</v>
      </c>
      <c r="W1449" s="9">
        <v>286.86</v>
      </c>
      <c r="X1449" s="12">
        <v>1.0439999999999827</v>
      </c>
      <c r="Y1449" s="10">
        <v>2018</v>
      </c>
    </row>
    <row r="1450" spans="1:25">
      <c r="A1450" s="1" t="s">
        <v>3227</v>
      </c>
      <c r="B1450" s="8">
        <v>42117</v>
      </c>
      <c r="C1450" s="11" t="s">
        <v>3359</v>
      </c>
      <c r="D1450" s="11" t="s">
        <v>3360</v>
      </c>
      <c r="E1450" s="5" t="s">
        <v>3228</v>
      </c>
      <c r="F1450" s="1" t="s">
        <v>162</v>
      </c>
      <c r="G1450" s="1" t="s">
        <v>2589</v>
      </c>
      <c r="H1450" s="1" t="s">
        <v>3907</v>
      </c>
      <c r="I1450" s="1" t="s">
        <v>3908</v>
      </c>
      <c r="J1450" s="1"/>
      <c r="K1450" s="1" t="s">
        <v>41</v>
      </c>
      <c r="L1450" s="1" t="s">
        <v>30</v>
      </c>
      <c r="M1450" s="1" t="s">
        <v>126</v>
      </c>
      <c r="N1450" s="1" t="s">
        <v>127</v>
      </c>
      <c r="O1450" s="1">
        <v>19134</v>
      </c>
      <c r="P1450" s="1" t="s">
        <v>128</v>
      </c>
      <c r="Q1450" s="1" t="s">
        <v>3229</v>
      </c>
      <c r="R1450" s="1" t="s">
        <v>46</v>
      </c>
      <c r="S1450" s="7">
        <v>2.5019999999999998</v>
      </c>
      <c r="T1450" s="1">
        <v>1</v>
      </c>
      <c r="U1450" s="9">
        <v>2.25</v>
      </c>
      <c r="V1450" s="9">
        <v>2.5019999999999998</v>
      </c>
      <c r="W1450" s="9">
        <v>2.25</v>
      </c>
      <c r="X1450" s="12">
        <v>0.25199999999999978</v>
      </c>
      <c r="Y1450" s="10">
        <v>2015</v>
      </c>
    </row>
    <row r="1451" spans="1:25">
      <c r="A1451" s="1" t="s">
        <v>3230</v>
      </c>
      <c r="B1451" s="8">
        <v>42374</v>
      </c>
      <c r="C1451" s="11" t="s">
        <v>3381</v>
      </c>
      <c r="D1451" s="11" t="s">
        <v>3382</v>
      </c>
      <c r="E1451" s="5">
        <v>42556</v>
      </c>
      <c r="F1451" s="1" t="s">
        <v>49</v>
      </c>
      <c r="G1451" s="1" t="s">
        <v>581</v>
      </c>
      <c r="H1451" s="1" t="s">
        <v>3505</v>
      </c>
      <c r="I1451" s="1" t="s">
        <v>3506</v>
      </c>
      <c r="J1451" s="1"/>
      <c r="K1451" s="1" t="s">
        <v>41</v>
      </c>
      <c r="L1451" s="1" t="s">
        <v>30</v>
      </c>
      <c r="M1451" s="1" t="s">
        <v>42</v>
      </c>
      <c r="N1451" s="1" t="s">
        <v>68</v>
      </c>
      <c r="O1451" s="1">
        <v>90008</v>
      </c>
      <c r="P1451" s="1" t="s">
        <v>44</v>
      </c>
      <c r="Q1451" s="1" t="s">
        <v>3231</v>
      </c>
      <c r="R1451" s="1" t="s">
        <v>64</v>
      </c>
      <c r="S1451" s="7">
        <v>88.751999999999995</v>
      </c>
      <c r="T1451" s="1">
        <v>9</v>
      </c>
      <c r="U1451" s="9">
        <v>88.64</v>
      </c>
      <c r="V1451" s="9">
        <v>798.76799999999992</v>
      </c>
      <c r="W1451" s="9">
        <v>797.76</v>
      </c>
      <c r="X1451" s="12">
        <v>1.0079999999999245</v>
      </c>
      <c r="Y1451" s="10">
        <v>2016</v>
      </c>
    </row>
    <row r="1452" spans="1:25">
      <c r="A1452" s="1" t="s">
        <v>3232</v>
      </c>
      <c r="B1452" s="8">
        <v>42570</v>
      </c>
      <c r="C1452" s="11" t="s">
        <v>3376</v>
      </c>
      <c r="D1452" s="11" t="s">
        <v>3345</v>
      </c>
      <c r="E1452" s="5" t="s">
        <v>3233</v>
      </c>
      <c r="F1452" s="1" t="s">
        <v>162</v>
      </c>
      <c r="G1452" s="1" t="s">
        <v>3234</v>
      </c>
      <c r="H1452" s="1" t="s">
        <v>3990</v>
      </c>
      <c r="I1452" s="1" t="s">
        <v>3991</v>
      </c>
      <c r="J1452" s="1"/>
      <c r="K1452" s="1" t="s">
        <v>29</v>
      </c>
      <c r="L1452" s="1" t="s">
        <v>30</v>
      </c>
      <c r="M1452" s="1" t="s">
        <v>457</v>
      </c>
      <c r="N1452" s="1" t="s">
        <v>265</v>
      </c>
      <c r="O1452" s="1">
        <v>85023</v>
      </c>
      <c r="P1452" s="1" t="s">
        <v>44</v>
      </c>
      <c r="Q1452" s="1" t="s">
        <v>3236</v>
      </c>
      <c r="R1452" s="1" t="s">
        <v>46</v>
      </c>
      <c r="S1452" s="7">
        <v>2.0249999999999999</v>
      </c>
      <c r="T1452" s="1">
        <v>8</v>
      </c>
      <c r="U1452" s="9">
        <v>2.02</v>
      </c>
      <c r="V1452" s="9">
        <v>16.2</v>
      </c>
      <c r="W1452" s="9">
        <v>16.16</v>
      </c>
      <c r="X1452" s="12">
        <v>3.9999999999999147E-2</v>
      </c>
      <c r="Y1452" s="10">
        <v>2016</v>
      </c>
    </row>
    <row r="1453" spans="1:25">
      <c r="A1453" s="1" t="s">
        <v>3237</v>
      </c>
      <c r="B1453" s="8">
        <v>43065</v>
      </c>
      <c r="C1453" s="11" t="s">
        <v>3353</v>
      </c>
      <c r="D1453" s="11" t="s">
        <v>3349</v>
      </c>
      <c r="E1453" s="5" t="s">
        <v>3238</v>
      </c>
      <c r="F1453" s="1" t="s">
        <v>162</v>
      </c>
      <c r="G1453" s="1" t="s">
        <v>3239</v>
      </c>
      <c r="H1453" s="1" t="s">
        <v>3517</v>
      </c>
      <c r="I1453" s="1" t="s">
        <v>3992</v>
      </c>
      <c r="J1453" s="1"/>
      <c r="K1453" s="1" t="s">
        <v>41</v>
      </c>
      <c r="L1453" s="1" t="s">
        <v>30</v>
      </c>
      <c r="M1453" s="1" t="s">
        <v>3241</v>
      </c>
      <c r="N1453" s="1" t="s">
        <v>304</v>
      </c>
      <c r="O1453" s="1">
        <v>36608</v>
      </c>
      <c r="P1453" s="1" t="s">
        <v>33</v>
      </c>
      <c r="Q1453" s="1" t="s">
        <v>2845</v>
      </c>
      <c r="R1453" s="1" t="s">
        <v>46</v>
      </c>
      <c r="S1453" s="7">
        <v>70.98</v>
      </c>
      <c r="T1453" s="1">
        <v>3</v>
      </c>
      <c r="U1453" s="9">
        <v>70.53</v>
      </c>
      <c r="V1453" s="9">
        <v>212.94</v>
      </c>
      <c r="W1453" s="9">
        <v>211.59</v>
      </c>
      <c r="X1453" s="12">
        <v>1.3499999999999943</v>
      </c>
      <c r="Y1453" s="10">
        <v>2017</v>
      </c>
    </row>
    <row r="1454" spans="1:25">
      <c r="A1454" s="1" t="s">
        <v>3237</v>
      </c>
      <c r="B1454" s="8">
        <v>43065</v>
      </c>
      <c r="C1454" s="11" t="s">
        <v>3353</v>
      </c>
      <c r="D1454" s="11" t="s">
        <v>3349</v>
      </c>
      <c r="E1454" s="5" t="s">
        <v>3238</v>
      </c>
      <c r="F1454" s="1" t="s">
        <v>162</v>
      </c>
      <c r="G1454" s="1" t="s">
        <v>3239</v>
      </c>
      <c r="H1454" s="1" t="s">
        <v>3517</v>
      </c>
      <c r="I1454" s="1" t="s">
        <v>3992</v>
      </c>
      <c r="J1454" s="1"/>
      <c r="K1454" s="1" t="s">
        <v>41</v>
      </c>
      <c r="L1454" s="1" t="s">
        <v>30</v>
      </c>
      <c r="M1454" s="1" t="s">
        <v>3241</v>
      </c>
      <c r="N1454" s="1" t="s">
        <v>304</v>
      </c>
      <c r="O1454" s="1">
        <v>36608</v>
      </c>
      <c r="P1454" s="1" t="s">
        <v>33</v>
      </c>
      <c r="Q1454" s="1" t="s">
        <v>3242</v>
      </c>
      <c r="R1454" s="1" t="s">
        <v>46</v>
      </c>
      <c r="S1454" s="7">
        <v>91.68</v>
      </c>
      <c r="T1454" s="1">
        <v>3</v>
      </c>
      <c r="U1454" s="9">
        <v>90.91</v>
      </c>
      <c r="V1454" s="9">
        <v>275.04000000000002</v>
      </c>
      <c r="W1454" s="9">
        <v>272.73</v>
      </c>
      <c r="X1454" s="12">
        <v>2.3100000000000023</v>
      </c>
      <c r="Y1454" s="10">
        <v>2017</v>
      </c>
    </row>
    <row r="1455" spans="1:25">
      <c r="A1455" s="1" t="s">
        <v>3237</v>
      </c>
      <c r="B1455" s="8">
        <v>43065</v>
      </c>
      <c r="C1455" s="11" t="s">
        <v>3353</v>
      </c>
      <c r="D1455" s="11" t="s">
        <v>3349</v>
      </c>
      <c r="E1455" s="5" t="s">
        <v>3238</v>
      </c>
      <c r="F1455" s="1" t="s">
        <v>162</v>
      </c>
      <c r="G1455" s="1" t="s">
        <v>3239</v>
      </c>
      <c r="H1455" s="1" t="s">
        <v>3517</v>
      </c>
      <c r="I1455" s="1" t="s">
        <v>3992</v>
      </c>
      <c r="J1455" s="1"/>
      <c r="K1455" s="1" t="s">
        <v>41</v>
      </c>
      <c r="L1455" s="1" t="s">
        <v>30</v>
      </c>
      <c r="M1455" s="1" t="s">
        <v>3241</v>
      </c>
      <c r="N1455" s="1" t="s">
        <v>304</v>
      </c>
      <c r="O1455" s="1">
        <v>36608</v>
      </c>
      <c r="P1455" s="1" t="s">
        <v>33</v>
      </c>
      <c r="Q1455" s="1" t="s">
        <v>3236</v>
      </c>
      <c r="R1455" s="1" t="s">
        <v>46</v>
      </c>
      <c r="S1455" s="7">
        <v>33.75</v>
      </c>
      <c r="T1455" s="1">
        <v>3</v>
      </c>
      <c r="U1455" s="9">
        <v>33.130000000000003</v>
      </c>
      <c r="V1455" s="9">
        <v>101.25</v>
      </c>
      <c r="W1455" s="9">
        <v>99.390000000000015</v>
      </c>
      <c r="X1455" s="12">
        <v>1.8599999999999852</v>
      </c>
      <c r="Y1455" s="10">
        <v>2017</v>
      </c>
    </row>
    <row r="1456" spans="1:25">
      <c r="A1456" s="1" t="s">
        <v>3237</v>
      </c>
      <c r="B1456" s="8">
        <v>43065</v>
      </c>
      <c r="C1456" s="11" t="s">
        <v>3353</v>
      </c>
      <c r="D1456" s="11" t="s">
        <v>3349</v>
      </c>
      <c r="E1456" s="5" t="s">
        <v>3238</v>
      </c>
      <c r="F1456" s="1" t="s">
        <v>162</v>
      </c>
      <c r="G1456" s="1" t="s">
        <v>3239</v>
      </c>
      <c r="H1456" s="1" t="s">
        <v>3517</v>
      </c>
      <c r="I1456" s="1" t="s">
        <v>3992</v>
      </c>
      <c r="J1456" s="1"/>
      <c r="K1456" s="1" t="s">
        <v>41</v>
      </c>
      <c r="L1456" s="1" t="s">
        <v>30</v>
      </c>
      <c r="M1456" s="1" t="s">
        <v>3241</v>
      </c>
      <c r="N1456" s="1" t="s">
        <v>304</v>
      </c>
      <c r="O1456" s="1">
        <v>36608</v>
      </c>
      <c r="P1456" s="1" t="s">
        <v>33</v>
      </c>
      <c r="Q1456" s="1" t="s">
        <v>3243</v>
      </c>
      <c r="R1456" s="1" t="s">
        <v>64</v>
      </c>
      <c r="S1456" s="7">
        <v>3040</v>
      </c>
      <c r="T1456" s="1">
        <v>3</v>
      </c>
      <c r="U1456" s="9">
        <v>3039.91</v>
      </c>
      <c r="V1456" s="9">
        <v>9120</v>
      </c>
      <c r="W1456" s="9">
        <v>9119.73</v>
      </c>
      <c r="X1456" s="12">
        <v>0.27000000000043656</v>
      </c>
      <c r="Y1456" s="10">
        <v>2017</v>
      </c>
    </row>
    <row r="1457" spans="1:25">
      <c r="A1457" s="1" t="s">
        <v>3244</v>
      </c>
      <c r="B1457" s="8">
        <v>43440</v>
      </c>
      <c r="C1457" s="11" t="s">
        <v>3348</v>
      </c>
      <c r="D1457" s="11" t="s">
        <v>3349</v>
      </c>
      <c r="E1457" s="5" t="s">
        <v>1007</v>
      </c>
      <c r="F1457" s="1" t="s">
        <v>49</v>
      </c>
      <c r="G1457" s="1" t="s">
        <v>3245</v>
      </c>
      <c r="H1457" s="1" t="s">
        <v>3526</v>
      </c>
      <c r="I1457" s="1" t="s">
        <v>3993</v>
      </c>
      <c r="J1457" s="1"/>
      <c r="K1457" s="1" t="s">
        <v>87</v>
      </c>
      <c r="L1457" s="1" t="s">
        <v>30</v>
      </c>
      <c r="M1457" s="1" t="s">
        <v>420</v>
      </c>
      <c r="N1457" s="1" t="s">
        <v>1035</v>
      </c>
      <c r="O1457" s="1">
        <v>31907</v>
      </c>
      <c r="P1457" s="1" t="s">
        <v>33</v>
      </c>
      <c r="Q1457" s="1" t="s">
        <v>3247</v>
      </c>
      <c r="R1457" s="1" t="s">
        <v>46</v>
      </c>
      <c r="S1457" s="7">
        <v>91.2</v>
      </c>
      <c r="T1457" s="1">
        <v>3</v>
      </c>
      <c r="U1457" s="9">
        <v>90.82</v>
      </c>
      <c r="V1457" s="9">
        <v>273.60000000000002</v>
      </c>
      <c r="W1457" s="9">
        <v>272.45999999999998</v>
      </c>
      <c r="X1457" s="12">
        <v>1.1400000000000432</v>
      </c>
      <c r="Y1457" s="10">
        <v>2018</v>
      </c>
    </row>
    <row r="1458" spans="1:25">
      <c r="A1458" s="1" t="s">
        <v>3244</v>
      </c>
      <c r="B1458" s="8">
        <v>43440</v>
      </c>
      <c r="C1458" s="11" t="s">
        <v>3348</v>
      </c>
      <c r="D1458" s="11" t="s">
        <v>3349</v>
      </c>
      <c r="E1458" s="5" t="s">
        <v>1007</v>
      </c>
      <c r="F1458" s="1" t="s">
        <v>49</v>
      </c>
      <c r="G1458" s="1" t="s">
        <v>3245</v>
      </c>
      <c r="H1458" s="1" t="s">
        <v>3526</v>
      </c>
      <c r="I1458" s="1" t="s">
        <v>3993</v>
      </c>
      <c r="J1458" s="1"/>
      <c r="K1458" s="1" t="s">
        <v>87</v>
      </c>
      <c r="L1458" s="1" t="s">
        <v>30</v>
      </c>
      <c r="M1458" s="1" t="s">
        <v>420</v>
      </c>
      <c r="N1458" s="1" t="s">
        <v>1035</v>
      </c>
      <c r="O1458" s="1">
        <v>31907</v>
      </c>
      <c r="P1458" s="1" t="s">
        <v>33</v>
      </c>
      <c r="Q1458" s="1" t="s">
        <v>3248</v>
      </c>
      <c r="R1458" s="1" t="s">
        <v>35</v>
      </c>
      <c r="S1458" s="7">
        <v>452.94</v>
      </c>
      <c r="T1458" s="1">
        <v>3</v>
      </c>
      <c r="U1458" s="9">
        <v>452.59</v>
      </c>
      <c r="V1458" s="9">
        <v>1358.82</v>
      </c>
      <c r="W1458" s="9">
        <v>1357.77</v>
      </c>
      <c r="X1458" s="12">
        <v>1.0499999999999545</v>
      </c>
      <c r="Y1458" s="10">
        <v>2018</v>
      </c>
    </row>
    <row r="1459" spans="1:25">
      <c r="A1459" s="1" t="s">
        <v>3249</v>
      </c>
      <c r="B1459" s="8">
        <v>42599</v>
      </c>
      <c r="C1459" s="11" t="s">
        <v>3344</v>
      </c>
      <c r="D1459" s="11" t="s">
        <v>3345</v>
      </c>
      <c r="E1459" s="5" t="s">
        <v>3250</v>
      </c>
      <c r="F1459" s="1" t="s">
        <v>49</v>
      </c>
      <c r="G1459" s="1" t="s">
        <v>3219</v>
      </c>
      <c r="H1459" s="1" t="s">
        <v>3988</v>
      </c>
      <c r="I1459" s="1" t="s">
        <v>3989</v>
      </c>
      <c r="J1459" s="1"/>
      <c r="K1459" s="1" t="s">
        <v>41</v>
      </c>
      <c r="L1459" s="1" t="s">
        <v>30</v>
      </c>
      <c r="M1459" s="1" t="s">
        <v>3251</v>
      </c>
      <c r="N1459" s="1" t="s">
        <v>1014</v>
      </c>
      <c r="O1459" s="1">
        <v>2740</v>
      </c>
      <c r="P1459" s="1" t="s">
        <v>128</v>
      </c>
      <c r="Q1459" s="1" t="s">
        <v>1054</v>
      </c>
      <c r="R1459" s="1" t="s">
        <v>46</v>
      </c>
      <c r="S1459" s="7">
        <v>52.2</v>
      </c>
      <c r="T1459" s="1">
        <v>2</v>
      </c>
      <c r="U1459" s="9">
        <v>51.92</v>
      </c>
      <c r="V1459" s="9">
        <v>104.4</v>
      </c>
      <c r="W1459" s="9">
        <v>103.84</v>
      </c>
      <c r="X1459" s="12">
        <v>0.56000000000000227</v>
      </c>
      <c r="Y1459" s="10">
        <v>2016</v>
      </c>
    </row>
    <row r="1460" spans="1:25">
      <c r="A1460" s="1" t="s">
        <v>3252</v>
      </c>
      <c r="B1460" s="8">
        <v>43003</v>
      </c>
      <c r="C1460" s="11" t="s">
        <v>3356</v>
      </c>
      <c r="D1460" s="11" t="s">
        <v>3345</v>
      </c>
      <c r="E1460" s="5">
        <v>42745</v>
      </c>
      <c r="F1460" s="1" t="s">
        <v>49</v>
      </c>
      <c r="G1460" s="1" t="s">
        <v>3253</v>
      </c>
      <c r="H1460" s="1" t="s">
        <v>3904</v>
      </c>
      <c r="I1460" s="1" t="s">
        <v>3819</v>
      </c>
      <c r="J1460" s="1"/>
      <c r="K1460" s="1" t="s">
        <v>41</v>
      </c>
      <c r="L1460" s="1" t="s">
        <v>30</v>
      </c>
      <c r="M1460" s="1" t="s">
        <v>3255</v>
      </c>
      <c r="N1460" s="1" t="s">
        <v>89</v>
      </c>
      <c r="O1460" s="1">
        <v>75061</v>
      </c>
      <c r="P1460" s="1" t="s">
        <v>90</v>
      </c>
      <c r="Q1460" s="1" t="s">
        <v>2042</v>
      </c>
      <c r="R1460" s="1" t="s">
        <v>46</v>
      </c>
      <c r="S1460" s="7">
        <v>15.936</v>
      </c>
      <c r="T1460" s="1">
        <v>7</v>
      </c>
      <c r="U1460" s="9">
        <v>15.9</v>
      </c>
      <c r="V1460" s="9">
        <v>111.55199999999999</v>
      </c>
      <c r="W1460" s="9">
        <v>111.3</v>
      </c>
      <c r="X1460" s="12">
        <v>0.25199999999999534</v>
      </c>
      <c r="Y1460" s="10">
        <v>2017</v>
      </c>
    </row>
    <row r="1461" spans="1:25">
      <c r="A1461" s="1" t="s">
        <v>3256</v>
      </c>
      <c r="B1461" s="8">
        <v>42099</v>
      </c>
      <c r="C1461" s="11" t="s">
        <v>3359</v>
      </c>
      <c r="D1461" s="11" t="s">
        <v>3360</v>
      </c>
      <c r="E1461" s="5">
        <v>42099</v>
      </c>
      <c r="F1461" s="1" t="s">
        <v>1050</v>
      </c>
      <c r="G1461" s="1" t="s">
        <v>72</v>
      </c>
      <c r="H1461" s="1" t="s">
        <v>3361</v>
      </c>
      <c r="I1461" s="1" t="s">
        <v>3362</v>
      </c>
      <c r="J1461" s="1"/>
      <c r="K1461" s="1" t="s">
        <v>29</v>
      </c>
      <c r="L1461" s="1" t="s">
        <v>30</v>
      </c>
      <c r="M1461" s="1" t="s">
        <v>3057</v>
      </c>
      <c r="N1461" s="1" t="s">
        <v>617</v>
      </c>
      <c r="O1461" s="1">
        <v>6457</v>
      </c>
      <c r="P1461" s="1" t="s">
        <v>128</v>
      </c>
      <c r="Q1461" s="1" t="s">
        <v>3257</v>
      </c>
      <c r="R1461" s="1" t="s">
        <v>35</v>
      </c>
      <c r="S1461" s="7">
        <v>27.46</v>
      </c>
      <c r="T1461" s="1">
        <v>6</v>
      </c>
      <c r="U1461" s="9">
        <v>27.22</v>
      </c>
      <c r="V1461" s="9">
        <v>164.76</v>
      </c>
      <c r="W1461" s="9">
        <v>163.32</v>
      </c>
      <c r="X1461" s="12">
        <v>1.4399999999999977</v>
      </c>
      <c r="Y1461" s="10">
        <v>2015</v>
      </c>
    </row>
    <row r="1462" spans="1:25">
      <c r="A1462" s="1" t="s">
        <v>3258</v>
      </c>
      <c r="B1462" s="8">
        <v>42381</v>
      </c>
      <c r="C1462" s="11" t="s">
        <v>3381</v>
      </c>
      <c r="D1462" s="11" t="s">
        <v>3382</v>
      </c>
      <c r="E1462" s="5">
        <v>42594</v>
      </c>
      <c r="F1462" s="1" t="s">
        <v>49</v>
      </c>
      <c r="G1462" s="1" t="s">
        <v>675</v>
      </c>
      <c r="H1462" s="1" t="s">
        <v>3529</v>
      </c>
      <c r="I1462" s="1" t="s">
        <v>3530</v>
      </c>
      <c r="J1462" s="1"/>
      <c r="K1462" s="1" t="s">
        <v>29</v>
      </c>
      <c r="L1462" s="1" t="s">
        <v>30</v>
      </c>
      <c r="M1462" s="1" t="s">
        <v>80</v>
      </c>
      <c r="N1462" s="1" t="s">
        <v>81</v>
      </c>
      <c r="O1462" s="1">
        <v>98103</v>
      </c>
      <c r="P1462" s="1" t="s">
        <v>44</v>
      </c>
      <c r="Q1462" s="1" t="s">
        <v>3259</v>
      </c>
      <c r="R1462" s="1" t="s">
        <v>46</v>
      </c>
      <c r="S1462" s="7">
        <v>55.423999999999999</v>
      </c>
      <c r="T1462" s="1">
        <v>9</v>
      </c>
      <c r="U1462" s="9">
        <v>55.24</v>
      </c>
      <c r="V1462" s="9">
        <v>498.81599999999997</v>
      </c>
      <c r="W1462" s="9">
        <v>497.16</v>
      </c>
      <c r="X1462" s="12">
        <v>1.6559999999999491</v>
      </c>
      <c r="Y1462" s="10">
        <v>2016</v>
      </c>
    </row>
    <row r="1463" spans="1:25">
      <c r="A1463" s="1" t="s">
        <v>3260</v>
      </c>
      <c r="B1463" s="8">
        <v>43042</v>
      </c>
      <c r="C1463" s="11" t="s">
        <v>3353</v>
      </c>
      <c r="D1463" s="11" t="s">
        <v>3349</v>
      </c>
      <c r="E1463" s="5" t="s">
        <v>3261</v>
      </c>
      <c r="F1463" s="1" t="s">
        <v>49</v>
      </c>
      <c r="G1463" s="1" t="s">
        <v>3262</v>
      </c>
      <c r="H1463" s="1" t="s">
        <v>3941</v>
      </c>
      <c r="I1463" s="1" t="s">
        <v>3642</v>
      </c>
      <c r="J1463" s="1"/>
      <c r="K1463" s="1" t="s">
        <v>29</v>
      </c>
      <c r="L1463" s="1" t="s">
        <v>30</v>
      </c>
      <c r="M1463" s="1" t="s">
        <v>3264</v>
      </c>
      <c r="N1463" s="1" t="s">
        <v>653</v>
      </c>
      <c r="O1463" s="1">
        <v>8360</v>
      </c>
      <c r="P1463" s="1" t="s">
        <v>128</v>
      </c>
      <c r="Q1463" s="1" t="s">
        <v>1960</v>
      </c>
      <c r="R1463" s="1" t="s">
        <v>35</v>
      </c>
      <c r="S1463" s="7">
        <v>244.006</v>
      </c>
      <c r="T1463" s="1">
        <v>8</v>
      </c>
      <c r="U1463" s="9">
        <v>243.04</v>
      </c>
      <c r="V1463" s="9">
        <v>1952.048</v>
      </c>
      <c r="W1463" s="9">
        <v>1944.32</v>
      </c>
      <c r="X1463" s="12">
        <v>7.7280000000000655</v>
      </c>
      <c r="Y1463" s="10">
        <v>2017</v>
      </c>
    </row>
    <row r="1464" spans="1:25">
      <c r="A1464" s="1" t="s">
        <v>3265</v>
      </c>
      <c r="B1464" s="8">
        <v>42973</v>
      </c>
      <c r="C1464" s="11" t="s">
        <v>3344</v>
      </c>
      <c r="D1464" s="11" t="s">
        <v>3345</v>
      </c>
      <c r="E1464" s="5" t="s">
        <v>1758</v>
      </c>
      <c r="F1464" s="1" t="s">
        <v>162</v>
      </c>
      <c r="G1464" s="1" t="s">
        <v>179</v>
      </c>
      <c r="H1464" s="1" t="s">
        <v>3394</v>
      </c>
      <c r="I1464" s="1" t="s">
        <v>3395</v>
      </c>
      <c r="J1464" s="1"/>
      <c r="K1464" s="1" t="s">
        <v>41</v>
      </c>
      <c r="L1464" s="1" t="s">
        <v>30</v>
      </c>
      <c r="M1464" s="1" t="s">
        <v>500</v>
      </c>
      <c r="N1464" s="1" t="s">
        <v>89</v>
      </c>
      <c r="O1464" s="1">
        <v>77506</v>
      </c>
      <c r="P1464" s="1" t="s">
        <v>90</v>
      </c>
      <c r="Q1464" s="1" t="s">
        <v>1298</v>
      </c>
      <c r="R1464" s="1" t="s">
        <v>64</v>
      </c>
      <c r="S1464" s="7">
        <v>159.98400000000001</v>
      </c>
      <c r="T1464" s="1">
        <v>7</v>
      </c>
      <c r="U1464" s="9">
        <v>159.16999999999999</v>
      </c>
      <c r="V1464" s="9">
        <v>1119.8880000000001</v>
      </c>
      <c r="W1464" s="9">
        <v>1114.1899999999998</v>
      </c>
      <c r="X1464" s="12">
        <v>5.6980000000003201</v>
      </c>
      <c r="Y1464" s="10">
        <v>2017</v>
      </c>
    </row>
    <row r="1465" spans="1:25">
      <c r="A1465" s="1" t="s">
        <v>3265</v>
      </c>
      <c r="B1465" s="8">
        <v>42973</v>
      </c>
      <c r="C1465" s="11" t="s">
        <v>3344</v>
      </c>
      <c r="D1465" s="11" t="s">
        <v>3345</v>
      </c>
      <c r="E1465" s="5" t="s">
        <v>1758</v>
      </c>
      <c r="F1465" s="1" t="s">
        <v>162</v>
      </c>
      <c r="G1465" s="1" t="s">
        <v>179</v>
      </c>
      <c r="H1465" s="1" t="s">
        <v>3394</v>
      </c>
      <c r="I1465" s="1" t="s">
        <v>3395</v>
      </c>
      <c r="J1465" s="1"/>
      <c r="K1465" s="1" t="s">
        <v>41</v>
      </c>
      <c r="L1465" s="1" t="s">
        <v>30</v>
      </c>
      <c r="M1465" s="1" t="s">
        <v>500</v>
      </c>
      <c r="N1465" s="1" t="s">
        <v>89</v>
      </c>
      <c r="O1465" s="1">
        <v>77506</v>
      </c>
      <c r="P1465" s="1" t="s">
        <v>90</v>
      </c>
      <c r="Q1465" s="1" t="s">
        <v>2751</v>
      </c>
      <c r="R1465" s="1" t="s">
        <v>35</v>
      </c>
      <c r="S1465" s="7">
        <v>1024.7159999999999</v>
      </c>
      <c r="T1465" s="1">
        <v>7</v>
      </c>
      <c r="U1465" s="9">
        <v>1024.26</v>
      </c>
      <c r="V1465" s="9">
        <v>7173.0119999999988</v>
      </c>
      <c r="W1465" s="9">
        <v>7169.82</v>
      </c>
      <c r="X1465" s="12">
        <v>3.1919999999990978</v>
      </c>
      <c r="Y1465" s="10">
        <v>2017</v>
      </c>
    </row>
    <row r="1466" spans="1:25">
      <c r="A1466" s="1" t="s">
        <v>3266</v>
      </c>
      <c r="B1466" s="8">
        <v>43085</v>
      </c>
      <c r="C1466" s="11" t="s">
        <v>3348</v>
      </c>
      <c r="D1466" s="11" t="s">
        <v>3349</v>
      </c>
      <c r="E1466" s="5" t="s">
        <v>1896</v>
      </c>
      <c r="F1466" s="1" t="s">
        <v>162</v>
      </c>
      <c r="G1466" s="1" t="s">
        <v>3267</v>
      </c>
      <c r="H1466" s="1" t="s">
        <v>3636</v>
      </c>
      <c r="I1466" s="1" t="s">
        <v>3994</v>
      </c>
      <c r="J1466" s="1"/>
      <c r="K1466" s="1" t="s">
        <v>41</v>
      </c>
      <c r="L1466" s="1" t="s">
        <v>30</v>
      </c>
      <c r="M1466" s="1" t="s">
        <v>233</v>
      </c>
      <c r="N1466" s="1" t="s">
        <v>234</v>
      </c>
      <c r="O1466" s="1">
        <v>10009</v>
      </c>
      <c r="P1466" s="1" t="s">
        <v>128</v>
      </c>
      <c r="Q1466" s="1" t="s">
        <v>2584</v>
      </c>
      <c r="R1466" s="1" t="s">
        <v>46</v>
      </c>
      <c r="S1466" s="7">
        <v>3.68</v>
      </c>
      <c r="T1466" s="1">
        <v>1</v>
      </c>
      <c r="U1466" s="9">
        <v>2.86</v>
      </c>
      <c r="V1466" s="9">
        <v>3.68</v>
      </c>
      <c r="W1466" s="9">
        <v>2.86</v>
      </c>
      <c r="X1466" s="12">
        <v>0.82000000000000028</v>
      </c>
      <c r="Y1466" s="10">
        <v>2017</v>
      </c>
    </row>
    <row r="1467" spans="1:25">
      <c r="A1467" s="1" t="s">
        <v>3269</v>
      </c>
      <c r="B1467" s="8">
        <v>42224</v>
      </c>
      <c r="C1467" s="11" t="s">
        <v>3344</v>
      </c>
      <c r="D1467" s="11" t="s">
        <v>3345</v>
      </c>
      <c r="E1467" s="5" t="s">
        <v>3270</v>
      </c>
      <c r="F1467" s="1" t="s">
        <v>49</v>
      </c>
      <c r="G1467" s="1" t="s">
        <v>663</v>
      </c>
      <c r="H1467" s="1" t="s">
        <v>3526</v>
      </c>
      <c r="I1467" s="1" t="s">
        <v>3527</v>
      </c>
      <c r="J1467" s="1"/>
      <c r="K1467" s="1" t="s">
        <v>29</v>
      </c>
      <c r="L1467" s="1" t="s">
        <v>30</v>
      </c>
      <c r="M1467" s="1" t="s">
        <v>3271</v>
      </c>
      <c r="N1467" s="1" t="s">
        <v>265</v>
      </c>
      <c r="O1467" s="1">
        <v>85301</v>
      </c>
      <c r="P1467" s="1" t="s">
        <v>44</v>
      </c>
      <c r="Q1467" s="1" t="s">
        <v>2485</v>
      </c>
      <c r="R1467" s="1" t="s">
        <v>35</v>
      </c>
      <c r="S1467" s="7">
        <v>121.376</v>
      </c>
      <c r="T1467" s="1">
        <v>8</v>
      </c>
      <c r="U1467" s="9">
        <v>120.6</v>
      </c>
      <c r="V1467" s="9">
        <v>971.00800000000004</v>
      </c>
      <c r="W1467" s="9">
        <v>964.8</v>
      </c>
      <c r="X1467" s="12">
        <v>6.2080000000000837</v>
      </c>
      <c r="Y1467" s="10">
        <v>2015</v>
      </c>
    </row>
    <row r="1468" spans="1:25">
      <c r="A1468" s="1" t="s">
        <v>3269</v>
      </c>
      <c r="B1468" s="8">
        <v>42224</v>
      </c>
      <c r="C1468" s="11" t="s">
        <v>3344</v>
      </c>
      <c r="D1468" s="11" t="s">
        <v>3345</v>
      </c>
      <c r="E1468" s="5" t="s">
        <v>3270</v>
      </c>
      <c r="F1468" s="1" t="s">
        <v>49</v>
      </c>
      <c r="G1468" s="1" t="s">
        <v>663</v>
      </c>
      <c r="H1468" s="1" t="s">
        <v>3526</v>
      </c>
      <c r="I1468" s="1" t="s">
        <v>3527</v>
      </c>
      <c r="J1468" s="1"/>
      <c r="K1468" s="1" t="s">
        <v>29</v>
      </c>
      <c r="L1468" s="1" t="s">
        <v>30</v>
      </c>
      <c r="M1468" s="1" t="s">
        <v>3271</v>
      </c>
      <c r="N1468" s="1" t="s">
        <v>265</v>
      </c>
      <c r="O1468" s="1">
        <v>85301</v>
      </c>
      <c r="P1468" s="1" t="s">
        <v>44</v>
      </c>
      <c r="Q1468" s="1" t="s">
        <v>375</v>
      </c>
      <c r="R1468" s="1" t="s">
        <v>64</v>
      </c>
      <c r="S1468" s="7">
        <v>95.975999999999999</v>
      </c>
      <c r="T1468" s="1">
        <v>8</v>
      </c>
      <c r="U1468" s="9">
        <v>95.62</v>
      </c>
      <c r="V1468" s="9">
        <v>767.80799999999999</v>
      </c>
      <c r="W1468" s="9">
        <v>764.96</v>
      </c>
      <c r="X1468" s="12">
        <v>2.8479999999999563</v>
      </c>
      <c r="Y1468" s="10">
        <v>2015</v>
      </c>
    </row>
    <row r="1469" spans="1:25">
      <c r="A1469" s="1" t="s">
        <v>3272</v>
      </c>
      <c r="B1469" s="8">
        <v>42506</v>
      </c>
      <c r="C1469" s="11" t="s">
        <v>3363</v>
      </c>
      <c r="D1469" s="11" t="s">
        <v>3360</v>
      </c>
      <c r="E1469" s="5" t="s">
        <v>3273</v>
      </c>
      <c r="F1469" s="1" t="s">
        <v>1050</v>
      </c>
      <c r="G1469" s="1" t="s">
        <v>1864</v>
      </c>
      <c r="H1469" s="1" t="s">
        <v>3385</v>
      </c>
      <c r="I1469" s="1" t="s">
        <v>3525</v>
      </c>
      <c r="J1469" s="1"/>
      <c r="K1469" s="1" t="s">
        <v>87</v>
      </c>
      <c r="L1469" s="1" t="s">
        <v>30</v>
      </c>
      <c r="M1469" s="1" t="s">
        <v>1241</v>
      </c>
      <c r="N1469" s="1" t="s">
        <v>194</v>
      </c>
      <c r="O1469" s="1">
        <v>32216</v>
      </c>
      <c r="P1469" s="1" t="s">
        <v>33</v>
      </c>
      <c r="Q1469" s="1" t="s">
        <v>2105</v>
      </c>
      <c r="R1469" s="1" t="s">
        <v>64</v>
      </c>
      <c r="S1469" s="7">
        <v>255.96799999999999</v>
      </c>
      <c r="T1469" s="1">
        <v>3</v>
      </c>
      <c r="U1469" s="9">
        <v>255.32</v>
      </c>
      <c r="V1469" s="9">
        <v>767.904</v>
      </c>
      <c r="W1469" s="9">
        <v>765.96</v>
      </c>
      <c r="X1469" s="12">
        <v>1.94399999999996</v>
      </c>
      <c r="Y1469" s="10">
        <v>2016</v>
      </c>
    </row>
    <row r="1470" spans="1:25">
      <c r="A1470" s="1" t="s">
        <v>3274</v>
      </c>
      <c r="B1470" s="8">
        <v>43355</v>
      </c>
      <c r="C1470" s="11" t="s">
        <v>3356</v>
      </c>
      <c r="D1470" s="11" t="s">
        <v>3345</v>
      </c>
      <c r="E1470" s="5" t="s">
        <v>826</v>
      </c>
      <c r="F1470" s="1" t="s">
        <v>49</v>
      </c>
      <c r="G1470" s="1" t="s">
        <v>3191</v>
      </c>
      <c r="H1470" s="1" t="s">
        <v>3982</v>
      </c>
      <c r="I1470" s="1" t="s">
        <v>3983</v>
      </c>
      <c r="J1470" s="1"/>
      <c r="K1470" s="1" t="s">
        <v>41</v>
      </c>
      <c r="L1470" s="1" t="s">
        <v>30</v>
      </c>
      <c r="M1470" s="1" t="s">
        <v>728</v>
      </c>
      <c r="N1470" s="1" t="s">
        <v>209</v>
      </c>
      <c r="O1470" s="1">
        <v>48234</v>
      </c>
      <c r="P1470" s="1" t="s">
        <v>90</v>
      </c>
      <c r="Q1470" s="1" t="s">
        <v>3275</v>
      </c>
      <c r="R1470" s="1" t="s">
        <v>35</v>
      </c>
      <c r="S1470" s="7">
        <v>872.94</v>
      </c>
      <c r="T1470" s="1">
        <v>4</v>
      </c>
      <c r="U1470" s="9">
        <v>872.88</v>
      </c>
      <c r="V1470" s="9">
        <v>3491.76</v>
      </c>
      <c r="W1470" s="9">
        <v>3491.52</v>
      </c>
      <c r="X1470" s="12">
        <v>0.24000000000023647</v>
      </c>
      <c r="Y1470" s="10">
        <v>2018</v>
      </c>
    </row>
    <row r="1471" spans="1:25">
      <c r="A1471" s="1" t="s">
        <v>3274</v>
      </c>
      <c r="B1471" s="8">
        <v>43355</v>
      </c>
      <c r="C1471" s="11" t="s">
        <v>3356</v>
      </c>
      <c r="D1471" s="11" t="s">
        <v>3345</v>
      </c>
      <c r="E1471" s="5" t="s">
        <v>826</v>
      </c>
      <c r="F1471" s="1" t="s">
        <v>49</v>
      </c>
      <c r="G1471" s="1" t="s">
        <v>3191</v>
      </c>
      <c r="H1471" s="1" t="s">
        <v>3982</v>
      </c>
      <c r="I1471" s="1" t="s">
        <v>3983</v>
      </c>
      <c r="J1471" s="1"/>
      <c r="K1471" s="1" t="s">
        <v>41</v>
      </c>
      <c r="L1471" s="1" t="s">
        <v>30</v>
      </c>
      <c r="M1471" s="1" t="s">
        <v>728</v>
      </c>
      <c r="N1471" s="1" t="s">
        <v>209</v>
      </c>
      <c r="O1471" s="1">
        <v>48234</v>
      </c>
      <c r="P1471" s="1" t="s">
        <v>90</v>
      </c>
      <c r="Q1471" s="1" t="s">
        <v>1129</v>
      </c>
      <c r="R1471" s="1" t="s">
        <v>46</v>
      </c>
      <c r="S1471" s="7">
        <v>41.54</v>
      </c>
      <c r="T1471" s="1">
        <v>4</v>
      </c>
      <c r="U1471" s="9">
        <v>41.15</v>
      </c>
      <c r="V1471" s="9">
        <v>166.16</v>
      </c>
      <c r="W1471" s="9">
        <v>164.6</v>
      </c>
      <c r="X1471" s="12">
        <v>1.5600000000000023</v>
      </c>
      <c r="Y1471" s="10">
        <v>2018</v>
      </c>
    </row>
    <row r="1472" spans="1:25">
      <c r="A1472" s="1" t="s">
        <v>3274</v>
      </c>
      <c r="B1472" s="8">
        <v>43355</v>
      </c>
      <c r="C1472" s="11" t="s">
        <v>3356</v>
      </c>
      <c r="D1472" s="11" t="s">
        <v>3345</v>
      </c>
      <c r="E1472" s="5" t="s">
        <v>826</v>
      </c>
      <c r="F1472" s="1" t="s">
        <v>49</v>
      </c>
      <c r="G1472" s="1" t="s">
        <v>3191</v>
      </c>
      <c r="H1472" s="1" t="s">
        <v>3982</v>
      </c>
      <c r="I1472" s="1" t="s">
        <v>3983</v>
      </c>
      <c r="J1472" s="1"/>
      <c r="K1472" s="1" t="s">
        <v>41</v>
      </c>
      <c r="L1472" s="1" t="s">
        <v>30</v>
      </c>
      <c r="M1472" s="1" t="s">
        <v>728</v>
      </c>
      <c r="N1472" s="1" t="s">
        <v>209</v>
      </c>
      <c r="O1472" s="1">
        <v>48234</v>
      </c>
      <c r="P1472" s="1" t="s">
        <v>90</v>
      </c>
      <c r="Q1472" s="1" t="s">
        <v>3276</v>
      </c>
      <c r="R1472" s="1" t="s">
        <v>46</v>
      </c>
      <c r="S1472" s="7">
        <v>12.96</v>
      </c>
      <c r="T1472" s="1">
        <v>4</v>
      </c>
      <c r="U1472" s="9">
        <v>12.5</v>
      </c>
      <c r="V1472" s="9">
        <v>51.84</v>
      </c>
      <c r="W1472" s="9">
        <v>50</v>
      </c>
      <c r="X1472" s="12">
        <v>1.8400000000000034</v>
      </c>
      <c r="Y1472" s="10">
        <v>2018</v>
      </c>
    </row>
    <row r="1473" spans="1:25">
      <c r="A1473" s="1" t="s">
        <v>3277</v>
      </c>
      <c r="B1473" s="8">
        <v>42637</v>
      </c>
      <c r="C1473" s="11" t="s">
        <v>3356</v>
      </c>
      <c r="D1473" s="11" t="s">
        <v>3345</v>
      </c>
      <c r="E1473" s="5" t="s">
        <v>3278</v>
      </c>
      <c r="F1473" s="1" t="s">
        <v>26</v>
      </c>
      <c r="G1473" s="1" t="s">
        <v>198</v>
      </c>
      <c r="H1473" s="1" t="s">
        <v>3400</v>
      </c>
      <c r="I1473" s="1" t="s">
        <v>3401</v>
      </c>
      <c r="J1473" s="1"/>
      <c r="K1473" s="1" t="s">
        <v>41</v>
      </c>
      <c r="L1473" s="1" t="s">
        <v>30</v>
      </c>
      <c r="M1473" s="1" t="s">
        <v>126</v>
      </c>
      <c r="N1473" s="1" t="s">
        <v>127</v>
      </c>
      <c r="O1473" s="1">
        <v>19120</v>
      </c>
      <c r="P1473" s="1" t="s">
        <v>128</v>
      </c>
      <c r="Q1473" s="1" t="s">
        <v>3279</v>
      </c>
      <c r="R1473" s="1" t="s">
        <v>46</v>
      </c>
      <c r="S1473" s="7">
        <v>6.8479999999999999</v>
      </c>
      <c r="T1473" s="1">
        <v>1</v>
      </c>
      <c r="U1473" s="9">
        <v>6.24</v>
      </c>
      <c r="V1473" s="9">
        <v>6.8479999999999999</v>
      </c>
      <c r="W1473" s="9">
        <v>6.24</v>
      </c>
      <c r="X1473" s="12">
        <v>0.60799999999999965</v>
      </c>
      <c r="Y1473" s="10">
        <v>2016</v>
      </c>
    </row>
    <row r="1474" spans="1:25">
      <c r="A1474" s="1" t="s">
        <v>3280</v>
      </c>
      <c r="B1474" s="8">
        <v>43411</v>
      </c>
      <c r="C1474" s="11" t="s">
        <v>3353</v>
      </c>
      <c r="D1474" s="11" t="s">
        <v>3349</v>
      </c>
      <c r="E1474" s="5" t="s">
        <v>2417</v>
      </c>
      <c r="F1474" s="1" t="s">
        <v>49</v>
      </c>
      <c r="G1474" s="1" t="s">
        <v>3281</v>
      </c>
      <c r="H1474" s="1" t="s">
        <v>3445</v>
      </c>
      <c r="I1474" s="1" t="s">
        <v>3995</v>
      </c>
      <c r="J1474" s="1"/>
      <c r="K1474" s="1" t="s">
        <v>41</v>
      </c>
      <c r="L1474" s="1" t="s">
        <v>30</v>
      </c>
      <c r="M1474" s="1" t="s">
        <v>42</v>
      </c>
      <c r="N1474" s="1" t="s">
        <v>68</v>
      </c>
      <c r="O1474" s="1">
        <v>90004</v>
      </c>
      <c r="P1474" s="1" t="s">
        <v>44</v>
      </c>
      <c r="Q1474" s="1" t="s">
        <v>2193</v>
      </c>
      <c r="R1474" s="1" t="s">
        <v>46</v>
      </c>
      <c r="S1474" s="7">
        <v>8.67</v>
      </c>
      <c r="T1474" s="1">
        <v>9</v>
      </c>
      <c r="U1474" s="9">
        <v>7.77</v>
      </c>
      <c r="V1474" s="9">
        <v>78.03</v>
      </c>
      <c r="W1474" s="9">
        <v>69.929999999999993</v>
      </c>
      <c r="X1474" s="12">
        <v>8.1000000000000085</v>
      </c>
      <c r="Y1474" s="10">
        <v>2018</v>
      </c>
    </row>
    <row r="1475" spans="1:25">
      <c r="A1475" s="1" t="s">
        <v>3283</v>
      </c>
      <c r="B1475" s="8">
        <v>42381</v>
      </c>
      <c r="C1475" s="11" t="s">
        <v>3381</v>
      </c>
      <c r="D1475" s="11" t="s">
        <v>3382</v>
      </c>
      <c r="E1475" s="5">
        <v>42412</v>
      </c>
      <c r="F1475" s="1" t="s">
        <v>1050</v>
      </c>
      <c r="G1475" s="1" t="s">
        <v>2679</v>
      </c>
      <c r="H1475" s="1" t="s">
        <v>3920</v>
      </c>
      <c r="I1475" s="1" t="s">
        <v>3019</v>
      </c>
      <c r="J1475" s="1"/>
      <c r="K1475" s="1" t="s">
        <v>29</v>
      </c>
      <c r="L1475" s="1" t="s">
        <v>30</v>
      </c>
      <c r="M1475" s="1" t="s">
        <v>172</v>
      </c>
      <c r="N1475" s="1" t="s">
        <v>89</v>
      </c>
      <c r="O1475" s="1">
        <v>77036</v>
      </c>
      <c r="P1475" s="1" t="s">
        <v>90</v>
      </c>
      <c r="Q1475" s="1" t="s">
        <v>3284</v>
      </c>
      <c r="R1475" s="1" t="s">
        <v>35</v>
      </c>
      <c r="S1475" s="7">
        <v>6.6879999999999997</v>
      </c>
      <c r="T1475" s="1">
        <v>7</v>
      </c>
      <c r="U1475" s="9">
        <v>6.37</v>
      </c>
      <c r="V1475" s="9">
        <v>46.815999999999995</v>
      </c>
      <c r="W1475" s="9">
        <v>44.59</v>
      </c>
      <c r="X1475" s="12">
        <v>2.225999999999992</v>
      </c>
      <c r="Y1475" s="10">
        <v>2016</v>
      </c>
    </row>
    <row r="1476" spans="1:25">
      <c r="A1476" s="1" t="s">
        <v>3285</v>
      </c>
      <c r="B1476" s="8">
        <v>43058</v>
      </c>
      <c r="C1476" s="11" t="s">
        <v>3353</v>
      </c>
      <c r="D1476" s="11" t="s">
        <v>3349</v>
      </c>
      <c r="E1476" s="5" t="s">
        <v>3286</v>
      </c>
      <c r="F1476" s="1" t="s">
        <v>49</v>
      </c>
      <c r="G1476" s="1" t="s">
        <v>3287</v>
      </c>
      <c r="H1476" s="1" t="s">
        <v>3495</v>
      </c>
      <c r="I1476" s="1" t="s">
        <v>3707</v>
      </c>
      <c r="J1476" s="1"/>
      <c r="K1476" s="1" t="s">
        <v>87</v>
      </c>
      <c r="L1476" s="1" t="s">
        <v>30</v>
      </c>
      <c r="M1476" s="1" t="s">
        <v>3289</v>
      </c>
      <c r="N1476" s="1" t="s">
        <v>234</v>
      </c>
      <c r="O1476" s="1">
        <v>14304</v>
      </c>
      <c r="P1476" s="1" t="s">
        <v>128</v>
      </c>
      <c r="Q1476" s="1" t="s">
        <v>3290</v>
      </c>
      <c r="R1476" s="1" t="s">
        <v>46</v>
      </c>
      <c r="S1476" s="7">
        <v>17.28</v>
      </c>
      <c r="T1476" s="1">
        <v>1</v>
      </c>
      <c r="U1476" s="9">
        <v>16.39</v>
      </c>
      <c r="V1476" s="9">
        <v>17.28</v>
      </c>
      <c r="W1476" s="9">
        <v>16.39</v>
      </c>
      <c r="X1476" s="12">
        <v>0.89000000000000057</v>
      </c>
      <c r="Y1476" s="10">
        <v>2017</v>
      </c>
    </row>
    <row r="1477" spans="1:25">
      <c r="A1477" s="1" t="s">
        <v>3285</v>
      </c>
      <c r="B1477" s="8">
        <v>43058</v>
      </c>
      <c r="C1477" s="11" t="s">
        <v>3353</v>
      </c>
      <c r="D1477" s="11" t="s">
        <v>3349</v>
      </c>
      <c r="E1477" s="5" t="s">
        <v>3286</v>
      </c>
      <c r="F1477" s="1" t="s">
        <v>49</v>
      </c>
      <c r="G1477" s="1" t="s">
        <v>3287</v>
      </c>
      <c r="H1477" s="1" t="s">
        <v>3495</v>
      </c>
      <c r="I1477" s="1" t="s">
        <v>3707</v>
      </c>
      <c r="J1477" s="1"/>
      <c r="K1477" s="1" t="s">
        <v>87</v>
      </c>
      <c r="L1477" s="1" t="s">
        <v>30</v>
      </c>
      <c r="M1477" s="1" t="s">
        <v>3289</v>
      </c>
      <c r="N1477" s="1" t="s">
        <v>234</v>
      </c>
      <c r="O1477" s="1">
        <v>14304</v>
      </c>
      <c r="P1477" s="1" t="s">
        <v>128</v>
      </c>
      <c r="Q1477" s="1" t="s">
        <v>2513</v>
      </c>
      <c r="R1477" s="1" t="s">
        <v>46</v>
      </c>
      <c r="S1477" s="7">
        <v>17.712</v>
      </c>
      <c r="T1477" s="1">
        <v>1</v>
      </c>
      <c r="U1477" s="9">
        <v>17.61</v>
      </c>
      <c r="V1477" s="9">
        <v>17.712</v>
      </c>
      <c r="W1477" s="9">
        <v>17.61</v>
      </c>
      <c r="X1477" s="12">
        <v>0.10200000000000031</v>
      </c>
      <c r="Y1477" s="10">
        <v>2017</v>
      </c>
    </row>
    <row r="1478" spans="1:25">
      <c r="A1478" s="1" t="s">
        <v>3291</v>
      </c>
      <c r="B1478" s="8">
        <v>43178</v>
      </c>
      <c r="C1478" s="11" t="s">
        <v>3429</v>
      </c>
      <c r="D1478" s="11" t="s">
        <v>3382</v>
      </c>
      <c r="E1478" s="5" t="s">
        <v>3292</v>
      </c>
      <c r="F1478" s="1" t="s">
        <v>49</v>
      </c>
      <c r="G1478" s="1" t="s">
        <v>2341</v>
      </c>
      <c r="H1478" s="1" t="s">
        <v>3865</v>
      </c>
      <c r="I1478" s="1" t="s">
        <v>3866</v>
      </c>
      <c r="J1478" s="1"/>
      <c r="K1478" s="1" t="s">
        <v>87</v>
      </c>
      <c r="L1478" s="1" t="s">
        <v>30</v>
      </c>
      <c r="M1478" s="1" t="s">
        <v>233</v>
      </c>
      <c r="N1478" s="1" t="s">
        <v>234</v>
      </c>
      <c r="O1478" s="1">
        <v>10024</v>
      </c>
      <c r="P1478" s="1" t="s">
        <v>128</v>
      </c>
      <c r="Q1478" s="1" t="s">
        <v>3293</v>
      </c>
      <c r="R1478" s="1" t="s">
        <v>46</v>
      </c>
      <c r="S1478" s="7">
        <v>28.91</v>
      </c>
      <c r="T1478" s="1">
        <v>1</v>
      </c>
      <c r="U1478" s="9">
        <v>28.3</v>
      </c>
      <c r="V1478" s="9">
        <v>28.91</v>
      </c>
      <c r="W1478" s="9">
        <v>28.3</v>
      </c>
      <c r="X1478" s="12">
        <v>0.60999999999999943</v>
      </c>
      <c r="Y1478" s="10">
        <v>2018</v>
      </c>
    </row>
    <row r="1479" spans="1:25">
      <c r="A1479" s="1" t="s">
        <v>3294</v>
      </c>
      <c r="B1479" s="8">
        <v>43052</v>
      </c>
      <c r="C1479" s="11" t="s">
        <v>3353</v>
      </c>
      <c r="D1479" s="11" t="s">
        <v>3349</v>
      </c>
      <c r="E1479" s="5" t="s">
        <v>2466</v>
      </c>
      <c r="F1479" s="1" t="s">
        <v>49</v>
      </c>
      <c r="G1479" s="1" t="s">
        <v>3295</v>
      </c>
      <c r="H1479" s="1" t="s">
        <v>3996</v>
      </c>
      <c r="I1479" s="1" t="s">
        <v>3425</v>
      </c>
      <c r="J1479" s="1"/>
      <c r="K1479" s="1" t="s">
        <v>29</v>
      </c>
      <c r="L1479" s="1" t="s">
        <v>30</v>
      </c>
      <c r="M1479" s="1" t="s">
        <v>3297</v>
      </c>
      <c r="N1479" s="1" t="s">
        <v>75</v>
      </c>
      <c r="O1479" s="1">
        <v>27360</v>
      </c>
      <c r="P1479" s="1" t="s">
        <v>33</v>
      </c>
      <c r="Q1479" s="1" t="s">
        <v>2113</v>
      </c>
      <c r="R1479" s="1" t="s">
        <v>46</v>
      </c>
      <c r="S1479" s="7">
        <v>52.136000000000003</v>
      </c>
      <c r="T1479" s="1">
        <v>2</v>
      </c>
      <c r="U1479" s="9">
        <v>51.76</v>
      </c>
      <c r="V1479" s="9">
        <v>104.27200000000001</v>
      </c>
      <c r="W1479" s="9">
        <v>103.52</v>
      </c>
      <c r="X1479" s="12">
        <v>0.75200000000000955</v>
      </c>
      <c r="Y1479" s="10">
        <v>2017</v>
      </c>
    </row>
    <row r="1480" spans="1:25">
      <c r="A1480" s="1" t="s">
        <v>3298</v>
      </c>
      <c r="B1480" s="8">
        <v>43423</v>
      </c>
      <c r="C1480" s="11" t="s">
        <v>3353</v>
      </c>
      <c r="D1480" s="11" t="s">
        <v>3349</v>
      </c>
      <c r="E1480" s="5" t="s">
        <v>3299</v>
      </c>
      <c r="F1480" s="1" t="s">
        <v>162</v>
      </c>
      <c r="G1480" s="1" t="s">
        <v>363</v>
      </c>
      <c r="H1480" s="1" t="s">
        <v>3445</v>
      </c>
      <c r="I1480" s="1" t="s">
        <v>3446</v>
      </c>
      <c r="J1480" s="1"/>
      <c r="K1480" s="1" t="s">
        <v>29</v>
      </c>
      <c r="L1480" s="1" t="s">
        <v>30</v>
      </c>
      <c r="M1480" s="1" t="s">
        <v>3300</v>
      </c>
      <c r="N1480" s="1" t="s">
        <v>68</v>
      </c>
      <c r="O1480" s="1">
        <v>92683</v>
      </c>
      <c r="P1480" s="1" t="s">
        <v>44</v>
      </c>
      <c r="Q1480" s="1" t="s">
        <v>1367</v>
      </c>
      <c r="R1480" s="1" t="s">
        <v>64</v>
      </c>
      <c r="S1480" s="7">
        <v>31.968</v>
      </c>
      <c r="T1480" s="1">
        <v>9</v>
      </c>
      <c r="U1480" s="9">
        <v>31.57</v>
      </c>
      <c r="V1480" s="9">
        <v>287.71199999999999</v>
      </c>
      <c r="W1480" s="9">
        <v>284.13</v>
      </c>
      <c r="X1480" s="12">
        <v>3.5819999999999936</v>
      </c>
      <c r="Y1480" s="10">
        <v>2018</v>
      </c>
    </row>
    <row r="1481" spans="1:25">
      <c r="A1481" s="1" t="s">
        <v>3301</v>
      </c>
      <c r="B1481" s="8">
        <v>42778</v>
      </c>
      <c r="C1481" s="11" t="s">
        <v>3461</v>
      </c>
      <c r="D1481" s="11" t="s">
        <v>3382</v>
      </c>
      <c r="E1481" s="5">
        <v>42959</v>
      </c>
      <c r="F1481" s="1" t="s">
        <v>49</v>
      </c>
      <c r="G1481" s="1" t="s">
        <v>1239</v>
      </c>
      <c r="H1481" s="1" t="s">
        <v>3621</v>
      </c>
      <c r="I1481" s="1" t="s">
        <v>3604</v>
      </c>
      <c r="J1481" s="1"/>
      <c r="K1481" s="1" t="s">
        <v>29</v>
      </c>
      <c r="L1481" s="1" t="s">
        <v>30</v>
      </c>
      <c r="M1481" s="1" t="s">
        <v>110</v>
      </c>
      <c r="N1481" s="1" t="s">
        <v>68</v>
      </c>
      <c r="O1481" s="1">
        <v>94122</v>
      </c>
      <c r="P1481" s="1" t="s">
        <v>44</v>
      </c>
      <c r="Q1481" s="1" t="s">
        <v>3302</v>
      </c>
      <c r="R1481" s="1" t="s">
        <v>46</v>
      </c>
      <c r="S1481" s="7">
        <v>25.92</v>
      </c>
      <c r="T1481" s="1">
        <v>9</v>
      </c>
      <c r="U1481" s="9">
        <v>25.18</v>
      </c>
      <c r="V1481" s="9">
        <v>233.28000000000003</v>
      </c>
      <c r="W1481" s="9">
        <v>226.62</v>
      </c>
      <c r="X1481" s="12">
        <v>6.660000000000025</v>
      </c>
      <c r="Y1481" s="10">
        <v>2017</v>
      </c>
    </row>
    <row r="1482" spans="1:25">
      <c r="A1482" s="1" t="s">
        <v>3301</v>
      </c>
      <c r="B1482" s="8">
        <v>42778</v>
      </c>
      <c r="C1482" s="11" t="s">
        <v>3461</v>
      </c>
      <c r="D1482" s="11" t="s">
        <v>3382</v>
      </c>
      <c r="E1482" s="5">
        <v>42959</v>
      </c>
      <c r="F1482" s="1" t="s">
        <v>49</v>
      </c>
      <c r="G1482" s="1" t="s">
        <v>1239</v>
      </c>
      <c r="H1482" s="1" t="s">
        <v>3621</v>
      </c>
      <c r="I1482" s="1" t="s">
        <v>3604</v>
      </c>
      <c r="J1482" s="1"/>
      <c r="K1482" s="1" t="s">
        <v>29</v>
      </c>
      <c r="L1482" s="1" t="s">
        <v>30</v>
      </c>
      <c r="M1482" s="1" t="s">
        <v>110</v>
      </c>
      <c r="N1482" s="1" t="s">
        <v>68</v>
      </c>
      <c r="O1482" s="1">
        <v>94122</v>
      </c>
      <c r="P1482" s="1" t="s">
        <v>44</v>
      </c>
      <c r="Q1482" s="1" t="s">
        <v>3303</v>
      </c>
      <c r="R1482" s="1" t="s">
        <v>46</v>
      </c>
      <c r="S1482" s="7">
        <v>40.46</v>
      </c>
      <c r="T1482" s="1">
        <v>9</v>
      </c>
      <c r="U1482" s="9">
        <v>40</v>
      </c>
      <c r="V1482" s="9">
        <v>364.14</v>
      </c>
      <c r="W1482" s="9">
        <v>360</v>
      </c>
      <c r="X1482" s="12">
        <v>4.1399999999999864</v>
      </c>
      <c r="Y1482" s="10">
        <v>2017</v>
      </c>
    </row>
    <row r="1483" spans="1:25">
      <c r="A1483" s="1" t="s">
        <v>3301</v>
      </c>
      <c r="B1483" s="8">
        <v>42778</v>
      </c>
      <c r="C1483" s="11" t="s">
        <v>3461</v>
      </c>
      <c r="D1483" s="11" t="s">
        <v>3382</v>
      </c>
      <c r="E1483" s="5">
        <v>42959</v>
      </c>
      <c r="F1483" s="1" t="s">
        <v>49</v>
      </c>
      <c r="G1483" s="1" t="s">
        <v>1239</v>
      </c>
      <c r="H1483" s="1" t="s">
        <v>3621</v>
      </c>
      <c r="I1483" s="1" t="s">
        <v>3604</v>
      </c>
      <c r="J1483" s="1"/>
      <c r="K1483" s="1" t="s">
        <v>29</v>
      </c>
      <c r="L1483" s="1" t="s">
        <v>30</v>
      </c>
      <c r="M1483" s="1" t="s">
        <v>110</v>
      </c>
      <c r="N1483" s="1" t="s">
        <v>68</v>
      </c>
      <c r="O1483" s="1">
        <v>94122</v>
      </c>
      <c r="P1483" s="1" t="s">
        <v>44</v>
      </c>
      <c r="Q1483" s="1" t="s">
        <v>3304</v>
      </c>
      <c r="R1483" s="1" t="s">
        <v>46</v>
      </c>
      <c r="S1483" s="7">
        <v>33.869999999999997</v>
      </c>
      <c r="T1483" s="1">
        <v>9</v>
      </c>
      <c r="U1483" s="9">
        <v>33.86</v>
      </c>
      <c r="V1483" s="9">
        <v>304.83</v>
      </c>
      <c r="W1483" s="9">
        <v>304.74</v>
      </c>
      <c r="X1483" s="12">
        <v>8.9999999999974989E-2</v>
      </c>
      <c r="Y1483" s="10">
        <v>2017</v>
      </c>
    </row>
    <row r="1484" spans="1:25">
      <c r="A1484" s="1" t="s">
        <v>3305</v>
      </c>
      <c r="B1484" s="8">
        <v>43337</v>
      </c>
      <c r="C1484" s="11" t="s">
        <v>3344</v>
      </c>
      <c r="D1484" s="11" t="s">
        <v>3345</v>
      </c>
      <c r="E1484" s="5" t="s">
        <v>2111</v>
      </c>
      <c r="F1484" s="1" t="s">
        <v>26</v>
      </c>
      <c r="G1484" s="1" t="s">
        <v>2628</v>
      </c>
      <c r="H1484" s="1" t="s">
        <v>3587</v>
      </c>
      <c r="I1484" s="1" t="s">
        <v>3673</v>
      </c>
      <c r="J1484" s="1"/>
      <c r="K1484" s="1" t="s">
        <v>29</v>
      </c>
      <c r="L1484" s="1" t="s">
        <v>30</v>
      </c>
      <c r="M1484" s="1" t="s">
        <v>281</v>
      </c>
      <c r="N1484" s="1" t="s">
        <v>287</v>
      </c>
      <c r="O1484" s="1">
        <v>38301</v>
      </c>
      <c r="P1484" s="1" t="s">
        <v>33</v>
      </c>
      <c r="Q1484" s="1" t="s">
        <v>1539</v>
      </c>
      <c r="R1484" s="1" t="s">
        <v>46</v>
      </c>
      <c r="S1484" s="7">
        <v>9.7279999999999998</v>
      </c>
      <c r="T1484" s="1">
        <v>3</v>
      </c>
      <c r="U1484" s="9">
        <v>9.14</v>
      </c>
      <c r="V1484" s="9">
        <v>29.183999999999997</v>
      </c>
      <c r="W1484" s="9">
        <v>27.42</v>
      </c>
      <c r="X1484" s="12">
        <v>1.7639999999999958</v>
      </c>
      <c r="Y1484" s="10">
        <v>2018</v>
      </c>
    </row>
    <row r="1485" spans="1:25">
      <c r="A1485" s="1" t="s">
        <v>3305</v>
      </c>
      <c r="B1485" s="8">
        <v>43337</v>
      </c>
      <c r="C1485" s="11" t="s">
        <v>3344</v>
      </c>
      <c r="D1485" s="11" t="s">
        <v>3345</v>
      </c>
      <c r="E1485" s="5" t="s">
        <v>2111</v>
      </c>
      <c r="F1485" s="1" t="s">
        <v>26</v>
      </c>
      <c r="G1485" s="1" t="s">
        <v>2628</v>
      </c>
      <c r="H1485" s="1" t="s">
        <v>3587</v>
      </c>
      <c r="I1485" s="1" t="s">
        <v>3673</v>
      </c>
      <c r="J1485" s="1"/>
      <c r="K1485" s="1" t="s">
        <v>29</v>
      </c>
      <c r="L1485" s="1" t="s">
        <v>30</v>
      </c>
      <c r="M1485" s="1" t="s">
        <v>281</v>
      </c>
      <c r="N1485" s="1" t="s">
        <v>287</v>
      </c>
      <c r="O1485" s="1">
        <v>38301</v>
      </c>
      <c r="P1485" s="1" t="s">
        <v>33</v>
      </c>
      <c r="Q1485" s="1" t="s">
        <v>3306</v>
      </c>
      <c r="R1485" s="1" t="s">
        <v>46</v>
      </c>
      <c r="S1485" s="7">
        <v>3.4239999999999999</v>
      </c>
      <c r="T1485" s="1">
        <v>3</v>
      </c>
      <c r="U1485" s="9">
        <v>3.15</v>
      </c>
      <c r="V1485" s="9">
        <v>10.272</v>
      </c>
      <c r="W1485" s="9">
        <v>9.4499999999999993</v>
      </c>
      <c r="X1485" s="12">
        <v>0.82200000000000095</v>
      </c>
      <c r="Y1485" s="10">
        <v>2018</v>
      </c>
    </row>
    <row r="1486" spans="1:25">
      <c r="A1486" s="1" t="s">
        <v>3307</v>
      </c>
      <c r="B1486" s="8">
        <v>43022</v>
      </c>
      <c r="C1486" s="11" t="s">
        <v>3387</v>
      </c>
      <c r="D1486" s="11" t="s">
        <v>3349</v>
      </c>
      <c r="E1486" s="5" t="s">
        <v>3308</v>
      </c>
      <c r="F1486" s="1" t="s">
        <v>49</v>
      </c>
      <c r="G1486" s="1" t="s">
        <v>1967</v>
      </c>
      <c r="H1486" s="1" t="s">
        <v>3562</v>
      </c>
      <c r="I1486" s="1" t="s">
        <v>3695</v>
      </c>
      <c r="J1486" s="1"/>
      <c r="K1486" s="1" t="s">
        <v>41</v>
      </c>
      <c r="L1486" s="1" t="s">
        <v>30</v>
      </c>
      <c r="M1486" s="1" t="s">
        <v>80</v>
      </c>
      <c r="N1486" s="1" t="s">
        <v>81</v>
      </c>
      <c r="O1486" s="1">
        <v>98115</v>
      </c>
      <c r="P1486" s="1" t="s">
        <v>44</v>
      </c>
      <c r="Q1486" s="1" t="s">
        <v>3309</v>
      </c>
      <c r="R1486" s="1" t="s">
        <v>64</v>
      </c>
      <c r="S1486" s="7">
        <v>177</v>
      </c>
      <c r="T1486" s="1">
        <v>9</v>
      </c>
      <c r="U1486" s="9">
        <v>176.13</v>
      </c>
      <c r="V1486" s="9">
        <v>1593</v>
      </c>
      <c r="W1486" s="9">
        <v>1585.17</v>
      </c>
      <c r="X1486" s="12">
        <v>7.8299999999999272</v>
      </c>
      <c r="Y1486" s="10">
        <v>2017</v>
      </c>
    </row>
    <row r="1487" spans="1:25">
      <c r="A1487" s="1" t="s">
        <v>3310</v>
      </c>
      <c r="B1487" s="8">
        <v>42335</v>
      </c>
      <c r="C1487" s="11" t="s">
        <v>3353</v>
      </c>
      <c r="D1487" s="11" t="s">
        <v>3349</v>
      </c>
      <c r="E1487" s="5">
        <v>42075</v>
      </c>
      <c r="F1487" s="1" t="s">
        <v>49</v>
      </c>
      <c r="G1487" s="1" t="s">
        <v>3311</v>
      </c>
      <c r="H1487" s="1" t="s">
        <v>3997</v>
      </c>
      <c r="I1487" s="1" t="s">
        <v>3998</v>
      </c>
      <c r="J1487" s="1"/>
      <c r="K1487" s="1" t="s">
        <v>29</v>
      </c>
      <c r="L1487" s="1" t="s">
        <v>30</v>
      </c>
      <c r="M1487" s="1" t="s">
        <v>233</v>
      </c>
      <c r="N1487" s="1" t="s">
        <v>234</v>
      </c>
      <c r="O1487" s="1">
        <v>10035</v>
      </c>
      <c r="P1487" s="1" t="s">
        <v>128</v>
      </c>
      <c r="Q1487" s="1" t="s">
        <v>3313</v>
      </c>
      <c r="R1487" s="1" t="s">
        <v>46</v>
      </c>
      <c r="S1487" s="7">
        <v>3.76</v>
      </c>
      <c r="T1487" s="1">
        <v>1</v>
      </c>
      <c r="U1487" s="9">
        <v>3.06</v>
      </c>
      <c r="V1487" s="9">
        <v>3.76</v>
      </c>
      <c r="W1487" s="9">
        <v>3.06</v>
      </c>
      <c r="X1487" s="12">
        <v>0.69999999999999973</v>
      </c>
      <c r="Y1487" s="10">
        <v>2015</v>
      </c>
    </row>
    <row r="1488" spans="1:25">
      <c r="A1488" s="1" t="s">
        <v>3314</v>
      </c>
      <c r="B1488" s="8">
        <v>42440</v>
      </c>
      <c r="C1488" s="11" t="s">
        <v>3429</v>
      </c>
      <c r="D1488" s="11" t="s">
        <v>3382</v>
      </c>
      <c r="E1488" s="5">
        <v>42562</v>
      </c>
      <c r="F1488" s="1" t="s">
        <v>49</v>
      </c>
      <c r="G1488" s="1" t="s">
        <v>3315</v>
      </c>
      <c r="H1488" s="1" t="s">
        <v>3999</v>
      </c>
      <c r="I1488" s="1" t="s">
        <v>4000</v>
      </c>
      <c r="J1488" s="1"/>
      <c r="K1488" s="1" t="s">
        <v>87</v>
      </c>
      <c r="L1488" s="1" t="s">
        <v>30</v>
      </c>
      <c r="M1488" s="1" t="s">
        <v>42</v>
      </c>
      <c r="N1488" s="1" t="s">
        <v>68</v>
      </c>
      <c r="O1488" s="1">
        <v>90008</v>
      </c>
      <c r="P1488" s="1" t="s">
        <v>44</v>
      </c>
      <c r="Q1488" s="1" t="s">
        <v>3317</v>
      </c>
      <c r="R1488" s="1" t="s">
        <v>64</v>
      </c>
      <c r="S1488" s="7">
        <v>1212.848</v>
      </c>
      <c r="T1488" s="1">
        <v>9</v>
      </c>
      <c r="U1488" s="9">
        <v>1212.8</v>
      </c>
      <c r="V1488" s="9">
        <v>10915.632</v>
      </c>
      <c r="W1488" s="9">
        <v>10915.199999999999</v>
      </c>
      <c r="X1488" s="12">
        <v>0.43200000000069849</v>
      </c>
      <c r="Y1488" s="10">
        <v>2016</v>
      </c>
    </row>
    <row r="1489" spans="1:25">
      <c r="A1489" s="1" t="s">
        <v>3314</v>
      </c>
      <c r="B1489" s="8">
        <v>42440</v>
      </c>
      <c r="C1489" s="11" t="s">
        <v>3429</v>
      </c>
      <c r="D1489" s="11" t="s">
        <v>3382</v>
      </c>
      <c r="E1489" s="5">
        <v>42562</v>
      </c>
      <c r="F1489" s="1" t="s">
        <v>49</v>
      </c>
      <c r="G1489" s="1" t="s">
        <v>3315</v>
      </c>
      <c r="H1489" s="1" t="s">
        <v>3999</v>
      </c>
      <c r="I1489" s="1" t="s">
        <v>4000</v>
      </c>
      <c r="J1489" s="1"/>
      <c r="K1489" s="1" t="s">
        <v>87</v>
      </c>
      <c r="L1489" s="1" t="s">
        <v>30</v>
      </c>
      <c r="M1489" s="1" t="s">
        <v>42</v>
      </c>
      <c r="N1489" s="1" t="s">
        <v>68</v>
      </c>
      <c r="O1489" s="1">
        <v>90008</v>
      </c>
      <c r="P1489" s="1" t="s">
        <v>44</v>
      </c>
      <c r="Q1489" s="1" t="s">
        <v>3318</v>
      </c>
      <c r="R1489" s="1" t="s">
        <v>64</v>
      </c>
      <c r="S1489" s="7">
        <v>89.97</v>
      </c>
      <c r="T1489" s="1">
        <v>9</v>
      </c>
      <c r="U1489" s="9">
        <v>89.31</v>
      </c>
      <c r="V1489" s="9">
        <v>809.73</v>
      </c>
      <c r="W1489" s="9">
        <v>803.79</v>
      </c>
      <c r="X1489" s="12">
        <v>5.9400000000000546</v>
      </c>
      <c r="Y1489" s="10">
        <v>2016</v>
      </c>
    </row>
    <row r="1490" spans="1:25">
      <c r="A1490" s="1" t="s">
        <v>3314</v>
      </c>
      <c r="B1490" s="8">
        <v>42440</v>
      </c>
      <c r="C1490" s="11" t="s">
        <v>3429</v>
      </c>
      <c r="D1490" s="11" t="s">
        <v>3382</v>
      </c>
      <c r="E1490" s="5">
        <v>42562</v>
      </c>
      <c r="F1490" s="1" t="s">
        <v>49</v>
      </c>
      <c r="G1490" s="1" t="s">
        <v>3315</v>
      </c>
      <c r="H1490" s="1" t="s">
        <v>3999</v>
      </c>
      <c r="I1490" s="1" t="s">
        <v>4000</v>
      </c>
      <c r="J1490" s="1"/>
      <c r="K1490" s="1" t="s">
        <v>87</v>
      </c>
      <c r="L1490" s="1" t="s">
        <v>30</v>
      </c>
      <c r="M1490" s="1" t="s">
        <v>42</v>
      </c>
      <c r="N1490" s="1" t="s">
        <v>68</v>
      </c>
      <c r="O1490" s="1">
        <v>90008</v>
      </c>
      <c r="P1490" s="1" t="s">
        <v>44</v>
      </c>
      <c r="Q1490" s="1" t="s">
        <v>1216</v>
      </c>
      <c r="R1490" s="1" t="s">
        <v>35</v>
      </c>
      <c r="S1490" s="7">
        <v>42.6</v>
      </c>
      <c r="T1490" s="1">
        <v>9</v>
      </c>
      <c r="U1490" s="9">
        <v>41.61</v>
      </c>
      <c r="V1490" s="9">
        <v>383.40000000000003</v>
      </c>
      <c r="W1490" s="9">
        <v>374.49</v>
      </c>
      <c r="X1490" s="12">
        <v>8.910000000000025</v>
      </c>
      <c r="Y1490" s="10">
        <v>2016</v>
      </c>
    </row>
    <row r="1491" spans="1:25">
      <c r="A1491" s="1" t="s">
        <v>3319</v>
      </c>
      <c r="B1491" s="8">
        <v>42337</v>
      </c>
      <c r="C1491" s="11" t="s">
        <v>3353</v>
      </c>
      <c r="D1491" s="11" t="s">
        <v>3349</v>
      </c>
      <c r="E1491" s="5">
        <v>42167</v>
      </c>
      <c r="F1491" s="1" t="s">
        <v>49</v>
      </c>
      <c r="G1491" s="1" t="s">
        <v>3320</v>
      </c>
      <c r="H1491" s="1" t="s">
        <v>3322</v>
      </c>
      <c r="I1491" s="1" t="s">
        <v>3323</v>
      </c>
      <c r="J1491" s="1"/>
      <c r="K1491" s="1" t="s">
        <v>29</v>
      </c>
      <c r="L1491" s="1" t="s">
        <v>30</v>
      </c>
      <c r="M1491" s="1" t="s">
        <v>126</v>
      </c>
      <c r="N1491" s="1" t="s">
        <v>127</v>
      </c>
      <c r="O1491" s="1">
        <v>19143</v>
      </c>
      <c r="P1491" s="1" t="s">
        <v>128</v>
      </c>
      <c r="Q1491" s="1" t="s">
        <v>2647</v>
      </c>
      <c r="R1491" s="1" t="s">
        <v>46</v>
      </c>
      <c r="S1491" s="7">
        <v>5.04</v>
      </c>
      <c r="T1491" s="1">
        <v>1</v>
      </c>
      <c r="U1491" s="9">
        <v>4.8899999999999997</v>
      </c>
      <c r="V1491" s="9">
        <v>5.04</v>
      </c>
      <c r="W1491" s="9">
        <v>4.8899999999999997</v>
      </c>
      <c r="X1491" s="12">
        <v>0.15000000000000036</v>
      </c>
      <c r="Y1491" s="10">
        <v>2015</v>
      </c>
    </row>
    <row r="1492" spans="1:25">
      <c r="A1492" s="1" t="s">
        <v>3324</v>
      </c>
      <c r="B1492" s="8">
        <v>43220</v>
      </c>
      <c r="C1492" s="11" t="s">
        <v>3359</v>
      </c>
      <c r="D1492" s="11" t="s">
        <v>3360</v>
      </c>
      <c r="E1492" s="5">
        <v>43225</v>
      </c>
      <c r="F1492" s="1" t="s">
        <v>26</v>
      </c>
      <c r="G1492" s="1" t="s">
        <v>2693</v>
      </c>
      <c r="H1492" s="1" t="s">
        <v>3921</v>
      </c>
      <c r="I1492" s="1" t="s">
        <v>3922</v>
      </c>
      <c r="J1492" s="1"/>
      <c r="K1492" s="1" t="s">
        <v>41</v>
      </c>
      <c r="L1492" s="1" t="s">
        <v>30</v>
      </c>
      <c r="M1492" s="1" t="s">
        <v>233</v>
      </c>
      <c r="N1492" s="1" t="s">
        <v>234</v>
      </c>
      <c r="O1492" s="1">
        <v>10024</v>
      </c>
      <c r="P1492" s="1" t="s">
        <v>128</v>
      </c>
      <c r="Q1492" s="1" t="s">
        <v>173</v>
      </c>
      <c r="R1492" s="1" t="s">
        <v>46</v>
      </c>
      <c r="S1492" s="7">
        <v>62.96</v>
      </c>
      <c r="T1492" s="1">
        <v>1</v>
      </c>
      <c r="U1492" s="9">
        <v>62.24</v>
      </c>
      <c r="V1492" s="9">
        <v>62.96</v>
      </c>
      <c r="W1492" s="9">
        <v>62.24</v>
      </c>
      <c r="X1492" s="12">
        <v>0.71999999999999886</v>
      </c>
      <c r="Y1492" s="10">
        <v>2018</v>
      </c>
    </row>
    <row r="1493" spans="1:25">
      <c r="A1493" s="1" t="s">
        <v>3325</v>
      </c>
      <c r="B1493" s="8">
        <v>43428</v>
      </c>
      <c r="C1493" s="11" t="s">
        <v>3353</v>
      </c>
      <c r="D1493" s="11" t="s">
        <v>3349</v>
      </c>
      <c r="E1493" s="5" t="s">
        <v>391</v>
      </c>
      <c r="F1493" s="1" t="s">
        <v>49</v>
      </c>
      <c r="G1493" s="1" t="s">
        <v>3326</v>
      </c>
      <c r="H1493" s="1" t="s">
        <v>3952</v>
      </c>
      <c r="I1493" s="1" t="s">
        <v>4001</v>
      </c>
      <c r="J1493" s="1"/>
      <c r="K1493" s="1" t="s">
        <v>41</v>
      </c>
      <c r="L1493" s="1" t="s">
        <v>30</v>
      </c>
      <c r="M1493" s="1" t="s">
        <v>233</v>
      </c>
      <c r="N1493" s="1" t="s">
        <v>234</v>
      </c>
      <c r="O1493" s="1">
        <v>10035</v>
      </c>
      <c r="P1493" s="1" t="s">
        <v>128</v>
      </c>
      <c r="Q1493" s="1" t="s">
        <v>3328</v>
      </c>
      <c r="R1493" s="1" t="s">
        <v>46</v>
      </c>
      <c r="S1493" s="7">
        <v>5.88</v>
      </c>
      <c r="T1493" s="1">
        <v>1</v>
      </c>
      <c r="U1493" s="9">
        <v>5.88</v>
      </c>
      <c r="V1493" s="9">
        <v>5.88</v>
      </c>
      <c r="W1493" s="9">
        <v>5.88</v>
      </c>
      <c r="X1493" s="12">
        <v>0</v>
      </c>
      <c r="Y1493" s="10">
        <v>2018</v>
      </c>
    </row>
    <row r="1494" spans="1:25">
      <c r="A1494" s="1" t="s">
        <v>3325</v>
      </c>
      <c r="B1494" s="8">
        <v>43428</v>
      </c>
      <c r="C1494" s="11" t="s">
        <v>3353</v>
      </c>
      <c r="D1494" s="11" t="s">
        <v>3349</v>
      </c>
      <c r="E1494" s="5" t="s">
        <v>391</v>
      </c>
      <c r="F1494" s="1" t="s">
        <v>49</v>
      </c>
      <c r="G1494" s="1" t="s">
        <v>3326</v>
      </c>
      <c r="H1494" s="1" t="s">
        <v>3952</v>
      </c>
      <c r="I1494" s="1" t="s">
        <v>4001</v>
      </c>
      <c r="J1494" s="1"/>
      <c r="K1494" s="1" t="s">
        <v>41</v>
      </c>
      <c r="L1494" s="1" t="s">
        <v>30</v>
      </c>
      <c r="M1494" s="1" t="s">
        <v>233</v>
      </c>
      <c r="N1494" s="1" t="s">
        <v>234</v>
      </c>
      <c r="O1494" s="1">
        <v>10035</v>
      </c>
      <c r="P1494" s="1" t="s">
        <v>128</v>
      </c>
      <c r="Q1494" s="1" t="s">
        <v>1041</v>
      </c>
      <c r="R1494" s="1" t="s">
        <v>35</v>
      </c>
      <c r="S1494" s="7">
        <v>977.29200000000003</v>
      </c>
      <c r="T1494" s="1">
        <v>1</v>
      </c>
      <c r="U1494" s="9">
        <v>977.05</v>
      </c>
      <c r="V1494" s="9">
        <v>977.29200000000003</v>
      </c>
      <c r="W1494" s="9">
        <v>977.05</v>
      </c>
      <c r="X1494" s="12">
        <v>0.24200000000007549</v>
      </c>
      <c r="Y1494" s="10">
        <v>2018</v>
      </c>
    </row>
    <row r="1495" spans="1:25">
      <c r="A1495" s="1" t="s">
        <v>3329</v>
      </c>
      <c r="B1495" s="8">
        <v>43403</v>
      </c>
      <c r="C1495" s="11" t="s">
        <v>3387</v>
      </c>
      <c r="D1495" s="11" t="s">
        <v>3349</v>
      </c>
      <c r="E1495" s="5">
        <v>43170</v>
      </c>
      <c r="F1495" s="1" t="s">
        <v>49</v>
      </c>
      <c r="G1495" s="1" t="s">
        <v>3330</v>
      </c>
      <c r="H1495" s="1" t="s">
        <v>4002</v>
      </c>
      <c r="I1495" s="1" t="s">
        <v>4003</v>
      </c>
      <c r="J1495" s="1"/>
      <c r="K1495" s="1" t="s">
        <v>41</v>
      </c>
      <c r="L1495" s="1" t="s">
        <v>30</v>
      </c>
      <c r="M1495" s="1" t="s">
        <v>1749</v>
      </c>
      <c r="N1495" s="1" t="s">
        <v>81</v>
      </c>
      <c r="O1495" s="1">
        <v>98661</v>
      </c>
      <c r="P1495" s="1" t="s">
        <v>44</v>
      </c>
      <c r="Q1495" s="1" t="s">
        <v>2464</v>
      </c>
      <c r="R1495" s="1" t="s">
        <v>35</v>
      </c>
      <c r="S1495" s="7">
        <v>9.64</v>
      </c>
      <c r="T1495" s="1">
        <v>9</v>
      </c>
      <c r="U1495" s="9">
        <v>8.9600000000000009</v>
      </c>
      <c r="V1495" s="9">
        <v>86.76</v>
      </c>
      <c r="W1495" s="9">
        <v>80.640000000000015</v>
      </c>
      <c r="X1495" s="12">
        <v>6.1199999999999903</v>
      </c>
      <c r="Y1495" s="10">
        <v>2018</v>
      </c>
    </row>
    <row r="1496" spans="1:25">
      <c r="A1496" s="1" t="s">
        <v>3332</v>
      </c>
      <c r="B1496" s="8">
        <v>42355</v>
      </c>
      <c r="C1496" s="11" t="s">
        <v>3348</v>
      </c>
      <c r="D1496" s="11" t="s">
        <v>3349</v>
      </c>
      <c r="E1496" s="5" t="s">
        <v>3333</v>
      </c>
      <c r="F1496" s="1" t="s">
        <v>26</v>
      </c>
      <c r="G1496" s="1" t="s">
        <v>1163</v>
      </c>
      <c r="H1496" s="1" t="s">
        <v>3557</v>
      </c>
      <c r="I1496" s="1" t="s">
        <v>3635</v>
      </c>
      <c r="J1496" s="1"/>
      <c r="K1496" s="1" t="s">
        <v>29</v>
      </c>
      <c r="L1496" s="1" t="s">
        <v>30</v>
      </c>
      <c r="M1496" s="1" t="s">
        <v>420</v>
      </c>
      <c r="N1496" s="1" t="s">
        <v>1035</v>
      </c>
      <c r="O1496" s="1">
        <v>31907</v>
      </c>
      <c r="P1496" s="1" t="s">
        <v>33</v>
      </c>
      <c r="Q1496" s="1" t="s">
        <v>2652</v>
      </c>
      <c r="R1496" s="1" t="s">
        <v>46</v>
      </c>
      <c r="S1496" s="7">
        <v>40.049999999999997</v>
      </c>
      <c r="T1496" s="1">
        <v>3</v>
      </c>
      <c r="U1496" s="9">
        <v>39.83</v>
      </c>
      <c r="V1496" s="9">
        <v>120.14999999999999</v>
      </c>
      <c r="W1496" s="9">
        <v>119.49</v>
      </c>
      <c r="X1496" s="12">
        <v>0.65999999999999659</v>
      </c>
      <c r="Y1496" s="10">
        <v>2015</v>
      </c>
    </row>
    <row r="1497" spans="1:25">
      <c r="A1497" s="1" t="s">
        <v>3334</v>
      </c>
      <c r="B1497" s="8">
        <v>43199</v>
      </c>
      <c r="C1497" s="11" t="s">
        <v>3359</v>
      </c>
      <c r="D1497" s="11" t="s">
        <v>3360</v>
      </c>
      <c r="E1497" s="5">
        <v>43321</v>
      </c>
      <c r="F1497" s="1" t="s">
        <v>49</v>
      </c>
      <c r="G1497" s="1" t="s">
        <v>3335</v>
      </c>
      <c r="H1497" s="1" t="s">
        <v>3589</v>
      </c>
      <c r="I1497" s="1" t="s">
        <v>4004</v>
      </c>
      <c r="J1497" s="1"/>
      <c r="K1497" s="1" t="s">
        <v>29</v>
      </c>
      <c r="L1497" s="1" t="s">
        <v>30</v>
      </c>
      <c r="M1497" s="1" t="s">
        <v>3337</v>
      </c>
      <c r="N1497" s="1" t="s">
        <v>89</v>
      </c>
      <c r="O1497" s="1">
        <v>75019</v>
      </c>
      <c r="P1497" s="1" t="s">
        <v>90</v>
      </c>
      <c r="Q1497" s="1" t="s">
        <v>2744</v>
      </c>
      <c r="R1497" s="1" t="s">
        <v>46</v>
      </c>
      <c r="S1497" s="7">
        <v>10.192</v>
      </c>
      <c r="T1497" s="1">
        <v>7</v>
      </c>
      <c r="U1497" s="9">
        <v>9.7899999999999991</v>
      </c>
      <c r="V1497" s="9">
        <v>71.343999999999994</v>
      </c>
      <c r="W1497" s="9">
        <v>68.53</v>
      </c>
      <c r="X1497" s="12">
        <v>2.813999999999993</v>
      </c>
      <c r="Y1497" s="10">
        <v>2018</v>
      </c>
    </row>
    <row r="1498" spans="1:25">
      <c r="A1498" s="1" t="s">
        <v>3334</v>
      </c>
      <c r="B1498" s="8">
        <v>43199</v>
      </c>
      <c r="C1498" s="11" t="s">
        <v>3359</v>
      </c>
      <c r="D1498" s="11" t="s">
        <v>3360</v>
      </c>
      <c r="E1498" s="5">
        <v>43321</v>
      </c>
      <c r="F1498" s="1" t="s">
        <v>49</v>
      </c>
      <c r="G1498" s="1" t="s">
        <v>3335</v>
      </c>
      <c r="H1498" s="1" t="s">
        <v>3589</v>
      </c>
      <c r="I1498" s="1" t="s">
        <v>4004</v>
      </c>
      <c r="J1498" s="1"/>
      <c r="K1498" s="1" t="s">
        <v>29</v>
      </c>
      <c r="L1498" s="1" t="s">
        <v>30</v>
      </c>
      <c r="M1498" s="1" t="s">
        <v>3337</v>
      </c>
      <c r="N1498" s="1" t="s">
        <v>89</v>
      </c>
      <c r="O1498" s="1">
        <v>75019</v>
      </c>
      <c r="P1498" s="1" t="s">
        <v>90</v>
      </c>
      <c r="Q1498" s="1" t="s">
        <v>3338</v>
      </c>
      <c r="R1498" s="1" t="s">
        <v>46</v>
      </c>
      <c r="S1498" s="7">
        <v>16.783999999999999</v>
      </c>
      <c r="T1498" s="1">
        <v>7</v>
      </c>
      <c r="U1498" s="9">
        <v>16.260000000000002</v>
      </c>
      <c r="V1498" s="9">
        <v>117.488</v>
      </c>
      <c r="W1498" s="9">
        <v>113.82000000000001</v>
      </c>
      <c r="X1498" s="12">
        <v>3.6679999999999922</v>
      </c>
      <c r="Y1498" s="10">
        <v>2018</v>
      </c>
    </row>
    <row r="1499" spans="1:25">
      <c r="A1499" s="1" t="s">
        <v>3334</v>
      </c>
      <c r="B1499" s="8">
        <v>43199</v>
      </c>
      <c r="C1499" s="11" t="s">
        <v>3359</v>
      </c>
      <c r="D1499" s="11" t="s">
        <v>3360</v>
      </c>
      <c r="E1499" s="5">
        <v>43321</v>
      </c>
      <c r="F1499" s="1" t="s">
        <v>49</v>
      </c>
      <c r="G1499" s="1" t="s">
        <v>3335</v>
      </c>
      <c r="H1499" s="1" t="s">
        <v>3589</v>
      </c>
      <c r="I1499" s="1" t="s">
        <v>4004</v>
      </c>
      <c r="J1499" s="1"/>
      <c r="K1499" s="1" t="s">
        <v>29</v>
      </c>
      <c r="L1499" s="1" t="s">
        <v>30</v>
      </c>
      <c r="M1499" s="1" t="s">
        <v>3337</v>
      </c>
      <c r="N1499" s="1" t="s">
        <v>89</v>
      </c>
      <c r="O1499" s="1">
        <v>75019</v>
      </c>
      <c r="P1499" s="1" t="s">
        <v>90</v>
      </c>
      <c r="Q1499" s="1" t="s">
        <v>598</v>
      </c>
      <c r="R1499" s="1" t="s">
        <v>46</v>
      </c>
      <c r="S1499" s="7">
        <v>13.12</v>
      </c>
      <c r="T1499" s="1">
        <v>7</v>
      </c>
      <c r="U1499" s="9">
        <v>12.32</v>
      </c>
      <c r="V1499" s="9">
        <v>91.839999999999989</v>
      </c>
      <c r="W1499" s="9">
        <v>86.240000000000009</v>
      </c>
      <c r="X1499" s="12">
        <v>5.5999999999999801</v>
      </c>
      <c r="Y1499" s="10">
        <v>2018</v>
      </c>
    </row>
    <row r="1500" spans="1:25">
      <c r="A1500" s="1" t="s">
        <v>3339</v>
      </c>
      <c r="B1500" s="8">
        <v>43025</v>
      </c>
      <c r="C1500" s="11" t="s">
        <v>3387</v>
      </c>
      <c r="D1500" s="11" t="s">
        <v>3349</v>
      </c>
      <c r="E1500" s="5" t="s">
        <v>3340</v>
      </c>
      <c r="F1500" s="1" t="s">
        <v>162</v>
      </c>
      <c r="G1500" s="1" t="s">
        <v>529</v>
      </c>
      <c r="H1500" s="1" t="s">
        <v>3492</v>
      </c>
      <c r="I1500" s="1" t="s">
        <v>3493</v>
      </c>
      <c r="J1500" s="1"/>
      <c r="K1500" s="1" t="s">
        <v>87</v>
      </c>
      <c r="L1500" s="1" t="s">
        <v>30</v>
      </c>
      <c r="M1500" s="1" t="s">
        <v>110</v>
      </c>
      <c r="N1500" s="1" t="s">
        <v>68</v>
      </c>
      <c r="O1500" s="1">
        <v>94122</v>
      </c>
      <c r="P1500" s="1" t="s">
        <v>44</v>
      </c>
      <c r="Q1500" s="1" t="s">
        <v>415</v>
      </c>
      <c r="R1500" s="1" t="s">
        <v>46</v>
      </c>
      <c r="S1500" s="7">
        <v>18.16</v>
      </c>
      <c r="T1500" s="1">
        <v>9</v>
      </c>
      <c r="U1500" s="9">
        <v>17.91</v>
      </c>
      <c r="V1500" s="9">
        <v>163.44</v>
      </c>
      <c r="W1500" s="9">
        <v>161.19</v>
      </c>
      <c r="X1500" s="12">
        <v>2.25</v>
      </c>
      <c r="Y1500" s="10">
        <v>2017</v>
      </c>
    </row>
    <row r="1501" spans="1:25">
      <c r="A1501" s="1" t="s">
        <v>3341</v>
      </c>
      <c r="B1501" s="8">
        <v>43445</v>
      </c>
      <c r="C1501" s="11" t="s">
        <v>3348</v>
      </c>
      <c r="D1501" s="11" t="s">
        <v>3349</v>
      </c>
      <c r="E1501" s="5" t="s">
        <v>3342</v>
      </c>
      <c r="F1501" s="1" t="s">
        <v>49</v>
      </c>
      <c r="G1501" s="1" t="s">
        <v>1110</v>
      </c>
      <c r="H1501" s="1" t="s">
        <v>3583</v>
      </c>
      <c r="I1501" s="1" t="s">
        <v>3620</v>
      </c>
      <c r="J1501" s="1"/>
      <c r="K1501" s="1" t="s">
        <v>29</v>
      </c>
      <c r="L1501" s="1" t="s">
        <v>30</v>
      </c>
      <c r="M1501" s="1" t="s">
        <v>1005</v>
      </c>
      <c r="N1501" s="1" t="s">
        <v>89</v>
      </c>
      <c r="O1501" s="1">
        <v>78745</v>
      </c>
      <c r="P1501" s="1" t="s">
        <v>90</v>
      </c>
      <c r="Q1501" s="1" t="s">
        <v>660</v>
      </c>
      <c r="R1501" s="1" t="s">
        <v>46</v>
      </c>
      <c r="S1501" s="7">
        <v>16.056000000000001</v>
      </c>
      <c r="T1501" s="1">
        <v>7</v>
      </c>
      <c r="U1501" s="9">
        <v>15.52</v>
      </c>
      <c r="V1501" s="9">
        <v>112.39200000000001</v>
      </c>
      <c r="W1501" s="9">
        <v>108.64</v>
      </c>
      <c r="X1501" s="12">
        <v>3.7520000000000095</v>
      </c>
      <c r="Y1501" s="10">
        <v>2018</v>
      </c>
    </row>
    <row r="1502" spans="1:25">
      <c r="A1502" s="1"/>
      <c r="B1502" s="8"/>
      <c r="C1502" s="11"/>
      <c r="D1502" s="11"/>
      <c r="E1502" s="5"/>
      <c r="F1502" s="1"/>
      <c r="G1502" s="1"/>
      <c r="H1502" s="1"/>
      <c r="I1502" s="1"/>
      <c r="J1502" s="1"/>
      <c r="K1502" s="1"/>
      <c r="L1502" s="1"/>
      <c r="M1502" s="1"/>
      <c r="N1502" s="1"/>
      <c r="O1502" s="1"/>
      <c r="P1502" s="1"/>
      <c r="Q1502" s="1"/>
      <c r="R1502" s="1"/>
      <c r="S1502" s="7"/>
      <c r="T1502" s="1"/>
      <c r="U1502" s="9"/>
      <c r="V1502" s="9">
        <f t="shared" ref="V1502:W1502" si="0">SUM(V2:V1501)</f>
        <v>1757028.994799997</v>
      </c>
      <c r="W1502" s="9">
        <f t="shared" si="0"/>
        <v>1753259.69</v>
      </c>
      <c r="X1502" s="12"/>
      <c r="Y1502" s="10"/>
    </row>
  </sheetData>
  <customSheetViews>
    <customSheetView guid="{FEC1F7F8-0211-4612-8028-A046D8C9CFE2}" filter="1" showAutoFilter="1">
      <pageMargins left="0.7" right="0.7" top="0.75" bottom="0.75" header="0.3" footer="0.3"/>
      <autoFilter ref="A1:X1501" xr:uid="{9C3D59AB-24B7-470B-872E-BEE6273868A8}"/>
    </customSheetView>
    <customSheetView guid="{FEC1F7F8-0211-4612-8028-A046D8C9CFE2}" filter="1" showAutoFilter="1">
      <pageMargins left="0.7" right="0.7" top="0.75" bottom="0.75" header="0.3" footer="0.3"/>
      <autoFilter ref="A1:X1501" xr:uid="{3D131D62-95E6-4DF1-A306-36351B90213C}"/>
    </customSheetView>
  </customSheetView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election activeCell="A4" sqref="A4"/>
    </sheetView>
  </sheetViews>
  <sheetFormatPr defaultColWidth="12.6640625" defaultRowHeight="15.75" customHeight="1"/>
  <cols>
    <col min="5" max="5" width="12.44140625" customWidth="1"/>
  </cols>
  <sheetData>
    <row r="1" spans="1:2" ht="15.75" customHeight="1">
      <c r="A1" s="13" t="s">
        <v>4005</v>
      </c>
    </row>
    <row r="2" spans="1:2">
      <c r="B2" s="9"/>
    </row>
    <row r="3" spans="1:2">
      <c r="B3" s="9"/>
    </row>
    <row r="4" spans="1:2">
      <c r="A4" s="1" t="str">
        <f ca="1">IFERROR(__xludf.DUMMYFUNCTION("QUERY(SalesData, ""SELECT R, SUM(S) GROUP BY R"", 1)"),"Category")</f>
        <v>Category</v>
      </c>
      <c r="B4" s="9" t="str">
        <f ca="1">IFERROR(__xludf.DUMMYFUNCTION("""COMPUTED_VALUE"""),"sum Sales")</f>
        <v>sum Sales</v>
      </c>
    </row>
    <row r="5" spans="1:2">
      <c r="A5" s="1" t="str">
        <f ca="1">IFERROR(__xludf.DUMMYFUNCTION("""COMPUTED_VALUE"""),"Furniture")</f>
        <v>Furniture</v>
      </c>
      <c r="B5" s="1">
        <f ca="1">IFERROR(__xludf.DUMMYFUNCTION("""COMPUTED_VALUE"""),120989.917399999)</f>
        <v>120989.917399999</v>
      </c>
    </row>
    <row r="6" spans="1:2">
      <c r="A6" s="1" t="str">
        <f ca="1">IFERROR(__xludf.DUMMYFUNCTION("""COMPUTED_VALUE"""),"Office Supplies")</f>
        <v>Office Supplies</v>
      </c>
      <c r="B6" s="1">
        <f ca="1">IFERROR(__xludf.DUMMYFUNCTION("""COMPUTED_VALUE"""),95079.1379999998)</f>
        <v>95079.137999999803</v>
      </c>
    </row>
    <row r="7" spans="1:2">
      <c r="A7" s="1" t="str">
        <f ca="1">IFERROR(__xludf.DUMMYFUNCTION("""COMPUTED_VALUE"""),"Technology")</f>
        <v>Technology</v>
      </c>
      <c r="B7" s="1">
        <f ca="1">IFERROR(__xludf.DUMMYFUNCTION("""COMPUTED_VALUE"""),133025.545999999)</f>
        <v>133025.54599999901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9"/>
  <sheetViews>
    <sheetView workbookViewId="0">
      <selection activeCell="A4" sqref="A4"/>
    </sheetView>
  </sheetViews>
  <sheetFormatPr defaultColWidth="12.6640625" defaultRowHeight="15.75" customHeight="1"/>
  <cols>
    <col min="1" max="1" width="13.77734375" customWidth="1"/>
    <col min="2" max="2" width="12" customWidth="1"/>
  </cols>
  <sheetData>
    <row r="1" spans="1:5" ht="15.75" customHeight="1">
      <c r="A1" s="13" t="s">
        <v>4006</v>
      </c>
    </row>
    <row r="2" spans="1:5">
      <c r="C2" s="9"/>
    </row>
    <row r="3" spans="1:5">
      <c r="C3" s="9"/>
    </row>
    <row r="4" spans="1:5">
      <c r="A4" s="14" t="str">
        <f ca="1">IFERROR(__xludf.DUMMYFUNCTION("QUERY(SalesData, ""SELECT H,I,X order by X desc Limit 5 "", 1)"),"First Name")</f>
        <v>First Name</v>
      </c>
      <c r="B4" s="1" t="str">
        <f ca="1">IFERROR(__xludf.DUMMYFUNCTION("""COMPUTED_VALUE"""),"Second Name")</f>
        <v>Second Name</v>
      </c>
      <c r="C4" s="9" t="str">
        <f ca="1">IFERROR(__xludf.DUMMYFUNCTION("""COMPUTED_VALUE"""),"Total Profit")</f>
        <v>Total Profit</v>
      </c>
      <c r="E4" s="14"/>
    </row>
    <row r="5" spans="1:5">
      <c r="A5" s="1" t="str">
        <f ca="1">IFERROR(__xludf.DUMMYFUNCTION("""COMPUTED_VALUE"""),"Anthony")</f>
        <v>Anthony</v>
      </c>
      <c r="B5" s="1" t="str">
        <f ca="1">IFERROR(__xludf.DUMMYFUNCTION("""COMPUTED_VALUE"""),"Rawles")</f>
        <v>Rawles</v>
      </c>
      <c r="C5" s="9">
        <f ca="1">IFERROR(__xludf.DUMMYFUNCTION("""COMPUTED_VALUE"""),9)</f>
        <v>9</v>
      </c>
    </row>
    <row r="6" spans="1:5">
      <c r="A6" s="1" t="str">
        <f ca="1">IFERROR(__xludf.DUMMYFUNCTION("""COMPUTED_VALUE"""),"Zuschuss")</f>
        <v>Zuschuss</v>
      </c>
      <c r="B6" s="1" t="str">
        <f ca="1">IFERROR(__xludf.DUMMYFUNCTION("""COMPUTED_VALUE"""),"Carroll")</f>
        <v>Carroll</v>
      </c>
      <c r="C6" s="9">
        <f ca="1">IFERROR(__xludf.DUMMYFUNCTION("""COMPUTED_VALUE"""),8.96399999999999)</f>
        <v>8.9639999999999898</v>
      </c>
    </row>
    <row r="7" spans="1:5">
      <c r="A7" s="1" t="str">
        <f ca="1">IFERROR(__xludf.DUMMYFUNCTION("""COMPUTED_VALUE"""),"Zuschuss")</f>
        <v>Zuschuss</v>
      </c>
      <c r="B7" s="1" t="str">
        <f ca="1">IFERROR(__xludf.DUMMYFUNCTION("""COMPUTED_VALUE"""),"Carroll")</f>
        <v>Carroll</v>
      </c>
      <c r="C7" s="12">
        <f ca="1">IFERROR(__xludf.DUMMYFUNCTION("""COMPUTED_VALUE"""),8.91000000000002)</f>
        <v>8.9100000000000197</v>
      </c>
    </row>
    <row r="8" spans="1:5">
      <c r="A8" s="1" t="str">
        <f ca="1">IFERROR(__xludf.DUMMYFUNCTION("""COMPUTED_VALUE"""),"Corinna")</f>
        <v>Corinna</v>
      </c>
      <c r="B8" s="1" t="str">
        <f ca="1">IFERROR(__xludf.DUMMYFUNCTION("""COMPUTED_VALUE"""),"Mitchell")</f>
        <v>Mitchell</v>
      </c>
      <c r="C8" s="12">
        <f ca="1">IFERROR(__xludf.DUMMYFUNCTION("""COMPUTED_VALUE"""),8.91000000000002)</f>
        <v>8.9100000000000197</v>
      </c>
    </row>
    <row r="9" spans="1:5">
      <c r="A9" s="1" t="str">
        <f ca="1">IFERROR(__xludf.DUMMYFUNCTION("""COMPUTED_VALUE"""),"Erica")</f>
        <v>Erica</v>
      </c>
      <c r="B9" s="1" t="str">
        <f ca="1">IFERROR(__xludf.DUMMYFUNCTION("""COMPUTED_VALUE"""),"Smith")</f>
        <v>Smith</v>
      </c>
      <c r="C9" s="12">
        <f ca="1">IFERROR(__xludf.DUMMYFUNCTION("""COMPUTED_VALUE"""),8.91000000000001)</f>
        <v>8.9100000000000108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7"/>
  <sheetViews>
    <sheetView workbookViewId="0">
      <selection activeCell="A4" sqref="A4"/>
    </sheetView>
  </sheetViews>
  <sheetFormatPr defaultColWidth="12.6640625" defaultRowHeight="15.75" customHeight="1"/>
  <cols>
    <col min="1" max="1" width="13.88671875" customWidth="1"/>
  </cols>
  <sheetData>
    <row r="1" spans="1:2" ht="15.75" customHeight="1">
      <c r="A1" s="13" t="s">
        <v>4007</v>
      </c>
    </row>
    <row r="2" spans="1:2">
      <c r="B2" s="15"/>
    </row>
    <row r="3" spans="1:2">
      <c r="B3" s="15"/>
    </row>
    <row r="4" spans="1:2">
      <c r="A4" s="1" t="str">
        <f ca="1">IFERROR(__xludf.DUMMYFUNCTION("QUERY(SalesData, ""SELECT K, avg(T)  GROUP BY K"", 1)"),"Segment")</f>
        <v>Segment</v>
      </c>
      <c r="B4" s="15" t="str">
        <f ca="1">IFERROR(__xludf.DUMMYFUNCTION("""COMPUTED_VALUE"""),"avg Quantity")</f>
        <v>avg Quantity</v>
      </c>
    </row>
    <row r="5" spans="1:2">
      <c r="A5" s="1" t="str">
        <f ca="1">IFERROR(__xludf.DUMMYFUNCTION("""COMPUTED_VALUE"""),"Consumer")</f>
        <v>Consumer</v>
      </c>
      <c r="B5" s="1">
        <f ca="1">IFERROR(__xludf.DUMMYFUNCTION("""COMPUTED_VALUE"""),5.25187969924812)</f>
        <v>5.2518796992481196</v>
      </c>
    </row>
    <row r="6" spans="1:2">
      <c r="A6" s="1" t="str">
        <f ca="1">IFERROR(__xludf.DUMMYFUNCTION("""COMPUTED_VALUE"""),"Corporate")</f>
        <v>Corporate</v>
      </c>
      <c r="B6" s="1">
        <f ca="1">IFERROR(__xludf.DUMMYFUNCTION("""COMPUTED_VALUE"""),5.12993039443155)</f>
        <v>5.1299303944315504</v>
      </c>
    </row>
    <row r="7" spans="1:2">
      <c r="A7" s="1" t="str">
        <f ca="1">IFERROR(__xludf.DUMMYFUNCTION("""COMPUTED_VALUE"""),"Home Office")</f>
        <v>Home Office</v>
      </c>
      <c r="B7" s="1">
        <f ca="1">IFERROR(__xludf.DUMMYFUNCTION("""COMPUTED_VALUE"""),4.45387453874538)</f>
        <v>4.4538745387453798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307"/>
  <sheetViews>
    <sheetView workbookViewId="0">
      <selection activeCell="A3" sqref="A3"/>
    </sheetView>
  </sheetViews>
  <sheetFormatPr defaultColWidth="12.6640625" defaultRowHeight="15.75" customHeight="1"/>
  <sheetData>
    <row r="1" spans="1:23" ht="15.75" customHeight="1">
      <c r="A1" s="13" t="s">
        <v>4008</v>
      </c>
    </row>
    <row r="3" spans="1:23">
      <c r="A3" s="1" t="str">
        <f ca="1">IFERROR(__xludf.DUMMYFUNCTION("QUERY(SalesData, ""SELECT A,B,C,D,E,F,G,H,I,J,K,L,M,N,O,P,Q,R,S,T,V,W,X  where F = 'Second Class' "",1)"),"Order ID")</f>
        <v>Order ID</v>
      </c>
      <c r="B3" s="1" t="str">
        <f ca="1">IFERROR(__xludf.DUMMYFUNCTION("""COMPUTED_VALUE"""),"Order Date")</f>
        <v>Order Date</v>
      </c>
      <c r="C3" s="1" t="str">
        <f ca="1">IFERROR(__xludf.DUMMYFUNCTION("""COMPUTED_VALUE"""),"Month")</f>
        <v>Month</v>
      </c>
      <c r="D3" s="1" t="str">
        <f ca="1">IFERROR(__xludf.DUMMYFUNCTION("""COMPUTED_VALUE"""),"Qtr")</f>
        <v>Qtr</v>
      </c>
      <c r="E3" s="1" t="str">
        <f ca="1">IFERROR(__xludf.DUMMYFUNCTION("""COMPUTED_VALUE"""),"Ship Date")</f>
        <v>Ship Date</v>
      </c>
      <c r="F3" s="1" t="str">
        <f ca="1">IFERROR(__xludf.DUMMYFUNCTION("""COMPUTED_VALUE"""),"Ship Mode")</f>
        <v>Ship Mode</v>
      </c>
      <c r="G3" s="1" t="str">
        <f ca="1">IFERROR(__xludf.DUMMYFUNCTION("""COMPUTED_VALUE"""),"Customer ID")</f>
        <v>Customer ID</v>
      </c>
      <c r="H3" s="1" t="str">
        <f ca="1">IFERROR(__xludf.DUMMYFUNCTION("""COMPUTED_VALUE"""),"First Name")</f>
        <v>First Name</v>
      </c>
      <c r="I3" s="1" t="str">
        <f ca="1">IFERROR(__xludf.DUMMYFUNCTION("""COMPUTED_VALUE"""),"Second Name")</f>
        <v>Second Name</v>
      </c>
      <c r="J3" s="1" t="str">
        <f ca="1">IFERROR(__xludf.DUMMYFUNCTION("""COMPUTED_VALUE"""),"")</f>
        <v/>
      </c>
      <c r="K3" s="1" t="str">
        <f ca="1">IFERROR(__xludf.DUMMYFUNCTION("""COMPUTED_VALUE"""),"Segment")</f>
        <v>Segment</v>
      </c>
      <c r="L3" s="1" t="str">
        <f ca="1">IFERROR(__xludf.DUMMYFUNCTION("""COMPUTED_VALUE"""),"Country")</f>
        <v>Country</v>
      </c>
      <c r="M3" s="1" t="str">
        <f ca="1">IFERROR(__xludf.DUMMYFUNCTION("""COMPUTED_VALUE"""),"City")</f>
        <v>City</v>
      </c>
      <c r="N3" s="1" t="str">
        <f ca="1">IFERROR(__xludf.DUMMYFUNCTION("""COMPUTED_VALUE"""),"State")</f>
        <v>State</v>
      </c>
      <c r="O3" s="1" t="str">
        <f ca="1">IFERROR(__xludf.DUMMYFUNCTION("""COMPUTED_VALUE"""),"Postal Code")</f>
        <v>Postal Code</v>
      </c>
      <c r="P3" s="1" t="str">
        <f ca="1">IFERROR(__xludf.DUMMYFUNCTION("""COMPUTED_VALUE"""),"Region")</f>
        <v>Region</v>
      </c>
      <c r="Q3" s="1" t="str">
        <f ca="1">IFERROR(__xludf.DUMMYFUNCTION("""COMPUTED_VALUE"""),"Product ID")</f>
        <v>Product ID</v>
      </c>
      <c r="R3" s="1" t="str">
        <f ca="1">IFERROR(__xludf.DUMMYFUNCTION("""COMPUTED_VALUE"""),"Category")</f>
        <v>Category</v>
      </c>
      <c r="S3" s="1" t="str">
        <f ca="1">IFERROR(__xludf.DUMMYFUNCTION("""COMPUTED_VALUE"""),"Sales")</f>
        <v>Sales</v>
      </c>
      <c r="T3" s="1" t="str">
        <f ca="1">IFERROR(__xludf.DUMMYFUNCTION("""COMPUTED_VALUE"""),"Quantity")</f>
        <v>Quantity</v>
      </c>
      <c r="U3" s="1" t="str">
        <f ca="1">IFERROR(__xludf.DUMMYFUNCTION("""COMPUTED_VALUE"""),"Total Sales")</f>
        <v>Total Sales</v>
      </c>
      <c r="V3" s="1" t="str">
        <f ca="1">IFERROR(__xludf.DUMMYFUNCTION("""COMPUTED_VALUE"""),"Total Costs")</f>
        <v>Total Costs</v>
      </c>
      <c r="W3" s="1" t="str">
        <f ca="1">IFERROR(__xludf.DUMMYFUNCTION("""COMPUTED_VALUE"""),"Total Profit")</f>
        <v>Total Profit</v>
      </c>
    </row>
    <row r="4" spans="1:23">
      <c r="A4" s="1" t="str">
        <f ca="1">IFERROR(__xludf.DUMMYFUNCTION("""COMPUTED_VALUE"""),"CA-2017-152156")</f>
        <v>CA-2017-152156</v>
      </c>
      <c r="B4" s="8">
        <f ca="1">IFERROR(__xludf.DUMMYFUNCTION("""COMPUTED_VALUE"""),42958)</f>
        <v>42958</v>
      </c>
      <c r="C4" s="1" t="str">
        <f ca="1">IFERROR(__xludf.DUMMYFUNCTION("""COMPUTED_VALUE"""),"Aug")</f>
        <v>Aug</v>
      </c>
      <c r="D4" s="1" t="str">
        <f ca="1">IFERROR(__xludf.DUMMYFUNCTION("""COMPUTED_VALUE"""),"Qtr 3")</f>
        <v>Qtr 3</v>
      </c>
      <c r="E4" s="1" t="str">
        <f ca="1">IFERROR(__xludf.DUMMYFUNCTION("""COMPUTED_VALUE"""),"11/11/2017")</f>
        <v>11/11/2017</v>
      </c>
      <c r="F4" s="1" t="str">
        <f ca="1">IFERROR(__xludf.DUMMYFUNCTION("""COMPUTED_VALUE"""),"Second Class")</f>
        <v>Second Class</v>
      </c>
      <c r="G4" s="1" t="str">
        <f ca="1">IFERROR(__xludf.DUMMYFUNCTION("""COMPUTED_VALUE"""),"CG-12520")</f>
        <v>CG-12520</v>
      </c>
      <c r="H4" s="1" t="str">
        <f ca="1">IFERROR(__xludf.DUMMYFUNCTION("""COMPUTED_VALUE"""),"Claire")</f>
        <v>Claire</v>
      </c>
      <c r="I4" s="1" t="str">
        <f ca="1">IFERROR(__xludf.DUMMYFUNCTION("""COMPUTED_VALUE"""),"Gute")</f>
        <v>Gute</v>
      </c>
      <c r="J4" s="1"/>
      <c r="K4" s="1" t="str">
        <f ca="1">IFERROR(__xludf.DUMMYFUNCTION("""COMPUTED_VALUE"""),"Consumer")</f>
        <v>Consumer</v>
      </c>
      <c r="L4" s="1" t="str">
        <f ca="1">IFERROR(__xludf.DUMMYFUNCTION("""COMPUTED_VALUE"""),"United States")</f>
        <v>United States</v>
      </c>
      <c r="M4" s="1" t="str">
        <f ca="1">IFERROR(__xludf.DUMMYFUNCTION("""COMPUTED_VALUE"""),"Henderson")</f>
        <v>Henderson</v>
      </c>
      <c r="N4" s="1" t="str">
        <f ca="1">IFERROR(__xludf.DUMMYFUNCTION("""COMPUTED_VALUE"""),"Kentucky")</f>
        <v>Kentucky</v>
      </c>
      <c r="O4" s="1">
        <f ca="1">IFERROR(__xludf.DUMMYFUNCTION("""COMPUTED_VALUE"""),42420)</f>
        <v>42420</v>
      </c>
      <c r="P4" s="1" t="str">
        <f ca="1">IFERROR(__xludf.DUMMYFUNCTION("""COMPUTED_VALUE"""),"South")</f>
        <v>South</v>
      </c>
      <c r="Q4" s="1" t="str">
        <f ca="1">IFERROR(__xludf.DUMMYFUNCTION("""COMPUTED_VALUE"""),"FUR-BO-10001798")</f>
        <v>FUR-BO-10001798</v>
      </c>
      <c r="R4" s="1" t="str">
        <f ca="1">IFERROR(__xludf.DUMMYFUNCTION("""COMPUTED_VALUE"""),"Furniture")</f>
        <v>Furniture</v>
      </c>
      <c r="S4" s="7">
        <f ca="1">IFERROR(__xludf.DUMMYFUNCTION("""COMPUTED_VALUE"""),261.96)</f>
        <v>261.95999999999998</v>
      </c>
      <c r="T4" s="1">
        <f ca="1">IFERROR(__xludf.DUMMYFUNCTION("""COMPUTED_VALUE"""),4)</f>
        <v>4</v>
      </c>
      <c r="U4" s="9">
        <f ca="1">IFERROR(__xludf.DUMMYFUNCTION("""COMPUTED_VALUE"""),1047.84)</f>
        <v>1047.8399999999999</v>
      </c>
      <c r="V4" s="9">
        <f ca="1">IFERROR(__xludf.DUMMYFUNCTION("""COMPUTED_VALUE"""),1045.04)</f>
        <v>1045.04</v>
      </c>
      <c r="W4" s="12">
        <f ca="1">IFERROR(__xludf.DUMMYFUNCTION("""COMPUTED_VALUE"""),2.79999999999995)</f>
        <v>2.7999999999999501</v>
      </c>
    </row>
    <row r="5" spans="1:23">
      <c r="A5" s="1" t="str">
        <f ca="1">IFERROR(__xludf.DUMMYFUNCTION("""COMPUTED_VALUE"""),"CA-2017-152156")</f>
        <v>CA-2017-152156</v>
      </c>
      <c r="B5" s="8">
        <f ca="1">IFERROR(__xludf.DUMMYFUNCTION("""COMPUTED_VALUE"""),42958)</f>
        <v>42958</v>
      </c>
      <c r="C5" s="1" t="str">
        <f ca="1">IFERROR(__xludf.DUMMYFUNCTION("""COMPUTED_VALUE"""),"Aug")</f>
        <v>Aug</v>
      </c>
      <c r="D5" s="1" t="str">
        <f ca="1">IFERROR(__xludf.DUMMYFUNCTION("""COMPUTED_VALUE"""),"Qtr 3")</f>
        <v>Qtr 3</v>
      </c>
      <c r="E5" s="1" t="str">
        <f ca="1">IFERROR(__xludf.DUMMYFUNCTION("""COMPUTED_VALUE"""),"11/11/2017")</f>
        <v>11/11/2017</v>
      </c>
      <c r="F5" s="1" t="str">
        <f ca="1">IFERROR(__xludf.DUMMYFUNCTION("""COMPUTED_VALUE"""),"Second Class")</f>
        <v>Second Class</v>
      </c>
      <c r="G5" s="1" t="str">
        <f ca="1">IFERROR(__xludf.DUMMYFUNCTION("""COMPUTED_VALUE"""),"CG-12520")</f>
        <v>CG-12520</v>
      </c>
      <c r="H5" s="1" t="str">
        <f ca="1">IFERROR(__xludf.DUMMYFUNCTION("""COMPUTED_VALUE"""),"Claire")</f>
        <v>Claire</v>
      </c>
      <c r="I5" s="1" t="str">
        <f ca="1">IFERROR(__xludf.DUMMYFUNCTION("""COMPUTED_VALUE"""),"Gute")</f>
        <v>Gute</v>
      </c>
      <c r="J5" s="1"/>
      <c r="K5" s="1" t="str">
        <f ca="1">IFERROR(__xludf.DUMMYFUNCTION("""COMPUTED_VALUE"""),"Consumer")</f>
        <v>Consumer</v>
      </c>
      <c r="L5" s="1" t="str">
        <f ca="1">IFERROR(__xludf.DUMMYFUNCTION("""COMPUTED_VALUE"""),"United States")</f>
        <v>United States</v>
      </c>
      <c r="M5" s="1" t="str">
        <f ca="1">IFERROR(__xludf.DUMMYFUNCTION("""COMPUTED_VALUE"""),"Henderson")</f>
        <v>Henderson</v>
      </c>
      <c r="N5" s="1" t="str">
        <f ca="1">IFERROR(__xludf.DUMMYFUNCTION("""COMPUTED_VALUE"""),"Kentucky")</f>
        <v>Kentucky</v>
      </c>
      <c r="O5" s="1">
        <f ca="1">IFERROR(__xludf.DUMMYFUNCTION("""COMPUTED_VALUE"""),42420)</f>
        <v>42420</v>
      </c>
      <c r="P5" s="1" t="str">
        <f ca="1">IFERROR(__xludf.DUMMYFUNCTION("""COMPUTED_VALUE"""),"South")</f>
        <v>South</v>
      </c>
      <c r="Q5" s="1" t="str">
        <f ca="1">IFERROR(__xludf.DUMMYFUNCTION("""COMPUTED_VALUE"""),"FUR-CH-10000454")</f>
        <v>FUR-CH-10000454</v>
      </c>
      <c r="R5" s="1" t="str">
        <f ca="1">IFERROR(__xludf.DUMMYFUNCTION("""COMPUTED_VALUE"""),"Furniture")</f>
        <v>Furniture</v>
      </c>
      <c r="S5" s="7">
        <f ca="1">IFERROR(__xludf.DUMMYFUNCTION("""COMPUTED_VALUE"""),731.94)</f>
        <v>731.94</v>
      </c>
      <c r="T5" s="1">
        <f ca="1">IFERROR(__xludf.DUMMYFUNCTION("""COMPUTED_VALUE"""),4)</f>
        <v>4</v>
      </c>
      <c r="U5" s="9">
        <f ca="1">IFERROR(__xludf.DUMMYFUNCTION("""COMPUTED_VALUE"""),2927.76)</f>
        <v>2927.76</v>
      </c>
      <c r="V5" s="9">
        <f ca="1">IFERROR(__xludf.DUMMYFUNCTION("""COMPUTED_VALUE"""),2926.44)</f>
        <v>2926.44</v>
      </c>
      <c r="W5" s="12">
        <f ca="1">IFERROR(__xludf.DUMMYFUNCTION("""COMPUTED_VALUE"""),1.32000000000016)</f>
        <v>1.3200000000001599</v>
      </c>
    </row>
    <row r="6" spans="1:23">
      <c r="A6" s="1" t="str">
        <f ca="1">IFERROR(__xludf.DUMMYFUNCTION("""COMPUTED_VALUE"""),"CA-2017-138688")</f>
        <v>CA-2017-138688</v>
      </c>
      <c r="B6" s="8">
        <f ca="1">IFERROR(__xludf.DUMMYFUNCTION("""COMPUTED_VALUE"""),43075)</f>
        <v>43075</v>
      </c>
      <c r="C6" s="1" t="str">
        <f ca="1">IFERROR(__xludf.DUMMYFUNCTION("""COMPUTED_VALUE"""),"Dec")</f>
        <v>Dec</v>
      </c>
      <c r="D6" s="1" t="str">
        <f ca="1">IFERROR(__xludf.DUMMYFUNCTION("""COMPUTED_VALUE"""),"Qtr 4")</f>
        <v>Qtr 4</v>
      </c>
      <c r="E6" s="1" t="str">
        <f ca="1">IFERROR(__xludf.DUMMYFUNCTION("""COMPUTED_VALUE"""),"16/06/2017")</f>
        <v>16/06/2017</v>
      </c>
      <c r="F6" s="1" t="str">
        <f ca="1">IFERROR(__xludf.DUMMYFUNCTION("""COMPUTED_VALUE"""),"Second Class")</f>
        <v>Second Class</v>
      </c>
      <c r="G6" s="1" t="str">
        <f ca="1">IFERROR(__xludf.DUMMYFUNCTION("""COMPUTED_VALUE"""),"DV-13045")</f>
        <v>DV-13045</v>
      </c>
      <c r="H6" s="1" t="str">
        <f ca="1">IFERROR(__xludf.DUMMYFUNCTION("""COMPUTED_VALUE"""),"Darrin")</f>
        <v>Darrin</v>
      </c>
      <c r="I6" s="1" t="str">
        <f ca="1">IFERROR(__xludf.DUMMYFUNCTION("""COMPUTED_VALUE"""),"Van")</f>
        <v>Van</v>
      </c>
      <c r="J6" s="1" t="str">
        <f ca="1">IFERROR(__xludf.DUMMYFUNCTION("""COMPUTED_VALUE"""),"Huff")</f>
        <v>Huff</v>
      </c>
      <c r="K6" s="1" t="str">
        <f ca="1">IFERROR(__xludf.DUMMYFUNCTION("""COMPUTED_VALUE"""),"Corporate")</f>
        <v>Corporate</v>
      </c>
      <c r="L6" s="1" t="str">
        <f ca="1">IFERROR(__xludf.DUMMYFUNCTION("""COMPUTED_VALUE"""),"United States")</f>
        <v>United States</v>
      </c>
      <c r="M6" s="1" t="str">
        <f ca="1">IFERROR(__xludf.DUMMYFUNCTION("""COMPUTED_VALUE"""),"Los Angeles")</f>
        <v>Los Angeles</v>
      </c>
      <c r="N6" s="1" t="str">
        <f ca="1">IFERROR(__xludf.DUMMYFUNCTION("""COMPUTED_VALUE"""),"California")</f>
        <v>California</v>
      </c>
      <c r="O6" s="1">
        <f ca="1">IFERROR(__xludf.DUMMYFUNCTION("""COMPUTED_VALUE"""),90036)</f>
        <v>90036</v>
      </c>
      <c r="P6" s="1" t="str">
        <f ca="1">IFERROR(__xludf.DUMMYFUNCTION("""COMPUTED_VALUE"""),"West")</f>
        <v>West</v>
      </c>
      <c r="Q6" s="1" t="str">
        <f ca="1">IFERROR(__xludf.DUMMYFUNCTION("""COMPUTED_VALUE"""),"OFF-LA-10000240")</f>
        <v>OFF-LA-10000240</v>
      </c>
      <c r="R6" s="1" t="str">
        <f ca="1">IFERROR(__xludf.DUMMYFUNCTION("""COMPUTED_VALUE"""),"Office Supplies")</f>
        <v>Office Supplies</v>
      </c>
      <c r="S6" s="7">
        <f ca="1">IFERROR(__xludf.DUMMYFUNCTION("""COMPUTED_VALUE"""),14.62)</f>
        <v>14.62</v>
      </c>
      <c r="T6" s="1">
        <f ca="1">IFERROR(__xludf.DUMMYFUNCTION("""COMPUTED_VALUE"""),9)</f>
        <v>9</v>
      </c>
      <c r="U6" s="9">
        <f ca="1">IFERROR(__xludf.DUMMYFUNCTION("""COMPUTED_VALUE"""),131.579999999999)</f>
        <v>131.57999999999899</v>
      </c>
      <c r="V6" s="9">
        <f ca="1">IFERROR(__xludf.DUMMYFUNCTION("""COMPUTED_VALUE"""),125.73)</f>
        <v>125.73</v>
      </c>
      <c r="W6" s="12">
        <f ca="1">IFERROR(__xludf.DUMMYFUNCTION("""COMPUTED_VALUE"""),5.84999999999998)</f>
        <v>5.8499999999999801</v>
      </c>
    </row>
    <row r="7" spans="1:23">
      <c r="A7" s="1" t="str">
        <f ca="1">IFERROR(__xludf.DUMMYFUNCTION("""COMPUTED_VALUE"""),"CA-2015-167164")</f>
        <v>CA-2015-167164</v>
      </c>
      <c r="B7" s="8">
        <f ca="1">IFERROR(__xludf.DUMMYFUNCTION("""COMPUTED_VALUE"""),42137)</f>
        <v>42137</v>
      </c>
      <c r="C7" s="1" t="str">
        <f ca="1">IFERROR(__xludf.DUMMYFUNCTION("""COMPUTED_VALUE"""),"May")</f>
        <v>May</v>
      </c>
      <c r="D7" s="1" t="str">
        <f ca="1">IFERROR(__xludf.DUMMYFUNCTION("""COMPUTED_VALUE"""),"Qtr 2")</f>
        <v>Qtr 2</v>
      </c>
      <c r="E7" s="1" t="str">
        <f ca="1">IFERROR(__xludf.DUMMYFUNCTION("""COMPUTED_VALUE"""),"15/05/2015")</f>
        <v>15/05/2015</v>
      </c>
      <c r="F7" s="1" t="str">
        <f ca="1">IFERROR(__xludf.DUMMYFUNCTION("""COMPUTED_VALUE"""),"Second Class")</f>
        <v>Second Class</v>
      </c>
      <c r="G7" s="1" t="str">
        <f ca="1">IFERROR(__xludf.DUMMYFUNCTION("""COMPUTED_VALUE"""),"AG-10270")</f>
        <v>AG-10270</v>
      </c>
      <c r="H7" s="1" t="str">
        <f ca="1">IFERROR(__xludf.DUMMYFUNCTION("""COMPUTED_VALUE"""),"Alejandro")</f>
        <v>Alejandro</v>
      </c>
      <c r="I7" s="1" t="str">
        <f ca="1">IFERROR(__xludf.DUMMYFUNCTION("""COMPUTED_VALUE"""),"Grove")</f>
        <v>Grove</v>
      </c>
      <c r="J7" s="1"/>
      <c r="K7" s="1" t="str">
        <f ca="1">IFERROR(__xludf.DUMMYFUNCTION("""COMPUTED_VALUE"""),"Consumer")</f>
        <v>Consumer</v>
      </c>
      <c r="L7" s="1" t="str">
        <f ca="1">IFERROR(__xludf.DUMMYFUNCTION("""COMPUTED_VALUE"""),"United States")</f>
        <v>United States</v>
      </c>
      <c r="M7" s="1" t="str">
        <f ca="1">IFERROR(__xludf.DUMMYFUNCTION("""COMPUTED_VALUE"""),"West Jordan")</f>
        <v>West Jordan</v>
      </c>
      <c r="N7" s="1" t="str">
        <f ca="1">IFERROR(__xludf.DUMMYFUNCTION("""COMPUTED_VALUE"""),"Utah")</f>
        <v>Utah</v>
      </c>
      <c r="O7" s="1">
        <f ca="1">IFERROR(__xludf.DUMMYFUNCTION("""COMPUTED_VALUE"""),84084)</f>
        <v>84084</v>
      </c>
      <c r="P7" s="1" t="str">
        <f ca="1">IFERROR(__xludf.DUMMYFUNCTION("""COMPUTED_VALUE"""),"West")</f>
        <v>West</v>
      </c>
      <c r="Q7" s="1" t="str">
        <f ca="1">IFERROR(__xludf.DUMMYFUNCTION("""COMPUTED_VALUE"""),"OFF-ST-10000107")</f>
        <v>OFF-ST-10000107</v>
      </c>
      <c r="R7" s="1" t="str">
        <f ca="1">IFERROR(__xludf.DUMMYFUNCTION("""COMPUTED_VALUE"""),"Office Supplies")</f>
        <v>Office Supplies</v>
      </c>
      <c r="S7" s="7">
        <f ca="1">IFERROR(__xludf.DUMMYFUNCTION("""COMPUTED_VALUE"""),55.5)</f>
        <v>55.5</v>
      </c>
      <c r="T7" s="1">
        <f ca="1">IFERROR(__xludf.DUMMYFUNCTION("""COMPUTED_VALUE"""),8)</f>
        <v>8</v>
      </c>
      <c r="U7" s="9">
        <f ca="1">IFERROR(__xludf.DUMMYFUNCTION("""COMPUTED_VALUE"""),444)</f>
        <v>444</v>
      </c>
      <c r="V7" s="9">
        <f ca="1">IFERROR(__xludf.DUMMYFUNCTION("""COMPUTED_VALUE"""),438.08)</f>
        <v>438.08</v>
      </c>
      <c r="W7" s="12">
        <f ca="1">IFERROR(__xludf.DUMMYFUNCTION("""COMPUTED_VALUE"""),5.92000000000001)</f>
        <v>5.9200000000000097</v>
      </c>
    </row>
    <row r="8" spans="1:23">
      <c r="A8" s="1" t="str">
        <f ca="1">IFERROR(__xludf.DUMMYFUNCTION("""COMPUTED_VALUE"""),"CA-2015-143336")</f>
        <v>CA-2015-143336</v>
      </c>
      <c r="B8" s="8">
        <f ca="1">IFERROR(__xludf.DUMMYFUNCTION("""COMPUTED_VALUE"""),42243)</f>
        <v>42243</v>
      </c>
      <c r="C8" s="1" t="str">
        <f ca="1">IFERROR(__xludf.DUMMYFUNCTION("""COMPUTED_VALUE"""),"Aug")</f>
        <v>Aug</v>
      </c>
      <c r="D8" s="1" t="str">
        <f ca="1">IFERROR(__xludf.DUMMYFUNCTION("""COMPUTED_VALUE"""),"Qtr 3")</f>
        <v>Qtr 3</v>
      </c>
      <c r="E8" s="1" t="str">
        <f ca="1">IFERROR(__xludf.DUMMYFUNCTION("""COMPUTED_VALUE"""),"1/9/2015")</f>
        <v>1/9/2015</v>
      </c>
      <c r="F8" s="1" t="str">
        <f ca="1">IFERROR(__xludf.DUMMYFUNCTION("""COMPUTED_VALUE"""),"Second Class")</f>
        <v>Second Class</v>
      </c>
      <c r="G8" s="1" t="str">
        <f ca="1">IFERROR(__xludf.DUMMYFUNCTION("""COMPUTED_VALUE"""),"ZD-21925")</f>
        <v>ZD-21925</v>
      </c>
      <c r="H8" s="1" t="str">
        <f ca="1">IFERROR(__xludf.DUMMYFUNCTION("""COMPUTED_VALUE"""),"Zuschuss")</f>
        <v>Zuschuss</v>
      </c>
      <c r="I8" s="1" t="str">
        <f ca="1">IFERROR(__xludf.DUMMYFUNCTION("""COMPUTED_VALUE"""),"Donatelli")</f>
        <v>Donatelli</v>
      </c>
      <c r="J8" s="1"/>
      <c r="K8" s="1" t="str">
        <f ca="1">IFERROR(__xludf.DUMMYFUNCTION("""COMPUTED_VALUE"""),"Consumer")</f>
        <v>Consumer</v>
      </c>
      <c r="L8" s="1" t="str">
        <f ca="1">IFERROR(__xludf.DUMMYFUNCTION("""COMPUTED_VALUE"""),"United States")</f>
        <v>United States</v>
      </c>
      <c r="M8" s="1" t="str">
        <f ca="1">IFERROR(__xludf.DUMMYFUNCTION("""COMPUTED_VALUE"""),"San Francisco")</f>
        <v>San Francisco</v>
      </c>
      <c r="N8" s="1" t="str">
        <f ca="1">IFERROR(__xludf.DUMMYFUNCTION("""COMPUTED_VALUE"""),"California")</f>
        <v>California</v>
      </c>
      <c r="O8" s="1">
        <f ca="1">IFERROR(__xludf.DUMMYFUNCTION("""COMPUTED_VALUE"""),94109)</f>
        <v>94109</v>
      </c>
      <c r="P8" s="1" t="str">
        <f ca="1">IFERROR(__xludf.DUMMYFUNCTION("""COMPUTED_VALUE"""),"West")</f>
        <v>West</v>
      </c>
      <c r="Q8" s="1" t="str">
        <f ca="1">IFERROR(__xludf.DUMMYFUNCTION("""COMPUTED_VALUE"""),"OFF-AR-10003056")</f>
        <v>OFF-AR-10003056</v>
      </c>
      <c r="R8" s="1" t="str">
        <f ca="1">IFERROR(__xludf.DUMMYFUNCTION("""COMPUTED_VALUE"""),"Office Supplies")</f>
        <v>Office Supplies</v>
      </c>
      <c r="S8" s="7">
        <f ca="1">IFERROR(__xludf.DUMMYFUNCTION("""COMPUTED_VALUE"""),8.56)</f>
        <v>8.56</v>
      </c>
      <c r="T8" s="1">
        <f ca="1">IFERROR(__xludf.DUMMYFUNCTION("""COMPUTED_VALUE"""),9)</f>
        <v>9</v>
      </c>
      <c r="U8" s="9">
        <f ca="1">IFERROR(__xludf.DUMMYFUNCTION("""COMPUTED_VALUE"""),77.04)</f>
        <v>77.040000000000006</v>
      </c>
      <c r="V8" s="9">
        <f ca="1">IFERROR(__xludf.DUMMYFUNCTION("""COMPUTED_VALUE"""),69.48)</f>
        <v>69.48</v>
      </c>
      <c r="W8" s="12">
        <f ca="1">IFERROR(__xludf.DUMMYFUNCTION("""COMPUTED_VALUE"""),7.56)</f>
        <v>7.56</v>
      </c>
    </row>
    <row r="9" spans="1:23">
      <c r="A9" s="1" t="str">
        <f ca="1">IFERROR(__xludf.DUMMYFUNCTION("""COMPUTED_VALUE"""),"CA-2015-143336")</f>
        <v>CA-2015-143336</v>
      </c>
      <c r="B9" s="8">
        <f ca="1">IFERROR(__xludf.DUMMYFUNCTION("""COMPUTED_VALUE"""),42243)</f>
        <v>42243</v>
      </c>
      <c r="C9" s="1" t="str">
        <f ca="1">IFERROR(__xludf.DUMMYFUNCTION("""COMPUTED_VALUE"""),"Aug")</f>
        <v>Aug</v>
      </c>
      <c r="D9" s="1" t="str">
        <f ca="1">IFERROR(__xludf.DUMMYFUNCTION("""COMPUTED_VALUE"""),"Qtr 3")</f>
        <v>Qtr 3</v>
      </c>
      <c r="E9" s="1" t="str">
        <f ca="1">IFERROR(__xludf.DUMMYFUNCTION("""COMPUTED_VALUE"""),"1/9/2015")</f>
        <v>1/9/2015</v>
      </c>
      <c r="F9" s="1" t="str">
        <f ca="1">IFERROR(__xludf.DUMMYFUNCTION("""COMPUTED_VALUE"""),"Second Class")</f>
        <v>Second Class</v>
      </c>
      <c r="G9" s="1" t="str">
        <f ca="1">IFERROR(__xludf.DUMMYFUNCTION("""COMPUTED_VALUE"""),"ZD-21925")</f>
        <v>ZD-21925</v>
      </c>
      <c r="H9" s="1" t="str">
        <f ca="1">IFERROR(__xludf.DUMMYFUNCTION("""COMPUTED_VALUE"""),"Zuschuss")</f>
        <v>Zuschuss</v>
      </c>
      <c r="I9" s="1" t="str">
        <f ca="1">IFERROR(__xludf.DUMMYFUNCTION("""COMPUTED_VALUE"""),"Donatelli")</f>
        <v>Donatelli</v>
      </c>
      <c r="J9" s="1"/>
      <c r="K9" s="1" t="str">
        <f ca="1">IFERROR(__xludf.DUMMYFUNCTION("""COMPUTED_VALUE"""),"Consumer")</f>
        <v>Consumer</v>
      </c>
      <c r="L9" s="1" t="str">
        <f ca="1">IFERROR(__xludf.DUMMYFUNCTION("""COMPUTED_VALUE"""),"United States")</f>
        <v>United States</v>
      </c>
      <c r="M9" s="1" t="str">
        <f ca="1">IFERROR(__xludf.DUMMYFUNCTION("""COMPUTED_VALUE"""),"San Francisco")</f>
        <v>San Francisco</v>
      </c>
      <c r="N9" s="1" t="str">
        <f ca="1">IFERROR(__xludf.DUMMYFUNCTION("""COMPUTED_VALUE"""),"California")</f>
        <v>California</v>
      </c>
      <c r="O9" s="1">
        <f ca="1">IFERROR(__xludf.DUMMYFUNCTION("""COMPUTED_VALUE"""),94109)</f>
        <v>94109</v>
      </c>
      <c r="P9" s="1" t="str">
        <f ca="1">IFERROR(__xludf.DUMMYFUNCTION("""COMPUTED_VALUE"""),"West")</f>
        <v>West</v>
      </c>
      <c r="Q9" s="1" t="str">
        <f ca="1">IFERROR(__xludf.DUMMYFUNCTION("""COMPUTED_VALUE"""),"TEC-PH-10001949")</f>
        <v>TEC-PH-10001949</v>
      </c>
      <c r="R9" s="1" t="str">
        <f ca="1">IFERROR(__xludf.DUMMYFUNCTION("""COMPUTED_VALUE"""),"Technology")</f>
        <v>Technology</v>
      </c>
      <c r="S9" s="7">
        <f ca="1">IFERROR(__xludf.DUMMYFUNCTION("""COMPUTED_VALUE"""),213.48)</f>
        <v>213.48</v>
      </c>
      <c r="T9" s="1">
        <f ca="1">IFERROR(__xludf.DUMMYFUNCTION("""COMPUTED_VALUE"""),9)</f>
        <v>9</v>
      </c>
      <c r="U9" s="9">
        <f ca="1">IFERROR(__xludf.DUMMYFUNCTION("""COMPUTED_VALUE"""),1921.32)</f>
        <v>1921.32</v>
      </c>
      <c r="V9" s="9">
        <f ca="1">IFERROR(__xludf.DUMMYFUNCTION("""COMPUTED_VALUE"""),1915.11)</f>
        <v>1915.11</v>
      </c>
      <c r="W9" s="12">
        <f ca="1">IFERROR(__xludf.DUMMYFUNCTION("""COMPUTED_VALUE"""),6.21000000000003)</f>
        <v>6.2100000000000302</v>
      </c>
    </row>
    <row r="10" spans="1:23">
      <c r="A10" s="1" t="str">
        <f ca="1">IFERROR(__xludf.DUMMYFUNCTION("""COMPUTED_VALUE"""),"CA-2015-143336")</f>
        <v>CA-2015-143336</v>
      </c>
      <c r="B10" s="8">
        <f ca="1">IFERROR(__xludf.DUMMYFUNCTION("""COMPUTED_VALUE"""),42243)</f>
        <v>42243</v>
      </c>
      <c r="C10" s="1" t="str">
        <f ca="1">IFERROR(__xludf.DUMMYFUNCTION("""COMPUTED_VALUE"""),"Aug")</f>
        <v>Aug</v>
      </c>
      <c r="D10" s="1" t="str">
        <f ca="1">IFERROR(__xludf.DUMMYFUNCTION("""COMPUTED_VALUE"""),"Qtr 3")</f>
        <v>Qtr 3</v>
      </c>
      <c r="E10" s="1" t="str">
        <f ca="1">IFERROR(__xludf.DUMMYFUNCTION("""COMPUTED_VALUE"""),"1/9/2015")</f>
        <v>1/9/2015</v>
      </c>
      <c r="F10" s="1" t="str">
        <f ca="1">IFERROR(__xludf.DUMMYFUNCTION("""COMPUTED_VALUE"""),"Second Class")</f>
        <v>Second Class</v>
      </c>
      <c r="G10" s="1" t="str">
        <f ca="1">IFERROR(__xludf.DUMMYFUNCTION("""COMPUTED_VALUE"""),"ZD-21925")</f>
        <v>ZD-21925</v>
      </c>
      <c r="H10" s="1" t="str">
        <f ca="1">IFERROR(__xludf.DUMMYFUNCTION("""COMPUTED_VALUE"""),"Zuschuss")</f>
        <v>Zuschuss</v>
      </c>
      <c r="I10" s="1" t="str">
        <f ca="1">IFERROR(__xludf.DUMMYFUNCTION("""COMPUTED_VALUE"""),"Donatelli")</f>
        <v>Donatelli</v>
      </c>
      <c r="J10" s="1"/>
      <c r="K10" s="1" t="str">
        <f ca="1">IFERROR(__xludf.DUMMYFUNCTION("""COMPUTED_VALUE"""),"Consumer")</f>
        <v>Consumer</v>
      </c>
      <c r="L10" s="1" t="str">
        <f ca="1">IFERROR(__xludf.DUMMYFUNCTION("""COMPUTED_VALUE"""),"United States")</f>
        <v>United States</v>
      </c>
      <c r="M10" s="1" t="str">
        <f ca="1">IFERROR(__xludf.DUMMYFUNCTION("""COMPUTED_VALUE"""),"San Francisco")</f>
        <v>San Francisco</v>
      </c>
      <c r="N10" s="1" t="str">
        <f ca="1">IFERROR(__xludf.DUMMYFUNCTION("""COMPUTED_VALUE"""),"California")</f>
        <v>California</v>
      </c>
      <c r="O10" s="1">
        <f ca="1">IFERROR(__xludf.DUMMYFUNCTION("""COMPUTED_VALUE"""),94109)</f>
        <v>94109</v>
      </c>
      <c r="P10" s="1" t="str">
        <f ca="1">IFERROR(__xludf.DUMMYFUNCTION("""COMPUTED_VALUE"""),"West")</f>
        <v>West</v>
      </c>
      <c r="Q10" s="1" t="str">
        <f ca="1">IFERROR(__xludf.DUMMYFUNCTION("""COMPUTED_VALUE"""),"OFF-BI-10002215")</f>
        <v>OFF-BI-10002215</v>
      </c>
      <c r="R10" s="1" t="str">
        <f ca="1">IFERROR(__xludf.DUMMYFUNCTION("""COMPUTED_VALUE"""),"Office Supplies")</f>
        <v>Office Supplies</v>
      </c>
      <c r="S10" s="7">
        <f ca="1">IFERROR(__xludf.DUMMYFUNCTION("""COMPUTED_VALUE"""),22.72)</f>
        <v>22.72</v>
      </c>
      <c r="T10" s="1">
        <f ca="1">IFERROR(__xludf.DUMMYFUNCTION("""COMPUTED_VALUE"""),9)</f>
        <v>9</v>
      </c>
      <c r="U10" s="9">
        <f ca="1">IFERROR(__xludf.DUMMYFUNCTION("""COMPUTED_VALUE"""),204.48)</f>
        <v>204.48</v>
      </c>
      <c r="V10" s="9">
        <f ca="1">IFERROR(__xludf.DUMMYFUNCTION("""COMPUTED_VALUE"""),201.69)</f>
        <v>201.69</v>
      </c>
      <c r="W10" s="12">
        <f ca="1">IFERROR(__xludf.DUMMYFUNCTION("""COMPUTED_VALUE"""),2.78999999999999)</f>
        <v>2.7899999999999898</v>
      </c>
    </row>
    <row r="11" spans="1:23">
      <c r="A11" s="1" t="str">
        <f ca="1">IFERROR(__xludf.DUMMYFUNCTION("""COMPUTED_VALUE"""),"US-2018-156909")</f>
        <v>US-2018-156909</v>
      </c>
      <c r="B11" s="8">
        <f ca="1">IFERROR(__xludf.DUMMYFUNCTION("""COMPUTED_VALUE"""),43297)</f>
        <v>43297</v>
      </c>
      <c r="C11" s="1" t="str">
        <f ca="1">IFERROR(__xludf.DUMMYFUNCTION("""COMPUTED_VALUE"""),"Jul")</f>
        <v>Jul</v>
      </c>
      <c r="D11" s="1" t="str">
        <f ca="1">IFERROR(__xludf.DUMMYFUNCTION("""COMPUTED_VALUE"""),"Qtr 3")</f>
        <v>Qtr 3</v>
      </c>
      <c r="E11" s="1" t="str">
        <f ca="1">IFERROR(__xludf.DUMMYFUNCTION("""COMPUTED_VALUE"""),"18/07/2018")</f>
        <v>18/07/2018</v>
      </c>
      <c r="F11" s="1" t="str">
        <f ca="1">IFERROR(__xludf.DUMMYFUNCTION("""COMPUTED_VALUE"""),"Second Class")</f>
        <v>Second Class</v>
      </c>
      <c r="G11" s="1" t="str">
        <f ca="1">IFERROR(__xludf.DUMMYFUNCTION("""COMPUTED_VALUE"""),"SF-20065")</f>
        <v>SF-20065</v>
      </c>
      <c r="H11" s="1" t="str">
        <f ca="1">IFERROR(__xludf.DUMMYFUNCTION("""COMPUTED_VALUE"""),"Sandra")</f>
        <v>Sandra</v>
      </c>
      <c r="I11" s="1" t="str">
        <f ca="1">IFERROR(__xludf.DUMMYFUNCTION("""COMPUTED_VALUE"""),"Flanagan")</f>
        <v>Flanagan</v>
      </c>
      <c r="J11" s="1"/>
      <c r="K11" s="1" t="str">
        <f ca="1">IFERROR(__xludf.DUMMYFUNCTION("""COMPUTED_VALUE"""),"Consumer")</f>
        <v>Consumer</v>
      </c>
      <c r="L11" s="1" t="str">
        <f ca="1">IFERROR(__xludf.DUMMYFUNCTION("""COMPUTED_VALUE"""),"United States")</f>
        <v>United States</v>
      </c>
      <c r="M11" s="1" t="str">
        <f ca="1">IFERROR(__xludf.DUMMYFUNCTION("""COMPUTED_VALUE"""),"Philadelphia")</f>
        <v>Philadelphia</v>
      </c>
      <c r="N11" s="1" t="str">
        <f ca="1">IFERROR(__xludf.DUMMYFUNCTION("""COMPUTED_VALUE"""),"Pennsylvania")</f>
        <v>Pennsylvania</v>
      </c>
      <c r="O11" s="1">
        <f ca="1">IFERROR(__xludf.DUMMYFUNCTION("""COMPUTED_VALUE"""),19140)</f>
        <v>19140</v>
      </c>
      <c r="P11" s="1" t="str">
        <f ca="1">IFERROR(__xludf.DUMMYFUNCTION("""COMPUTED_VALUE"""),"East")</f>
        <v>East</v>
      </c>
      <c r="Q11" s="1" t="str">
        <f ca="1">IFERROR(__xludf.DUMMYFUNCTION("""COMPUTED_VALUE"""),"FUR-CH-10002774")</f>
        <v>FUR-CH-10002774</v>
      </c>
      <c r="R11" s="1" t="str">
        <f ca="1">IFERROR(__xludf.DUMMYFUNCTION("""COMPUTED_VALUE"""),"Furniture")</f>
        <v>Furniture</v>
      </c>
      <c r="S11" s="7">
        <f ca="1">IFERROR(__xludf.DUMMYFUNCTION("""COMPUTED_VALUE"""),71.372)</f>
        <v>71.372</v>
      </c>
      <c r="T11" s="1">
        <f ca="1">IFERROR(__xludf.DUMMYFUNCTION("""COMPUTED_VALUE"""),1)</f>
        <v>1</v>
      </c>
      <c r="U11" s="9">
        <f ca="1">IFERROR(__xludf.DUMMYFUNCTION("""COMPUTED_VALUE"""),71.372)</f>
        <v>71.372</v>
      </c>
      <c r="V11" s="9">
        <f ca="1">IFERROR(__xludf.DUMMYFUNCTION("""COMPUTED_VALUE"""),70.8)</f>
        <v>70.8</v>
      </c>
      <c r="W11" s="12">
        <f ca="1">IFERROR(__xludf.DUMMYFUNCTION("""COMPUTED_VALUE"""),0.572000000000002)</f>
        <v>0.57200000000000195</v>
      </c>
    </row>
    <row r="12" spans="1:23">
      <c r="A12" s="1" t="str">
        <f ca="1">IFERROR(__xludf.DUMMYFUNCTION("""COMPUTED_VALUE"""),"CA-2017-121755")</f>
        <v>CA-2017-121755</v>
      </c>
      <c r="B12" s="8">
        <f ca="1">IFERROR(__xludf.DUMMYFUNCTION("""COMPUTED_VALUE"""),42751)</f>
        <v>42751</v>
      </c>
      <c r="C12" s="1" t="str">
        <f ca="1">IFERROR(__xludf.DUMMYFUNCTION("""COMPUTED_VALUE"""),"Jan")</f>
        <v>Jan</v>
      </c>
      <c r="D12" s="1" t="str">
        <f ca="1">IFERROR(__xludf.DUMMYFUNCTION("""COMPUTED_VALUE"""),"Qtr 1")</f>
        <v>Qtr 1</v>
      </c>
      <c r="E12" s="1" t="str">
        <f ca="1">IFERROR(__xludf.DUMMYFUNCTION("""COMPUTED_VALUE"""),"20/01/2017")</f>
        <v>20/01/2017</v>
      </c>
      <c r="F12" s="1" t="str">
        <f ca="1">IFERROR(__xludf.DUMMYFUNCTION("""COMPUTED_VALUE"""),"Second Class")</f>
        <v>Second Class</v>
      </c>
      <c r="G12" s="1" t="str">
        <f ca="1">IFERROR(__xludf.DUMMYFUNCTION("""COMPUTED_VALUE"""),"EH-13945")</f>
        <v>EH-13945</v>
      </c>
      <c r="H12" s="1" t="str">
        <f ca="1">IFERROR(__xludf.DUMMYFUNCTION("""COMPUTED_VALUE"""),"Eric")</f>
        <v>Eric</v>
      </c>
      <c r="I12" s="1" t="str">
        <f ca="1">IFERROR(__xludf.DUMMYFUNCTION("""COMPUTED_VALUE"""),"Hoffmann")</f>
        <v>Hoffmann</v>
      </c>
      <c r="J12" s="1"/>
      <c r="K12" s="1" t="str">
        <f ca="1">IFERROR(__xludf.DUMMYFUNCTION("""COMPUTED_VALUE"""),"Consumer")</f>
        <v>Consumer</v>
      </c>
      <c r="L12" s="1" t="str">
        <f ca="1">IFERROR(__xludf.DUMMYFUNCTION("""COMPUTED_VALUE"""),"United States")</f>
        <v>United States</v>
      </c>
      <c r="M12" s="1" t="str">
        <f ca="1">IFERROR(__xludf.DUMMYFUNCTION("""COMPUTED_VALUE"""),"Los Angeles")</f>
        <v>Los Angeles</v>
      </c>
      <c r="N12" s="1" t="str">
        <f ca="1">IFERROR(__xludf.DUMMYFUNCTION("""COMPUTED_VALUE"""),"California")</f>
        <v>California</v>
      </c>
      <c r="O12" s="1">
        <f ca="1">IFERROR(__xludf.DUMMYFUNCTION("""COMPUTED_VALUE"""),90049)</f>
        <v>90049</v>
      </c>
      <c r="P12" s="1" t="str">
        <f ca="1">IFERROR(__xludf.DUMMYFUNCTION("""COMPUTED_VALUE"""),"West")</f>
        <v>West</v>
      </c>
      <c r="Q12" s="1" t="str">
        <f ca="1">IFERROR(__xludf.DUMMYFUNCTION("""COMPUTED_VALUE"""),"OFF-BI-10001634")</f>
        <v>OFF-BI-10001634</v>
      </c>
      <c r="R12" s="1" t="str">
        <f ca="1">IFERROR(__xludf.DUMMYFUNCTION("""COMPUTED_VALUE"""),"Office Supplies")</f>
        <v>Office Supplies</v>
      </c>
      <c r="S12" s="7">
        <f ca="1">IFERROR(__xludf.DUMMYFUNCTION("""COMPUTED_VALUE"""),11.648)</f>
        <v>11.648</v>
      </c>
      <c r="T12" s="1">
        <f ca="1">IFERROR(__xludf.DUMMYFUNCTION("""COMPUTED_VALUE"""),9)</f>
        <v>9</v>
      </c>
      <c r="U12" s="9">
        <f ca="1">IFERROR(__xludf.DUMMYFUNCTION("""COMPUTED_VALUE"""),104.832)</f>
        <v>104.83199999999999</v>
      </c>
      <c r="V12" s="9">
        <f ca="1">IFERROR(__xludf.DUMMYFUNCTION("""COMPUTED_VALUE"""),102.51)</f>
        <v>102.51</v>
      </c>
      <c r="W12" s="12">
        <f ca="1">IFERROR(__xludf.DUMMYFUNCTION("""COMPUTED_VALUE"""),2.32199999999998)</f>
        <v>2.3219999999999801</v>
      </c>
    </row>
    <row r="13" spans="1:23">
      <c r="A13" s="1" t="str">
        <f ca="1">IFERROR(__xludf.DUMMYFUNCTION("""COMPUTED_VALUE"""),"CA-2017-121755")</f>
        <v>CA-2017-121755</v>
      </c>
      <c r="B13" s="8">
        <f ca="1">IFERROR(__xludf.DUMMYFUNCTION("""COMPUTED_VALUE"""),42751)</f>
        <v>42751</v>
      </c>
      <c r="C13" s="1" t="str">
        <f ca="1">IFERROR(__xludf.DUMMYFUNCTION("""COMPUTED_VALUE"""),"Jan")</f>
        <v>Jan</v>
      </c>
      <c r="D13" s="1" t="str">
        <f ca="1">IFERROR(__xludf.DUMMYFUNCTION("""COMPUTED_VALUE"""),"Qtr 1")</f>
        <v>Qtr 1</v>
      </c>
      <c r="E13" s="1" t="str">
        <f ca="1">IFERROR(__xludf.DUMMYFUNCTION("""COMPUTED_VALUE"""),"20/01/2017")</f>
        <v>20/01/2017</v>
      </c>
      <c r="F13" s="1" t="str">
        <f ca="1">IFERROR(__xludf.DUMMYFUNCTION("""COMPUTED_VALUE"""),"Second Class")</f>
        <v>Second Class</v>
      </c>
      <c r="G13" s="1" t="str">
        <f ca="1">IFERROR(__xludf.DUMMYFUNCTION("""COMPUTED_VALUE"""),"EH-13945")</f>
        <v>EH-13945</v>
      </c>
      <c r="H13" s="1" t="str">
        <f ca="1">IFERROR(__xludf.DUMMYFUNCTION("""COMPUTED_VALUE"""),"Eric")</f>
        <v>Eric</v>
      </c>
      <c r="I13" s="1" t="str">
        <f ca="1">IFERROR(__xludf.DUMMYFUNCTION("""COMPUTED_VALUE"""),"Hoffmann")</f>
        <v>Hoffmann</v>
      </c>
      <c r="J13" s="1"/>
      <c r="K13" s="1" t="str">
        <f ca="1">IFERROR(__xludf.DUMMYFUNCTION("""COMPUTED_VALUE"""),"Consumer")</f>
        <v>Consumer</v>
      </c>
      <c r="L13" s="1" t="str">
        <f ca="1">IFERROR(__xludf.DUMMYFUNCTION("""COMPUTED_VALUE"""),"United States")</f>
        <v>United States</v>
      </c>
      <c r="M13" s="1" t="str">
        <f ca="1">IFERROR(__xludf.DUMMYFUNCTION("""COMPUTED_VALUE"""),"Los Angeles")</f>
        <v>Los Angeles</v>
      </c>
      <c r="N13" s="1" t="str">
        <f ca="1">IFERROR(__xludf.DUMMYFUNCTION("""COMPUTED_VALUE"""),"California")</f>
        <v>California</v>
      </c>
      <c r="O13" s="1">
        <f ca="1">IFERROR(__xludf.DUMMYFUNCTION("""COMPUTED_VALUE"""),90049)</f>
        <v>90049</v>
      </c>
      <c r="P13" s="1" t="str">
        <f ca="1">IFERROR(__xludf.DUMMYFUNCTION("""COMPUTED_VALUE"""),"West")</f>
        <v>West</v>
      </c>
      <c r="Q13" s="1" t="str">
        <f ca="1">IFERROR(__xludf.DUMMYFUNCTION("""COMPUTED_VALUE"""),"TEC-AC-10003027")</f>
        <v>TEC-AC-10003027</v>
      </c>
      <c r="R13" s="1" t="str">
        <f ca="1">IFERROR(__xludf.DUMMYFUNCTION("""COMPUTED_VALUE"""),"Technology")</f>
        <v>Technology</v>
      </c>
      <c r="S13" s="7">
        <f ca="1">IFERROR(__xludf.DUMMYFUNCTION("""COMPUTED_VALUE"""),90.57)</f>
        <v>90.57</v>
      </c>
      <c r="T13" s="1">
        <f ca="1">IFERROR(__xludf.DUMMYFUNCTION("""COMPUTED_VALUE"""),9)</f>
        <v>9</v>
      </c>
      <c r="U13" s="9">
        <f ca="1">IFERROR(__xludf.DUMMYFUNCTION("""COMPUTED_VALUE"""),815.129999999999)</f>
        <v>815.12999999999897</v>
      </c>
      <c r="V13" s="9">
        <f ca="1">IFERROR(__xludf.DUMMYFUNCTION("""COMPUTED_VALUE"""),806.76)</f>
        <v>806.76</v>
      </c>
      <c r="W13" s="12">
        <f ca="1">IFERROR(__xludf.DUMMYFUNCTION("""COMPUTED_VALUE"""),8.36999999999989)</f>
        <v>8.3699999999998909</v>
      </c>
    </row>
    <row r="14" spans="1:23">
      <c r="A14" s="1" t="str">
        <f ca="1">IFERROR(__xludf.DUMMYFUNCTION("""COMPUTED_VALUE"""),"CA-2018-107727")</f>
        <v>CA-2018-107727</v>
      </c>
      <c r="B14" s="8">
        <f ca="1">IFERROR(__xludf.DUMMYFUNCTION("""COMPUTED_VALUE"""),43392)</f>
        <v>43392</v>
      </c>
      <c r="C14" s="1" t="str">
        <f ca="1">IFERROR(__xludf.DUMMYFUNCTION("""COMPUTED_VALUE"""),"Oct")</f>
        <v>Oct</v>
      </c>
      <c r="D14" s="1" t="str">
        <f ca="1">IFERROR(__xludf.DUMMYFUNCTION("""COMPUTED_VALUE"""),"Qtr 4")</f>
        <v>Qtr 4</v>
      </c>
      <c r="E14" s="1" t="str">
        <f ca="1">IFERROR(__xludf.DUMMYFUNCTION("""COMPUTED_VALUE"""),"23/10/2018")</f>
        <v>23/10/2018</v>
      </c>
      <c r="F14" s="1" t="str">
        <f ca="1">IFERROR(__xludf.DUMMYFUNCTION("""COMPUTED_VALUE"""),"Second Class")</f>
        <v>Second Class</v>
      </c>
      <c r="G14" s="1" t="str">
        <f ca="1">IFERROR(__xludf.DUMMYFUNCTION("""COMPUTED_VALUE"""),"MA-17560")</f>
        <v>MA-17560</v>
      </c>
      <c r="H14" s="1" t="str">
        <f ca="1">IFERROR(__xludf.DUMMYFUNCTION("""COMPUTED_VALUE"""),"Matt")</f>
        <v>Matt</v>
      </c>
      <c r="I14" s="1" t="str">
        <f ca="1">IFERROR(__xludf.DUMMYFUNCTION("""COMPUTED_VALUE"""),"Abelman")</f>
        <v>Abelman</v>
      </c>
      <c r="J14" s="1"/>
      <c r="K14" s="1" t="str">
        <f ca="1">IFERROR(__xludf.DUMMYFUNCTION("""COMPUTED_VALUE"""),"Home Office")</f>
        <v>Home Office</v>
      </c>
      <c r="L14" s="1" t="str">
        <f ca="1">IFERROR(__xludf.DUMMYFUNCTION("""COMPUTED_VALUE"""),"United States")</f>
        <v>United States</v>
      </c>
      <c r="M14" s="1" t="str">
        <f ca="1">IFERROR(__xludf.DUMMYFUNCTION("""COMPUTED_VALUE"""),"Houston")</f>
        <v>Houston</v>
      </c>
      <c r="N14" s="1" t="str">
        <f ca="1">IFERROR(__xludf.DUMMYFUNCTION("""COMPUTED_VALUE"""),"Texas")</f>
        <v>Texas</v>
      </c>
      <c r="O14" s="1">
        <f ca="1">IFERROR(__xludf.DUMMYFUNCTION("""COMPUTED_VALUE"""),77095)</f>
        <v>77095</v>
      </c>
      <c r="P14" s="1" t="str">
        <f ca="1">IFERROR(__xludf.DUMMYFUNCTION("""COMPUTED_VALUE"""),"Central")</f>
        <v>Central</v>
      </c>
      <c r="Q14" s="1" t="str">
        <f ca="1">IFERROR(__xludf.DUMMYFUNCTION("""COMPUTED_VALUE"""),"OFF-PA-10000249")</f>
        <v>OFF-PA-10000249</v>
      </c>
      <c r="R14" s="1" t="str">
        <f ca="1">IFERROR(__xludf.DUMMYFUNCTION("""COMPUTED_VALUE"""),"Office Supplies")</f>
        <v>Office Supplies</v>
      </c>
      <c r="S14" s="7">
        <f ca="1">IFERROR(__xludf.DUMMYFUNCTION("""COMPUTED_VALUE"""),29.472)</f>
        <v>29.472000000000001</v>
      </c>
      <c r="T14" s="1">
        <f ca="1">IFERROR(__xludf.DUMMYFUNCTION("""COMPUTED_VALUE"""),7)</f>
        <v>7</v>
      </c>
      <c r="U14" s="9">
        <f ca="1">IFERROR(__xludf.DUMMYFUNCTION("""COMPUTED_VALUE"""),206.304)</f>
        <v>206.304</v>
      </c>
      <c r="V14" s="9">
        <f ca="1">IFERROR(__xludf.DUMMYFUNCTION("""COMPUTED_VALUE"""),202.58)</f>
        <v>202.58</v>
      </c>
      <c r="W14" s="12">
        <f ca="1">IFERROR(__xludf.DUMMYFUNCTION("""COMPUTED_VALUE"""),3.72399999999998)</f>
        <v>3.7239999999999802</v>
      </c>
    </row>
    <row r="15" spans="1:23">
      <c r="A15" s="1" t="str">
        <f ca="1">IFERROR(__xludf.DUMMYFUNCTION("""COMPUTED_VALUE"""),"CA-2015-146703")</f>
        <v>CA-2015-146703</v>
      </c>
      <c r="B15" s="8">
        <f ca="1">IFERROR(__xludf.DUMMYFUNCTION("""COMPUTED_VALUE"""),42297)</f>
        <v>42297</v>
      </c>
      <c r="C15" s="1" t="str">
        <f ca="1">IFERROR(__xludf.DUMMYFUNCTION("""COMPUTED_VALUE"""),"Oct")</f>
        <v>Oct</v>
      </c>
      <c r="D15" s="1" t="str">
        <f ca="1">IFERROR(__xludf.DUMMYFUNCTION("""COMPUTED_VALUE"""),"Qtr 4")</f>
        <v>Qtr 4</v>
      </c>
      <c r="E15" s="1" t="str">
        <f ca="1">IFERROR(__xludf.DUMMYFUNCTION("""COMPUTED_VALUE"""),"25/10/2015")</f>
        <v>25/10/2015</v>
      </c>
      <c r="F15" s="1" t="str">
        <f ca="1">IFERROR(__xludf.DUMMYFUNCTION("""COMPUTED_VALUE"""),"Second Class")</f>
        <v>Second Class</v>
      </c>
      <c r="G15" s="1" t="str">
        <f ca="1">IFERROR(__xludf.DUMMYFUNCTION("""COMPUTED_VALUE"""),"PO-18865")</f>
        <v>PO-18865</v>
      </c>
      <c r="H15" s="1" t="str">
        <f ca="1">IFERROR(__xludf.DUMMYFUNCTION("""COMPUTED_VALUE"""),"Patrick")</f>
        <v>Patrick</v>
      </c>
      <c r="I15" s="1" t="str">
        <f ca="1">IFERROR(__xludf.DUMMYFUNCTION("""COMPUTED_VALUE"""),"O'Donnell")</f>
        <v>O'Donnell</v>
      </c>
      <c r="J15" s="1"/>
      <c r="K15" s="1" t="str">
        <f ca="1">IFERROR(__xludf.DUMMYFUNCTION("""COMPUTED_VALUE"""),"Consumer")</f>
        <v>Consumer</v>
      </c>
      <c r="L15" s="1" t="str">
        <f ca="1">IFERROR(__xludf.DUMMYFUNCTION("""COMPUTED_VALUE"""),"United States")</f>
        <v>United States</v>
      </c>
      <c r="M15" s="1" t="str">
        <f ca="1">IFERROR(__xludf.DUMMYFUNCTION("""COMPUTED_VALUE"""),"Westland")</f>
        <v>Westland</v>
      </c>
      <c r="N15" s="1" t="str">
        <f ca="1">IFERROR(__xludf.DUMMYFUNCTION("""COMPUTED_VALUE"""),"Michigan")</f>
        <v>Michigan</v>
      </c>
      <c r="O15" s="1">
        <f ca="1">IFERROR(__xludf.DUMMYFUNCTION("""COMPUTED_VALUE"""),48185)</f>
        <v>48185</v>
      </c>
      <c r="P15" s="1" t="str">
        <f ca="1">IFERROR(__xludf.DUMMYFUNCTION("""COMPUTED_VALUE"""),"Central")</f>
        <v>Central</v>
      </c>
      <c r="Q15" s="1" t="str">
        <f ca="1">IFERROR(__xludf.DUMMYFUNCTION("""COMPUTED_VALUE"""),"OFF-ST-10001713")</f>
        <v>OFF-ST-10001713</v>
      </c>
      <c r="R15" s="1" t="str">
        <f ca="1">IFERROR(__xludf.DUMMYFUNCTION("""COMPUTED_VALUE"""),"Office Supplies")</f>
        <v>Office Supplies</v>
      </c>
      <c r="S15" s="7">
        <f ca="1">IFERROR(__xludf.DUMMYFUNCTION("""COMPUTED_VALUE"""),211.96)</f>
        <v>211.96</v>
      </c>
      <c r="T15" s="1">
        <f ca="1">IFERROR(__xludf.DUMMYFUNCTION("""COMPUTED_VALUE"""),4)</f>
        <v>4</v>
      </c>
      <c r="U15" s="9">
        <f ca="1">IFERROR(__xludf.DUMMYFUNCTION("""COMPUTED_VALUE"""),847.84)</f>
        <v>847.84</v>
      </c>
      <c r="V15" s="9">
        <f ca="1">IFERROR(__xludf.DUMMYFUNCTION("""COMPUTED_VALUE"""),845.84)</f>
        <v>845.84</v>
      </c>
      <c r="W15" s="12">
        <f ca="1">IFERROR(__xludf.DUMMYFUNCTION("""COMPUTED_VALUE"""),2)</f>
        <v>2</v>
      </c>
    </row>
    <row r="16" spans="1:23">
      <c r="A16" s="1" t="str">
        <f ca="1">IFERROR(__xludf.DUMMYFUNCTION("""COMPUTED_VALUE"""),"CA-2018-114440")</f>
        <v>CA-2018-114440</v>
      </c>
      <c r="B16" s="8">
        <f ca="1">IFERROR(__xludf.DUMMYFUNCTION("""COMPUTED_VALUE"""),43357)</f>
        <v>43357</v>
      </c>
      <c r="C16" s="1" t="str">
        <f ca="1">IFERROR(__xludf.DUMMYFUNCTION("""COMPUTED_VALUE"""),"Sep")</f>
        <v>Sep</v>
      </c>
      <c r="D16" s="1" t="str">
        <f ca="1">IFERROR(__xludf.DUMMYFUNCTION("""COMPUTED_VALUE"""),"Qtr 3")</f>
        <v>Qtr 3</v>
      </c>
      <c r="E16" s="1" t="str">
        <f ca="1">IFERROR(__xludf.DUMMYFUNCTION("""COMPUTED_VALUE"""),"17/09/2018")</f>
        <v>17/09/2018</v>
      </c>
      <c r="F16" s="1" t="str">
        <f ca="1">IFERROR(__xludf.DUMMYFUNCTION("""COMPUTED_VALUE"""),"Second Class")</f>
        <v>Second Class</v>
      </c>
      <c r="G16" s="1" t="str">
        <f ca="1">IFERROR(__xludf.DUMMYFUNCTION("""COMPUTED_VALUE"""),"TB-21520")</f>
        <v>TB-21520</v>
      </c>
      <c r="H16" s="1" t="str">
        <f ca="1">IFERROR(__xludf.DUMMYFUNCTION("""COMPUTED_VALUE"""),"Tracy")</f>
        <v>Tracy</v>
      </c>
      <c r="I16" s="1" t="str">
        <f ca="1">IFERROR(__xludf.DUMMYFUNCTION("""COMPUTED_VALUE"""),"Blumstein")</f>
        <v>Blumstein</v>
      </c>
      <c r="J16" s="1"/>
      <c r="K16" s="1" t="str">
        <f ca="1">IFERROR(__xludf.DUMMYFUNCTION("""COMPUTED_VALUE"""),"Consumer")</f>
        <v>Consumer</v>
      </c>
      <c r="L16" s="1" t="str">
        <f ca="1">IFERROR(__xludf.DUMMYFUNCTION("""COMPUTED_VALUE"""),"United States")</f>
        <v>United States</v>
      </c>
      <c r="M16" s="1" t="str">
        <f ca="1">IFERROR(__xludf.DUMMYFUNCTION("""COMPUTED_VALUE"""),"Jackson")</f>
        <v>Jackson</v>
      </c>
      <c r="N16" s="1" t="str">
        <f ca="1">IFERROR(__xludf.DUMMYFUNCTION("""COMPUTED_VALUE"""),"Michigan")</f>
        <v>Michigan</v>
      </c>
      <c r="O16" s="1">
        <f ca="1">IFERROR(__xludf.DUMMYFUNCTION("""COMPUTED_VALUE"""),49201)</f>
        <v>49201</v>
      </c>
      <c r="P16" s="1" t="str">
        <f ca="1">IFERROR(__xludf.DUMMYFUNCTION("""COMPUTED_VALUE"""),"Central")</f>
        <v>Central</v>
      </c>
      <c r="Q16" s="1" t="str">
        <f ca="1">IFERROR(__xludf.DUMMYFUNCTION("""COMPUTED_VALUE"""),"OFF-PA-10004675")</f>
        <v>OFF-PA-10004675</v>
      </c>
      <c r="R16" s="1" t="str">
        <f ca="1">IFERROR(__xludf.DUMMYFUNCTION("""COMPUTED_VALUE"""),"Office Supplies")</f>
        <v>Office Supplies</v>
      </c>
      <c r="S16" s="7">
        <f ca="1">IFERROR(__xludf.DUMMYFUNCTION("""COMPUTED_VALUE"""),19.05)</f>
        <v>19.05</v>
      </c>
      <c r="T16" s="1">
        <f ca="1">IFERROR(__xludf.DUMMYFUNCTION("""COMPUTED_VALUE"""),4)</f>
        <v>4</v>
      </c>
      <c r="U16" s="9">
        <f ca="1">IFERROR(__xludf.DUMMYFUNCTION("""COMPUTED_VALUE"""),76.2)</f>
        <v>76.2</v>
      </c>
      <c r="V16" s="9">
        <f ca="1">IFERROR(__xludf.DUMMYFUNCTION("""COMPUTED_VALUE"""),75.16)</f>
        <v>75.16</v>
      </c>
      <c r="W16" s="12">
        <f ca="1">IFERROR(__xludf.DUMMYFUNCTION("""COMPUTED_VALUE"""),1.04)</f>
        <v>1.04</v>
      </c>
    </row>
    <row r="17" spans="1:23">
      <c r="A17" s="1" t="str">
        <f ca="1">IFERROR(__xludf.DUMMYFUNCTION("""COMPUTED_VALUE"""),"US-2015-147606")</f>
        <v>US-2015-147606</v>
      </c>
      <c r="B17" s="8">
        <f ca="1">IFERROR(__xludf.DUMMYFUNCTION("""COMPUTED_VALUE"""),42334)</f>
        <v>42334</v>
      </c>
      <c r="C17" s="1" t="str">
        <f ca="1">IFERROR(__xludf.DUMMYFUNCTION("""COMPUTED_VALUE"""),"Nov")</f>
        <v>Nov</v>
      </c>
      <c r="D17" s="1" t="str">
        <f ca="1">IFERROR(__xludf.DUMMYFUNCTION("""COMPUTED_VALUE"""),"Qtr 4")</f>
        <v>Qtr 4</v>
      </c>
      <c r="E17" s="1" t="str">
        <f ca="1">IFERROR(__xludf.DUMMYFUNCTION("""COMPUTED_VALUE"""),"1/12/2015")</f>
        <v>1/12/2015</v>
      </c>
      <c r="F17" s="1" t="str">
        <f ca="1">IFERROR(__xludf.DUMMYFUNCTION("""COMPUTED_VALUE"""),"Second Class")</f>
        <v>Second Class</v>
      </c>
      <c r="G17" s="1" t="str">
        <f ca="1">IFERROR(__xludf.DUMMYFUNCTION("""COMPUTED_VALUE"""),"JE-15745")</f>
        <v>JE-15745</v>
      </c>
      <c r="H17" s="1" t="str">
        <f ca="1">IFERROR(__xludf.DUMMYFUNCTION("""COMPUTED_VALUE"""),"Joel")</f>
        <v>Joel</v>
      </c>
      <c r="I17" s="1" t="str">
        <f ca="1">IFERROR(__xludf.DUMMYFUNCTION("""COMPUTED_VALUE"""),"Eaton")</f>
        <v>Eaton</v>
      </c>
      <c r="J17" s="1"/>
      <c r="K17" s="1" t="str">
        <f ca="1">IFERROR(__xludf.DUMMYFUNCTION("""COMPUTED_VALUE"""),"Consumer")</f>
        <v>Consumer</v>
      </c>
      <c r="L17" s="1" t="str">
        <f ca="1">IFERROR(__xludf.DUMMYFUNCTION("""COMPUTED_VALUE"""),"United States")</f>
        <v>United States</v>
      </c>
      <c r="M17" s="1" t="str">
        <f ca="1">IFERROR(__xludf.DUMMYFUNCTION("""COMPUTED_VALUE"""),"Houston")</f>
        <v>Houston</v>
      </c>
      <c r="N17" s="1" t="str">
        <f ca="1">IFERROR(__xludf.DUMMYFUNCTION("""COMPUTED_VALUE"""),"Texas")</f>
        <v>Texas</v>
      </c>
      <c r="O17" s="1">
        <f ca="1">IFERROR(__xludf.DUMMYFUNCTION("""COMPUTED_VALUE"""),77070)</f>
        <v>77070</v>
      </c>
      <c r="P17" s="1" t="str">
        <f ca="1">IFERROR(__xludf.DUMMYFUNCTION("""COMPUTED_VALUE"""),"Central")</f>
        <v>Central</v>
      </c>
      <c r="Q17" s="1" t="str">
        <f ca="1">IFERROR(__xludf.DUMMYFUNCTION("""COMPUTED_VALUE"""),"FUR-FU-10003194")</f>
        <v>FUR-FU-10003194</v>
      </c>
      <c r="R17" s="1" t="str">
        <f ca="1">IFERROR(__xludf.DUMMYFUNCTION("""COMPUTED_VALUE"""),"Furniture")</f>
        <v>Furniture</v>
      </c>
      <c r="S17" s="7">
        <f ca="1">IFERROR(__xludf.DUMMYFUNCTION("""COMPUTED_VALUE"""),19.3)</f>
        <v>19.3</v>
      </c>
      <c r="T17" s="1">
        <f ca="1">IFERROR(__xludf.DUMMYFUNCTION("""COMPUTED_VALUE"""),7)</f>
        <v>7</v>
      </c>
      <c r="U17" s="9">
        <f ca="1">IFERROR(__xludf.DUMMYFUNCTION("""COMPUTED_VALUE"""),135.1)</f>
        <v>135.1</v>
      </c>
      <c r="V17" s="9">
        <f ca="1">IFERROR(__xludf.DUMMYFUNCTION("""COMPUTED_VALUE"""),130.549999999999)</f>
        <v>130.54999999999899</v>
      </c>
      <c r="W17" s="12">
        <f ca="1">IFERROR(__xludf.DUMMYFUNCTION("""COMPUTED_VALUE"""),4.55000000000001)</f>
        <v>4.5500000000000096</v>
      </c>
    </row>
    <row r="18" spans="1:23">
      <c r="A18" s="1" t="str">
        <f ca="1">IFERROR(__xludf.DUMMYFUNCTION("""COMPUTED_VALUE"""),"CA-2018-140088")</f>
        <v>CA-2018-140088</v>
      </c>
      <c r="B18" s="8">
        <f ca="1">IFERROR(__xludf.DUMMYFUNCTION("""COMPUTED_VALUE"""),43248)</f>
        <v>43248</v>
      </c>
      <c r="C18" s="1" t="str">
        <f ca="1">IFERROR(__xludf.DUMMYFUNCTION("""COMPUTED_VALUE"""),"May")</f>
        <v>May</v>
      </c>
      <c r="D18" s="1" t="str">
        <f ca="1">IFERROR(__xludf.DUMMYFUNCTION("""COMPUTED_VALUE"""),"Qtr 2")</f>
        <v>Qtr 2</v>
      </c>
      <c r="E18" s="1" t="str">
        <f ca="1">IFERROR(__xludf.DUMMYFUNCTION("""COMPUTED_VALUE"""),"30/05/2018")</f>
        <v>30/05/2018</v>
      </c>
      <c r="F18" s="1" t="str">
        <f ca="1">IFERROR(__xludf.DUMMYFUNCTION("""COMPUTED_VALUE"""),"Second Class")</f>
        <v>Second Class</v>
      </c>
      <c r="G18" s="1" t="str">
        <f ca="1">IFERROR(__xludf.DUMMYFUNCTION("""COMPUTED_VALUE"""),"PO-18865")</f>
        <v>PO-18865</v>
      </c>
      <c r="H18" s="1" t="str">
        <f ca="1">IFERROR(__xludf.DUMMYFUNCTION("""COMPUTED_VALUE"""),"Patrick")</f>
        <v>Patrick</v>
      </c>
      <c r="I18" s="1" t="str">
        <f ca="1">IFERROR(__xludf.DUMMYFUNCTION("""COMPUTED_VALUE"""),"O'Donnell")</f>
        <v>O'Donnell</v>
      </c>
      <c r="J18" s="1"/>
      <c r="K18" s="1" t="str">
        <f ca="1">IFERROR(__xludf.DUMMYFUNCTION("""COMPUTED_VALUE"""),"Consumer")</f>
        <v>Consumer</v>
      </c>
      <c r="L18" s="1" t="str">
        <f ca="1">IFERROR(__xludf.DUMMYFUNCTION("""COMPUTED_VALUE"""),"United States")</f>
        <v>United States</v>
      </c>
      <c r="M18" s="1" t="str">
        <f ca="1">IFERROR(__xludf.DUMMYFUNCTION("""COMPUTED_VALUE"""),"Columbia")</f>
        <v>Columbia</v>
      </c>
      <c r="N18" s="1" t="str">
        <f ca="1">IFERROR(__xludf.DUMMYFUNCTION("""COMPUTED_VALUE"""),"South Carolina")</f>
        <v>South Carolina</v>
      </c>
      <c r="O18" s="1">
        <f ca="1">IFERROR(__xludf.DUMMYFUNCTION("""COMPUTED_VALUE"""),29203)</f>
        <v>29203</v>
      </c>
      <c r="P18" s="1" t="str">
        <f ca="1">IFERROR(__xludf.DUMMYFUNCTION("""COMPUTED_VALUE"""),"South")</f>
        <v>South</v>
      </c>
      <c r="Q18" s="1" t="str">
        <f ca="1">IFERROR(__xludf.DUMMYFUNCTION("""COMPUTED_VALUE"""),"FUR-CH-10000863")</f>
        <v>FUR-CH-10000863</v>
      </c>
      <c r="R18" s="1" t="str">
        <f ca="1">IFERROR(__xludf.DUMMYFUNCTION("""COMPUTED_VALUE"""),"Furniture")</f>
        <v>Furniture</v>
      </c>
      <c r="S18" s="7">
        <f ca="1">IFERROR(__xludf.DUMMYFUNCTION("""COMPUTED_VALUE"""),301.96)</f>
        <v>301.95999999999998</v>
      </c>
      <c r="T18" s="1">
        <f ca="1">IFERROR(__xludf.DUMMYFUNCTION("""COMPUTED_VALUE"""),2)</f>
        <v>2</v>
      </c>
      <c r="U18" s="9">
        <f ca="1">IFERROR(__xludf.DUMMYFUNCTION("""COMPUTED_VALUE"""),603.92)</f>
        <v>603.91999999999996</v>
      </c>
      <c r="V18" s="9">
        <f ca="1">IFERROR(__xludf.DUMMYFUNCTION("""COMPUTED_VALUE"""),602.14)</f>
        <v>602.14</v>
      </c>
      <c r="W18" s="12">
        <f ca="1">IFERROR(__xludf.DUMMYFUNCTION("""COMPUTED_VALUE"""),1.77999999999997)</f>
        <v>1.7799999999999701</v>
      </c>
    </row>
    <row r="19" spans="1:23">
      <c r="A19" s="1" t="str">
        <f ca="1">IFERROR(__xludf.DUMMYFUNCTION("""COMPUTED_VALUE"""),"CA-2017-159695")</f>
        <v>CA-2017-159695</v>
      </c>
      <c r="B19" s="8">
        <f ca="1">IFERROR(__xludf.DUMMYFUNCTION("""COMPUTED_VALUE"""),42859)</f>
        <v>42859</v>
      </c>
      <c r="C19" s="1" t="str">
        <f ca="1">IFERROR(__xludf.DUMMYFUNCTION("""COMPUTED_VALUE"""),"May")</f>
        <v>May</v>
      </c>
      <c r="D19" s="1" t="str">
        <f ca="1">IFERROR(__xludf.DUMMYFUNCTION("""COMPUTED_VALUE"""),"Qtr 2")</f>
        <v>Qtr 2</v>
      </c>
      <c r="E19" s="1" t="str">
        <f ca="1">IFERROR(__xludf.DUMMYFUNCTION("""COMPUTED_VALUE"""),"10/4/2017")</f>
        <v>10/4/2017</v>
      </c>
      <c r="F19" s="1" t="str">
        <f ca="1">IFERROR(__xludf.DUMMYFUNCTION("""COMPUTED_VALUE"""),"Second Class")</f>
        <v>Second Class</v>
      </c>
      <c r="G19" s="1" t="str">
        <f ca="1">IFERROR(__xludf.DUMMYFUNCTION("""COMPUTED_VALUE"""),"GM-14455")</f>
        <v>GM-14455</v>
      </c>
      <c r="H19" s="1" t="str">
        <f ca="1">IFERROR(__xludf.DUMMYFUNCTION("""COMPUTED_VALUE"""),"Gary")</f>
        <v>Gary</v>
      </c>
      <c r="I19" s="1" t="str">
        <f ca="1">IFERROR(__xludf.DUMMYFUNCTION("""COMPUTED_VALUE"""),"Mitchum")</f>
        <v>Mitchum</v>
      </c>
      <c r="J19" s="1"/>
      <c r="K19" s="1" t="str">
        <f ca="1">IFERROR(__xludf.DUMMYFUNCTION("""COMPUTED_VALUE"""),"Home Office")</f>
        <v>Home Office</v>
      </c>
      <c r="L19" s="1" t="str">
        <f ca="1">IFERROR(__xludf.DUMMYFUNCTION("""COMPUTED_VALUE"""),"United States")</f>
        <v>United States</v>
      </c>
      <c r="M19" s="1" t="str">
        <f ca="1">IFERROR(__xludf.DUMMYFUNCTION("""COMPUTED_VALUE"""),"Houston")</f>
        <v>Houston</v>
      </c>
      <c r="N19" s="1" t="str">
        <f ca="1">IFERROR(__xludf.DUMMYFUNCTION("""COMPUTED_VALUE"""),"Texas")</f>
        <v>Texas</v>
      </c>
      <c r="O19" s="1">
        <f ca="1">IFERROR(__xludf.DUMMYFUNCTION("""COMPUTED_VALUE"""),77095)</f>
        <v>77095</v>
      </c>
      <c r="P19" s="1" t="str">
        <f ca="1">IFERROR(__xludf.DUMMYFUNCTION("""COMPUTED_VALUE"""),"Central")</f>
        <v>Central</v>
      </c>
      <c r="Q19" s="1" t="str">
        <f ca="1">IFERROR(__xludf.DUMMYFUNCTION("""COMPUTED_VALUE"""),"OFF-ST-10003442")</f>
        <v>OFF-ST-10003442</v>
      </c>
      <c r="R19" s="1" t="str">
        <f ca="1">IFERROR(__xludf.DUMMYFUNCTION("""COMPUTED_VALUE"""),"Office Supplies")</f>
        <v>Office Supplies</v>
      </c>
      <c r="S19" s="7">
        <f ca="1">IFERROR(__xludf.DUMMYFUNCTION("""COMPUTED_VALUE"""),158.368)</f>
        <v>158.36799999999999</v>
      </c>
      <c r="T19" s="1">
        <f ca="1">IFERROR(__xludf.DUMMYFUNCTION("""COMPUTED_VALUE"""),7)</f>
        <v>7</v>
      </c>
      <c r="U19" s="9">
        <f ca="1">IFERROR(__xludf.DUMMYFUNCTION("""COMPUTED_VALUE"""),1108.576)</f>
        <v>1108.576</v>
      </c>
      <c r="V19" s="9">
        <f ca="1">IFERROR(__xludf.DUMMYFUNCTION("""COMPUTED_VALUE"""),1106.90999999999)</f>
        <v>1106.9099999999901</v>
      </c>
      <c r="W19" s="12">
        <f ca="1">IFERROR(__xludf.DUMMYFUNCTION("""COMPUTED_VALUE"""),1.66600000000016)</f>
        <v>1.66600000000016</v>
      </c>
    </row>
    <row r="20" spans="1:23">
      <c r="A20" s="1" t="str">
        <f ca="1">IFERROR(__xludf.DUMMYFUNCTION("""COMPUTED_VALUE"""),"CA-2016-149587")</f>
        <v>CA-2016-149587</v>
      </c>
      <c r="B20" s="8">
        <f ca="1">IFERROR(__xludf.DUMMYFUNCTION("""COMPUTED_VALUE"""),42400)</f>
        <v>42400</v>
      </c>
      <c r="C20" s="1" t="str">
        <f ca="1">IFERROR(__xludf.DUMMYFUNCTION("""COMPUTED_VALUE"""),"Jan")</f>
        <v>Jan</v>
      </c>
      <c r="D20" s="1" t="str">
        <f ca="1">IFERROR(__xludf.DUMMYFUNCTION("""COMPUTED_VALUE"""),"Qtr 1")</f>
        <v>Qtr 1</v>
      </c>
      <c r="E20" s="1" t="str">
        <f ca="1">IFERROR(__xludf.DUMMYFUNCTION("""COMPUTED_VALUE"""),"5/2/2016")</f>
        <v>5/2/2016</v>
      </c>
      <c r="F20" s="1" t="str">
        <f ca="1">IFERROR(__xludf.DUMMYFUNCTION("""COMPUTED_VALUE"""),"Second Class")</f>
        <v>Second Class</v>
      </c>
      <c r="G20" s="1" t="str">
        <f ca="1">IFERROR(__xludf.DUMMYFUNCTION("""COMPUTED_VALUE"""),"KB-16315")</f>
        <v>KB-16315</v>
      </c>
      <c r="H20" s="1" t="str">
        <f ca="1">IFERROR(__xludf.DUMMYFUNCTION("""COMPUTED_VALUE"""),"Karl")</f>
        <v>Karl</v>
      </c>
      <c r="I20" s="1" t="str">
        <f ca="1">IFERROR(__xludf.DUMMYFUNCTION("""COMPUTED_VALUE"""),"Braun")</f>
        <v>Braun</v>
      </c>
      <c r="J20" s="1"/>
      <c r="K20" s="1" t="str">
        <f ca="1">IFERROR(__xludf.DUMMYFUNCTION("""COMPUTED_VALUE"""),"Consumer")</f>
        <v>Consumer</v>
      </c>
      <c r="L20" s="1" t="str">
        <f ca="1">IFERROR(__xludf.DUMMYFUNCTION("""COMPUTED_VALUE"""),"United States")</f>
        <v>United States</v>
      </c>
      <c r="M20" s="1" t="str">
        <f ca="1">IFERROR(__xludf.DUMMYFUNCTION("""COMPUTED_VALUE"""),"Minneapolis")</f>
        <v>Minneapolis</v>
      </c>
      <c r="N20" s="1" t="str">
        <f ca="1">IFERROR(__xludf.DUMMYFUNCTION("""COMPUTED_VALUE"""),"Minnesota")</f>
        <v>Minnesota</v>
      </c>
      <c r="O20" s="1">
        <f ca="1">IFERROR(__xludf.DUMMYFUNCTION("""COMPUTED_VALUE"""),55407)</f>
        <v>55407</v>
      </c>
      <c r="P20" s="1" t="str">
        <f ca="1">IFERROR(__xludf.DUMMYFUNCTION("""COMPUTED_VALUE"""),"Central")</f>
        <v>Central</v>
      </c>
      <c r="Q20" s="1" t="str">
        <f ca="1">IFERROR(__xludf.DUMMYFUNCTION("""COMPUTED_VALUE"""),"OFF-PA-10003177")</f>
        <v>OFF-PA-10003177</v>
      </c>
      <c r="R20" s="1" t="str">
        <f ca="1">IFERROR(__xludf.DUMMYFUNCTION("""COMPUTED_VALUE"""),"Office Supplies")</f>
        <v>Office Supplies</v>
      </c>
      <c r="S20" s="7">
        <f ca="1">IFERROR(__xludf.DUMMYFUNCTION("""COMPUTED_VALUE"""),12.96)</f>
        <v>12.96</v>
      </c>
      <c r="T20" s="1">
        <f ca="1">IFERROR(__xludf.DUMMYFUNCTION("""COMPUTED_VALUE"""),5)</f>
        <v>5</v>
      </c>
      <c r="U20" s="9">
        <f ca="1">IFERROR(__xludf.DUMMYFUNCTION("""COMPUTED_VALUE"""),64.8)</f>
        <v>64.8</v>
      </c>
      <c r="V20" s="9">
        <f ca="1">IFERROR(__xludf.DUMMYFUNCTION("""COMPUTED_VALUE"""),63.4499999999999)</f>
        <v>63.449999999999903</v>
      </c>
      <c r="W20" s="12">
        <f ca="1">IFERROR(__xludf.DUMMYFUNCTION("""COMPUTED_VALUE"""),1.35000000000001)</f>
        <v>1.3500000000000101</v>
      </c>
    </row>
    <row r="21" spans="1:23">
      <c r="A21" s="1" t="str">
        <f ca="1">IFERROR(__xludf.DUMMYFUNCTION("""COMPUTED_VALUE"""),"CA-2016-149587")</f>
        <v>CA-2016-149587</v>
      </c>
      <c r="B21" s="8">
        <f ca="1">IFERROR(__xludf.DUMMYFUNCTION("""COMPUTED_VALUE"""),42400)</f>
        <v>42400</v>
      </c>
      <c r="C21" s="1" t="str">
        <f ca="1">IFERROR(__xludf.DUMMYFUNCTION("""COMPUTED_VALUE"""),"Jan")</f>
        <v>Jan</v>
      </c>
      <c r="D21" s="1" t="str">
        <f ca="1">IFERROR(__xludf.DUMMYFUNCTION("""COMPUTED_VALUE"""),"Qtr 1")</f>
        <v>Qtr 1</v>
      </c>
      <c r="E21" s="1" t="str">
        <f ca="1">IFERROR(__xludf.DUMMYFUNCTION("""COMPUTED_VALUE"""),"5/2/2016")</f>
        <v>5/2/2016</v>
      </c>
      <c r="F21" s="1" t="str">
        <f ca="1">IFERROR(__xludf.DUMMYFUNCTION("""COMPUTED_VALUE"""),"Second Class")</f>
        <v>Second Class</v>
      </c>
      <c r="G21" s="1" t="str">
        <f ca="1">IFERROR(__xludf.DUMMYFUNCTION("""COMPUTED_VALUE"""),"KB-16315")</f>
        <v>KB-16315</v>
      </c>
      <c r="H21" s="1" t="str">
        <f ca="1">IFERROR(__xludf.DUMMYFUNCTION("""COMPUTED_VALUE"""),"Karl")</f>
        <v>Karl</v>
      </c>
      <c r="I21" s="1" t="str">
        <f ca="1">IFERROR(__xludf.DUMMYFUNCTION("""COMPUTED_VALUE"""),"Braun")</f>
        <v>Braun</v>
      </c>
      <c r="J21" s="1"/>
      <c r="K21" s="1" t="str">
        <f ca="1">IFERROR(__xludf.DUMMYFUNCTION("""COMPUTED_VALUE"""),"Consumer")</f>
        <v>Consumer</v>
      </c>
      <c r="L21" s="1" t="str">
        <f ca="1">IFERROR(__xludf.DUMMYFUNCTION("""COMPUTED_VALUE"""),"United States")</f>
        <v>United States</v>
      </c>
      <c r="M21" s="1" t="str">
        <f ca="1">IFERROR(__xludf.DUMMYFUNCTION("""COMPUTED_VALUE"""),"Minneapolis")</f>
        <v>Minneapolis</v>
      </c>
      <c r="N21" s="1" t="str">
        <f ca="1">IFERROR(__xludf.DUMMYFUNCTION("""COMPUTED_VALUE"""),"Minnesota")</f>
        <v>Minnesota</v>
      </c>
      <c r="O21" s="1">
        <f ca="1">IFERROR(__xludf.DUMMYFUNCTION("""COMPUTED_VALUE"""),55407)</f>
        <v>55407</v>
      </c>
      <c r="P21" s="1" t="str">
        <f ca="1">IFERROR(__xludf.DUMMYFUNCTION("""COMPUTED_VALUE"""),"Central")</f>
        <v>Central</v>
      </c>
      <c r="Q21" s="1" t="str">
        <f ca="1">IFERROR(__xludf.DUMMYFUNCTION("""COMPUTED_VALUE"""),"FUR-FU-10003799")</f>
        <v>FUR-FU-10003799</v>
      </c>
      <c r="R21" s="1" t="str">
        <f ca="1">IFERROR(__xludf.DUMMYFUNCTION("""COMPUTED_VALUE"""),"Furniture")</f>
        <v>Furniture</v>
      </c>
      <c r="S21" s="7">
        <f ca="1">IFERROR(__xludf.DUMMYFUNCTION("""COMPUTED_VALUE"""),53.34)</f>
        <v>53.34</v>
      </c>
      <c r="T21" s="1">
        <f ca="1">IFERROR(__xludf.DUMMYFUNCTION("""COMPUTED_VALUE"""),5)</f>
        <v>5</v>
      </c>
      <c r="U21" s="9">
        <f ca="1">IFERROR(__xludf.DUMMYFUNCTION("""COMPUTED_VALUE"""),266.7)</f>
        <v>266.7</v>
      </c>
      <c r="V21" s="9">
        <f ca="1">IFERROR(__xludf.DUMMYFUNCTION("""COMPUTED_VALUE"""),266.5)</f>
        <v>266.5</v>
      </c>
      <c r="W21" s="12">
        <f ca="1">IFERROR(__xludf.DUMMYFUNCTION("""COMPUTED_VALUE"""),0.200000000000045)</f>
        <v>0.200000000000045</v>
      </c>
    </row>
    <row r="22" spans="1:23">
      <c r="A22" s="1" t="str">
        <f ca="1">IFERROR(__xludf.DUMMYFUNCTION("""COMPUTED_VALUE"""),"CA-2016-149587")</f>
        <v>CA-2016-149587</v>
      </c>
      <c r="B22" s="8">
        <f ca="1">IFERROR(__xludf.DUMMYFUNCTION("""COMPUTED_VALUE"""),42400)</f>
        <v>42400</v>
      </c>
      <c r="C22" s="1" t="str">
        <f ca="1">IFERROR(__xludf.DUMMYFUNCTION("""COMPUTED_VALUE"""),"Jan")</f>
        <v>Jan</v>
      </c>
      <c r="D22" s="1" t="str">
        <f ca="1">IFERROR(__xludf.DUMMYFUNCTION("""COMPUTED_VALUE"""),"Qtr 1")</f>
        <v>Qtr 1</v>
      </c>
      <c r="E22" s="1" t="str">
        <f ca="1">IFERROR(__xludf.DUMMYFUNCTION("""COMPUTED_VALUE"""),"5/2/2016")</f>
        <v>5/2/2016</v>
      </c>
      <c r="F22" s="1" t="str">
        <f ca="1">IFERROR(__xludf.DUMMYFUNCTION("""COMPUTED_VALUE"""),"Second Class")</f>
        <v>Second Class</v>
      </c>
      <c r="G22" s="1" t="str">
        <f ca="1">IFERROR(__xludf.DUMMYFUNCTION("""COMPUTED_VALUE"""),"KB-16315")</f>
        <v>KB-16315</v>
      </c>
      <c r="H22" s="1" t="str">
        <f ca="1">IFERROR(__xludf.DUMMYFUNCTION("""COMPUTED_VALUE"""),"Karl")</f>
        <v>Karl</v>
      </c>
      <c r="I22" s="1" t="str">
        <f ca="1">IFERROR(__xludf.DUMMYFUNCTION("""COMPUTED_VALUE"""),"Braun")</f>
        <v>Braun</v>
      </c>
      <c r="J22" s="1"/>
      <c r="K22" s="1" t="str">
        <f ca="1">IFERROR(__xludf.DUMMYFUNCTION("""COMPUTED_VALUE"""),"Consumer")</f>
        <v>Consumer</v>
      </c>
      <c r="L22" s="1" t="str">
        <f ca="1">IFERROR(__xludf.DUMMYFUNCTION("""COMPUTED_VALUE"""),"United States")</f>
        <v>United States</v>
      </c>
      <c r="M22" s="1" t="str">
        <f ca="1">IFERROR(__xludf.DUMMYFUNCTION("""COMPUTED_VALUE"""),"Minneapolis")</f>
        <v>Minneapolis</v>
      </c>
      <c r="N22" s="1" t="str">
        <f ca="1">IFERROR(__xludf.DUMMYFUNCTION("""COMPUTED_VALUE"""),"Minnesota")</f>
        <v>Minnesota</v>
      </c>
      <c r="O22" s="1">
        <f ca="1">IFERROR(__xludf.DUMMYFUNCTION("""COMPUTED_VALUE"""),55407)</f>
        <v>55407</v>
      </c>
      <c r="P22" s="1" t="str">
        <f ca="1">IFERROR(__xludf.DUMMYFUNCTION("""COMPUTED_VALUE"""),"Central")</f>
        <v>Central</v>
      </c>
      <c r="Q22" s="1" t="str">
        <f ca="1">IFERROR(__xludf.DUMMYFUNCTION("""COMPUTED_VALUE"""),"OFF-BI-10002852")</f>
        <v>OFF-BI-10002852</v>
      </c>
      <c r="R22" s="1" t="str">
        <f ca="1">IFERROR(__xludf.DUMMYFUNCTION("""COMPUTED_VALUE"""),"Office Supplies")</f>
        <v>Office Supplies</v>
      </c>
      <c r="S22" s="7">
        <f ca="1">IFERROR(__xludf.DUMMYFUNCTION("""COMPUTED_VALUE"""),32.96)</f>
        <v>32.96</v>
      </c>
      <c r="T22" s="1">
        <f ca="1">IFERROR(__xludf.DUMMYFUNCTION("""COMPUTED_VALUE"""),5)</f>
        <v>5</v>
      </c>
      <c r="U22" s="9">
        <f ca="1">IFERROR(__xludf.DUMMYFUNCTION("""COMPUTED_VALUE"""),164.8)</f>
        <v>164.8</v>
      </c>
      <c r="V22" s="9">
        <f ca="1">IFERROR(__xludf.DUMMYFUNCTION("""COMPUTED_VALUE"""),162.75)</f>
        <v>162.75</v>
      </c>
      <c r="W22" s="12">
        <f ca="1">IFERROR(__xludf.DUMMYFUNCTION("""COMPUTED_VALUE"""),2.05000000000001)</f>
        <v>2.05000000000001</v>
      </c>
    </row>
    <row r="23" spans="1:23">
      <c r="A23" s="1" t="str">
        <f ca="1">IFERROR(__xludf.DUMMYFUNCTION("""COMPUTED_VALUE"""),"CA-2018-161018")</f>
        <v>CA-2018-161018</v>
      </c>
      <c r="B23" s="8">
        <f ca="1">IFERROR(__xludf.DUMMYFUNCTION("""COMPUTED_VALUE"""),43354)</f>
        <v>43354</v>
      </c>
      <c r="C23" s="1" t="str">
        <f ca="1">IFERROR(__xludf.DUMMYFUNCTION("""COMPUTED_VALUE"""),"Sep")</f>
        <v>Sep</v>
      </c>
      <c r="D23" s="1" t="str">
        <f ca="1">IFERROR(__xludf.DUMMYFUNCTION("""COMPUTED_VALUE"""),"Qtr 3")</f>
        <v>Qtr 3</v>
      </c>
      <c r="E23" s="1" t="str">
        <f ca="1">IFERROR(__xludf.DUMMYFUNCTION("""COMPUTED_VALUE"""),"11/11/2018")</f>
        <v>11/11/2018</v>
      </c>
      <c r="F23" s="1" t="str">
        <f ca="1">IFERROR(__xludf.DUMMYFUNCTION("""COMPUTED_VALUE"""),"Second Class")</f>
        <v>Second Class</v>
      </c>
      <c r="G23" s="1" t="str">
        <f ca="1">IFERROR(__xludf.DUMMYFUNCTION("""COMPUTED_VALUE"""),"PN-18775")</f>
        <v>PN-18775</v>
      </c>
      <c r="H23" s="1" t="str">
        <f ca="1">IFERROR(__xludf.DUMMYFUNCTION("""COMPUTED_VALUE"""),"Parhena")</f>
        <v>Parhena</v>
      </c>
      <c r="I23" s="1" t="str">
        <f ca="1">IFERROR(__xludf.DUMMYFUNCTION("""COMPUTED_VALUE"""),"Norris")</f>
        <v>Norris</v>
      </c>
      <c r="J23" s="1"/>
      <c r="K23" s="1" t="str">
        <f ca="1">IFERROR(__xludf.DUMMYFUNCTION("""COMPUTED_VALUE"""),"Home Office")</f>
        <v>Home Office</v>
      </c>
      <c r="L23" s="1" t="str">
        <f ca="1">IFERROR(__xludf.DUMMYFUNCTION("""COMPUTED_VALUE"""),"United States")</f>
        <v>United States</v>
      </c>
      <c r="M23" s="1" t="str">
        <f ca="1">IFERROR(__xludf.DUMMYFUNCTION("""COMPUTED_VALUE"""),"New York City")</f>
        <v>New York City</v>
      </c>
      <c r="N23" s="1" t="str">
        <f ca="1">IFERROR(__xludf.DUMMYFUNCTION("""COMPUTED_VALUE"""),"New York")</f>
        <v>New York</v>
      </c>
      <c r="O23" s="1">
        <f ca="1">IFERROR(__xludf.DUMMYFUNCTION("""COMPUTED_VALUE"""),10009)</f>
        <v>10009</v>
      </c>
      <c r="P23" s="1" t="str">
        <f ca="1">IFERROR(__xludf.DUMMYFUNCTION("""COMPUTED_VALUE"""),"East")</f>
        <v>East</v>
      </c>
      <c r="Q23" s="1" t="str">
        <f ca="1">IFERROR(__xludf.DUMMYFUNCTION("""COMPUTED_VALUE"""),"FUR-FU-10000629")</f>
        <v>FUR-FU-10000629</v>
      </c>
      <c r="R23" s="1" t="str">
        <f ca="1">IFERROR(__xludf.DUMMYFUNCTION("""COMPUTED_VALUE"""),"Furniture")</f>
        <v>Furniture</v>
      </c>
      <c r="S23" s="7">
        <f ca="1">IFERROR(__xludf.DUMMYFUNCTION("""COMPUTED_VALUE"""),96.53)</f>
        <v>96.53</v>
      </c>
      <c r="T23" s="1">
        <f ca="1">IFERROR(__xludf.DUMMYFUNCTION("""COMPUTED_VALUE"""),1)</f>
        <v>1</v>
      </c>
      <c r="U23" s="9">
        <f ca="1">IFERROR(__xludf.DUMMYFUNCTION("""COMPUTED_VALUE"""),96.53)</f>
        <v>96.53</v>
      </c>
      <c r="V23" s="9">
        <f ca="1">IFERROR(__xludf.DUMMYFUNCTION("""COMPUTED_VALUE"""),95.66)</f>
        <v>95.66</v>
      </c>
      <c r="W23" s="12">
        <f ca="1">IFERROR(__xludf.DUMMYFUNCTION("""COMPUTED_VALUE"""),0.870000000000004)</f>
        <v>0.87000000000000399</v>
      </c>
    </row>
    <row r="24" spans="1:23">
      <c r="A24" s="1" t="str">
        <f ca="1">IFERROR(__xludf.DUMMYFUNCTION("""COMPUTED_VALUE"""),"CA-2017-129903")</f>
        <v>CA-2017-129903</v>
      </c>
      <c r="B24" s="8">
        <f ca="1">IFERROR(__xludf.DUMMYFUNCTION("""COMPUTED_VALUE"""),42747)</f>
        <v>42747</v>
      </c>
      <c r="C24" s="1" t="str">
        <f ca="1">IFERROR(__xludf.DUMMYFUNCTION("""COMPUTED_VALUE"""),"Jan")</f>
        <v>Jan</v>
      </c>
      <c r="D24" s="1" t="str">
        <f ca="1">IFERROR(__xludf.DUMMYFUNCTION("""COMPUTED_VALUE"""),"Qtr 1")</f>
        <v>Qtr 1</v>
      </c>
      <c r="E24" s="1" t="str">
        <f ca="1">IFERROR(__xludf.DUMMYFUNCTION("""COMPUTED_VALUE"""),"4/12/2017")</f>
        <v>4/12/2017</v>
      </c>
      <c r="F24" s="1" t="str">
        <f ca="1">IFERROR(__xludf.DUMMYFUNCTION("""COMPUTED_VALUE"""),"Second Class")</f>
        <v>Second Class</v>
      </c>
      <c r="G24" s="1" t="str">
        <f ca="1">IFERROR(__xludf.DUMMYFUNCTION("""COMPUTED_VALUE"""),"GZ-14470")</f>
        <v>GZ-14470</v>
      </c>
      <c r="H24" s="1" t="str">
        <f ca="1">IFERROR(__xludf.DUMMYFUNCTION("""COMPUTED_VALUE"""),"Gary")</f>
        <v>Gary</v>
      </c>
      <c r="I24" s="1" t="str">
        <f ca="1">IFERROR(__xludf.DUMMYFUNCTION("""COMPUTED_VALUE"""),"Zandusky")</f>
        <v>Zandusky</v>
      </c>
      <c r="J24" s="1"/>
      <c r="K24" s="1" t="str">
        <f ca="1">IFERROR(__xludf.DUMMYFUNCTION("""COMPUTED_VALUE"""),"Consumer")</f>
        <v>Consumer</v>
      </c>
      <c r="L24" s="1" t="str">
        <f ca="1">IFERROR(__xludf.DUMMYFUNCTION("""COMPUTED_VALUE"""),"United States")</f>
        <v>United States</v>
      </c>
      <c r="M24" s="1" t="str">
        <f ca="1">IFERROR(__xludf.DUMMYFUNCTION("""COMPUTED_VALUE"""),"Rochester")</f>
        <v>Rochester</v>
      </c>
      <c r="N24" s="1" t="str">
        <f ca="1">IFERROR(__xludf.DUMMYFUNCTION("""COMPUTED_VALUE"""),"Minnesota")</f>
        <v>Minnesota</v>
      </c>
      <c r="O24" s="1">
        <f ca="1">IFERROR(__xludf.DUMMYFUNCTION("""COMPUTED_VALUE"""),55901)</f>
        <v>55901</v>
      </c>
      <c r="P24" s="1" t="str">
        <f ca="1">IFERROR(__xludf.DUMMYFUNCTION("""COMPUTED_VALUE"""),"Central")</f>
        <v>Central</v>
      </c>
      <c r="Q24" s="1" t="str">
        <f ca="1">IFERROR(__xludf.DUMMYFUNCTION("""COMPUTED_VALUE"""),"OFF-PA-10004040")</f>
        <v>OFF-PA-10004040</v>
      </c>
      <c r="R24" s="1" t="str">
        <f ca="1">IFERROR(__xludf.DUMMYFUNCTION("""COMPUTED_VALUE"""),"Office Supplies")</f>
        <v>Office Supplies</v>
      </c>
      <c r="S24" s="7">
        <f ca="1">IFERROR(__xludf.DUMMYFUNCTION("""COMPUTED_VALUE"""),23.92)</f>
        <v>23.92</v>
      </c>
      <c r="T24" s="1">
        <f ca="1">IFERROR(__xludf.DUMMYFUNCTION("""COMPUTED_VALUE"""),5)</f>
        <v>5</v>
      </c>
      <c r="U24" s="9">
        <f ca="1">IFERROR(__xludf.DUMMYFUNCTION("""COMPUTED_VALUE"""),119.6)</f>
        <v>119.6</v>
      </c>
      <c r="V24" s="9">
        <f ca="1">IFERROR(__xludf.DUMMYFUNCTION("""COMPUTED_VALUE"""),115.75)</f>
        <v>115.75</v>
      </c>
      <c r="W24" s="12">
        <f ca="1">IFERROR(__xludf.DUMMYFUNCTION("""COMPUTED_VALUE"""),3.85)</f>
        <v>3.85</v>
      </c>
    </row>
    <row r="25" spans="1:23">
      <c r="A25" s="1" t="str">
        <f ca="1">IFERROR(__xludf.DUMMYFUNCTION("""COMPUTED_VALUE"""),"CA-2015-115259")</f>
        <v>CA-2015-115259</v>
      </c>
      <c r="B25" s="8">
        <f ca="1">IFERROR(__xludf.DUMMYFUNCTION("""COMPUTED_VALUE"""),42241)</f>
        <v>42241</v>
      </c>
      <c r="C25" s="1" t="str">
        <f ca="1">IFERROR(__xludf.DUMMYFUNCTION("""COMPUTED_VALUE"""),"Aug")</f>
        <v>Aug</v>
      </c>
      <c r="D25" s="1" t="str">
        <f ca="1">IFERROR(__xludf.DUMMYFUNCTION("""COMPUTED_VALUE"""),"Qtr 3")</f>
        <v>Qtr 3</v>
      </c>
      <c r="E25" s="1" t="str">
        <f ca="1">IFERROR(__xludf.DUMMYFUNCTION("""COMPUTED_VALUE"""),"27/08/2015")</f>
        <v>27/08/2015</v>
      </c>
      <c r="F25" s="1" t="str">
        <f ca="1">IFERROR(__xludf.DUMMYFUNCTION("""COMPUTED_VALUE"""),"Second Class")</f>
        <v>Second Class</v>
      </c>
      <c r="G25" s="1" t="str">
        <f ca="1">IFERROR(__xludf.DUMMYFUNCTION("""COMPUTED_VALUE"""),"RC-19960")</f>
        <v>RC-19960</v>
      </c>
      <c r="H25" s="1" t="str">
        <f ca="1">IFERROR(__xludf.DUMMYFUNCTION("""COMPUTED_VALUE"""),"Ryan")</f>
        <v>Ryan</v>
      </c>
      <c r="I25" s="1" t="str">
        <f ca="1">IFERROR(__xludf.DUMMYFUNCTION("""COMPUTED_VALUE"""),"Crowe")</f>
        <v>Crowe</v>
      </c>
      <c r="J25" s="1"/>
      <c r="K25" s="1" t="str">
        <f ca="1">IFERROR(__xludf.DUMMYFUNCTION("""COMPUTED_VALUE"""),"Consumer")</f>
        <v>Consumer</v>
      </c>
      <c r="L25" s="1" t="str">
        <f ca="1">IFERROR(__xludf.DUMMYFUNCTION("""COMPUTED_VALUE"""),"United States")</f>
        <v>United States</v>
      </c>
      <c r="M25" s="1" t="str">
        <f ca="1">IFERROR(__xludf.DUMMYFUNCTION("""COMPUTED_VALUE"""),"Columbus")</f>
        <v>Columbus</v>
      </c>
      <c r="N25" s="1" t="str">
        <f ca="1">IFERROR(__xludf.DUMMYFUNCTION("""COMPUTED_VALUE"""),"Ohio")</f>
        <v>Ohio</v>
      </c>
      <c r="O25" s="1">
        <f ca="1">IFERROR(__xludf.DUMMYFUNCTION("""COMPUTED_VALUE"""),43229)</f>
        <v>43229</v>
      </c>
      <c r="P25" s="1" t="str">
        <f ca="1">IFERROR(__xludf.DUMMYFUNCTION("""COMPUTED_VALUE"""),"East")</f>
        <v>East</v>
      </c>
      <c r="Q25" s="1" t="str">
        <f ca="1">IFERROR(__xludf.DUMMYFUNCTION("""COMPUTED_VALUE"""),"OFF-FA-10000621")</f>
        <v>OFF-FA-10000621</v>
      </c>
      <c r="R25" s="1" t="str">
        <f ca="1">IFERROR(__xludf.DUMMYFUNCTION("""COMPUTED_VALUE"""),"Office Supplies")</f>
        <v>Office Supplies</v>
      </c>
      <c r="S25" s="7">
        <f ca="1">IFERROR(__xludf.DUMMYFUNCTION("""COMPUTED_VALUE"""),40.096)</f>
        <v>40.095999999999997</v>
      </c>
      <c r="T25" s="1">
        <f ca="1">IFERROR(__xludf.DUMMYFUNCTION("""COMPUTED_VALUE"""),4)</f>
        <v>4</v>
      </c>
      <c r="U25" s="9">
        <f ca="1">IFERROR(__xludf.DUMMYFUNCTION("""COMPUTED_VALUE"""),160.384)</f>
        <v>160.38399999999999</v>
      </c>
      <c r="V25" s="9">
        <f ca="1">IFERROR(__xludf.DUMMYFUNCTION("""COMPUTED_VALUE"""),156.72)</f>
        <v>156.72</v>
      </c>
      <c r="W25" s="12">
        <f ca="1">IFERROR(__xludf.DUMMYFUNCTION("""COMPUTED_VALUE"""),3.66399999999998)</f>
        <v>3.6639999999999802</v>
      </c>
    </row>
    <row r="26" spans="1:23">
      <c r="A26" s="1" t="str">
        <f ca="1">IFERROR(__xludf.DUMMYFUNCTION("""COMPUTED_VALUE"""),"CA-2015-115259")</f>
        <v>CA-2015-115259</v>
      </c>
      <c r="B26" s="8">
        <f ca="1">IFERROR(__xludf.DUMMYFUNCTION("""COMPUTED_VALUE"""),42241)</f>
        <v>42241</v>
      </c>
      <c r="C26" s="1" t="str">
        <f ca="1">IFERROR(__xludf.DUMMYFUNCTION("""COMPUTED_VALUE"""),"Aug")</f>
        <v>Aug</v>
      </c>
      <c r="D26" s="1" t="str">
        <f ca="1">IFERROR(__xludf.DUMMYFUNCTION("""COMPUTED_VALUE"""),"Qtr 3")</f>
        <v>Qtr 3</v>
      </c>
      <c r="E26" s="1" t="str">
        <f ca="1">IFERROR(__xludf.DUMMYFUNCTION("""COMPUTED_VALUE"""),"27/08/2015")</f>
        <v>27/08/2015</v>
      </c>
      <c r="F26" s="1" t="str">
        <f ca="1">IFERROR(__xludf.DUMMYFUNCTION("""COMPUTED_VALUE"""),"Second Class")</f>
        <v>Second Class</v>
      </c>
      <c r="G26" s="1" t="str">
        <f ca="1">IFERROR(__xludf.DUMMYFUNCTION("""COMPUTED_VALUE"""),"RC-19960")</f>
        <v>RC-19960</v>
      </c>
      <c r="H26" s="1" t="str">
        <f ca="1">IFERROR(__xludf.DUMMYFUNCTION("""COMPUTED_VALUE"""),"Ryan")</f>
        <v>Ryan</v>
      </c>
      <c r="I26" s="1" t="str">
        <f ca="1">IFERROR(__xludf.DUMMYFUNCTION("""COMPUTED_VALUE"""),"Crowe")</f>
        <v>Crowe</v>
      </c>
      <c r="J26" s="1"/>
      <c r="K26" s="1" t="str">
        <f ca="1">IFERROR(__xludf.DUMMYFUNCTION("""COMPUTED_VALUE"""),"Consumer")</f>
        <v>Consumer</v>
      </c>
      <c r="L26" s="1" t="str">
        <f ca="1">IFERROR(__xludf.DUMMYFUNCTION("""COMPUTED_VALUE"""),"United States")</f>
        <v>United States</v>
      </c>
      <c r="M26" s="1" t="str">
        <f ca="1">IFERROR(__xludf.DUMMYFUNCTION("""COMPUTED_VALUE"""),"Columbus")</f>
        <v>Columbus</v>
      </c>
      <c r="N26" s="1" t="str">
        <f ca="1">IFERROR(__xludf.DUMMYFUNCTION("""COMPUTED_VALUE"""),"Ohio")</f>
        <v>Ohio</v>
      </c>
      <c r="O26" s="1">
        <f ca="1">IFERROR(__xludf.DUMMYFUNCTION("""COMPUTED_VALUE"""),43229)</f>
        <v>43229</v>
      </c>
      <c r="P26" s="1" t="str">
        <f ca="1">IFERROR(__xludf.DUMMYFUNCTION("""COMPUTED_VALUE"""),"East")</f>
        <v>East</v>
      </c>
      <c r="Q26" s="1" t="str">
        <f ca="1">IFERROR(__xludf.DUMMYFUNCTION("""COMPUTED_VALUE"""),"OFF-EN-10002600")</f>
        <v>OFF-EN-10002600</v>
      </c>
      <c r="R26" s="1" t="str">
        <f ca="1">IFERROR(__xludf.DUMMYFUNCTION("""COMPUTED_VALUE"""),"Office Supplies")</f>
        <v>Office Supplies</v>
      </c>
      <c r="S26" s="7">
        <f ca="1">IFERROR(__xludf.DUMMYFUNCTION("""COMPUTED_VALUE"""),4.72)</f>
        <v>4.72</v>
      </c>
      <c r="T26" s="1">
        <f ca="1">IFERROR(__xludf.DUMMYFUNCTION("""COMPUTED_VALUE"""),4)</f>
        <v>4</v>
      </c>
      <c r="U26" s="9">
        <f ca="1">IFERROR(__xludf.DUMMYFUNCTION("""COMPUTED_VALUE"""),18.88)</f>
        <v>18.88</v>
      </c>
      <c r="V26" s="9">
        <f ca="1">IFERROR(__xludf.DUMMYFUNCTION("""COMPUTED_VALUE"""),18.24)</f>
        <v>18.239999999999998</v>
      </c>
      <c r="W26" s="12">
        <f ca="1">IFERROR(__xludf.DUMMYFUNCTION("""COMPUTED_VALUE"""),0.64)</f>
        <v>0.64</v>
      </c>
    </row>
    <row r="27" spans="1:23" ht="13.2">
      <c r="A27" s="1" t="str">
        <f ca="1">IFERROR(__xludf.DUMMYFUNCTION("""COMPUTED_VALUE"""),"CA-2015-115259")</f>
        <v>CA-2015-115259</v>
      </c>
      <c r="B27" s="8">
        <f ca="1">IFERROR(__xludf.DUMMYFUNCTION("""COMPUTED_VALUE"""),42241)</f>
        <v>42241</v>
      </c>
      <c r="C27" s="1" t="str">
        <f ca="1">IFERROR(__xludf.DUMMYFUNCTION("""COMPUTED_VALUE"""),"Aug")</f>
        <v>Aug</v>
      </c>
      <c r="D27" s="1" t="str">
        <f ca="1">IFERROR(__xludf.DUMMYFUNCTION("""COMPUTED_VALUE"""),"Qtr 3")</f>
        <v>Qtr 3</v>
      </c>
      <c r="E27" s="1" t="str">
        <f ca="1">IFERROR(__xludf.DUMMYFUNCTION("""COMPUTED_VALUE"""),"27/08/2015")</f>
        <v>27/08/2015</v>
      </c>
      <c r="F27" s="1" t="str">
        <f ca="1">IFERROR(__xludf.DUMMYFUNCTION("""COMPUTED_VALUE"""),"Second Class")</f>
        <v>Second Class</v>
      </c>
      <c r="G27" s="1" t="str">
        <f ca="1">IFERROR(__xludf.DUMMYFUNCTION("""COMPUTED_VALUE"""),"RC-19960")</f>
        <v>RC-19960</v>
      </c>
      <c r="H27" s="1" t="str">
        <f ca="1">IFERROR(__xludf.DUMMYFUNCTION("""COMPUTED_VALUE"""),"Ryan")</f>
        <v>Ryan</v>
      </c>
      <c r="I27" s="1" t="str">
        <f ca="1">IFERROR(__xludf.DUMMYFUNCTION("""COMPUTED_VALUE"""),"Crowe")</f>
        <v>Crowe</v>
      </c>
      <c r="J27" s="1"/>
      <c r="K27" s="1" t="str">
        <f ca="1">IFERROR(__xludf.DUMMYFUNCTION("""COMPUTED_VALUE"""),"Consumer")</f>
        <v>Consumer</v>
      </c>
      <c r="L27" s="1" t="str">
        <f ca="1">IFERROR(__xludf.DUMMYFUNCTION("""COMPUTED_VALUE"""),"United States")</f>
        <v>United States</v>
      </c>
      <c r="M27" s="1" t="str">
        <f ca="1">IFERROR(__xludf.DUMMYFUNCTION("""COMPUTED_VALUE"""),"Columbus")</f>
        <v>Columbus</v>
      </c>
      <c r="N27" s="1" t="str">
        <f ca="1">IFERROR(__xludf.DUMMYFUNCTION("""COMPUTED_VALUE"""),"Ohio")</f>
        <v>Ohio</v>
      </c>
      <c r="O27" s="1">
        <f ca="1">IFERROR(__xludf.DUMMYFUNCTION("""COMPUTED_VALUE"""),43229)</f>
        <v>43229</v>
      </c>
      <c r="P27" s="1" t="str">
        <f ca="1">IFERROR(__xludf.DUMMYFUNCTION("""COMPUTED_VALUE"""),"East")</f>
        <v>East</v>
      </c>
      <c r="Q27" s="1" t="str">
        <f ca="1">IFERROR(__xludf.DUMMYFUNCTION("""COMPUTED_VALUE"""),"OFF-PA-10004965")</f>
        <v>OFF-PA-10004965</v>
      </c>
      <c r="R27" s="1" t="str">
        <f ca="1">IFERROR(__xludf.DUMMYFUNCTION("""COMPUTED_VALUE"""),"Office Supplies")</f>
        <v>Office Supplies</v>
      </c>
      <c r="S27" s="7">
        <f ca="1">IFERROR(__xludf.DUMMYFUNCTION("""COMPUTED_VALUE"""),23.976)</f>
        <v>23.975999999999999</v>
      </c>
      <c r="T27" s="1">
        <f ca="1">IFERROR(__xludf.DUMMYFUNCTION("""COMPUTED_VALUE"""),4)</f>
        <v>4</v>
      </c>
      <c r="U27" s="9">
        <f ca="1">IFERROR(__xludf.DUMMYFUNCTION("""COMPUTED_VALUE"""),95.904)</f>
        <v>95.903999999999996</v>
      </c>
      <c r="V27" s="9">
        <f ca="1">IFERROR(__xludf.DUMMYFUNCTION("""COMPUTED_VALUE"""),95.88)</f>
        <v>95.88</v>
      </c>
      <c r="W27" s="12">
        <f ca="1">IFERROR(__xludf.DUMMYFUNCTION("""COMPUTED_VALUE"""),0.0240000000000009)</f>
        <v>2.4000000000000899E-2</v>
      </c>
    </row>
    <row r="28" spans="1:23" ht="13.2">
      <c r="A28" s="1" t="str">
        <f ca="1">IFERROR(__xludf.DUMMYFUNCTION("""COMPUTED_VALUE"""),"CA-2015-115259")</f>
        <v>CA-2015-115259</v>
      </c>
      <c r="B28" s="8">
        <f ca="1">IFERROR(__xludf.DUMMYFUNCTION("""COMPUTED_VALUE"""),42241)</f>
        <v>42241</v>
      </c>
      <c r="C28" s="1" t="str">
        <f ca="1">IFERROR(__xludf.DUMMYFUNCTION("""COMPUTED_VALUE"""),"Aug")</f>
        <v>Aug</v>
      </c>
      <c r="D28" s="1" t="str">
        <f ca="1">IFERROR(__xludf.DUMMYFUNCTION("""COMPUTED_VALUE"""),"Qtr 3")</f>
        <v>Qtr 3</v>
      </c>
      <c r="E28" s="1" t="str">
        <f ca="1">IFERROR(__xludf.DUMMYFUNCTION("""COMPUTED_VALUE"""),"27/08/2015")</f>
        <v>27/08/2015</v>
      </c>
      <c r="F28" s="1" t="str">
        <f ca="1">IFERROR(__xludf.DUMMYFUNCTION("""COMPUTED_VALUE"""),"Second Class")</f>
        <v>Second Class</v>
      </c>
      <c r="G28" s="1" t="str">
        <f ca="1">IFERROR(__xludf.DUMMYFUNCTION("""COMPUTED_VALUE"""),"RC-19960")</f>
        <v>RC-19960</v>
      </c>
      <c r="H28" s="1" t="str">
        <f ca="1">IFERROR(__xludf.DUMMYFUNCTION("""COMPUTED_VALUE"""),"Ryan")</f>
        <v>Ryan</v>
      </c>
      <c r="I28" s="1" t="str">
        <f ca="1">IFERROR(__xludf.DUMMYFUNCTION("""COMPUTED_VALUE"""),"Crowe")</f>
        <v>Crowe</v>
      </c>
      <c r="J28" s="1"/>
      <c r="K28" s="1" t="str">
        <f ca="1">IFERROR(__xludf.DUMMYFUNCTION("""COMPUTED_VALUE"""),"Consumer")</f>
        <v>Consumer</v>
      </c>
      <c r="L28" s="1" t="str">
        <f ca="1">IFERROR(__xludf.DUMMYFUNCTION("""COMPUTED_VALUE"""),"United States")</f>
        <v>United States</v>
      </c>
      <c r="M28" s="1" t="str">
        <f ca="1">IFERROR(__xludf.DUMMYFUNCTION("""COMPUTED_VALUE"""),"Columbus")</f>
        <v>Columbus</v>
      </c>
      <c r="N28" s="1" t="str">
        <f ca="1">IFERROR(__xludf.DUMMYFUNCTION("""COMPUTED_VALUE"""),"Ohio")</f>
        <v>Ohio</v>
      </c>
      <c r="O28" s="1">
        <f ca="1">IFERROR(__xludf.DUMMYFUNCTION("""COMPUTED_VALUE"""),43229)</f>
        <v>43229</v>
      </c>
      <c r="P28" s="1" t="str">
        <f ca="1">IFERROR(__xludf.DUMMYFUNCTION("""COMPUTED_VALUE"""),"East")</f>
        <v>East</v>
      </c>
      <c r="Q28" s="1" t="str">
        <f ca="1">IFERROR(__xludf.DUMMYFUNCTION("""COMPUTED_VALUE"""),"OFF-EN-10002504")</f>
        <v>OFF-EN-10002504</v>
      </c>
      <c r="R28" s="1" t="str">
        <f ca="1">IFERROR(__xludf.DUMMYFUNCTION("""COMPUTED_VALUE"""),"Office Supplies")</f>
        <v>Office Supplies</v>
      </c>
      <c r="S28" s="7">
        <f ca="1">IFERROR(__xludf.DUMMYFUNCTION("""COMPUTED_VALUE"""),130.464)</f>
        <v>130.464</v>
      </c>
      <c r="T28" s="1">
        <f ca="1">IFERROR(__xludf.DUMMYFUNCTION("""COMPUTED_VALUE"""),4)</f>
        <v>4</v>
      </c>
      <c r="U28" s="9">
        <f ca="1">IFERROR(__xludf.DUMMYFUNCTION("""COMPUTED_VALUE"""),521.856)</f>
        <v>521.85599999999999</v>
      </c>
      <c r="V28" s="9">
        <f ca="1">IFERROR(__xludf.DUMMYFUNCTION("""COMPUTED_VALUE"""),518.72)</f>
        <v>518.72</v>
      </c>
      <c r="W28" s="12">
        <f ca="1">IFERROR(__xludf.DUMMYFUNCTION("""COMPUTED_VALUE"""),3.13599999999996)</f>
        <v>3.1359999999999602</v>
      </c>
    </row>
    <row r="29" spans="1:23" ht="13.2">
      <c r="A29" s="1" t="str">
        <f ca="1">IFERROR(__xludf.DUMMYFUNCTION("""COMPUTED_VALUE"""),"US-2015-152030")</f>
        <v>US-2015-152030</v>
      </c>
      <c r="B29" s="8">
        <f ca="1">IFERROR(__xludf.DUMMYFUNCTION("""COMPUTED_VALUE"""),42364)</f>
        <v>42364</v>
      </c>
      <c r="C29" s="1" t="str">
        <f ca="1">IFERROR(__xludf.DUMMYFUNCTION("""COMPUTED_VALUE"""),"Dec")</f>
        <v>Dec</v>
      </c>
      <c r="D29" s="1" t="str">
        <f ca="1">IFERROR(__xludf.DUMMYFUNCTION("""COMPUTED_VALUE"""),"Qtr 4")</f>
        <v>Qtr 4</v>
      </c>
      <c r="E29" s="1" t="str">
        <f ca="1">IFERROR(__xludf.DUMMYFUNCTION("""COMPUTED_VALUE"""),"28/12/2015")</f>
        <v>28/12/2015</v>
      </c>
      <c r="F29" s="1" t="str">
        <f ca="1">IFERROR(__xludf.DUMMYFUNCTION("""COMPUTED_VALUE"""),"Second Class")</f>
        <v>Second Class</v>
      </c>
      <c r="G29" s="1" t="str">
        <f ca="1">IFERROR(__xludf.DUMMYFUNCTION("""COMPUTED_VALUE"""),"AD-10180")</f>
        <v>AD-10180</v>
      </c>
      <c r="H29" s="1" t="str">
        <f ca="1">IFERROR(__xludf.DUMMYFUNCTION("""COMPUTED_VALUE"""),"Alan")</f>
        <v>Alan</v>
      </c>
      <c r="I29" s="1" t="str">
        <f ca="1">IFERROR(__xludf.DUMMYFUNCTION("""COMPUTED_VALUE"""),"Dominguez")</f>
        <v>Dominguez</v>
      </c>
      <c r="J29" s="1"/>
      <c r="K29" s="1" t="str">
        <f ca="1">IFERROR(__xludf.DUMMYFUNCTION("""COMPUTED_VALUE"""),"Home Office")</f>
        <v>Home Office</v>
      </c>
      <c r="L29" s="1" t="str">
        <f ca="1">IFERROR(__xludf.DUMMYFUNCTION("""COMPUTED_VALUE"""),"United States")</f>
        <v>United States</v>
      </c>
      <c r="M29" s="1" t="str">
        <f ca="1">IFERROR(__xludf.DUMMYFUNCTION("""COMPUTED_VALUE"""),"Houston")</f>
        <v>Houston</v>
      </c>
      <c r="N29" s="1" t="str">
        <f ca="1">IFERROR(__xludf.DUMMYFUNCTION("""COMPUTED_VALUE"""),"Texas")</f>
        <v>Texas</v>
      </c>
      <c r="O29" s="1">
        <f ca="1">IFERROR(__xludf.DUMMYFUNCTION("""COMPUTED_VALUE"""),77041)</f>
        <v>77041</v>
      </c>
      <c r="P29" s="1" t="str">
        <f ca="1">IFERROR(__xludf.DUMMYFUNCTION("""COMPUTED_VALUE"""),"Central")</f>
        <v>Central</v>
      </c>
      <c r="Q29" s="1" t="str">
        <f ca="1">IFERROR(__xludf.DUMMYFUNCTION("""COMPUTED_VALUE"""),"FUR-CH-10004063")</f>
        <v>FUR-CH-10004063</v>
      </c>
      <c r="R29" s="1" t="str">
        <f ca="1">IFERROR(__xludf.DUMMYFUNCTION("""COMPUTED_VALUE"""),"Furniture")</f>
        <v>Furniture</v>
      </c>
      <c r="S29" s="7">
        <f ca="1">IFERROR(__xludf.DUMMYFUNCTION("""COMPUTED_VALUE"""),600.558)</f>
        <v>600.55799999999999</v>
      </c>
      <c r="T29" s="1">
        <f ca="1">IFERROR(__xludf.DUMMYFUNCTION("""COMPUTED_VALUE"""),7)</f>
        <v>7</v>
      </c>
      <c r="U29" s="9">
        <f ca="1">IFERROR(__xludf.DUMMYFUNCTION("""COMPUTED_VALUE"""),4203.906)</f>
        <v>4203.9059999999999</v>
      </c>
      <c r="V29" s="9">
        <f ca="1">IFERROR(__xludf.DUMMYFUNCTION("""COMPUTED_VALUE"""),4203.08)</f>
        <v>4203.08</v>
      </c>
      <c r="W29" s="12">
        <f ca="1">IFERROR(__xludf.DUMMYFUNCTION("""COMPUTED_VALUE"""),0.826000000000021)</f>
        <v>0.82600000000002105</v>
      </c>
    </row>
    <row r="30" spans="1:23" ht="13.2">
      <c r="A30" s="1" t="str">
        <f ca="1">IFERROR(__xludf.DUMMYFUNCTION("""COMPUTED_VALUE"""),"US-2017-125969")</f>
        <v>US-2017-125969</v>
      </c>
      <c r="B30" s="8">
        <f ca="1">IFERROR(__xludf.DUMMYFUNCTION("""COMPUTED_VALUE"""),42897)</f>
        <v>42897</v>
      </c>
      <c r="C30" s="1" t="str">
        <f ca="1">IFERROR(__xludf.DUMMYFUNCTION("""COMPUTED_VALUE"""),"Jun")</f>
        <v>Jun</v>
      </c>
      <c r="D30" s="1" t="str">
        <f ca="1">IFERROR(__xludf.DUMMYFUNCTION("""COMPUTED_VALUE"""),"Qtr 2")</f>
        <v>Qtr 2</v>
      </c>
      <c r="E30" s="1" t="str">
        <f ca="1">IFERROR(__xludf.DUMMYFUNCTION("""COMPUTED_VALUE"""),"10/11/2017")</f>
        <v>10/11/2017</v>
      </c>
      <c r="F30" s="1" t="str">
        <f ca="1">IFERROR(__xludf.DUMMYFUNCTION("""COMPUTED_VALUE"""),"Second Class")</f>
        <v>Second Class</v>
      </c>
      <c r="G30" s="1" t="str">
        <f ca="1">IFERROR(__xludf.DUMMYFUNCTION("""COMPUTED_VALUE"""),"LS-16975")</f>
        <v>LS-16975</v>
      </c>
      <c r="H30" s="1" t="str">
        <f ca="1">IFERROR(__xludf.DUMMYFUNCTION("""COMPUTED_VALUE"""),"Lindsay")</f>
        <v>Lindsay</v>
      </c>
      <c r="I30" s="1" t="str">
        <f ca="1">IFERROR(__xludf.DUMMYFUNCTION("""COMPUTED_VALUE"""),"Shagiari")</f>
        <v>Shagiari</v>
      </c>
      <c r="J30" s="1"/>
      <c r="K30" s="1" t="str">
        <f ca="1">IFERROR(__xludf.DUMMYFUNCTION("""COMPUTED_VALUE"""),"Home Office")</f>
        <v>Home Office</v>
      </c>
      <c r="L30" s="1" t="str">
        <f ca="1">IFERROR(__xludf.DUMMYFUNCTION("""COMPUTED_VALUE"""),"United States")</f>
        <v>United States</v>
      </c>
      <c r="M30" s="1" t="str">
        <f ca="1">IFERROR(__xludf.DUMMYFUNCTION("""COMPUTED_VALUE"""),"Los Angeles")</f>
        <v>Los Angeles</v>
      </c>
      <c r="N30" s="1" t="str">
        <f ca="1">IFERROR(__xludf.DUMMYFUNCTION("""COMPUTED_VALUE"""),"California")</f>
        <v>California</v>
      </c>
      <c r="O30" s="1">
        <f ca="1">IFERROR(__xludf.DUMMYFUNCTION("""COMPUTED_VALUE"""),90004)</f>
        <v>90004</v>
      </c>
      <c r="P30" s="1" t="str">
        <f ca="1">IFERROR(__xludf.DUMMYFUNCTION("""COMPUTED_VALUE"""),"West")</f>
        <v>West</v>
      </c>
      <c r="Q30" s="1" t="str">
        <f ca="1">IFERROR(__xludf.DUMMYFUNCTION("""COMPUTED_VALUE"""),"FUR-CH-10001146")</f>
        <v>FUR-CH-10001146</v>
      </c>
      <c r="R30" s="1" t="str">
        <f ca="1">IFERROR(__xludf.DUMMYFUNCTION("""COMPUTED_VALUE"""),"Furniture")</f>
        <v>Furniture</v>
      </c>
      <c r="S30" s="7">
        <f ca="1">IFERROR(__xludf.DUMMYFUNCTION("""COMPUTED_VALUE"""),81.424)</f>
        <v>81.424000000000007</v>
      </c>
      <c r="T30" s="1">
        <f ca="1">IFERROR(__xludf.DUMMYFUNCTION("""COMPUTED_VALUE"""),9)</f>
        <v>9</v>
      </c>
      <c r="U30" s="9">
        <f ca="1">IFERROR(__xludf.DUMMYFUNCTION("""COMPUTED_VALUE"""),732.816)</f>
        <v>732.81600000000003</v>
      </c>
      <c r="V30" s="9">
        <f ca="1">IFERROR(__xludf.DUMMYFUNCTION("""COMPUTED_VALUE"""),725.49)</f>
        <v>725.49</v>
      </c>
      <c r="W30" s="12">
        <f ca="1">IFERROR(__xludf.DUMMYFUNCTION("""COMPUTED_VALUE"""),7.32600000000002)</f>
        <v>7.3260000000000201</v>
      </c>
    </row>
    <row r="31" spans="1:23" ht="13.2">
      <c r="A31" s="1" t="str">
        <f ca="1">IFERROR(__xludf.DUMMYFUNCTION("""COMPUTED_VALUE"""),"US-2017-125969")</f>
        <v>US-2017-125969</v>
      </c>
      <c r="B31" s="8">
        <f ca="1">IFERROR(__xludf.DUMMYFUNCTION("""COMPUTED_VALUE"""),42897)</f>
        <v>42897</v>
      </c>
      <c r="C31" s="1" t="str">
        <f ca="1">IFERROR(__xludf.DUMMYFUNCTION("""COMPUTED_VALUE"""),"Jun")</f>
        <v>Jun</v>
      </c>
      <c r="D31" s="1" t="str">
        <f ca="1">IFERROR(__xludf.DUMMYFUNCTION("""COMPUTED_VALUE"""),"Qtr 2")</f>
        <v>Qtr 2</v>
      </c>
      <c r="E31" s="1" t="str">
        <f ca="1">IFERROR(__xludf.DUMMYFUNCTION("""COMPUTED_VALUE"""),"10/11/2017")</f>
        <v>10/11/2017</v>
      </c>
      <c r="F31" s="1" t="str">
        <f ca="1">IFERROR(__xludf.DUMMYFUNCTION("""COMPUTED_VALUE"""),"Second Class")</f>
        <v>Second Class</v>
      </c>
      <c r="G31" s="1" t="str">
        <f ca="1">IFERROR(__xludf.DUMMYFUNCTION("""COMPUTED_VALUE"""),"LS-16975")</f>
        <v>LS-16975</v>
      </c>
      <c r="H31" s="1" t="str">
        <f ca="1">IFERROR(__xludf.DUMMYFUNCTION("""COMPUTED_VALUE"""),"Lindsay")</f>
        <v>Lindsay</v>
      </c>
      <c r="I31" s="1" t="str">
        <f ca="1">IFERROR(__xludf.DUMMYFUNCTION("""COMPUTED_VALUE"""),"Shagiari")</f>
        <v>Shagiari</v>
      </c>
      <c r="J31" s="1"/>
      <c r="K31" s="1" t="str">
        <f ca="1">IFERROR(__xludf.DUMMYFUNCTION("""COMPUTED_VALUE"""),"Home Office")</f>
        <v>Home Office</v>
      </c>
      <c r="L31" s="1" t="str">
        <f ca="1">IFERROR(__xludf.DUMMYFUNCTION("""COMPUTED_VALUE"""),"United States")</f>
        <v>United States</v>
      </c>
      <c r="M31" s="1" t="str">
        <f ca="1">IFERROR(__xludf.DUMMYFUNCTION("""COMPUTED_VALUE"""),"Los Angeles")</f>
        <v>Los Angeles</v>
      </c>
      <c r="N31" s="1" t="str">
        <f ca="1">IFERROR(__xludf.DUMMYFUNCTION("""COMPUTED_VALUE"""),"California")</f>
        <v>California</v>
      </c>
      <c r="O31" s="1">
        <f ca="1">IFERROR(__xludf.DUMMYFUNCTION("""COMPUTED_VALUE"""),90004)</f>
        <v>90004</v>
      </c>
      <c r="P31" s="1" t="str">
        <f ca="1">IFERROR(__xludf.DUMMYFUNCTION("""COMPUTED_VALUE"""),"West")</f>
        <v>West</v>
      </c>
      <c r="Q31" s="1" t="str">
        <f ca="1">IFERROR(__xludf.DUMMYFUNCTION("""COMPUTED_VALUE"""),"FUR-FU-10003773")</f>
        <v>FUR-FU-10003773</v>
      </c>
      <c r="R31" s="1" t="str">
        <f ca="1">IFERROR(__xludf.DUMMYFUNCTION("""COMPUTED_VALUE"""),"Furniture")</f>
        <v>Furniture</v>
      </c>
      <c r="S31" s="7">
        <f ca="1">IFERROR(__xludf.DUMMYFUNCTION("""COMPUTED_VALUE"""),238.56)</f>
        <v>238.56</v>
      </c>
      <c r="T31" s="1">
        <f ca="1">IFERROR(__xludf.DUMMYFUNCTION("""COMPUTED_VALUE"""),9)</f>
        <v>9</v>
      </c>
      <c r="U31" s="9">
        <f ca="1">IFERROR(__xludf.DUMMYFUNCTION("""COMPUTED_VALUE"""),2147.04)</f>
        <v>2147.04</v>
      </c>
      <c r="V31" s="9">
        <f ca="1">IFERROR(__xludf.DUMMYFUNCTION("""COMPUTED_VALUE"""),2142.99)</f>
        <v>2142.9899999999998</v>
      </c>
      <c r="W31" s="12">
        <f ca="1">IFERROR(__xludf.DUMMYFUNCTION("""COMPUTED_VALUE"""),4.04999999999972)</f>
        <v>4.04999999999972</v>
      </c>
    </row>
    <row r="32" spans="1:23" ht="13.2">
      <c r="A32" s="1" t="str">
        <f ca="1">IFERROR(__xludf.DUMMYFUNCTION("""COMPUTED_VALUE"""),"CA-2017-110366")</f>
        <v>CA-2017-110366</v>
      </c>
      <c r="B32" s="8">
        <f ca="1">IFERROR(__xludf.DUMMYFUNCTION("""COMPUTED_VALUE"""),42864)</f>
        <v>42864</v>
      </c>
      <c r="C32" s="1" t="str">
        <f ca="1">IFERROR(__xludf.DUMMYFUNCTION("""COMPUTED_VALUE"""),"May")</f>
        <v>May</v>
      </c>
      <c r="D32" s="1" t="str">
        <f ca="1">IFERROR(__xludf.DUMMYFUNCTION("""COMPUTED_VALUE"""),"Qtr 2")</f>
        <v>Qtr 2</v>
      </c>
      <c r="E32" s="1" t="str">
        <f ca="1">IFERROR(__xludf.DUMMYFUNCTION("""COMPUTED_VALUE"""),"7/9/2017")</f>
        <v>7/9/2017</v>
      </c>
      <c r="F32" s="1" t="str">
        <f ca="1">IFERROR(__xludf.DUMMYFUNCTION("""COMPUTED_VALUE"""),"Second Class")</f>
        <v>Second Class</v>
      </c>
      <c r="G32" s="1" t="str">
        <f ca="1">IFERROR(__xludf.DUMMYFUNCTION("""COMPUTED_VALUE"""),"JD-15895")</f>
        <v>JD-15895</v>
      </c>
      <c r="H32" s="1" t="str">
        <f ca="1">IFERROR(__xludf.DUMMYFUNCTION("""COMPUTED_VALUE"""),"Jonathan")</f>
        <v>Jonathan</v>
      </c>
      <c r="I32" s="1" t="str">
        <f ca="1">IFERROR(__xludf.DUMMYFUNCTION("""COMPUTED_VALUE"""),"Doherty")</f>
        <v>Doherty</v>
      </c>
      <c r="J32" s="1"/>
      <c r="K32" s="1" t="str">
        <f ca="1">IFERROR(__xludf.DUMMYFUNCTION("""COMPUTED_VALUE"""),"Corporate")</f>
        <v>Corporate</v>
      </c>
      <c r="L32" s="1" t="str">
        <f ca="1">IFERROR(__xludf.DUMMYFUNCTION("""COMPUTED_VALUE"""),"United States")</f>
        <v>United States</v>
      </c>
      <c r="M32" s="1" t="str">
        <f ca="1">IFERROR(__xludf.DUMMYFUNCTION("""COMPUTED_VALUE"""),"Philadelphia")</f>
        <v>Philadelphia</v>
      </c>
      <c r="N32" s="1" t="str">
        <f ca="1">IFERROR(__xludf.DUMMYFUNCTION("""COMPUTED_VALUE"""),"Pennsylvania")</f>
        <v>Pennsylvania</v>
      </c>
      <c r="O32" s="1">
        <f ca="1">IFERROR(__xludf.DUMMYFUNCTION("""COMPUTED_VALUE"""),19140)</f>
        <v>19140</v>
      </c>
      <c r="P32" s="1" t="str">
        <f ca="1">IFERROR(__xludf.DUMMYFUNCTION("""COMPUTED_VALUE"""),"East")</f>
        <v>East</v>
      </c>
      <c r="Q32" s="1" t="str">
        <f ca="1">IFERROR(__xludf.DUMMYFUNCTION("""COMPUTED_VALUE"""),"FUR-FU-10004848")</f>
        <v>FUR-FU-10004848</v>
      </c>
      <c r="R32" s="1" t="str">
        <f ca="1">IFERROR(__xludf.DUMMYFUNCTION("""COMPUTED_VALUE"""),"Furniture")</f>
        <v>Furniture</v>
      </c>
      <c r="S32" s="7">
        <f ca="1">IFERROR(__xludf.DUMMYFUNCTION("""COMPUTED_VALUE"""),82.8)</f>
        <v>82.8</v>
      </c>
      <c r="T32" s="1">
        <f ca="1">IFERROR(__xludf.DUMMYFUNCTION("""COMPUTED_VALUE"""),1)</f>
        <v>1</v>
      </c>
      <c r="U32" s="9">
        <f ca="1">IFERROR(__xludf.DUMMYFUNCTION("""COMPUTED_VALUE"""),82.8)</f>
        <v>82.8</v>
      </c>
      <c r="V32" s="9">
        <f ca="1">IFERROR(__xludf.DUMMYFUNCTION("""COMPUTED_VALUE"""),82.56)</f>
        <v>82.56</v>
      </c>
      <c r="W32" s="12">
        <f ca="1">IFERROR(__xludf.DUMMYFUNCTION("""COMPUTED_VALUE"""),0.239999999999994)</f>
        <v>0.239999999999994</v>
      </c>
    </row>
    <row r="33" spans="1:23" ht="13.2">
      <c r="A33" s="1" t="str">
        <f ca="1">IFERROR(__xludf.DUMMYFUNCTION("""COMPUTED_VALUE"""),"CA-2015-104269")</f>
        <v>CA-2015-104269</v>
      </c>
      <c r="B33" s="8">
        <f ca="1">IFERROR(__xludf.DUMMYFUNCTION("""COMPUTED_VALUE"""),42007)</f>
        <v>42007</v>
      </c>
      <c r="C33" s="1" t="str">
        <f ca="1">IFERROR(__xludf.DUMMYFUNCTION("""COMPUTED_VALUE"""),"Jan")</f>
        <v>Jan</v>
      </c>
      <c r="D33" s="1" t="str">
        <f ca="1">IFERROR(__xludf.DUMMYFUNCTION("""COMPUTED_VALUE"""),"Qtr 1")</f>
        <v>Qtr 1</v>
      </c>
      <c r="E33" s="1" t="str">
        <f ca="1">IFERROR(__xludf.DUMMYFUNCTION("""COMPUTED_VALUE"""),"6/3/2015")</f>
        <v>6/3/2015</v>
      </c>
      <c r="F33" s="1" t="str">
        <f ca="1">IFERROR(__xludf.DUMMYFUNCTION("""COMPUTED_VALUE"""),"Second Class")</f>
        <v>Second Class</v>
      </c>
      <c r="G33" s="1" t="str">
        <f ca="1">IFERROR(__xludf.DUMMYFUNCTION("""COMPUTED_VALUE"""),"DB-13060")</f>
        <v>DB-13060</v>
      </c>
      <c r="H33" s="1" t="str">
        <f ca="1">IFERROR(__xludf.DUMMYFUNCTION("""COMPUTED_VALUE"""),"Dave")</f>
        <v>Dave</v>
      </c>
      <c r="I33" s="1" t="str">
        <f ca="1">IFERROR(__xludf.DUMMYFUNCTION("""COMPUTED_VALUE"""),"Brooks")</f>
        <v>Brooks</v>
      </c>
      <c r="J33" s="1"/>
      <c r="K33" s="1" t="str">
        <f ca="1">IFERROR(__xludf.DUMMYFUNCTION("""COMPUTED_VALUE"""),"Consumer")</f>
        <v>Consumer</v>
      </c>
      <c r="L33" s="1" t="str">
        <f ca="1">IFERROR(__xludf.DUMMYFUNCTION("""COMPUTED_VALUE"""),"United States")</f>
        <v>United States</v>
      </c>
      <c r="M33" s="1" t="str">
        <f ca="1">IFERROR(__xludf.DUMMYFUNCTION("""COMPUTED_VALUE"""),"Seattle")</f>
        <v>Seattle</v>
      </c>
      <c r="N33" s="1" t="str">
        <f ca="1">IFERROR(__xludf.DUMMYFUNCTION("""COMPUTED_VALUE"""),"Washington")</f>
        <v>Washington</v>
      </c>
      <c r="O33" s="1">
        <f ca="1">IFERROR(__xludf.DUMMYFUNCTION("""COMPUTED_VALUE"""),98115)</f>
        <v>98115</v>
      </c>
      <c r="P33" s="1" t="str">
        <f ca="1">IFERROR(__xludf.DUMMYFUNCTION("""COMPUTED_VALUE"""),"West")</f>
        <v>West</v>
      </c>
      <c r="Q33" s="1" t="str">
        <f ca="1">IFERROR(__xludf.DUMMYFUNCTION("""COMPUTED_VALUE"""),"FUR-CH-10004063")</f>
        <v>FUR-CH-10004063</v>
      </c>
      <c r="R33" s="1" t="str">
        <f ca="1">IFERROR(__xludf.DUMMYFUNCTION("""COMPUTED_VALUE"""),"Furniture")</f>
        <v>Furniture</v>
      </c>
      <c r="S33" s="7">
        <f ca="1">IFERROR(__xludf.DUMMYFUNCTION("""COMPUTED_VALUE"""),457.568)</f>
        <v>457.56799999999998</v>
      </c>
      <c r="T33" s="1">
        <f ca="1">IFERROR(__xludf.DUMMYFUNCTION("""COMPUTED_VALUE"""),9)</f>
        <v>9</v>
      </c>
      <c r="U33" s="9">
        <f ca="1">IFERROR(__xludf.DUMMYFUNCTION("""COMPUTED_VALUE"""),4118.112)</f>
        <v>4118.1120000000001</v>
      </c>
      <c r="V33" s="9">
        <f ca="1">IFERROR(__xludf.DUMMYFUNCTION("""COMPUTED_VALUE"""),4116.42)</f>
        <v>4116.42</v>
      </c>
      <c r="W33" s="12">
        <f ca="1">IFERROR(__xludf.DUMMYFUNCTION("""COMPUTED_VALUE"""),1.692)</f>
        <v>1.6919999999999999</v>
      </c>
    </row>
    <row r="34" spans="1:23" ht="13.2">
      <c r="A34" s="1" t="str">
        <f ca="1">IFERROR(__xludf.DUMMYFUNCTION("""COMPUTED_VALUE"""),"CA-2016-119697")</f>
        <v>CA-2016-119697</v>
      </c>
      <c r="B34" s="8">
        <f ca="1">IFERROR(__xludf.DUMMYFUNCTION("""COMPUTED_VALUE"""),42732)</f>
        <v>42732</v>
      </c>
      <c r="C34" s="1" t="str">
        <f ca="1">IFERROR(__xludf.DUMMYFUNCTION("""COMPUTED_VALUE"""),"Dec")</f>
        <v>Dec</v>
      </c>
      <c r="D34" s="1" t="str">
        <f ca="1">IFERROR(__xludf.DUMMYFUNCTION("""COMPUTED_VALUE"""),"Qtr 4")</f>
        <v>Qtr 4</v>
      </c>
      <c r="E34" s="1" t="str">
        <f ca="1">IFERROR(__xludf.DUMMYFUNCTION("""COMPUTED_VALUE"""),"31/12/2016")</f>
        <v>31/12/2016</v>
      </c>
      <c r="F34" s="1" t="str">
        <f ca="1">IFERROR(__xludf.DUMMYFUNCTION("""COMPUTED_VALUE"""),"Second Class")</f>
        <v>Second Class</v>
      </c>
      <c r="G34" s="1" t="str">
        <f ca="1">IFERROR(__xludf.DUMMYFUNCTION("""COMPUTED_VALUE"""),"EM-13960")</f>
        <v>EM-13960</v>
      </c>
      <c r="H34" s="1" t="str">
        <f ca="1">IFERROR(__xludf.DUMMYFUNCTION("""COMPUTED_VALUE"""),"Eric")</f>
        <v>Eric</v>
      </c>
      <c r="I34" s="1" t="str">
        <f ca="1">IFERROR(__xludf.DUMMYFUNCTION("""COMPUTED_VALUE"""),"Murdock")</f>
        <v>Murdock</v>
      </c>
      <c r="J34" s="1"/>
      <c r="K34" s="1" t="str">
        <f ca="1">IFERROR(__xludf.DUMMYFUNCTION("""COMPUTED_VALUE"""),"Consumer")</f>
        <v>Consumer</v>
      </c>
      <c r="L34" s="1" t="str">
        <f ca="1">IFERROR(__xludf.DUMMYFUNCTION("""COMPUTED_VALUE"""),"United States")</f>
        <v>United States</v>
      </c>
      <c r="M34" s="1" t="str">
        <f ca="1">IFERROR(__xludf.DUMMYFUNCTION("""COMPUTED_VALUE"""),"Philadelphia")</f>
        <v>Philadelphia</v>
      </c>
      <c r="N34" s="1" t="str">
        <f ca="1">IFERROR(__xludf.DUMMYFUNCTION("""COMPUTED_VALUE"""),"Pennsylvania")</f>
        <v>Pennsylvania</v>
      </c>
      <c r="O34" s="1">
        <f ca="1">IFERROR(__xludf.DUMMYFUNCTION("""COMPUTED_VALUE"""),19134)</f>
        <v>19134</v>
      </c>
      <c r="P34" s="1" t="str">
        <f ca="1">IFERROR(__xludf.DUMMYFUNCTION("""COMPUTED_VALUE"""),"East")</f>
        <v>East</v>
      </c>
      <c r="Q34" s="1" t="str">
        <f ca="1">IFERROR(__xludf.DUMMYFUNCTION("""COMPUTED_VALUE"""),"TEC-AC-10003657")</f>
        <v>TEC-AC-10003657</v>
      </c>
      <c r="R34" s="1" t="str">
        <f ca="1">IFERROR(__xludf.DUMMYFUNCTION("""COMPUTED_VALUE"""),"Technology")</f>
        <v>Technology</v>
      </c>
      <c r="S34" s="7">
        <f ca="1">IFERROR(__xludf.DUMMYFUNCTION("""COMPUTED_VALUE"""),54.384)</f>
        <v>54.384</v>
      </c>
      <c r="T34" s="1">
        <f ca="1">IFERROR(__xludf.DUMMYFUNCTION("""COMPUTED_VALUE"""),1)</f>
        <v>1</v>
      </c>
      <c r="U34" s="9">
        <f ca="1">IFERROR(__xludf.DUMMYFUNCTION("""COMPUTED_VALUE"""),54.384)</f>
        <v>54.384</v>
      </c>
      <c r="V34" s="9">
        <f ca="1">IFERROR(__xludf.DUMMYFUNCTION("""COMPUTED_VALUE"""),54.3)</f>
        <v>54.3</v>
      </c>
      <c r="W34" s="12">
        <f ca="1">IFERROR(__xludf.DUMMYFUNCTION("""COMPUTED_VALUE"""),0.0840000000000031)</f>
        <v>8.40000000000031E-2</v>
      </c>
    </row>
    <row r="35" spans="1:23" ht="13.2">
      <c r="A35" s="1" t="str">
        <f ca="1">IFERROR(__xludf.DUMMYFUNCTION("""COMPUTED_VALUE"""),"US-2018-152366")</f>
        <v>US-2018-152366</v>
      </c>
      <c r="B35" s="8">
        <f ca="1">IFERROR(__xludf.DUMMYFUNCTION("""COMPUTED_VALUE"""),43211)</f>
        <v>43211</v>
      </c>
      <c r="C35" s="1" t="str">
        <f ca="1">IFERROR(__xludf.DUMMYFUNCTION("""COMPUTED_VALUE"""),"Apr")</f>
        <v>Apr</v>
      </c>
      <c r="D35" s="1" t="str">
        <f ca="1">IFERROR(__xludf.DUMMYFUNCTION("""COMPUTED_VALUE"""),"Qtr 2")</f>
        <v>Qtr 2</v>
      </c>
      <c r="E35" s="1" t="str">
        <f ca="1">IFERROR(__xludf.DUMMYFUNCTION("""COMPUTED_VALUE"""),"25/04/2018")</f>
        <v>25/04/2018</v>
      </c>
      <c r="F35" s="1" t="str">
        <f ca="1">IFERROR(__xludf.DUMMYFUNCTION("""COMPUTED_VALUE"""),"Second Class")</f>
        <v>Second Class</v>
      </c>
      <c r="G35" s="1" t="str">
        <f ca="1">IFERROR(__xludf.DUMMYFUNCTION("""COMPUTED_VALUE"""),"SJ-20500")</f>
        <v>SJ-20500</v>
      </c>
      <c r="H35" s="1" t="str">
        <f ca="1">IFERROR(__xludf.DUMMYFUNCTION("""COMPUTED_VALUE"""),"Shirley")</f>
        <v>Shirley</v>
      </c>
      <c r="I35" s="1" t="str">
        <f ca="1">IFERROR(__xludf.DUMMYFUNCTION("""COMPUTED_VALUE"""),"Jackson")</f>
        <v>Jackson</v>
      </c>
      <c r="J35" s="1"/>
      <c r="K35" s="1" t="str">
        <f ca="1">IFERROR(__xludf.DUMMYFUNCTION("""COMPUTED_VALUE"""),"Consumer")</f>
        <v>Consumer</v>
      </c>
      <c r="L35" s="1" t="str">
        <f ca="1">IFERROR(__xludf.DUMMYFUNCTION("""COMPUTED_VALUE"""),"United States")</f>
        <v>United States</v>
      </c>
      <c r="M35" s="1" t="str">
        <f ca="1">IFERROR(__xludf.DUMMYFUNCTION("""COMPUTED_VALUE"""),"Houston")</f>
        <v>Houston</v>
      </c>
      <c r="N35" s="1" t="str">
        <f ca="1">IFERROR(__xludf.DUMMYFUNCTION("""COMPUTED_VALUE"""),"Texas")</f>
        <v>Texas</v>
      </c>
      <c r="O35" s="1">
        <f ca="1">IFERROR(__xludf.DUMMYFUNCTION("""COMPUTED_VALUE"""),77036)</f>
        <v>77036</v>
      </c>
      <c r="P35" s="1" t="str">
        <f ca="1">IFERROR(__xludf.DUMMYFUNCTION("""COMPUTED_VALUE"""),"Central")</f>
        <v>Central</v>
      </c>
      <c r="Q35" s="1" t="str">
        <f ca="1">IFERROR(__xludf.DUMMYFUNCTION("""COMPUTED_VALUE"""),"OFF-AP-10002684")</f>
        <v>OFF-AP-10002684</v>
      </c>
      <c r="R35" s="1" t="str">
        <f ca="1">IFERROR(__xludf.DUMMYFUNCTION("""COMPUTED_VALUE"""),"Office Supplies")</f>
        <v>Office Supplies</v>
      </c>
      <c r="S35" s="7">
        <f ca="1">IFERROR(__xludf.DUMMYFUNCTION("""COMPUTED_VALUE"""),97.264)</f>
        <v>97.263999999999996</v>
      </c>
      <c r="T35" s="1">
        <f ca="1">IFERROR(__xludf.DUMMYFUNCTION("""COMPUTED_VALUE"""),7)</f>
        <v>7</v>
      </c>
      <c r="U35" s="9">
        <f ca="1">IFERROR(__xludf.DUMMYFUNCTION("""COMPUTED_VALUE"""),680.848)</f>
        <v>680.84799999999996</v>
      </c>
      <c r="V35" s="9">
        <f ca="1">IFERROR(__xludf.DUMMYFUNCTION("""COMPUTED_VALUE"""),676.34)</f>
        <v>676.34</v>
      </c>
      <c r="W35" s="12">
        <f ca="1">IFERROR(__xludf.DUMMYFUNCTION("""COMPUTED_VALUE"""),4.50799999999992)</f>
        <v>4.5079999999999201</v>
      </c>
    </row>
    <row r="36" spans="1:23" ht="13.2">
      <c r="A36" s="1" t="str">
        <f ca="1">IFERROR(__xludf.DUMMYFUNCTION("""COMPUTED_VALUE"""),"US-2016-101511")</f>
        <v>US-2016-101511</v>
      </c>
      <c r="B36" s="8">
        <f ca="1">IFERROR(__xludf.DUMMYFUNCTION("""COMPUTED_VALUE"""),42695)</f>
        <v>42695</v>
      </c>
      <c r="C36" s="1" t="str">
        <f ca="1">IFERROR(__xludf.DUMMYFUNCTION("""COMPUTED_VALUE"""),"Nov")</f>
        <v>Nov</v>
      </c>
      <c r="D36" s="1" t="str">
        <f ca="1">IFERROR(__xludf.DUMMYFUNCTION("""COMPUTED_VALUE"""),"Qtr 4")</f>
        <v>Qtr 4</v>
      </c>
      <c r="E36" s="1" t="str">
        <f ca="1">IFERROR(__xludf.DUMMYFUNCTION("""COMPUTED_VALUE"""),"23/11/2016")</f>
        <v>23/11/2016</v>
      </c>
      <c r="F36" s="1" t="str">
        <f ca="1">IFERROR(__xludf.DUMMYFUNCTION("""COMPUTED_VALUE"""),"Second Class")</f>
        <v>Second Class</v>
      </c>
      <c r="G36" s="1" t="str">
        <f ca="1">IFERROR(__xludf.DUMMYFUNCTION("""COMPUTED_VALUE"""),"JE-15745")</f>
        <v>JE-15745</v>
      </c>
      <c r="H36" s="1" t="str">
        <f ca="1">IFERROR(__xludf.DUMMYFUNCTION("""COMPUTED_VALUE"""),"Joel")</f>
        <v>Joel</v>
      </c>
      <c r="I36" s="1" t="str">
        <f ca="1">IFERROR(__xludf.DUMMYFUNCTION("""COMPUTED_VALUE"""),"Eaton")</f>
        <v>Eaton</v>
      </c>
      <c r="J36" s="1"/>
      <c r="K36" s="1" t="str">
        <f ca="1">IFERROR(__xludf.DUMMYFUNCTION("""COMPUTED_VALUE"""),"Consumer")</f>
        <v>Consumer</v>
      </c>
      <c r="L36" s="1" t="str">
        <f ca="1">IFERROR(__xludf.DUMMYFUNCTION("""COMPUTED_VALUE"""),"United States")</f>
        <v>United States</v>
      </c>
      <c r="M36" s="1" t="str">
        <f ca="1">IFERROR(__xludf.DUMMYFUNCTION("""COMPUTED_VALUE"""),"Newark")</f>
        <v>Newark</v>
      </c>
      <c r="N36" s="1" t="str">
        <f ca="1">IFERROR(__xludf.DUMMYFUNCTION("""COMPUTED_VALUE"""),"Ohio")</f>
        <v>Ohio</v>
      </c>
      <c r="O36" s="1">
        <f ca="1">IFERROR(__xludf.DUMMYFUNCTION("""COMPUTED_VALUE"""),43055)</f>
        <v>43055</v>
      </c>
      <c r="P36" s="1" t="str">
        <f ca="1">IFERROR(__xludf.DUMMYFUNCTION("""COMPUTED_VALUE"""),"East")</f>
        <v>East</v>
      </c>
      <c r="Q36" s="1" t="str">
        <f ca="1">IFERROR(__xludf.DUMMYFUNCTION("""COMPUTED_VALUE"""),"FUR-CH-10004698")</f>
        <v>FUR-CH-10004698</v>
      </c>
      <c r="R36" s="1" t="str">
        <f ca="1">IFERROR(__xludf.DUMMYFUNCTION("""COMPUTED_VALUE"""),"Furniture")</f>
        <v>Furniture</v>
      </c>
      <c r="S36" s="7">
        <f ca="1">IFERROR(__xludf.DUMMYFUNCTION("""COMPUTED_VALUE"""),396.802)</f>
        <v>396.80200000000002</v>
      </c>
      <c r="T36" s="1">
        <f ca="1">IFERROR(__xludf.DUMMYFUNCTION("""COMPUTED_VALUE"""),4)</f>
        <v>4</v>
      </c>
      <c r="U36" s="9">
        <f ca="1">IFERROR(__xludf.DUMMYFUNCTION("""COMPUTED_VALUE"""),1587.208)</f>
        <v>1587.2080000000001</v>
      </c>
      <c r="V36" s="9">
        <f ca="1">IFERROR(__xludf.DUMMYFUNCTION("""COMPUTED_VALUE"""),1586.12)</f>
        <v>1586.12</v>
      </c>
      <c r="W36" s="12">
        <f ca="1">IFERROR(__xludf.DUMMYFUNCTION("""COMPUTED_VALUE"""),1.08800000000019)</f>
        <v>1.0880000000001899</v>
      </c>
    </row>
    <row r="37" spans="1:23" ht="13.2">
      <c r="A37" s="1" t="str">
        <f ca="1">IFERROR(__xludf.DUMMYFUNCTION("""COMPUTED_VALUE"""),"US-2016-101511")</f>
        <v>US-2016-101511</v>
      </c>
      <c r="B37" s="8">
        <f ca="1">IFERROR(__xludf.DUMMYFUNCTION("""COMPUTED_VALUE"""),42695)</f>
        <v>42695</v>
      </c>
      <c r="C37" s="1" t="str">
        <f ca="1">IFERROR(__xludf.DUMMYFUNCTION("""COMPUTED_VALUE"""),"Nov")</f>
        <v>Nov</v>
      </c>
      <c r="D37" s="1" t="str">
        <f ca="1">IFERROR(__xludf.DUMMYFUNCTION("""COMPUTED_VALUE"""),"Qtr 4")</f>
        <v>Qtr 4</v>
      </c>
      <c r="E37" s="1" t="str">
        <f ca="1">IFERROR(__xludf.DUMMYFUNCTION("""COMPUTED_VALUE"""),"23/11/2016")</f>
        <v>23/11/2016</v>
      </c>
      <c r="F37" s="1" t="str">
        <f ca="1">IFERROR(__xludf.DUMMYFUNCTION("""COMPUTED_VALUE"""),"Second Class")</f>
        <v>Second Class</v>
      </c>
      <c r="G37" s="1" t="str">
        <f ca="1">IFERROR(__xludf.DUMMYFUNCTION("""COMPUTED_VALUE"""),"JE-15745")</f>
        <v>JE-15745</v>
      </c>
      <c r="H37" s="1" t="str">
        <f ca="1">IFERROR(__xludf.DUMMYFUNCTION("""COMPUTED_VALUE"""),"Joel")</f>
        <v>Joel</v>
      </c>
      <c r="I37" s="1" t="str">
        <f ca="1">IFERROR(__xludf.DUMMYFUNCTION("""COMPUTED_VALUE"""),"Eaton")</f>
        <v>Eaton</v>
      </c>
      <c r="J37" s="1"/>
      <c r="K37" s="1" t="str">
        <f ca="1">IFERROR(__xludf.DUMMYFUNCTION("""COMPUTED_VALUE"""),"Consumer")</f>
        <v>Consumer</v>
      </c>
      <c r="L37" s="1" t="str">
        <f ca="1">IFERROR(__xludf.DUMMYFUNCTION("""COMPUTED_VALUE"""),"United States")</f>
        <v>United States</v>
      </c>
      <c r="M37" s="1" t="str">
        <f ca="1">IFERROR(__xludf.DUMMYFUNCTION("""COMPUTED_VALUE"""),"Newark")</f>
        <v>Newark</v>
      </c>
      <c r="N37" s="1" t="str">
        <f ca="1">IFERROR(__xludf.DUMMYFUNCTION("""COMPUTED_VALUE"""),"Ohio")</f>
        <v>Ohio</v>
      </c>
      <c r="O37" s="1">
        <f ca="1">IFERROR(__xludf.DUMMYFUNCTION("""COMPUTED_VALUE"""),43055)</f>
        <v>43055</v>
      </c>
      <c r="P37" s="1" t="str">
        <f ca="1">IFERROR(__xludf.DUMMYFUNCTION("""COMPUTED_VALUE"""),"East")</f>
        <v>East</v>
      </c>
      <c r="Q37" s="1" t="str">
        <f ca="1">IFERROR(__xludf.DUMMYFUNCTION("""COMPUTED_VALUE"""),"OFF-SU-10002189")</f>
        <v>OFF-SU-10002189</v>
      </c>
      <c r="R37" s="1" t="str">
        <f ca="1">IFERROR(__xludf.DUMMYFUNCTION("""COMPUTED_VALUE"""),"Office Supplies")</f>
        <v>Office Supplies</v>
      </c>
      <c r="S37" s="7">
        <f ca="1">IFERROR(__xludf.DUMMYFUNCTION("""COMPUTED_VALUE"""),15.88)</f>
        <v>15.88</v>
      </c>
      <c r="T37" s="1">
        <f ca="1">IFERROR(__xludf.DUMMYFUNCTION("""COMPUTED_VALUE"""),4)</f>
        <v>4</v>
      </c>
      <c r="U37" s="9">
        <f ca="1">IFERROR(__xludf.DUMMYFUNCTION("""COMPUTED_VALUE"""),63.52)</f>
        <v>63.52</v>
      </c>
      <c r="V37" s="9">
        <f ca="1">IFERROR(__xludf.DUMMYFUNCTION("""COMPUTED_VALUE"""),62.8)</f>
        <v>62.8</v>
      </c>
      <c r="W37" s="12">
        <f ca="1">IFERROR(__xludf.DUMMYFUNCTION("""COMPUTED_VALUE"""),0.720000000000006)</f>
        <v>0.72000000000000597</v>
      </c>
    </row>
    <row r="38" spans="1:23" ht="13.2">
      <c r="A38" s="1" t="str">
        <f ca="1">IFERROR(__xludf.DUMMYFUNCTION("""COMPUTED_VALUE"""),"CA-2015-166191")</f>
        <v>CA-2015-166191</v>
      </c>
      <c r="B38" s="8">
        <f ca="1">IFERROR(__xludf.DUMMYFUNCTION("""COMPUTED_VALUE"""),42136)</f>
        <v>42136</v>
      </c>
      <c r="C38" s="1" t="str">
        <f ca="1">IFERROR(__xludf.DUMMYFUNCTION("""COMPUTED_VALUE"""),"May")</f>
        <v>May</v>
      </c>
      <c r="D38" s="1" t="str">
        <f ca="1">IFERROR(__xludf.DUMMYFUNCTION("""COMPUTED_VALUE"""),"Qtr 2")</f>
        <v>Qtr 2</v>
      </c>
      <c r="E38" s="1" t="str">
        <f ca="1">IFERROR(__xludf.DUMMYFUNCTION("""COMPUTED_VALUE"""),"9/12/2015")</f>
        <v>9/12/2015</v>
      </c>
      <c r="F38" s="1" t="str">
        <f ca="1">IFERROR(__xludf.DUMMYFUNCTION("""COMPUTED_VALUE"""),"Second Class")</f>
        <v>Second Class</v>
      </c>
      <c r="G38" s="1" t="str">
        <f ca="1">IFERROR(__xludf.DUMMYFUNCTION("""COMPUTED_VALUE"""),"DK-13150")</f>
        <v>DK-13150</v>
      </c>
      <c r="H38" s="1" t="str">
        <f ca="1">IFERROR(__xludf.DUMMYFUNCTION("""COMPUTED_VALUE"""),"David")</f>
        <v>David</v>
      </c>
      <c r="I38" s="1" t="str">
        <f ca="1">IFERROR(__xludf.DUMMYFUNCTION("""COMPUTED_VALUE"""),"Kendrick")</f>
        <v>Kendrick</v>
      </c>
      <c r="J38" s="1"/>
      <c r="K38" s="1" t="str">
        <f ca="1">IFERROR(__xludf.DUMMYFUNCTION("""COMPUTED_VALUE"""),"Corporate")</f>
        <v>Corporate</v>
      </c>
      <c r="L38" s="1" t="str">
        <f ca="1">IFERROR(__xludf.DUMMYFUNCTION("""COMPUTED_VALUE"""),"United States")</f>
        <v>United States</v>
      </c>
      <c r="M38" s="1" t="str">
        <f ca="1">IFERROR(__xludf.DUMMYFUNCTION("""COMPUTED_VALUE"""),"Decatur")</f>
        <v>Decatur</v>
      </c>
      <c r="N38" s="1" t="str">
        <f ca="1">IFERROR(__xludf.DUMMYFUNCTION("""COMPUTED_VALUE"""),"Illinois")</f>
        <v>Illinois</v>
      </c>
      <c r="O38" s="1">
        <f ca="1">IFERROR(__xludf.DUMMYFUNCTION("""COMPUTED_VALUE"""),62521)</f>
        <v>62521</v>
      </c>
      <c r="P38" s="1" t="str">
        <f ca="1">IFERROR(__xludf.DUMMYFUNCTION("""COMPUTED_VALUE"""),"Central")</f>
        <v>Central</v>
      </c>
      <c r="Q38" s="1" t="str">
        <f ca="1">IFERROR(__xludf.DUMMYFUNCTION("""COMPUTED_VALUE"""),"OFF-ST-10003455")</f>
        <v>OFF-ST-10003455</v>
      </c>
      <c r="R38" s="1" t="str">
        <f ca="1">IFERROR(__xludf.DUMMYFUNCTION("""COMPUTED_VALUE"""),"Office Supplies")</f>
        <v>Office Supplies</v>
      </c>
      <c r="S38" s="7">
        <f ca="1">IFERROR(__xludf.DUMMYFUNCTION("""COMPUTED_VALUE"""),24.816)</f>
        <v>24.815999999999999</v>
      </c>
      <c r="T38" s="1">
        <f ca="1">IFERROR(__xludf.DUMMYFUNCTION("""COMPUTED_VALUE"""),6)</f>
        <v>6</v>
      </c>
      <c r="U38" s="9">
        <f ca="1">IFERROR(__xludf.DUMMYFUNCTION("""COMPUTED_VALUE"""),148.896)</f>
        <v>148.89599999999999</v>
      </c>
      <c r="V38" s="9">
        <f ca="1">IFERROR(__xludf.DUMMYFUNCTION("""COMPUTED_VALUE"""),147.84)</f>
        <v>147.84</v>
      </c>
      <c r="W38" s="12">
        <f ca="1">IFERROR(__xludf.DUMMYFUNCTION("""COMPUTED_VALUE"""),1.05599999999998)</f>
        <v>1.0559999999999801</v>
      </c>
    </row>
    <row r="39" spans="1:23" ht="13.2">
      <c r="A39" s="1" t="str">
        <f ca="1">IFERROR(__xludf.DUMMYFUNCTION("""COMPUTED_VALUE"""),"CA-2015-166191")</f>
        <v>CA-2015-166191</v>
      </c>
      <c r="B39" s="8">
        <f ca="1">IFERROR(__xludf.DUMMYFUNCTION("""COMPUTED_VALUE"""),42136)</f>
        <v>42136</v>
      </c>
      <c r="C39" s="1" t="str">
        <f ca="1">IFERROR(__xludf.DUMMYFUNCTION("""COMPUTED_VALUE"""),"May")</f>
        <v>May</v>
      </c>
      <c r="D39" s="1" t="str">
        <f ca="1">IFERROR(__xludf.DUMMYFUNCTION("""COMPUTED_VALUE"""),"Qtr 2")</f>
        <v>Qtr 2</v>
      </c>
      <c r="E39" s="1" t="str">
        <f ca="1">IFERROR(__xludf.DUMMYFUNCTION("""COMPUTED_VALUE"""),"9/12/2015")</f>
        <v>9/12/2015</v>
      </c>
      <c r="F39" s="1" t="str">
        <f ca="1">IFERROR(__xludf.DUMMYFUNCTION("""COMPUTED_VALUE"""),"Second Class")</f>
        <v>Second Class</v>
      </c>
      <c r="G39" s="1" t="str">
        <f ca="1">IFERROR(__xludf.DUMMYFUNCTION("""COMPUTED_VALUE"""),"DK-13150")</f>
        <v>DK-13150</v>
      </c>
      <c r="H39" s="1" t="str">
        <f ca="1">IFERROR(__xludf.DUMMYFUNCTION("""COMPUTED_VALUE"""),"David")</f>
        <v>David</v>
      </c>
      <c r="I39" s="1" t="str">
        <f ca="1">IFERROR(__xludf.DUMMYFUNCTION("""COMPUTED_VALUE"""),"Kendrick")</f>
        <v>Kendrick</v>
      </c>
      <c r="J39" s="1"/>
      <c r="K39" s="1" t="str">
        <f ca="1">IFERROR(__xludf.DUMMYFUNCTION("""COMPUTED_VALUE"""),"Corporate")</f>
        <v>Corporate</v>
      </c>
      <c r="L39" s="1" t="str">
        <f ca="1">IFERROR(__xludf.DUMMYFUNCTION("""COMPUTED_VALUE"""),"United States")</f>
        <v>United States</v>
      </c>
      <c r="M39" s="1" t="str">
        <f ca="1">IFERROR(__xludf.DUMMYFUNCTION("""COMPUTED_VALUE"""),"Decatur")</f>
        <v>Decatur</v>
      </c>
      <c r="N39" s="1" t="str">
        <f ca="1">IFERROR(__xludf.DUMMYFUNCTION("""COMPUTED_VALUE"""),"Illinois")</f>
        <v>Illinois</v>
      </c>
      <c r="O39" s="1">
        <f ca="1">IFERROR(__xludf.DUMMYFUNCTION("""COMPUTED_VALUE"""),62521)</f>
        <v>62521</v>
      </c>
      <c r="P39" s="1" t="str">
        <f ca="1">IFERROR(__xludf.DUMMYFUNCTION("""COMPUTED_VALUE"""),"Central")</f>
        <v>Central</v>
      </c>
      <c r="Q39" s="1" t="str">
        <f ca="1">IFERROR(__xludf.DUMMYFUNCTION("""COMPUTED_VALUE"""),"TEC-AC-10004659")</f>
        <v>TEC-AC-10004659</v>
      </c>
      <c r="R39" s="1" t="str">
        <f ca="1">IFERROR(__xludf.DUMMYFUNCTION("""COMPUTED_VALUE"""),"Technology")</f>
        <v>Technology</v>
      </c>
      <c r="S39" s="7">
        <f ca="1">IFERROR(__xludf.DUMMYFUNCTION("""COMPUTED_VALUE"""),408.744)</f>
        <v>408.74400000000003</v>
      </c>
      <c r="T39" s="1">
        <f ca="1">IFERROR(__xludf.DUMMYFUNCTION("""COMPUTED_VALUE"""),6)</f>
        <v>6</v>
      </c>
      <c r="U39" s="9">
        <f ca="1">IFERROR(__xludf.DUMMYFUNCTION("""COMPUTED_VALUE"""),2452.464)</f>
        <v>2452.4639999999999</v>
      </c>
      <c r="V39" s="9">
        <f ca="1">IFERROR(__xludf.DUMMYFUNCTION("""COMPUTED_VALUE"""),2451.12)</f>
        <v>2451.12</v>
      </c>
      <c r="W39" s="12">
        <f ca="1">IFERROR(__xludf.DUMMYFUNCTION("""COMPUTED_VALUE"""),1.34400000000005)</f>
        <v>1.34400000000005</v>
      </c>
    </row>
    <row r="40" spans="1:23" ht="13.2">
      <c r="A40" s="1" t="str">
        <f ca="1">IFERROR(__xludf.DUMMYFUNCTION("""COMPUTED_VALUE"""),"CA-2015-158274")</f>
        <v>CA-2015-158274</v>
      </c>
      <c r="B40" s="8">
        <f ca="1">IFERROR(__xludf.DUMMYFUNCTION("""COMPUTED_VALUE"""),42327)</f>
        <v>42327</v>
      </c>
      <c r="C40" s="1" t="str">
        <f ca="1">IFERROR(__xludf.DUMMYFUNCTION("""COMPUTED_VALUE"""),"Nov")</f>
        <v>Nov</v>
      </c>
      <c r="D40" s="1" t="str">
        <f ca="1">IFERROR(__xludf.DUMMYFUNCTION("""COMPUTED_VALUE"""),"Qtr 4")</f>
        <v>Qtr 4</v>
      </c>
      <c r="E40" s="1" t="str">
        <f ca="1">IFERROR(__xludf.DUMMYFUNCTION("""COMPUTED_VALUE"""),"24/11/2015")</f>
        <v>24/11/2015</v>
      </c>
      <c r="F40" s="1" t="str">
        <f ca="1">IFERROR(__xludf.DUMMYFUNCTION("""COMPUTED_VALUE"""),"Second Class")</f>
        <v>Second Class</v>
      </c>
      <c r="G40" s="1" t="str">
        <f ca="1">IFERROR(__xludf.DUMMYFUNCTION("""COMPUTED_VALUE"""),"RM-19675")</f>
        <v>RM-19675</v>
      </c>
      <c r="H40" s="1" t="str">
        <f ca="1">IFERROR(__xludf.DUMMYFUNCTION("""COMPUTED_VALUE"""),"Robert")</f>
        <v>Robert</v>
      </c>
      <c r="I40" s="1" t="str">
        <f ca="1">IFERROR(__xludf.DUMMYFUNCTION("""COMPUTED_VALUE"""),"Marley")</f>
        <v>Marley</v>
      </c>
      <c r="J40" s="1"/>
      <c r="K40" s="1" t="str">
        <f ca="1">IFERROR(__xludf.DUMMYFUNCTION("""COMPUTED_VALUE"""),"Home Office")</f>
        <v>Home Office</v>
      </c>
      <c r="L40" s="1" t="str">
        <f ca="1">IFERROR(__xludf.DUMMYFUNCTION("""COMPUTED_VALUE"""),"United States")</f>
        <v>United States</v>
      </c>
      <c r="M40" s="1" t="str">
        <f ca="1">IFERROR(__xludf.DUMMYFUNCTION("""COMPUTED_VALUE"""),"Monroe")</f>
        <v>Monroe</v>
      </c>
      <c r="N40" s="1" t="str">
        <f ca="1">IFERROR(__xludf.DUMMYFUNCTION("""COMPUTED_VALUE"""),"Louisiana")</f>
        <v>Louisiana</v>
      </c>
      <c r="O40" s="1">
        <f ca="1">IFERROR(__xludf.DUMMYFUNCTION("""COMPUTED_VALUE"""),71203)</f>
        <v>71203</v>
      </c>
      <c r="P40" s="1" t="str">
        <f ca="1">IFERROR(__xludf.DUMMYFUNCTION("""COMPUTED_VALUE"""),"South")</f>
        <v>South</v>
      </c>
      <c r="Q40" s="1" t="str">
        <f ca="1">IFERROR(__xludf.DUMMYFUNCTION("""COMPUTED_VALUE"""),"TEC-PH-10003273")</f>
        <v>TEC-PH-10003273</v>
      </c>
      <c r="R40" s="1" t="str">
        <f ca="1">IFERROR(__xludf.DUMMYFUNCTION("""COMPUTED_VALUE"""),"Technology")</f>
        <v>Technology</v>
      </c>
      <c r="S40" s="7">
        <f ca="1">IFERROR(__xludf.DUMMYFUNCTION("""COMPUTED_VALUE"""),503.96)</f>
        <v>503.96</v>
      </c>
      <c r="T40" s="1">
        <f ca="1">IFERROR(__xludf.DUMMYFUNCTION("""COMPUTED_VALUE"""),7)</f>
        <v>7</v>
      </c>
      <c r="U40" s="9">
        <f ca="1">IFERROR(__xludf.DUMMYFUNCTION("""COMPUTED_VALUE"""),3527.72)</f>
        <v>3527.72</v>
      </c>
      <c r="V40" s="9">
        <f ca="1">IFERROR(__xludf.DUMMYFUNCTION("""COMPUTED_VALUE"""),3527.09)</f>
        <v>3527.09</v>
      </c>
      <c r="W40" s="12">
        <f ca="1">IFERROR(__xludf.DUMMYFUNCTION("""COMPUTED_VALUE"""),0.629999999999654)</f>
        <v>0.62999999999965395</v>
      </c>
    </row>
    <row r="41" spans="1:23" ht="13.2">
      <c r="A41" s="1" t="str">
        <f ca="1">IFERROR(__xludf.DUMMYFUNCTION("""COMPUTED_VALUE"""),"CA-2015-158274")</f>
        <v>CA-2015-158274</v>
      </c>
      <c r="B41" s="8">
        <f ca="1">IFERROR(__xludf.DUMMYFUNCTION("""COMPUTED_VALUE"""),42327)</f>
        <v>42327</v>
      </c>
      <c r="C41" s="1" t="str">
        <f ca="1">IFERROR(__xludf.DUMMYFUNCTION("""COMPUTED_VALUE"""),"Nov")</f>
        <v>Nov</v>
      </c>
      <c r="D41" s="1" t="str">
        <f ca="1">IFERROR(__xludf.DUMMYFUNCTION("""COMPUTED_VALUE"""),"Qtr 4")</f>
        <v>Qtr 4</v>
      </c>
      <c r="E41" s="1" t="str">
        <f ca="1">IFERROR(__xludf.DUMMYFUNCTION("""COMPUTED_VALUE"""),"24/11/2015")</f>
        <v>24/11/2015</v>
      </c>
      <c r="F41" s="1" t="str">
        <f ca="1">IFERROR(__xludf.DUMMYFUNCTION("""COMPUTED_VALUE"""),"Second Class")</f>
        <v>Second Class</v>
      </c>
      <c r="G41" s="1" t="str">
        <f ca="1">IFERROR(__xludf.DUMMYFUNCTION("""COMPUTED_VALUE"""),"RM-19675")</f>
        <v>RM-19675</v>
      </c>
      <c r="H41" s="1" t="str">
        <f ca="1">IFERROR(__xludf.DUMMYFUNCTION("""COMPUTED_VALUE"""),"Robert")</f>
        <v>Robert</v>
      </c>
      <c r="I41" s="1" t="str">
        <f ca="1">IFERROR(__xludf.DUMMYFUNCTION("""COMPUTED_VALUE"""),"Marley")</f>
        <v>Marley</v>
      </c>
      <c r="J41" s="1"/>
      <c r="K41" s="1" t="str">
        <f ca="1">IFERROR(__xludf.DUMMYFUNCTION("""COMPUTED_VALUE"""),"Home Office")</f>
        <v>Home Office</v>
      </c>
      <c r="L41" s="1" t="str">
        <f ca="1">IFERROR(__xludf.DUMMYFUNCTION("""COMPUTED_VALUE"""),"United States")</f>
        <v>United States</v>
      </c>
      <c r="M41" s="1" t="str">
        <f ca="1">IFERROR(__xludf.DUMMYFUNCTION("""COMPUTED_VALUE"""),"Monroe")</f>
        <v>Monroe</v>
      </c>
      <c r="N41" s="1" t="str">
        <f ca="1">IFERROR(__xludf.DUMMYFUNCTION("""COMPUTED_VALUE"""),"Louisiana")</f>
        <v>Louisiana</v>
      </c>
      <c r="O41" s="1">
        <f ca="1">IFERROR(__xludf.DUMMYFUNCTION("""COMPUTED_VALUE"""),71203)</f>
        <v>71203</v>
      </c>
      <c r="P41" s="1" t="str">
        <f ca="1">IFERROR(__xludf.DUMMYFUNCTION("""COMPUTED_VALUE"""),"South")</f>
        <v>South</v>
      </c>
      <c r="Q41" s="1" t="str">
        <f ca="1">IFERROR(__xludf.DUMMYFUNCTION("""COMPUTED_VALUE"""),"TEC-PH-10004896")</f>
        <v>TEC-PH-10004896</v>
      </c>
      <c r="R41" s="1" t="str">
        <f ca="1">IFERROR(__xludf.DUMMYFUNCTION("""COMPUTED_VALUE"""),"Technology")</f>
        <v>Technology</v>
      </c>
      <c r="S41" s="7">
        <f ca="1">IFERROR(__xludf.DUMMYFUNCTION("""COMPUTED_VALUE"""),149.95)</f>
        <v>149.94999999999999</v>
      </c>
      <c r="T41" s="1">
        <f ca="1">IFERROR(__xludf.DUMMYFUNCTION("""COMPUTED_VALUE"""),7)</f>
        <v>7</v>
      </c>
      <c r="U41" s="9">
        <f ca="1">IFERROR(__xludf.DUMMYFUNCTION("""COMPUTED_VALUE"""),1049.64999999999)</f>
        <v>1049.6499999999901</v>
      </c>
      <c r="V41" s="9">
        <f ca="1">IFERROR(__xludf.DUMMYFUNCTION("""COMPUTED_VALUE"""),1045.38)</f>
        <v>1045.3800000000001</v>
      </c>
      <c r="W41" s="12">
        <f ca="1">IFERROR(__xludf.DUMMYFUNCTION("""COMPUTED_VALUE"""),4.26999999999975)</f>
        <v>4.26999999999975</v>
      </c>
    </row>
    <row r="42" spans="1:23" ht="13.2">
      <c r="A42" s="1" t="str">
        <f ca="1">IFERROR(__xludf.DUMMYFUNCTION("""COMPUTED_VALUE"""),"CA-2015-158274")</f>
        <v>CA-2015-158274</v>
      </c>
      <c r="B42" s="8">
        <f ca="1">IFERROR(__xludf.DUMMYFUNCTION("""COMPUTED_VALUE"""),42327)</f>
        <v>42327</v>
      </c>
      <c r="C42" s="1" t="str">
        <f ca="1">IFERROR(__xludf.DUMMYFUNCTION("""COMPUTED_VALUE"""),"Nov")</f>
        <v>Nov</v>
      </c>
      <c r="D42" s="1" t="str">
        <f ca="1">IFERROR(__xludf.DUMMYFUNCTION("""COMPUTED_VALUE"""),"Qtr 4")</f>
        <v>Qtr 4</v>
      </c>
      <c r="E42" s="1" t="str">
        <f ca="1">IFERROR(__xludf.DUMMYFUNCTION("""COMPUTED_VALUE"""),"24/11/2015")</f>
        <v>24/11/2015</v>
      </c>
      <c r="F42" s="1" t="str">
        <f ca="1">IFERROR(__xludf.DUMMYFUNCTION("""COMPUTED_VALUE"""),"Second Class")</f>
        <v>Second Class</v>
      </c>
      <c r="G42" s="1" t="str">
        <f ca="1">IFERROR(__xludf.DUMMYFUNCTION("""COMPUTED_VALUE"""),"RM-19675")</f>
        <v>RM-19675</v>
      </c>
      <c r="H42" s="1" t="str">
        <f ca="1">IFERROR(__xludf.DUMMYFUNCTION("""COMPUTED_VALUE"""),"Robert")</f>
        <v>Robert</v>
      </c>
      <c r="I42" s="1" t="str">
        <f ca="1">IFERROR(__xludf.DUMMYFUNCTION("""COMPUTED_VALUE"""),"Marley")</f>
        <v>Marley</v>
      </c>
      <c r="J42" s="1"/>
      <c r="K42" s="1" t="str">
        <f ca="1">IFERROR(__xludf.DUMMYFUNCTION("""COMPUTED_VALUE"""),"Home Office")</f>
        <v>Home Office</v>
      </c>
      <c r="L42" s="1" t="str">
        <f ca="1">IFERROR(__xludf.DUMMYFUNCTION("""COMPUTED_VALUE"""),"United States")</f>
        <v>United States</v>
      </c>
      <c r="M42" s="1" t="str">
        <f ca="1">IFERROR(__xludf.DUMMYFUNCTION("""COMPUTED_VALUE"""),"Monroe")</f>
        <v>Monroe</v>
      </c>
      <c r="N42" s="1" t="str">
        <f ca="1">IFERROR(__xludf.DUMMYFUNCTION("""COMPUTED_VALUE"""),"Louisiana")</f>
        <v>Louisiana</v>
      </c>
      <c r="O42" s="1">
        <f ca="1">IFERROR(__xludf.DUMMYFUNCTION("""COMPUTED_VALUE"""),71203)</f>
        <v>71203</v>
      </c>
      <c r="P42" s="1" t="str">
        <f ca="1">IFERROR(__xludf.DUMMYFUNCTION("""COMPUTED_VALUE"""),"South")</f>
        <v>South</v>
      </c>
      <c r="Q42" s="1" t="str">
        <f ca="1">IFERROR(__xludf.DUMMYFUNCTION("""COMPUTED_VALUE"""),"TEC-AC-10002345")</f>
        <v>TEC-AC-10002345</v>
      </c>
      <c r="R42" s="1" t="str">
        <f ca="1">IFERROR(__xludf.DUMMYFUNCTION("""COMPUTED_VALUE"""),"Technology")</f>
        <v>Technology</v>
      </c>
      <c r="S42" s="7">
        <f ca="1">IFERROR(__xludf.DUMMYFUNCTION("""COMPUTED_VALUE"""),29)</f>
        <v>29</v>
      </c>
      <c r="T42" s="1">
        <f ca="1">IFERROR(__xludf.DUMMYFUNCTION("""COMPUTED_VALUE"""),7)</f>
        <v>7</v>
      </c>
      <c r="U42" s="9">
        <f ca="1">IFERROR(__xludf.DUMMYFUNCTION("""COMPUTED_VALUE"""),203)</f>
        <v>203</v>
      </c>
      <c r="V42" s="9">
        <f ca="1">IFERROR(__xludf.DUMMYFUNCTION("""COMPUTED_VALUE"""),199.22)</f>
        <v>199.22</v>
      </c>
      <c r="W42" s="12">
        <f ca="1">IFERROR(__xludf.DUMMYFUNCTION("""COMPUTED_VALUE"""),3.78)</f>
        <v>3.78</v>
      </c>
    </row>
    <row r="43" spans="1:23" ht="13.2">
      <c r="A43" s="1" t="str">
        <f ca="1">IFERROR(__xludf.DUMMYFUNCTION("""COMPUTED_VALUE"""),"US-2018-116701")</f>
        <v>US-2018-116701</v>
      </c>
      <c r="B43" s="8">
        <f ca="1">IFERROR(__xludf.DUMMYFUNCTION("""COMPUTED_VALUE"""),43451)</f>
        <v>43451</v>
      </c>
      <c r="C43" s="1" t="str">
        <f ca="1">IFERROR(__xludf.DUMMYFUNCTION("""COMPUTED_VALUE"""),"Dec")</f>
        <v>Dec</v>
      </c>
      <c r="D43" s="1" t="str">
        <f ca="1">IFERROR(__xludf.DUMMYFUNCTION("""COMPUTED_VALUE"""),"Qtr 4")</f>
        <v>Qtr 4</v>
      </c>
      <c r="E43" s="1" t="str">
        <f ca="1">IFERROR(__xludf.DUMMYFUNCTION("""COMPUTED_VALUE"""),"21/12/2018")</f>
        <v>21/12/2018</v>
      </c>
      <c r="F43" s="1" t="str">
        <f ca="1">IFERROR(__xludf.DUMMYFUNCTION("""COMPUTED_VALUE"""),"Second Class")</f>
        <v>Second Class</v>
      </c>
      <c r="G43" s="1" t="str">
        <f ca="1">IFERROR(__xludf.DUMMYFUNCTION("""COMPUTED_VALUE"""),"LC-17140")</f>
        <v>LC-17140</v>
      </c>
      <c r="H43" s="1" t="str">
        <f ca="1">IFERROR(__xludf.DUMMYFUNCTION("""COMPUTED_VALUE"""),"Logan")</f>
        <v>Logan</v>
      </c>
      <c r="I43" s="1" t="str">
        <f ca="1">IFERROR(__xludf.DUMMYFUNCTION("""COMPUTED_VALUE"""),"Currie")</f>
        <v>Currie</v>
      </c>
      <c r="J43" s="1"/>
      <c r="K43" s="1" t="str">
        <f ca="1">IFERROR(__xludf.DUMMYFUNCTION("""COMPUTED_VALUE"""),"Consumer")</f>
        <v>Consumer</v>
      </c>
      <c r="L43" s="1" t="str">
        <f ca="1">IFERROR(__xludf.DUMMYFUNCTION("""COMPUTED_VALUE"""),"United States")</f>
        <v>United States</v>
      </c>
      <c r="M43" s="1" t="str">
        <f ca="1">IFERROR(__xludf.DUMMYFUNCTION("""COMPUTED_VALUE"""),"Dallas")</f>
        <v>Dallas</v>
      </c>
      <c r="N43" s="1" t="str">
        <f ca="1">IFERROR(__xludf.DUMMYFUNCTION("""COMPUTED_VALUE"""),"Texas")</f>
        <v>Texas</v>
      </c>
      <c r="O43" s="1">
        <f ca="1">IFERROR(__xludf.DUMMYFUNCTION("""COMPUTED_VALUE"""),75220)</f>
        <v>75220</v>
      </c>
      <c r="P43" s="1" t="str">
        <f ca="1">IFERROR(__xludf.DUMMYFUNCTION("""COMPUTED_VALUE"""),"Central")</f>
        <v>Central</v>
      </c>
      <c r="Q43" s="1" t="str">
        <f ca="1">IFERROR(__xludf.DUMMYFUNCTION("""COMPUTED_VALUE"""),"OFF-AP-10003217")</f>
        <v>OFF-AP-10003217</v>
      </c>
      <c r="R43" s="1" t="str">
        <f ca="1">IFERROR(__xludf.DUMMYFUNCTION("""COMPUTED_VALUE"""),"Office Supplies")</f>
        <v>Office Supplies</v>
      </c>
      <c r="S43" s="7">
        <f ca="1">IFERROR(__xludf.DUMMYFUNCTION("""COMPUTED_VALUE"""),66.284)</f>
        <v>66.284000000000006</v>
      </c>
      <c r="T43" s="1">
        <f ca="1">IFERROR(__xludf.DUMMYFUNCTION("""COMPUTED_VALUE"""),7)</f>
        <v>7</v>
      </c>
      <c r="U43" s="9">
        <f ca="1">IFERROR(__xludf.DUMMYFUNCTION("""COMPUTED_VALUE"""),463.988)</f>
        <v>463.988</v>
      </c>
      <c r="V43" s="9">
        <f ca="1">IFERROR(__xludf.DUMMYFUNCTION("""COMPUTED_VALUE"""),460.739999999999)</f>
        <v>460.73999999999899</v>
      </c>
      <c r="W43" s="12">
        <f ca="1">IFERROR(__xludf.DUMMYFUNCTION("""COMPUTED_VALUE"""),3.2480000000001)</f>
        <v>3.2480000000001001</v>
      </c>
    </row>
    <row r="44" spans="1:23" ht="13.2">
      <c r="A44" s="1" t="str">
        <f ca="1">IFERROR(__xludf.DUMMYFUNCTION("""COMPUTED_VALUE"""),"CA-2016-101007")</f>
        <v>CA-2016-101007</v>
      </c>
      <c r="B44" s="8">
        <f ca="1">IFERROR(__xludf.DUMMYFUNCTION("""COMPUTED_VALUE"""),42615)</f>
        <v>42615</v>
      </c>
      <c r="C44" s="1" t="str">
        <f ca="1">IFERROR(__xludf.DUMMYFUNCTION("""COMPUTED_VALUE"""),"Sep")</f>
        <v>Sep</v>
      </c>
      <c r="D44" s="1" t="str">
        <f ca="1">IFERROR(__xludf.DUMMYFUNCTION("""COMPUTED_VALUE"""),"Qtr 3")</f>
        <v>Qtr 3</v>
      </c>
      <c r="E44" s="1" t="str">
        <f ca="1">IFERROR(__xludf.DUMMYFUNCTION("""COMPUTED_VALUE"""),"13/02/2016")</f>
        <v>13/02/2016</v>
      </c>
      <c r="F44" s="1" t="str">
        <f ca="1">IFERROR(__xludf.DUMMYFUNCTION("""COMPUTED_VALUE"""),"Second Class")</f>
        <v>Second Class</v>
      </c>
      <c r="G44" s="1" t="str">
        <f ca="1">IFERROR(__xludf.DUMMYFUNCTION("""COMPUTED_VALUE"""),"MS-17980")</f>
        <v>MS-17980</v>
      </c>
      <c r="H44" s="1" t="str">
        <f ca="1">IFERROR(__xludf.DUMMYFUNCTION("""COMPUTED_VALUE"""),"Michael")</f>
        <v>Michael</v>
      </c>
      <c r="I44" s="1" t="str">
        <f ca="1">IFERROR(__xludf.DUMMYFUNCTION("""COMPUTED_VALUE"""),"Stewart")</f>
        <v>Stewart</v>
      </c>
      <c r="J44" s="1"/>
      <c r="K44" s="1" t="str">
        <f ca="1">IFERROR(__xludf.DUMMYFUNCTION("""COMPUTED_VALUE"""),"Corporate")</f>
        <v>Corporate</v>
      </c>
      <c r="L44" s="1" t="str">
        <f ca="1">IFERROR(__xludf.DUMMYFUNCTION("""COMPUTED_VALUE"""),"United States")</f>
        <v>United States</v>
      </c>
      <c r="M44" s="1" t="str">
        <f ca="1">IFERROR(__xludf.DUMMYFUNCTION("""COMPUTED_VALUE"""),"Dallas")</f>
        <v>Dallas</v>
      </c>
      <c r="N44" s="1" t="str">
        <f ca="1">IFERROR(__xludf.DUMMYFUNCTION("""COMPUTED_VALUE"""),"Texas")</f>
        <v>Texas</v>
      </c>
      <c r="O44" s="1">
        <f ca="1">IFERROR(__xludf.DUMMYFUNCTION("""COMPUTED_VALUE"""),75220)</f>
        <v>75220</v>
      </c>
      <c r="P44" s="1" t="str">
        <f ca="1">IFERROR(__xludf.DUMMYFUNCTION("""COMPUTED_VALUE"""),"Central")</f>
        <v>Central</v>
      </c>
      <c r="Q44" s="1" t="str">
        <f ca="1">IFERROR(__xludf.DUMMYFUNCTION("""COMPUTED_VALUE"""),"TEC-AC-10001266")</f>
        <v>TEC-AC-10001266</v>
      </c>
      <c r="R44" s="1" t="str">
        <f ca="1">IFERROR(__xludf.DUMMYFUNCTION("""COMPUTED_VALUE"""),"Technology")</f>
        <v>Technology</v>
      </c>
      <c r="S44" s="7">
        <f ca="1">IFERROR(__xludf.DUMMYFUNCTION("""COMPUTED_VALUE"""),20.8)</f>
        <v>20.8</v>
      </c>
      <c r="T44" s="1">
        <f ca="1">IFERROR(__xludf.DUMMYFUNCTION("""COMPUTED_VALUE"""),7)</f>
        <v>7</v>
      </c>
      <c r="U44" s="9">
        <f ca="1">IFERROR(__xludf.DUMMYFUNCTION("""COMPUTED_VALUE"""),145.6)</f>
        <v>145.6</v>
      </c>
      <c r="V44" s="9">
        <f ca="1">IFERROR(__xludf.DUMMYFUNCTION("""COMPUTED_VALUE"""),142.87)</f>
        <v>142.87</v>
      </c>
      <c r="W44" s="12">
        <f ca="1">IFERROR(__xludf.DUMMYFUNCTION("""COMPUTED_VALUE"""),2.72999999999998)</f>
        <v>2.72999999999998</v>
      </c>
    </row>
    <row r="45" spans="1:23" ht="13.2">
      <c r="A45" s="1" t="str">
        <f ca="1">IFERROR(__xludf.DUMMYFUNCTION("""COMPUTED_VALUE"""),"CA-2017-157749")</f>
        <v>CA-2017-157749</v>
      </c>
      <c r="B45" s="8">
        <f ca="1">IFERROR(__xludf.DUMMYFUNCTION("""COMPUTED_VALUE"""),42831)</f>
        <v>42831</v>
      </c>
      <c r="C45" s="1" t="str">
        <f ca="1">IFERROR(__xludf.DUMMYFUNCTION("""COMPUTED_VALUE"""),"Apr")</f>
        <v>Apr</v>
      </c>
      <c r="D45" s="1" t="str">
        <f ca="1">IFERROR(__xludf.DUMMYFUNCTION("""COMPUTED_VALUE"""),"Qtr 2")</f>
        <v>Qtr 2</v>
      </c>
      <c r="E45" s="1" t="str">
        <f ca="1">IFERROR(__xludf.DUMMYFUNCTION("""COMPUTED_VALUE"""),"9/6/2017")</f>
        <v>9/6/2017</v>
      </c>
      <c r="F45" s="1" t="str">
        <f ca="1">IFERROR(__xludf.DUMMYFUNCTION("""COMPUTED_VALUE"""),"Second Class")</f>
        <v>Second Class</v>
      </c>
      <c r="G45" s="1" t="str">
        <f ca="1">IFERROR(__xludf.DUMMYFUNCTION("""COMPUTED_VALUE"""),"KL-16645")</f>
        <v>KL-16645</v>
      </c>
      <c r="H45" s="1" t="str">
        <f ca="1">IFERROR(__xludf.DUMMYFUNCTION("""COMPUTED_VALUE"""),"Ken")</f>
        <v>Ken</v>
      </c>
      <c r="I45" s="1" t="str">
        <f ca="1">IFERROR(__xludf.DUMMYFUNCTION("""COMPUTED_VALUE"""),"Lonsdale")</f>
        <v>Lonsdale</v>
      </c>
      <c r="J45" s="1"/>
      <c r="K45" s="1" t="str">
        <f ca="1">IFERROR(__xludf.DUMMYFUNCTION("""COMPUTED_VALUE"""),"Consumer")</f>
        <v>Consumer</v>
      </c>
      <c r="L45" s="1" t="str">
        <f ca="1">IFERROR(__xludf.DUMMYFUNCTION("""COMPUTED_VALUE"""),"United States")</f>
        <v>United States</v>
      </c>
      <c r="M45" s="1" t="str">
        <f ca="1">IFERROR(__xludf.DUMMYFUNCTION("""COMPUTED_VALUE"""),"Chicago")</f>
        <v>Chicago</v>
      </c>
      <c r="N45" s="1" t="str">
        <f ca="1">IFERROR(__xludf.DUMMYFUNCTION("""COMPUTED_VALUE"""),"Illinois")</f>
        <v>Illinois</v>
      </c>
      <c r="O45" s="1">
        <f ca="1">IFERROR(__xludf.DUMMYFUNCTION("""COMPUTED_VALUE"""),60610)</f>
        <v>60610</v>
      </c>
      <c r="P45" s="1" t="str">
        <f ca="1">IFERROR(__xludf.DUMMYFUNCTION("""COMPUTED_VALUE"""),"Central")</f>
        <v>Central</v>
      </c>
      <c r="Q45" s="1" t="str">
        <f ca="1">IFERROR(__xludf.DUMMYFUNCTION("""COMPUTED_VALUE"""),"OFF-PA-10003349")</f>
        <v>OFF-PA-10003349</v>
      </c>
      <c r="R45" s="1" t="str">
        <f ca="1">IFERROR(__xludf.DUMMYFUNCTION("""COMPUTED_VALUE"""),"Office Supplies")</f>
        <v>Office Supplies</v>
      </c>
      <c r="S45" s="7">
        <f ca="1">IFERROR(__xludf.DUMMYFUNCTION("""COMPUTED_VALUE"""),25.92)</f>
        <v>25.92</v>
      </c>
      <c r="T45" s="1">
        <f ca="1">IFERROR(__xludf.DUMMYFUNCTION("""COMPUTED_VALUE"""),6)</f>
        <v>6</v>
      </c>
      <c r="U45" s="9">
        <f ca="1">IFERROR(__xludf.DUMMYFUNCTION("""COMPUTED_VALUE"""),155.52)</f>
        <v>155.52000000000001</v>
      </c>
      <c r="V45" s="9">
        <f ca="1">IFERROR(__xludf.DUMMYFUNCTION("""COMPUTED_VALUE"""),153.54)</f>
        <v>153.54</v>
      </c>
      <c r="W45" s="12">
        <f ca="1">IFERROR(__xludf.DUMMYFUNCTION("""COMPUTED_VALUE"""),1.98000000000001)</f>
        <v>1.98000000000001</v>
      </c>
    </row>
    <row r="46" spans="1:23" ht="13.2">
      <c r="A46" s="1" t="str">
        <f ca="1">IFERROR(__xludf.DUMMYFUNCTION("""COMPUTED_VALUE"""),"CA-2017-157749")</f>
        <v>CA-2017-157749</v>
      </c>
      <c r="B46" s="8">
        <f ca="1">IFERROR(__xludf.DUMMYFUNCTION("""COMPUTED_VALUE"""),42831)</f>
        <v>42831</v>
      </c>
      <c r="C46" s="1" t="str">
        <f ca="1">IFERROR(__xludf.DUMMYFUNCTION("""COMPUTED_VALUE"""),"Apr")</f>
        <v>Apr</v>
      </c>
      <c r="D46" s="1" t="str">
        <f ca="1">IFERROR(__xludf.DUMMYFUNCTION("""COMPUTED_VALUE"""),"Qtr 2")</f>
        <v>Qtr 2</v>
      </c>
      <c r="E46" s="1" t="str">
        <f ca="1">IFERROR(__xludf.DUMMYFUNCTION("""COMPUTED_VALUE"""),"9/6/2017")</f>
        <v>9/6/2017</v>
      </c>
      <c r="F46" s="1" t="str">
        <f ca="1">IFERROR(__xludf.DUMMYFUNCTION("""COMPUTED_VALUE"""),"Second Class")</f>
        <v>Second Class</v>
      </c>
      <c r="G46" s="1" t="str">
        <f ca="1">IFERROR(__xludf.DUMMYFUNCTION("""COMPUTED_VALUE"""),"KL-16645")</f>
        <v>KL-16645</v>
      </c>
      <c r="H46" s="1" t="str">
        <f ca="1">IFERROR(__xludf.DUMMYFUNCTION("""COMPUTED_VALUE"""),"Ken")</f>
        <v>Ken</v>
      </c>
      <c r="I46" s="1" t="str">
        <f ca="1">IFERROR(__xludf.DUMMYFUNCTION("""COMPUTED_VALUE"""),"Lonsdale")</f>
        <v>Lonsdale</v>
      </c>
      <c r="J46" s="1"/>
      <c r="K46" s="1" t="str">
        <f ca="1">IFERROR(__xludf.DUMMYFUNCTION("""COMPUTED_VALUE"""),"Consumer")</f>
        <v>Consumer</v>
      </c>
      <c r="L46" s="1" t="str">
        <f ca="1">IFERROR(__xludf.DUMMYFUNCTION("""COMPUTED_VALUE"""),"United States")</f>
        <v>United States</v>
      </c>
      <c r="M46" s="1" t="str">
        <f ca="1">IFERROR(__xludf.DUMMYFUNCTION("""COMPUTED_VALUE"""),"Chicago")</f>
        <v>Chicago</v>
      </c>
      <c r="N46" s="1" t="str">
        <f ca="1">IFERROR(__xludf.DUMMYFUNCTION("""COMPUTED_VALUE"""),"Illinois")</f>
        <v>Illinois</v>
      </c>
      <c r="O46" s="1">
        <f ca="1">IFERROR(__xludf.DUMMYFUNCTION("""COMPUTED_VALUE"""),60610)</f>
        <v>60610</v>
      </c>
      <c r="P46" s="1" t="str">
        <f ca="1">IFERROR(__xludf.DUMMYFUNCTION("""COMPUTED_VALUE"""),"Central")</f>
        <v>Central</v>
      </c>
      <c r="Q46" s="1" t="str">
        <f ca="1">IFERROR(__xludf.DUMMYFUNCTION("""COMPUTED_VALUE"""),"FUR-FU-10000576")</f>
        <v>FUR-FU-10000576</v>
      </c>
      <c r="R46" s="1" t="str">
        <f ca="1">IFERROR(__xludf.DUMMYFUNCTION("""COMPUTED_VALUE"""),"Furniture")</f>
        <v>Furniture</v>
      </c>
      <c r="S46" s="7">
        <f ca="1">IFERROR(__xludf.DUMMYFUNCTION("""COMPUTED_VALUE"""),419.68)</f>
        <v>419.68</v>
      </c>
      <c r="T46" s="1">
        <f ca="1">IFERROR(__xludf.DUMMYFUNCTION("""COMPUTED_VALUE"""),6)</f>
        <v>6</v>
      </c>
      <c r="U46" s="9">
        <f ca="1">IFERROR(__xludf.DUMMYFUNCTION("""COMPUTED_VALUE"""),2518.08)</f>
        <v>2518.08</v>
      </c>
      <c r="V46" s="9">
        <f ca="1">IFERROR(__xludf.DUMMYFUNCTION("""COMPUTED_VALUE"""),2513.88)</f>
        <v>2513.88</v>
      </c>
      <c r="W46" s="12">
        <f ca="1">IFERROR(__xludf.DUMMYFUNCTION("""COMPUTED_VALUE"""),4.19999999999981)</f>
        <v>4.1999999999998101</v>
      </c>
    </row>
    <row r="47" spans="1:23" ht="13.2">
      <c r="A47" s="1" t="str">
        <f ca="1">IFERROR(__xludf.DUMMYFUNCTION("""COMPUTED_VALUE"""),"CA-2017-157749")</f>
        <v>CA-2017-157749</v>
      </c>
      <c r="B47" s="8">
        <f ca="1">IFERROR(__xludf.DUMMYFUNCTION("""COMPUTED_VALUE"""),42831)</f>
        <v>42831</v>
      </c>
      <c r="C47" s="1" t="str">
        <f ca="1">IFERROR(__xludf.DUMMYFUNCTION("""COMPUTED_VALUE"""),"Apr")</f>
        <v>Apr</v>
      </c>
      <c r="D47" s="1" t="str">
        <f ca="1">IFERROR(__xludf.DUMMYFUNCTION("""COMPUTED_VALUE"""),"Qtr 2")</f>
        <v>Qtr 2</v>
      </c>
      <c r="E47" s="1" t="str">
        <f ca="1">IFERROR(__xludf.DUMMYFUNCTION("""COMPUTED_VALUE"""),"9/6/2017")</f>
        <v>9/6/2017</v>
      </c>
      <c r="F47" s="1" t="str">
        <f ca="1">IFERROR(__xludf.DUMMYFUNCTION("""COMPUTED_VALUE"""),"Second Class")</f>
        <v>Second Class</v>
      </c>
      <c r="G47" s="1" t="str">
        <f ca="1">IFERROR(__xludf.DUMMYFUNCTION("""COMPUTED_VALUE"""),"KL-16645")</f>
        <v>KL-16645</v>
      </c>
      <c r="H47" s="1" t="str">
        <f ca="1">IFERROR(__xludf.DUMMYFUNCTION("""COMPUTED_VALUE"""),"Ken")</f>
        <v>Ken</v>
      </c>
      <c r="I47" s="1" t="str">
        <f ca="1">IFERROR(__xludf.DUMMYFUNCTION("""COMPUTED_VALUE"""),"Lonsdale")</f>
        <v>Lonsdale</v>
      </c>
      <c r="J47" s="1"/>
      <c r="K47" s="1" t="str">
        <f ca="1">IFERROR(__xludf.DUMMYFUNCTION("""COMPUTED_VALUE"""),"Consumer")</f>
        <v>Consumer</v>
      </c>
      <c r="L47" s="1" t="str">
        <f ca="1">IFERROR(__xludf.DUMMYFUNCTION("""COMPUTED_VALUE"""),"United States")</f>
        <v>United States</v>
      </c>
      <c r="M47" s="1" t="str">
        <f ca="1">IFERROR(__xludf.DUMMYFUNCTION("""COMPUTED_VALUE"""),"Chicago")</f>
        <v>Chicago</v>
      </c>
      <c r="N47" s="1" t="str">
        <f ca="1">IFERROR(__xludf.DUMMYFUNCTION("""COMPUTED_VALUE"""),"Illinois")</f>
        <v>Illinois</v>
      </c>
      <c r="O47" s="1">
        <f ca="1">IFERROR(__xludf.DUMMYFUNCTION("""COMPUTED_VALUE"""),60610)</f>
        <v>60610</v>
      </c>
      <c r="P47" s="1" t="str">
        <f ca="1">IFERROR(__xludf.DUMMYFUNCTION("""COMPUTED_VALUE"""),"Central")</f>
        <v>Central</v>
      </c>
      <c r="Q47" s="1" t="str">
        <f ca="1">IFERROR(__xludf.DUMMYFUNCTION("""COMPUTED_VALUE"""),"FUR-FU-10004351")</f>
        <v>FUR-FU-10004351</v>
      </c>
      <c r="R47" s="1" t="str">
        <f ca="1">IFERROR(__xludf.DUMMYFUNCTION("""COMPUTED_VALUE"""),"Furniture")</f>
        <v>Furniture</v>
      </c>
      <c r="S47" s="7">
        <f ca="1">IFERROR(__xludf.DUMMYFUNCTION("""COMPUTED_VALUE"""),11.688)</f>
        <v>11.688000000000001</v>
      </c>
      <c r="T47" s="1">
        <f ca="1">IFERROR(__xludf.DUMMYFUNCTION("""COMPUTED_VALUE"""),6)</f>
        <v>6</v>
      </c>
      <c r="U47" s="9">
        <f ca="1">IFERROR(__xludf.DUMMYFUNCTION("""COMPUTED_VALUE"""),70.128)</f>
        <v>70.128</v>
      </c>
      <c r="V47" s="9">
        <f ca="1">IFERROR(__xludf.DUMMYFUNCTION("""COMPUTED_VALUE"""),65.94)</f>
        <v>65.94</v>
      </c>
      <c r="W47" s="12">
        <f ca="1">IFERROR(__xludf.DUMMYFUNCTION("""COMPUTED_VALUE"""),4.188)</f>
        <v>4.1879999999999997</v>
      </c>
    </row>
    <row r="48" spans="1:23" ht="13.2">
      <c r="A48" s="1" t="str">
        <f ca="1">IFERROR(__xludf.DUMMYFUNCTION("""COMPUTED_VALUE"""),"CA-2017-157749")</f>
        <v>CA-2017-157749</v>
      </c>
      <c r="B48" s="8">
        <f ca="1">IFERROR(__xludf.DUMMYFUNCTION("""COMPUTED_VALUE"""),42831)</f>
        <v>42831</v>
      </c>
      <c r="C48" s="1" t="str">
        <f ca="1">IFERROR(__xludf.DUMMYFUNCTION("""COMPUTED_VALUE"""),"Apr")</f>
        <v>Apr</v>
      </c>
      <c r="D48" s="1" t="str">
        <f ca="1">IFERROR(__xludf.DUMMYFUNCTION("""COMPUTED_VALUE"""),"Qtr 2")</f>
        <v>Qtr 2</v>
      </c>
      <c r="E48" s="1" t="str">
        <f ca="1">IFERROR(__xludf.DUMMYFUNCTION("""COMPUTED_VALUE"""),"9/6/2017")</f>
        <v>9/6/2017</v>
      </c>
      <c r="F48" s="1" t="str">
        <f ca="1">IFERROR(__xludf.DUMMYFUNCTION("""COMPUTED_VALUE"""),"Second Class")</f>
        <v>Second Class</v>
      </c>
      <c r="G48" s="1" t="str">
        <f ca="1">IFERROR(__xludf.DUMMYFUNCTION("""COMPUTED_VALUE"""),"KL-16645")</f>
        <v>KL-16645</v>
      </c>
      <c r="H48" s="1" t="str">
        <f ca="1">IFERROR(__xludf.DUMMYFUNCTION("""COMPUTED_VALUE"""),"Ken")</f>
        <v>Ken</v>
      </c>
      <c r="I48" s="1" t="str">
        <f ca="1">IFERROR(__xludf.DUMMYFUNCTION("""COMPUTED_VALUE"""),"Lonsdale")</f>
        <v>Lonsdale</v>
      </c>
      <c r="J48" s="1"/>
      <c r="K48" s="1" t="str">
        <f ca="1">IFERROR(__xludf.DUMMYFUNCTION("""COMPUTED_VALUE"""),"Consumer")</f>
        <v>Consumer</v>
      </c>
      <c r="L48" s="1" t="str">
        <f ca="1">IFERROR(__xludf.DUMMYFUNCTION("""COMPUTED_VALUE"""),"United States")</f>
        <v>United States</v>
      </c>
      <c r="M48" s="1" t="str">
        <f ca="1">IFERROR(__xludf.DUMMYFUNCTION("""COMPUTED_VALUE"""),"Chicago")</f>
        <v>Chicago</v>
      </c>
      <c r="N48" s="1" t="str">
        <f ca="1">IFERROR(__xludf.DUMMYFUNCTION("""COMPUTED_VALUE"""),"Illinois")</f>
        <v>Illinois</v>
      </c>
      <c r="O48" s="1">
        <f ca="1">IFERROR(__xludf.DUMMYFUNCTION("""COMPUTED_VALUE"""),60610)</f>
        <v>60610</v>
      </c>
      <c r="P48" s="1" t="str">
        <f ca="1">IFERROR(__xludf.DUMMYFUNCTION("""COMPUTED_VALUE"""),"Central")</f>
        <v>Central</v>
      </c>
      <c r="Q48" s="1" t="str">
        <f ca="1">IFERROR(__xludf.DUMMYFUNCTION("""COMPUTED_VALUE"""),"TEC-PH-10000011")</f>
        <v>TEC-PH-10000011</v>
      </c>
      <c r="R48" s="1" t="str">
        <f ca="1">IFERROR(__xludf.DUMMYFUNCTION("""COMPUTED_VALUE"""),"Technology")</f>
        <v>Technology</v>
      </c>
      <c r="S48" s="7">
        <f ca="1">IFERROR(__xludf.DUMMYFUNCTION("""COMPUTED_VALUE"""),31.984)</f>
        <v>31.984000000000002</v>
      </c>
      <c r="T48" s="1">
        <f ca="1">IFERROR(__xludf.DUMMYFUNCTION("""COMPUTED_VALUE"""),6)</f>
        <v>6</v>
      </c>
      <c r="U48" s="9">
        <f ca="1">IFERROR(__xludf.DUMMYFUNCTION("""COMPUTED_VALUE"""),191.904)</f>
        <v>191.904</v>
      </c>
      <c r="V48" s="9">
        <f ca="1">IFERROR(__xludf.DUMMYFUNCTION("""COMPUTED_VALUE"""),189.24)</f>
        <v>189.24</v>
      </c>
      <c r="W48" s="12">
        <f ca="1">IFERROR(__xludf.DUMMYFUNCTION("""COMPUTED_VALUE"""),2.66399999999998)</f>
        <v>2.6639999999999802</v>
      </c>
    </row>
    <row r="49" spans="1:23" ht="13.2">
      <c r="A49" s="1" t="str">
        <f ca="1">IFERROR(__xludf.DUMMYFUNCTION("""COMPUTED_VALUE"""),"CA-2017-157749")</f>
        <v>CA-2017-157749</v>
      </c>
      <c r="B49" s="8">
        <f ca="1">IFERROR(__xludf.DUMMYFUNCTION("""COMPUTED_VALUE"""),42831)</f>
        <v>42831</v>
      </c>
      <c r="C49" s="1" t="str">
        <f ca="1">IFERROR(__xludf.DUMMYFUNCTION("""COMPUTED_VALUE"""),"Apr")</f>
        <v>Apr</v>
      </c>
      <c r="D49" s="1" t="str">
        <f ca="1">IFERROR(__xludf.DUMMYFUNCTION("""COMPUTED_VALUE"""),"Qtr 2")</f>
        <v>Qtr 2</v>
      </c>
      <c r="E49" s="1" t="str">
        <f ca="1">IFERROR(__xludf.DUMMYFUNCTION("""COMPUTED_VALUE"""),"9/6/2017")</f>
        <v>9/6/2017</v>
      </c>
      <c r="F49" s="1" t="str">
        <f ca="1">IFERROR(__xludf.DUMMYFUNCTION("""COMPUTED_VALUE"""),"Second Class")</f>
        <v>Second Class</v>
      </c>
      <c r="G49" s="1" t="str">
        <f ca="1">IFERROR(__xludf.DUMMYFUNCTION("""COMPUTED_VALUE"""),"KL-16645")</f>
        <v>KL-16645</v>
      </c>
      <c r="H49" s="1" t="str">
        <f ca="1">IFERROR(__xludf.DUMMYFUNCTION("""COMPUTED_VALUE"""),"Ken")</f>
        <v>Ken</v>
      </c>
      <c r="I49" s="1" t="str">
        <f ca="1">IFERROR(__xludf.DUMMYFUNCTION("""COMPUTED_VALUE"""),"Lonsdale")</f>
        <v>Lonsdale</v>
      </c>
      <c r="J49" s="1"/>
      <c r="K49" s="1" t="str">
        <f ca="1">IFERROR(__xludf.DUMMYFUNCTION("""COMPUTED_VALUE"""),"Consumer")</f>
        <v>Consumer</v>
      </c>
      <c r="L49" s="1" t="str">
        <f ca="1">IFERROR(__xludf.DUMMYFUNCTION("""COMPUTED_VALUE"""),"United States")</f>
        <v>United States</v>
      </c>
      <c r="M49" s="1" t="str">
        <f ca="1">IFERROR(__xludf.DUMMYFUNCTION("""COMPUTED_VALUE"""),"Chicago")</f>
        <v>Chicago</v>
      </c>
      <c r="N49" s="1" t="str">
        <f ca="1">IFERROR(__xludf.DUMMYFUNCTION("""COMPUTED_VALUE"""),"Illinois")</f>
        <v>Illinois</v>
      </c>
      <c r="O49" s="1">
        <f ca="1">IFERROR(__xludf.DUMMYFUNCTION("""COMPUTED_VALUE"""),60610)</f>
        <v>60610</v>
      </c>
      <c r="P49" s="1" t="str">
        <f ca="1">IFERROR(__xludf.DUMMYFUNCTION("""COMPUTED_VALUE"""),"Central")</f>
        <v>Central</v>
      </c>
      <c r="Q49" s="1" t="str">
        <f ca="1">IFERROR(__xludf.DUMMYFUNCTION("""COMPUTED_VALUE"""),"FUR-TA-10002607")</f>
        <v>FUR-TA-10002607</v>
      </c>
      <c r="R49" s="1" t="str">
        <f ca="1">IFERROR(__xludf.DUMMYFUNCTION("""COMPUTED_VALUE"""),"Furniture")</f>
        <v>Furniture</v>
      </c>
      <c r="S49" s="7">
        <f ca="1">IFERROR(__xludf.DUMMYFUNCTION("""COMPUTED_VALUE"""),177.225)</f>
        <v>177.22499999999999</v>
      </c>
      <c r="T49" s="1">
        <f ca="1">IFERROR(__xludf.DUMMYFUNCTION("""COMPUTED_VALUE"""),6)</f>
        <v>6</v>
      </c>
      <c r="U49" s="9">
        <f ca="1">IFERROR(__xludf.DUMMYFUNCTION("""COMPUTED_VALUE"""),1063.35)</f>
        <v>1063.3499999999999</v>
      </c>
      <c r="V49" s="9">
        <f ca="1">IFERROR(__xludf.DUMMYFUNCTION("""COMPUTED_VALUE"""),1063.02)</f>
        <v>1063.02</v>
      </c>
      <c r="W49" s="12">
        <f ca="1">IFERROR(__xludf.DUMMYFUNCTION("""COMPUTED_VALUE"""),0.329999999999927)</f>
        <v>0.32999999999992702</v>
      </c>
    </row>
    <row r="50" spans="1:23" ht="13.2">
      <c r="A50" s="1" t="str">
        <f ca="1">IFERROR(__xludf.DUMMYFUNCTION("""COMPUTED_VALUE"""),"CA-2017-157749")</f>
        <v>CA-2017-157749</v>
      </c>
      <c r="B50" s="8">
        <f ca="1">IFERROR(__xludf.DUMMYFUNCTION("""COMPUTED_VALUE"""),42831)</f>
        <v>42831</v>
      </c>
      <c r="C50" s="1" t="str">
        <f ca="1">IFERROR(__xludf.DUMMYFUNCTION("""COMPUTED_VALUE"""),"Apr")</f>
        <v>Apr</v>
      </c>
      <c r="D50" s="1" t="str">
        <f ca="1">IFERROR(__xludf.DUMMYFUNCTION("""COMPUTED_VALUE"""),"Qtr 2")</f>
        <v>Qtr 2</v>
      </c>
      <c r="E50" s="1" t="str">
        <f ca="1">IFERROR(__xludf.DUMMYFUNCTION("""COMPUTED_VALUE"""),"9/6/2017")</f>
        <v>9/6/2017</v>
      </c>
      <c r="F50" s="1" t="str">
        <f ca="1">IFERROR(__xludf.DUMMYFUNCTION("""COMPUTED_VALUE"""),"Second Class")</f>
        <v>Second Class</v>
      </c>
      <c r="G50" s="1" t="str">
        <f ca="1">IFERROR(__xludf.DUMMYFUNCTION("""COMPUTED_VALUE"""),"KL-16645")</f>
        <v>KL-16645</v>
      </c>
      <c r="H50" s="1" t="str">
        <f ca="1">IFERROR(__xludf.DUMMYFUNCTION("""COMPUTED_VALUE"""),"Ken")</f>
        <v>Ken</v>
      </c>
      <c r="I50" s="1" t="str">
        <f ca="1">IFERROR(__xludf.DUMMYFUNCTION("""COMPUTED_VALUE"""),"Lonsdale")</f>
        <v>Lonsdale</v>
      </c>
      <c r="J50" s="1"/>
      <c r="K50" s="1" t="str">
        <f ca="1">IFERROR(__xludf.DUMMYFUNCTION("""COMPUTED_VALUE"""),"Consumer")</f>
        <v>Consumer</v>
      </c>
      <c r="L50" s="1" t="str">
        <f ca="1">IFERROR(__xludf.DUMMYFUNCTION("""COMPUTED_VALUE"""),"United States")</f>
        <v>United States</v>
      </c>
      <c r="M50" s="1" t="str">
        <f ca="1">IFERROR(__xludf.DUMMYFUNCTION("""COMPUTED_VALUE"""),"Chicago")</f>
        <v>Chicago</v>
      </c>
      <c r="N50" s="1" t="str">
        <f ca="1">IFERROR(__xludf.DUMMYFUNCTION("""COMPUTED_VALUE"""),"Illinois")</f>
        <v>Illinois</v>
      </c>
      <c r="O50" s="1">
        <f ca="1">IFERROR(__xludf.DUMMYFUNCTION("""COMPUTED_VALUE"""),60610)</f>
        <v>60610</v>
      </c>
      <c r="P50" s="1" t="str">
        <f ca="1">IFERROR(__xludf.DUMMYFUNCTION("""COMPUTED_VALUE"""),"Central")</f>
        <v>Central</v>
      </c>
      <c r="Q50" s="1" t="str">
        <f ca="1">IFERROR(__xludf.DUMMYFUNCTION("""COMPUTED_VALUE"""),"FUR-FU-10002505")</f>
        <v>FUR-FU-10002505</v>
      </c>
      <c r="R50" s="1" t="str">
        <f ca="1">IFERROR(__xludf.DUMMYFUNCTION("""COMPUTED_VALUE"""),"Furniture")</f>
        <v>Furniture</v>
      </c>
      <c r="S50" s="7">
        <f ca="1">IFERROR(__xludf.DUMMYFUNCTION("""COMPUTED_VALUE"""),4.044)</f>
        <v>4.0439999999999996</v>
      </c>
      <c r="T50" s="1">
        <f ca="1">IFERROR(__xludf.DUMMYFUNCTION("""COMPUTED_VALUE"""),6)</f>
        <v>6</v>
      </c>
      <c r="U50" s="9">
        <f ca="1">IFERROR(__xludf.DUMMYFUNCTION("""COMPUTED_VALUE"""),24.2639999999999)</f>
        <v>24.2639999999999</v>
      </c>
      <c r="V50" s="9">
        <f ca="1">IFERROR(__xludf.DUMMYFUNCTION("""COMPUTED_VALUE"""),19.02)</f>
        <v>19.02</v>
      </c>
      <c r="W50" s="12">
        <f ca="1">IFERROR(__xludf.DUMMYFUNCTION("""COMPUTED_VALUE"""),5.24399999999999)</f>
        <v>5.24399999999999</v>
      </c>
    </row>
    <row r="51" spans="1:23" ht="13.2">
      <c r="A51" s="1" t="str">
        <f ca="1">IFERROR(__xludf.DUMMYFUNCTION("""COMPUTED_VALUE"""),"CA-2017-157749")</f>
        <v>CA-2017-157749</v>
      </c>
      <c r="B51" s="8">
        <f ca="1">IFERROR(__xludf.DUMMYFUNCTION("""COMPUTED_VALUE"""),42831)</f>
        <v>42831</v>
      </c>
      <c r="C51" s="1" t="str">
        <f ca="1">IFERROR(__xludf.DUMMYFUNCTION("""COMPUTED_VALUE"""),"Apr")</f>
        <v>Apr</v>
      </c>
      <c r="D51" s="1" t="str">
        <f ca="1">IFERROR(__xludf.DUMMYFUNCTION("""COMPUTED_VALUE"""),"Qtr 2")</f>
        <v>Qtr 2</v>
      </c>
      <c r="E51" s="1" t="str">
        <f ca="1">IFERROR(__xludf.DUMMYFUNCTION("""COMPUTED_VALUE"""),"9/6/2017")</f>
        <v>9/6/2017</v>
      </c>
      <c r="F51" s="1" t="str">
        <f ca="1">IFERROR(__xludf.DUMMYFUNCTION("""COMPUTED_VALUE"""),"Second Class")</f>
        <v>Second Class</v>
      </c>
      <c r="G51" s="1" t="str">
        <f ca="1">IFERROR(__xludf.DUMMYFUNCTION("""COMPUTED_VALUE"""),"KL-16645")</f>
        <v>KL-16645</v>
      </c>
      <c r="H51" s="1" t="str">
        <f ca="1">IFERROR(__xludf.DUMMYFUNCTION("""COMPUTED_VALUE"""),"Ken")</f>
        <v>Ken</v>
      </c>
      <c r="I51" s="1" t="str">
        <f ca="1">IFERROR(__xludf.DUMMYFUNCTION("""COMPUTED_VALUE"""),"Lonsdale")</f>
        <v>Lonsdale</v>
      </c>
      <c r="J51" s="1"/>
      <c r="K51" s="1" t="str">
        <f ca="1">IFERROR(__xludf.DUMMYFUNCTION("""COMPUTED_VALUE"""),"Consumer")</f>
        <v>Consumer</v>
      </c>
      <c r="L51" s="1" t="str">
        <f ca="1">IFERROR(__xludf.DUMMYFUNCTION("""COMPUTED_VALUE"""),"United States")</f>
        <v>United States</v>
      </c>
      <c r="M51" s="1" t="str">
        <f ca="1">IFERROR(__xludf.DUMMYFUNCTION("""COMPUTED_VALUE"""),"Chicago")</f>
        <v>Chicago</v>
      </c>
      <c r="N51" s="1" t="str">
        <f ca="1">IFERROR(__xludf.DUMMYFUNCTION("""COMPUTED_VALUE"""),"Illinois")</f>
        <v>Illinois</v>
      </c>
      <c r="O51" s="1">
        <f ca="1">IFERROR(__xludf.DUMMYFUNCTION("""COMPUTED_VALUE"""),60610)</f>
        <v>60610</v>
      </c>
      <c r="P51" s="1" t="str">
        <f ca="1">IFERROR(__xludf.DUMMYFUNCTION("""COMPUTED_VALUE"""),"Central")</f>
        <v>Central</v>
      </c>
      <c r="Q51" s="1" t="str">
        <f ca="1">IFERROR(__xludf.DUMMYFUNCTION("""COMPUTED_VALUE"""),"OFF-AR-10004685")</f>
        <v>OFF-AR-10004685</v>
      </c>
      <c r="R51" s="1" t="str">
        <f ca="1">IFERROR(__xludf.DUMMYFUNCTION("""COMPUTED_VALUE"""),"Office Supplies")</f>
        <v>Office Supplies</v>
      </c>
      <c r="S51" s="7">
        <f ca="1">IFERROR(__xludf.DUMMYFUNCTION("""COMPUTED_VALUE"""),7.408)</f>
        <v>7.4080000000000004</v>
      </c>
      <c r="T51" s="1">
        <f ca="1">IFERROR(__xludf.DUMMYFUNCTION("""COMPUTED_VALUE"""),6)</f>
        <v>6</v>
      </c>
      <c r="U51" s="9">
        <f ca="1">IFERROR(__xludf.DUMMYFUNCTION("""COMPUTED_VALUE"""),44.448)</f>
        <v>44.448</v>
      </c>
      <c r="V51" s="9">
        <f ca="1">IFERROR(__xludf.DUMMYFUNCTION("""COMPUTED_VALUE"""),40.62)</f>
        <v>40.619999999999997</v>
      </c>
      <c r="W51" s="12">
        <f ca="1">IFERROR(__xludf.DUMMYFUNCTION("""COMPUTED_VALUE"""),3.828)</f>
        <v>3.8279999999999998</v>
      </c>
    </row>
    <row r="52" spans="1:23" ht="13.2">
      <c r="A52" s="1" t="str">
        <f ca="1">IFERROR(__xludf.DUMMYFUNCTION("""COMPUTED_VALUE"""),"CA-2015-131926")</f>
        <v>CA-2015-131926</v>
      </c>
      <c r="B52" s="8">
        <f ca="1">IFERROR(__xludf.DUMMYFUNCTION("""COMPUTED_VALUE"""),42010)</f>
        <v>42010</v>
      </c>
      <c r="C52" s="1" t="str">
        <f ca="1">IFERROR(__xludf.DUMMYFUNCTION("""COMPUTED_VALUE"""),"Jan")</f>
        <v>Jan</v>
      </c>
      <c r="D52" s="1" t="str">
        <f ca="1">IFERROR(__xludf.DUMMYFUNCTION("""COMPUTED_VALUE"""),"Qtr 1")</f>
        <v>Qtr 1</v>
      </c>
      <c r="E52" s="1" t="str">
        <f ca="1">IFERROR(__xludf.DUMMYFUNCTION("""COMPUTED_VALUE"""),"6/6/2015")</f>
        <v>6/6/2015</v>
      </c>
      <c r="F52" s="1" t="str">
        <f ca="1">IFERROR(__xludf.DUMMYFUNCTION("""COMPUTED_VALUE"""),"Second Class")</f>
        <v>Second Class</v>
      </c>
      <c r="G52" s="1" t="str">
        <f ca="1">IFERROR(__xludf.DUMMYFUNCTION("""COMPUTED_VALUE"""),"DW-13480")</f>
        <v>DW-13480</v>
      </c>
      <c r="H52" s="1" t="str">
        <f ca="1">IFERROR(__xludf.DUMMYFUNCTION("""COMPUTED_VALUE"""),"Dianna")</f>
        <v>Dianna</v>
      </c>
      <c r="I52" s="1" t="str">
        <f ca="1">IFERROR(__xludf.DUMMYFUNCTION("""COMPUTED_VALUE"""),"Wilson")</f>
        <v>Wilson</v>
      </c>
      <c r="J52" s="1"/>
      <c r="K52" s="1" t="str">
        <f ca="1">IFERROR(__xludf.DUMMYFUNCTION("""COMPUTED_VALUE"""),"Home Office")</f>
        <v>Home Office</v>
      </c>
      <c r="L52" s="1" t="str">
        <f ca="1">IFERROR(__xludf.DUMMYFUNCTION("""COMPUTED_VALUE"""),"United States")</f>
        <v>United States</v>
      </c>
      <c r="M52" s="1" t="str">
        <f ca="1">IFERROR(__xludf.DUMMYFUNCTION("""COMPUTED_VALUE"""),"Lakeville")</f>
        <v>Lakeville</v>
      </c>
      <c r="N52" s="1" t="str">
        <f ca="1">IFERROR(__xludf.DUMMYFUNCTION("""COMPUTED_VALUE"""),"Minnesota")</f>
        <v>Minnesota</v>
      </c>
      <c r="O52" s="1">
        <f ca="1">IFERROR(__xludf.DUMMYFUNCTION("""COMPUTED_VALUE"""),55044)</f>
        <v>55044</v>
      </c>
      <c r="P52" s="1" t="str">
        <f ca="1">IFERROR(__xludf.DUMMYFUNCTION("""COMPUTED_VALUE"""),"Central")</f>
        <v>Central</v>
      </c>
      <c r="Q52" s="1" t="str">
        <f ca="1">IFERROR(__xludf.DUMMYFUNCTION("""COMPUTED_VALUE"""),"FUR-CH-10004063")</f>
        <v>FUR-CH-10004063</v>
      </c>
      <c r="R52" s="1" t="str">
        <f ca="1">IFERROR(__xludf.DUMMYFUNCTION("""COMPUTED_VALUE"""),"Furniture")</f>
        <v>Furniture</v>
      </c>
      <c r="S52" s="7">
        <f ca="1">IFERROR(__xludf.DUMMYFUNCTION("""COMPUTED_VALUE"""),2001.86)</f>
        <v>2001.86</v>
      </c>
      <c r="T52" s="1">
        <f ca="1">IFERROR(__xludf.DUMMYFUNCTION("""COMPUTED_VALUE"""),5)</f>
        <v>5</v>
      </c>
      <c r="U52" s="9">
        <f ca="1">IFERROR(__xludf.DUMMYFUNCTION("""COMPUTED_VALUE"""),10009.3)</f>
        <v>10009.299999999999</v>
      </c>
      <c r="V52" s="9">
        <f ca="1">IFERROR(__xludf.DUMMYFUNCTION("""COMPUTED_VALUE"""),10006.75)</f>
        <v>10006.75</v>
      </c>
      <c r="W52" s="12">
        <f ca="1">IFERROR(__xludf.DUMMYFUNCTION("""COMPUTED_VALUE"""),2.54999999999927)</f>
        <v>2.5499999999992702</v>
      </c>
    </row>
    <row r="53" spans="1:23" ht="13.2">
      <c r="A53" s="1" t="str">
        <f ca="1">IFERROR(__xludf.DUMMYFUNCTION("""COMPUTED_VALUE"""),"CA-2015-131926")</f>
        <v>CA-2015-131926</v>
      </c>
      <c r="B53" s="8">
        <f ca="1">IFERROR(__xludf.DUMMYFUNCTION("""COMPUTED_VALUE"""),42010)</f>
        <v>42010</v>
      </c>
      <c r="C53" s="1" t="str">
        <f ca="1">IFERROR(__xludf.DUMMYFUNCTION("""COMPUTED_VALUE"""),"Jan")</f>
        <v>Jan</v>
      </c>
      <c r="D53" s="1" t="str">
        <f ca="1">IFERROR(__xludf.DUMMYFUNCTION("""COMPUTED_VALUE"""),"Qtr 1")</f>
        <v>Qtr 1</v>
      </c>
      <c r="E53" s="1" t="str">
        <f ca="1">IFERROR(__xludf.DUMMYFUNCTION("""COMPUTED_VALUE"""),"6/6/2015")</f>
        <v>6/6/2015</v>
      </c>
      <c r="F53" s="1" t="str">
        <f ca="1">IFERROR(__xludf.DUMMYFUNCTION("""COMPUTED_VALUE"""),"Second Class")</f>
        <v>Second Class</v>
      </c>
      <c r="G53" s="1" t="str">
        <f ca="1">IFERROR(__xludf.DUMMYFUNCTION("""COMPUTED_VALUE"""),"DW-13480")</f>
        <v>DW-13480</v>
      </c>
      <c r="H53" s="1" t="str">
        <f ca="1">IFERROR(__xludf.DUMMYFUNCTION("""COMPUTED_VALUE"""),"Dianna")</f>
        <v>Dianna</v>
      </c>
      <c r="I53" s="1" t="str">
        <f ca="1">IFERROR(__xludf.DUMMYFUNCTION("""COMPUTED_VALUE"""),"Wilson")</f>
        <v>Wilson</v>
      </c>
      <c r="J53" s="1"/>
      <c r="K53" s="1" t="str">
        <f ca="1">IFERROR(__xludf.DUMMYFUNCTION("""COMPUTED_VALUE"""),"Home Office")</f>
        <v>Home Office</v>
      </c>
      <c r="L53" s="1" t="str">
        <f ca="1">IFERROR(__xludf.DUMMYFUNCTION("""COMPUTED_VALUE"""),"United States")</f>
        <v>United States</v>
      </c>
      <c r="M53" s="1" t="str">
        <f ca="1">IFERROR(__xludf.DUMMYFUNCTION("""COMPUTED_VALUE"""),"Lakeville")</f>
        <v>Lakeville</v>
      </c>
      <c r="N53" s="1" t="str">
        <f ca="1">IFERROR(__xludf.DUMMYFUNCTION("""COMPUTED_VALUE"""),"Minnesota")</f>
        <v>Minnesota</v>
      </c>
      <c r="O53" s="1">
        <f ca="1">IFERROR(__xludf.DUMMYFUNCTION("""COMPUTED_VALUE"""),55044)</f>
        <v>55044</v>
      </c>
      <c r="P53" s="1" t="str">
        <f ca="1">IFERROR(__xludf.DUMMYFUNCTION("""COMPUTED_VALUE"""),"Central")</f>
        <v>Central</v>
      </c>
      <c r="Q53" s="1" t="str">
        <f ca="1">IFERROR(__xludf.DUMMYFUNCTION("""COMPUTED_VALUE"""),"OFF-ST-10002276")</f>
        <v>OFF-ST-10002276</v>
      </c>
      <c r="R53" s="1" t="str">
        <f ca="1">IFERROR(__xludf.DUMMYFUNCTION("""COMPUTED_VALUE"""),"Office Supplies")</f>
        <v>Office Supplies</v>
      </c>
      <c r="S53" s="7">
        <f ca="1">IFERROR(__xludf.DUMMYFUNCTION("""COMPUTED_VALUE"""),166.72)</f>
        <v>166.72</v>
      </c>
      <c r="T53" s="1">
        <f ca="1">IFERROR(__xludf.DUMMYFUNCTION("""COMPUTED_VALUE"""),5)</f>
        <v>5</v>
      </c>
      <c r="U53" s="9">
        <f ca="1">IFERROR(__xludf.DUMMYFUNCTION("""COMPUTED_VALUE"""),833.6)</f>
        <v>833.6</v>
      </c>
      <c r="V53" s="9">
        <f ca="1">IFERROR(__xludf.DUMMYFUNCTION("""COMPUTED_VALUE"""),830.6)</f>
        <v>830.6</v>
      </c>
      <c r="W53" s="12">
        <f ca="1">IFERROR(__xludf.DUMMYFUNCTION("""COMPUTED_VALUE"""),3)</f>
        <v>3</v>
      </c>
    </row>
    <row r="54" spans="1:23" ht="13.2">
      <c r="A54" s="1" t="str">
        <f ca="1">IFERROR(__xludf.DUMMYFUNCTION("""COMPUTED_VALUE"""),"CA-2015-131926")</f>
        <v>CA-2015-131926</v>
      </c>
      <c r="B54" s="8">
        <f ca="1">IFERROR(__xludf.DUMMYFUNCTION("""COMPUTED_VALUE"""),42010)</f>
        <v>42010</v>
      </c>
      <c r="C54" s="1" t="str">
        <f ca="1">IFERROR(__xludf.DUMMYFUNCTION("""COMPUTED_VALUE"""),"Jan")</f>
        <v>Jan</v>
      </c>
      <c r="D54" s="1" t="str">
        <f ca="1">IFERROR(__xludf.DUMMYFUNCTION("""COMPUTED_VALUE"""),"Qtr 1")</f>
        <v>Qtr 1</v>
      </c>
      <c r="E54" s="1" t="str">
        <f ca="1">IFERROR(__xludf.DUMMYFUNCTION("""COMPUTED_VALUE"""),"6/6/2015")</f>
        <v>6/6/2015</v>
      </c>
      <c r="F54" s="1" t="str">
        <f ca="1">IFERROR(__xludf.DUMMYFUNCTION("""COMPUTED_VALUE"""),"Second Class")</f>
        <v>Second Class</v>
      </c>
      <c r="G54" s="1" t="str">
        <f ca="1">IFERROR(__xludf.DUMMYFUNCTION("""COMPUTED_VALUE"""),"DW-13480")</f>
        <v>DW-13480</v>
      </c>
      <c r="H54" s="1" t="str">
        <f ca="1">IFERROR(__xludf.DUMMYFUNCTION("""COMPUTED_VALUE"""),"Dianna")</f>
        <v>Dianna</v>
      </c>
      <c r="I54" s="1" t="str">
        <f ca="1">IFERROR(__xludf.DUMMYFUNCTION("""COMPUTED_VALUE"""),"Wilson")</f>
        <v>Wilson</v>
      </c>
      <c r="J54" s="1"/>
      <c r="K54" s="1" t="str">
        <f ca="1">IFERROR(__xludf.DUMMYFUNCTION("""COMPUTED_VALUE"""),"Home Office")</f>
        <v>Home Office</v>
      </c>
      <c r="L54" s="1" t="str">
        <f ca="1">IFERROR(__xludf.DUMMYFUNCTION("""COMPUTED_VALUE"""),"United States")</f>
        <v>United States</v>
      </c>
      <c r="M54" s="1" t="str">
        <f ca="1">IFERROR(__xludf.DUMMYFUNCTION("""COMPUTED_VALUE"""),"Lakeville")</f>
        <v>Lakeville</v>
      </c>
      <c r="N54" s="1" t="str">
        <f ca="1">IFERROR(__xludf.DUMMYFUNCTION("""COMPUTED_VALUE"""),"Minnesota")</f>
        <v>Minnesota</v>
      </c>
      <c r="O54" s="1">
        <f ca="1">IFERROR(__xludf.DUMMYFUNCTION("""COMPUTED_VALUE"""),55044)</f>
        <v>55044</v>
      </c>
      <c r="P54" s="1" t="str">
        <f ca="1">IFERROR(__xludf.DUMMYFUNCTION("""COMPUTED_VALUE"""),"Central")</f>
        <v>Central</v>
      </c>
      <c r="Q54" s="1" t="str">
        <f ca="1">IFERROR(__xludf.DUMMYFUNCTION("""COMPUTED_VALUE"""),"OFF-PA-10004082")</f>
        <v>OFF-PA-10004082</v>
      </c>
      <c r="R54" s="1" t="str">
        <f ca="1">IFERROR(__xludf.DUMMYFUNCTION("""COMPUTED_VALUE"""),"Office Supplies")</f>
        <v>Office Supplies</v>
      </c>
      <c r="S54" s="7">
        <f ca="1">IFERROR(__xludf.DUMMYFUNCTION("""COMPUTED_VALUE"""),47.88)</f>
        <v>47.88</v>
      </c>
      <c r="T54" s="1">
        <f ca="1">IFERROR(__xludf.DUMMYFUNCTION("""COMPUTED_VALUE"""),5)</f>
        <v>5</v>
      </c>
      <c r="U54" s="9">
        <f ca="1">IFERROR(__xludf.DUMMYFUNCTION("""COMPUTED_VALUE"""),239.4)</f>
        <v>239.4</v>
      </c>
      <c r="V54" s="9">
        <f ca="1">IFERROR(__xludf.DUMMYFUNCTION("""COMPUTED_VALUE"""),236.85)</f>
        <v>236.85</v>
      </c>
      <c r="W54" s="12">
        <f ca="1">IFERROR(__xludf.DUMMYFUNCTION("""COMPUTED_VALUE"""),2.55000000000001)</f>
        <v>2.55000000000001</v>
      </c>
    </row>
    <row r="55" spans="1:23" ht="13.2">
      <c r="A55" s="1" t="str">
        <f ca="1">IFERROR(__xludf.DUMMYFUNCTION("""COMPUTED_VALUE"""),"CA-2015-131926")</f>
        <v>CA-2015-131926</v>
      </c>
      <c r="B55" s="8">
        <f ca="1">IFERROR(__xludf.DUMMYFUNCTION("""COMPUTED_VALUE"""),42010)</f>
        <v>42010</v>
      </c>
      <c r="C55" s="1" t="str">
        <f ca="1">IFERROR(__xludf.DUMMYFUNCTION("""COMPUTED_VALUE"""),"Jan")</f>
        <v>Jan</v>
      </c>
      <c r="D55" s="1" t="str">
        <f ca="1">IFERROR(__xludf.DUMMYFUNCTION("""COMPUTED_VALUE"""),"Qtr 1")</f>
        <v>Qtr 1</v>
      </c>
      <c r="E55" s="1" t="str">
        <f ca="1">IFERROR(__xludf.DUMMYFUNCTION("""COMPUTED_VALUE"""),"6/6/2015")</f>
        <v>6/6/2015</v>
      </c>
      <c r="F55" s="1" t="str">
        <f ca="1">IFERROR(__xludf.DUMMYFUNCTION("""COMPUTED_VALUE"""),"Second Class")</f>
        <v>Second Class</v>
      </c>
      <c r="G55" s="1" t="str">
        <f ca="1">IFERROR(__xludf.DUMMYFUNCTION("""COMPUTED_VALUE"""),"DW-13480")</f>
        <v>DW-13480</v>
      </c>
      <c r="H55" s="1" t="str">
        <f ca="1">IFERROR(__xludf.DUMMYFUNCTION("""COMPUTED_VALUE"""),"Dianna")</f>
        <v>Dianna</v>
      </c>
      <c r="I55" s="1" t="str">
        <f ca="1">IFERROR(__xludf.DUMMYFUNCTION("""COMPUTED_VALUE"""),"Wilson")</f>
        <v>Wilson</v>
      </c>
      <c r="J55" s="1"/>
      <c r="K55" s="1" t="str">
        <f ca="1">IFERROR(__xludf.DUMMYFUNCTION("""COMPUTED_VALUE"""),"Home Office")</f>
        <v>Home Office</v>
      </c>
      <c r="L55" s="1" t="str">
        <f ca="1">IFERROR(__xludf.DUMMYFUNCTION("""COMPUTED_VALUE"""),"United States")</f>
        <v>United States</v>
      </c>
      <c r="M55" s="1" t="str">
        <f ca="1">IFERROR(__xludf.DUMMYFUNCTION("""COMPUTED_VALUE"""),"Lakeville")</f>
        <v>Lakeville</v>
      </c>
      <c r="N55" s="1" t="str">
        <f ca="1">IFERROR(__xludf.DUMMYFUNCTION("""COMPUTED_VALUE"""),"Minnesota")</f>
        <v>Minnesota</v>
      </c>
      <c r="O55" s="1">
        <f ca="1">IFERROR(__xludf.DUMMYFUNCTION("""COMPUTED_VALUE"""),55044)</f>
        <v>55044</v>
      </c>
      <c r="P55" s="1" t="str">
        <f ca="1">IFERROR(__xludf.DUMMYFUNCTION("""COMPUTED_VALUE"""),"Central")</f>
        <v>Central</v>
      </c>
      <c r="Q55" s="1" t="str">
        <f ca="1">IFERROR(__xludf.DUMMYFUNCTION("""COMPUTED_VALUE"""),"OFF-AP-10002945")</f>
        <v>OFF-AP-10002945</v>
      </c>
      <c r="R55" s="1" t="str">
        <f ca="1">IFERROR(__xludf.DUMMYFUNCTION("""COMPUTED_VALUE"""),"Office Supplies")</f>
        <v>Office Supplies</v>
      </c>
      <c r="S55" s="7">
        <f ca="1">IFERROR(__xludf.DUMMYFUNCTION("""COMPUTED_VALUE"""),1503.25)</f>
        <v>1503.25</v>
      </c>
      <c r="T55" s="1">
        <f ca="1">IFERROR(__xludf.DUMMYFUNCTION("""COMPUTED_VALUE"""),5)</f>
        <v>5</v>
      </c>
      <c r="U55" s="9">
        <f ca="1">IFERROR(__xludf.DUMMYFUNCTION("""COMPUTED_VALUE"""),7516.25)</f>
        <v>7516.25</v>
      </c>
      <c r="V55" s="9">
        <f ca="1">IFERROR(__xludf.DUMMYFUNCTION("""COMPUTED_VALUE"""),7514.04999999999)</f>
        <v>7514.0499999999902</v>
      </c>
      <c r="W55" s="12">
        <f ca="1">IFERROR(__xludf.DUMMYFUNCTION("""COMPUTED_VALUE"""),2.20000000000072)</f>
        <v>2.20000000000072</v>
      </c>
    </row>
    <row r="56" spans="1:23" ht="13.2">
      <c r="A56" s="1" t="str">
        <f ca="1">IFERROR(__xludf.DUMMYFUNCTION("""COMPUTED_VALUE"""),"CA-2015-131926")</f>
        <v>CA-2015-131926</v>
      </c>
      <c r="B56" s="8">
        <f ca="1">IFERROR(__xludf.DUMMYFUNCTION("""COMPUTED_VALUE"""),42010)</f>
        <v>42010</v>
      </c>
      <c r="C56" s="1" t="str">
        <f ca="1">IFERROR(__xludf.DUMMYFUNCTION("""COMPUTED_VALUE"""),"Jan")</f>
        <v>Jan</v>
      </c>
      <c r="D56" s="1" t="str">
        <f ca="1">IFERROR(__xludf.DUMMYFUNCTION("""COMPUTED_VALUE"""),"Qtr 1")</f>
        <v>Qtr 1</v>
      </c>
      <c r="E56" s="1" t="str">
        <f ca="1">IFERROR(__xludf.DUMMYFUNCTION("""COMPUTED_VALUE"""),"6/6/2015")</f>
        <v>6/6/2015</v>
      </c>
      <c r="F56" s="1" t="str">
        <f ca="1">IFERROR(__xludf.DUMMYFUNCTION("""COMPUTED_VALUE"""),"Second Class")</f>
        <v>Second Class</v>
      </c>
      <c r="G56" s="1" t="str">
        <f ca="1">IFERROR(__xludf.DUMMYFUNCTION("""COMPUTED_VALUE"""),"DW-13480")</f>
        <v>DW-13480</v>
      </c>
      <c r="H56" s="1" t="str">
        <f ca="1">IFERROR(__xludf.DUMMYFUNCTION("""COMPUTED_VALUE"""),"Dianna")</f>
        <v>Dianna</v>
      </c>
      <c r="I56" s="1" t="str">
        <f ca="1">IFERROR(__xludf.DUMMYFUNCTION("""COMPUTED_VALUE"""),"Wilson")</f>
        <v>Wilson</v>
      </c>
      <c r="J56" s="1"/>
      <c r="K56" s="1" t="str">
        <f ca="1">IFERROR(__xludf.DUMMYFUNCTION("""COMPUTED_VALUE"""),"Home Office")</f>
        <v>Home Office</v>
      </c>
      <c r="L56" s="1" t="str">
        <f ca="1">IFERROR(__xludf.DUMMYFUNCTION("""COMPUTED_VALUE"""),"United States")</f>
        <v>United States</v>
      </c>
      <c r="M56" s="1" t="str">
        <f ca="1">IFERROR(__xludf.DUMMYFUNCTION("""COMPUTED_VALUE"""),"Lakeville")</f>
        <v>Lakeville</v>
      </c>
      <c r="N56" s="1" t="str">
        <f ca="1">IFERROR(__xludf.DUMMYFUNCTION("""COMPUTED_VALUE"""),"Minnesota")</f>
        <v>Minnesota</v>
      </c>
      <c r="O56" s="1">
        <f ca="1">IFERROR(__xludf.DUMMYFUNCTION("""COMPUTED_VALUE"""),55044)</f>
        <v>55044</v>
      </c>
      <c r="P56" s="1" t="str">
        <f ca="1">IFERROR(__xludf.DUMMYFUNCTION("""COMPUTED_VALUE"""),"Central")</f>
        <v>Central</v>
      </c>
      <c r="Q56" s="1" t="str">
        <f ca="1">IFERROR(__xludf.DUMMYFUNCTION("""COMPUTED_VALUE"""),"OFF-PA-10000061")</f>
        <v>OFF-PA-10000061</v>
      </c>
      <c r="R56" s="1" t="str">
        <f ca="1">IFERROR(__xludf.DUMMYFUNCTION("""COMPUTED_VALUE"""),"Office Supplies")</f>
        <v>Office Supplies</v>
      </c>
      <c r="S56" s="7">
        <f ca="1">IFERROR(__xludf.DUMMYFUNCTION("""COMPUTED_VALUE"""),25.92)</f>
        <v>25.92</v>
      </c>
      <c r="T56" s="1">
        <f ca="1">IFERROR(__xludf.DUMMYFUNCTION("""COMPUTED_VALUE"""),5)</f>
        <v>5</v>
      </c>
      <c r="U56" s="9">
        <f ca="1">IFERROR(__xludf.DUMMYFUNCTION("""COMPUTED_VALUE"""),129.6)</f>
        <v>129.6</v>
      </c>
      <c r="V56" s="9">
        <f ca="1">IFERROR(__xludf.DUMMYFUNCTION("""COMPUTED_VALUE"""),128.8)</f>
        <v>128.80000000000001</v>
      </c>
      <c r="W56" s="12">
        <f ca="1">IFERROR(__xludf.DUMMYFUNCTION("""COMPUTED_VALUE"""),0.800000000000011)</f>
        <v>0.80000000000001104</v>
      </c>
    </row>
    <row r="57" spans="1:23" ht="13.2">
      <c r="A57" s="1" t="str">
        <f ca="1">IFERROR(__xludf.DUMMYFUNCTION("""COMPUTED_VALUE"""),"CA-2017-154739")</f>
        <v>CA-2017-154739</v>
      </c>
      <c r="B57" s="8">
        <f ca="1">IFERROR(__xludf.DUMMYFUNCTION("""COMPUTED_VALUE"""),43020)</f>
        <v>43020</v>
      </c>
      <c r="C57" s="1" t="str">
        <f ca="1">IFERROR(__xludf.DUMMYFUNCTION("""COMPUTED_VALUE"""),"Oct")</f>
        <v>Oct</v>
      </c>
      <c r="D57" s="1" t="str">
        <f ca="1">IFERROR(__xludf.DUMMYFUNCTION("""COMPUTED_VALUE"""),"Qtr 4")</f>
        <v>Qtr 4</v>
      </c>
      <c r="E57" s="1" t="str">
        <f ca="1">IFERROR(__xludf.DUMMYFUNCTION("""COMPUTED_VALUE"""),"15/12/2017")</f>
        <v>15/12/2017</v>
      </c>
      <c r="F57" s="1" t="str">
        <f ca="1">IFERROR(__xludf.DUMMYFUNCTION("""COMPUTED_VALUE"""),"Second Class")</f>
        <v>Second Class</v>
      </c>
      <c r="G57" s="1" t="str">
        <f ca="1">IFERROR(__xludf.DUMMYFUNCTION("""COMPUTED_VALUE"""),"LH-17155")</f>
        <v>LH-17155</v>
      </c>
      <c r="H57" s="1" t="str">
        <f ca="1">IFERROR(__xludf.DUMMYFUNCTION("""COMPUTED_VALUE"""),"Logan")</f>
        <v>Logan</v>
      </c>
      <c r="I57" s="1" t="str">
        <f ca="1">IFERROR(__xludf.DUMMYFUNCTION("""COMPUTED_VALUE"""),"Haushalter")</f>
        <v>Haushalter</v>
      </c>
      <c r="J57" s="1"/>
      <c r="K57" s="1" t="str">
        <f ca="1">IFERROR(__xludf.DUMMYFUNCTION("""COMPUTED_VALUE"""),"Consumer")</f>
        <v>Consumer</v>
      </c>
      <c r="L57" s="1" t="str">
        <f ca="1">IFERROR(__xludf.DUMMYFUNCTION("""COMPUTED_VALUE"""),"United States")</f>
        <v>United States</v>
      </c>
      <c r="M57" s="1" t="str">
        <f ca="1">IFERROR(__xludf.DUMMYFUNCTION("""COMPUTED_VALUE"""),"San Francisco")</f>
        <v>San Francisco</v>
      </c>
      <c r="N57" s="1" t="str">
        <f ca="1">IFERROR(__xludf.DUMMYFUNCTION("""COMPUTED_VALUE"""),"California")</f>
        <v>California</v>
      </c>
      <c r="O57" s="1">
        <f ca="1">IFERROR(__xludf.DUMMYFUNCTION("""COMPUTED_VALUE"""),94109)</f>
        <v>94109</v>
      </c>
      <c r="P57" s="1" t="str">
        <f ca="1">IFERROR(__xludf.DUMMYFUNCTION("""COMPUTED_VALUE"""),"West")</f>
        <v>West</v>
      </c>
      <c r="Q57" s="1" t="str">
        <f ca="1">IFERROR(__xludf.DUMMYFUNCTION("""COMPUTED_VALUE"""),"FUR-CH-10002965")</f>
        <v>FUR-CH-10002965</v>
      </c>
      <c r="R57" s="1" t="str">
        <f ca="1">IFERROR(__xludf.DUMMYFUNCTION("""COMPUTED_VALUE"""),"Furniture")</f>
        <v>Furniture</v>
      </c>
      <c r="S57" s="7">
        <f ca="1">IFERROR(__xludf.DUMMYFUNCTION("""COMPUTED_VALUE"""),321.568)</f>
        <v>321.56799999999998</v>
      </c>
      <c r="T57" s="1">
        <f ca="1">IFERROR(__xludf.DUMMYFUNCTION("""COMPUTED_VALUE"""),9)</f>
        <v>9</v>
      </c>
      <c r="U57" s="9">
        <f ca="1">IFERROR(__xludf.DUMMYFUNCTION("""COMPUTED_VALUE"""),2894.112)</f>
        <v>2894.1120000000001</v>
      </c>
      <c r="V57" s="9">
        <f ca="1">IFERROR(__xludf.DUMMYFUNCTION("""COMPUTED_VALUE"""),2887.65)</f>
        <v>2887.65</v>
      </c>
      <c r="W57" s="12">
        <f ca="1">IFERROR(__xludf.DUMMYFUNCTION("""COMPUTED_VALUE"""),6.46199999999998)</f>
        <v>6.4619999999999802</v>
      </c>
    </row>
    <row r="58" spans="1:23" ht="13.2">
      <c r="A58" s="1" t="str">
        <f ca="1">IFERROR(__xludf.DUMMYFUNCTION("""COMPUTED_VALUE"""),"CA-2018-163139")</f>
        <v>CA-2018-163139</v>
      </c>
      <c r="B58" s="8">
        <f ca="1">IFERROR(__xludf.DUMMYFUNCTION("""COMPUTED_VALUE"""),43112)</f>
        <v>43112</v>
      </c>
      <c r="C58" s="1" t="str">
        <f ca="1">IFERROR(__xludf.DUMMYFUNCTION("""COMPUTED_VALUE"""),"Jan")</f>
        <v>Jan</v>
      </c>
      <c r="D58" s="1" t="str">
        <f ca="1">IFERROR(__xludf.DUMMYFUNCTION("""COMPUTED_VALUE"""),"Qtr 1")</f>
        <v>Qtr 1</v>
      </c>
      <c r="E58" s="1" t="str">
        <f ca="1">IFERROR(__xludf.DUMMYFUNCTION("""COMPUTED_VALUE"""),"3/12/2018")</f>
        <v>3/12/2018</v>
      </c>
      <c r="F58" s="1" t="str">
        <f ca="1">IFERROR(__xludf.DUMMYFUNCTION("""COMPUTED_VALUE"""),"Second Class")</f>
        <v>Second Class</v>
      </c>
      <c r="G58" s="1" t="str">
        <f ca="1">IFERROR(__xludf.DUMMYFUNCTION("""COMPUTED_VALUE"""),"CC-12670")</f>
        <v>CC-12670</v>
      </c>
      <c r="H58" s="1" t="str">
        <f ca="1">IFERROR(__xludf.DUMMYFUNCTION("""COMPUTED_VALUE"""),"Craig")</f>
        <v>Craig</v>
      </c>
      <c r="I58" s="1" t="str">
        <f ca="1">IFERROR(__xludf.DUMMYFUNCTION("""COMPUTED_VALUE"""),"Carreira")</f>
        <v>Carreira</v>
      </c>
      <c r="J58" s="1"/>
      <c r="K58" s="1" t="str">
        <f ca="1">IFERROR(__xludf.DUMMYFUNCTION("""COMPUTED_VALUE"""),"Consumer")</f>
        <v>Consumer</v>
      </c>
      <c r="L58" s="1" t="str">
        <f ca="1">IFERROR(__xludf.DUMMYFUNCTION("""COMPUTED_VALUE"""),"United States")</f>
        <v>United States</v>
      </c>
      <c r="M58" s="1" t="str">
        <f ca="1">IFERROR(__xludf.DUMMYFUNCTION("""COMPUTED_VALUE"""),"New York City")</f>
        <v>New York City</v>
      </c>
      <c r="N58" s="1" t="str">
        <f ca="1">IFERROR(__xludf.DUMMYFUNCTION("""COMPUTED_VALUE"""),"New York")</f>
        <v>New York</v>
      </c>
      <c r="O58" s="1">
        <f ca="1">IFERROR(__xludf.DUMMYFUNCTION("""COMPUTED_VALUE"""),10009)</f>
        <v>10009</v>
      </c>
      <c r="P58" s="1" t="str">
        <f ca="1">IFERROR(__xludf.DUMMYFUNCTION("""COMPUTED_VALUE"""),"East")</f>
        <v>East</v>
      </c>
      <c r="Q58" s="1" t="str">
        <f ca="1">IFERROR(__xludf.DUMMYFUNCTION("""COMPUTED_VALUE"""),"TEC-AC-10000290")</f>
        <v>TEC-AC-10000290</v>
      </c>
      <c r="R58" s="1" t="str">
        <f ca="1">IFERROR(__xludf.DUMMYFUNCTION("""COMPUTED_VALUE"""),"Technology")</f>
        <v>Technology</v>
      </c>
      <c r="S58" s="7">
        <f ca="1">IFERROR(__xludf.DUMMYFUNCTION("""COMPUTED_VALUE"""),20.37)</f>
        <v>20.37</v>
      </c>
      <c r="T58" s="1">
        <f ca="1">IFERROR(__xludf.DUMMYFUNCTION("""COMPUTED_VALUE"""),1)</f>
        <v>1</v>
      </c>
      <c r="U58" s="9">
        <f ca="1">IFERROR(__xludf.DUMMYFUNCTION("""COMPUTED_VALUE"""),20.37)</f>
        <v>20.37</v>
      </c>
      <c r="V58" s="9">
        <f ca="1">IFERROR(__xludf.DUMMYFUNCTION("""COMPUTED_VALUE"""),20.03)</f>
        <v>20.03</v>
      </c>
      <c r="W58" s="12">
        <f ca="1">IFERROR(__xludf.DUMMYFUNCTION("""COMPUTED_VALUE"""),0.339999999999999)</f>
        <v>0.33999999999999903</v>
      </c>
    </row>
    <row r="59" spans="1:23" ht="13.2">
      <c r="A59" s="1" t="str">
        <f ca="1">IFERROR(__xludf.DUMMYFUNCTION("""COMPUTED_VALUE"""),"CA-2018-163139")</f>
        <v>CA-2018-163139</v>
      </c>
      <c r="B59" s="8">
        <f ca="1">IFERROR(__xludf.DUMMYFUNCTION("""COMPUTED_VALUE"""),43112)</f>
        <v>43112</v>
      </c>
      <c r="C59" s="1" t="str">
        <f ca="1">IFERROR(__xludf.DUMMYFUNCTION("""COMPUTED_VALUE"""),"Jan")</f>
        <v>Jan</v>
      </c>
      <c r="D59" s="1" t="str">
        <f ca="1">IFERROR(__xludf.DUMMYFUNCTION("""COMPUTED_VALUE"""),"Qtr 1")</f>
        <v>Qtr 1</v>
      </c>
      <c r="E59" s="1" t="str">
        <f ca="1">IFERROR(__xludf.DUMMYFUNCTION("""COMPUTED_VALUE"""),"3/12/2018")</f>
        <v>3/12/2018</v>
      </c>
      <c r="F59" s="1" t="str">
        <f ca="1">IFERROR(__xludf.DUMMYFUNCTION("""COMPUTED_VALUE"""),"Second Class")</f>
        <v>Second Class</v>
      </c>
      <c r="G59" s="1" t="str">
        <f ca="1">IFERROR(__xludf.DUMMYFUNCTION("""COMPUTED_VALUE"""),"CC-12670")</f>
        <v>CC-12670</v>
      </c>
      <c r="H59" s="1" t="str">
        <f ca="1">IFERROR(__xludf.DUMMYFUNCTION("""COMPUTED_VALUE"""),"Craig")</f>
        <v>Craig</v>
      </c>
      <c r="I59" s="1" t="str">
        <f ca="1">IFERROR(__xludf.DUMMYFUNCTION("""COMPUTED_VALUE"""),"Carreira")</f>
        <v>Carreira</v>
      </c>
      <c r="J59" s="1"/>
      <c r="K59" s="1" t="str">
        <f ca="1">IFERROR(__xludf.DUMMYFUNCTION("""COMPUTED_VALUE"""),"Consumer")</f>
        <v>Consumer</v>
      </c>
      <c r="L59" s="1" t="str">
        <f ca="1">IFERROR(__xludf.DUMMYFUNCTION("""COMPUTED_VALUE"""),"United States")</f>
        <v>United States</v>
      </c>
      <c r="M59" s="1" t="str">
        <f ca="1">IFERROR(__xludf.DUMMYFUNCTION("""COMPUTED_VALUE"""),"New York City")</f>
        <v>New York City</v>
      </c>
      <c r="N59" s="1" t="str">
        <f ca="1">IFERROR(__xludf.DUMMYFUNCTION("""COMPUTED_VALUE"""),"New York")</f>
        <v>New York</v>
      </c>
      <c r="O59" s="1">
        <f ca="1">IFERROR(__xludf.DUMMYFUNCTION("""COMPUTED_VALUE"""),10009)</f>
        <v>10009</v>
      </c>
      <c r="P59" s="1" t="str">
        <f ca="1">IFERROR(__xludf.DUMMYFUNCTION("""COMPUTED_VALUE"""),"East")</f>
        <v>East</v>
      </c>
      <c r="Q59" s="1" t="str">
        <f ca="1">IFERROR(__xludf.DUMMYFUNCTION("""COMPUTED_VALUE"""),"OFF-ST-10002790")</f>
        <v>OFF-ST-10002790</v>
      </c>
      <c r="R59" s="1" t="str">
        <f ca="1">IFERROR(__xludf.DUMMYFUNCTION("""COMPUTED_VALUE"""),"Office Supplies")</f>
        <v>Office Supplies</v>
      </c>
      <c r="S59" s="7">
        <f ca="1">IFERROR(__xludf.DUMMYFUNCTION("""COMPUTED_VALUE"""),221.55)</f>
        <v>221.55</v>
      </c>
      <c r="T59" s="1">
        <f ca="1">IFERROR(__xludf.DUMMYFUNCTION("""COMPUTED_VALUE"""),1)</f>
        <v>1</v>
      </c>
      <c r="U59" s="9">
        <f ca="1">IFERROR(__xludf.DUMMYFUNCTION("""COMPUTED_VALUE"""),221.55)</f>
        <v>221.55</v>
      </c>
      <c r="V59" s="9">
        <f ca="1">IFERROR(__xludf.DUMMYFUNCTION("""COMPUTED_VALUE"""),220.87)</f>
        <v>220.87</v>
      </c>
      <c r="W59" s="12">
        <f ca="1">IFERROR(__xludf.DUMMYFUNCTION("""COMPUTED_VALUE"""),0.680000000000006)</f>
        <v>0.68000000000000604</v>
      </c>
    </row>
    <row r="60" spans="1:23" ht="13.2">
      <c r="A60" s="1" t="str">
        <f ca="1">IFERROR(__xludf.DUMMYFUNCTION("""COMPUTED_VALUE"""),"CA-2018-163139")</f>
        <v>CA-2018-163139</v>
      </c>
      <c r="B60" s="8">
        <f ca="1">IFERROR(__xludf.DUMMYFUNCTION("""COMPUTED_VALUE"""),43112)</f>
        <v>43112</v>
      </c>
      <c r="C60" s="1" t="str">
        <f ca="1">IFERROR(__xludf.DUMMYFUNCTION("""COMPUTED_VALUE"""),"Jan")</f>
        <v>Jan</v>
      </c>
      <c r="D60" s="1" t="str">
        <f ca="1">IFERROR(__xludf.DUMMYFUNCTION("""COMPUTED_VALUE"""),"Qtr 1")</f>
        <v>Qtr 1</v>
      </c>
      <c r="E60" s="1" t="str">
        <f ca="1">IFERROR(__xludf.DUMMYFUNCTION("""COMPUTED_VALUE"""),"3/12/2018")</f>
        <v>3/12/2018</v>
      </c>
      <c r="F60" s="1" t="str">
        <f ca="1">IFERROR(__xludf.DUMMYFUNCTION("""COMPUTED_VALUE"""),"Second Class")</f>
        <v>Second Class</v>
      </c>
      <c r="G60" s="1" t="str">
        <f ca="1">IFERROR(__xludf.DUMMYFUNCTION("""COMPUTED_VALUE"""),"CC-12670")</f>
        <v>CC-12670</v>
      </c>
      <c r="H60" s="1" t="str">
        <f ca="1">IFERROR(__xludf.DUMMYFUNCTION("""COMPUTED_VALUE"""),"Craig")</f>
        <v>Craig</v>
      </c>
      <c r="I60" s="1" t="str">
        <f ca="1">IFERROR(__xludf.DUMMYFUNCTION("""COMPUTED_VALUE"""),"Carreira")</f>
        <v>Carreira</v>
      </c>
      <c r="J60" s="1"/>
      <c r="K60" s="1" t="str">
        <f ca="1">IFERROR(__xludf.DUMMYFUNCTION("""COMPUTED_VALUE"""),"Consumer")</f>
        <v>Consumer</v>
      </c>
      <c r="L60" s="1" t="str">
        <f ca="1">IFERROR(__xludf.DUMMYFUNCTION("""COMPUTED_VALUE"""),"United States")</f>
        <v>United States</v>
      </c>
      <c r="M60" s="1" t="str">
        <f ca="1">IFERROR(__xludf.DUMMYFUNCTION("""COMPUTED_VALUE"""),"New York City")</f>
        <v>New York City</v>
      </c>
      <c r="N60" s="1" t="str">
        <f ca="1">IFERROR(__xludf.DUMMYFUNCTION("""COMPUTED_VALUE"""),"New York")</f>
        <v>New York</v>
      </c>
      <c r="O60" s="1">
        <f ca="1">IFERROR(__xludf.DUMMYFUNCTION("""COMPUTED_VALUE"""),10009)</f>
        <v>10009</v>
      </c>
      <c r="P60" s="1" t="str">
        <f ca="1">IFERROR(__xludf.DUMMYFUNCTION("""COMPUTED_VALUE"""),"East")</f>
        <v>East</v>
      </c>
      <c r="Q60" s="1" t="str">
        <f ca="1">IFERROR(__xludf.DUMMYFUNCTION("""COMPUTED_VALUE"""),"OFF-BI-10003460")</f>
        <v>OFF-BI-10003460</v>
      </c>
      <c r="R60" s="1" t="str">
        <f ca="1">IFERROR(__xludf.DUMMYFUNCTION("""COMPUTED_VALUE"""),"Office Supplies")</f>
        <v>Office Supplies</v>
      </c>
      <c r="S60" s="7">
        <f ca="1">IFERROR(__xludf.DUMMYFUNCTION("""COMPUTED_VALUE"""),17.52)</f>
        <v>17.52</v>
      </c>
      <c r="T60" s="1">
        <f ca="1">IFERROR(__xludf.DUMMYFUNCTION("""COMPUTED_VALUE"""),1)</f>
        <v>1</v>
      </c>
      <c r="U60" s="9">
        <f ca="1">IFERROR(__xludf.DUMMYFUNCTION("""COMPUTED_VALUE"""),17.52)</f>
        <v>17.52</v>
      </c>
      <c r="V60" s="9">
        <f ca="1">IFERROR(__xludf.DUMMYFUNCTION("""COMPUTED_VALUE"""),16.7)</f>
        <v>16.7</v>
      </c>
      <c r="W60" s="12">
        <f ca="1">IFERROR(__xludf.DUMMYFUNCTION("""COMPUTED_VALUE"""),0.82)</f>
        <v>0.82</v>
      </c>
    </row>
    <row r="61" spans="1:23" ht="13.2">
      <c r="A61" s="1" t="str">
        <f ca="1">IFERROR(__xludf.DUMMYFUNCTION("""COMPUTED_VALUE"""),"US-2015-106992")</f>
        <v>US-2015-106992</v>
      </c>
      <c r="B61" s="8">
        <f ca="1">IFERROR(__xludf.DUMMYFUNCTION("""COMPUTED_VALUE"""),42266)</f>
        <v>42266</v>
      </c>
      <c r="C61" s="1" t="str">
        <f ca="1">IFERROR(__xludf.DUMMYFUNCTION("""COMPUTED_VALUE"""),"Sep")</f>
        <v>Sep</v>
      </c>
      <c r="D61" s="1" t="str">
        <f ca="1">IFERROR(__xludf.DUMMYFUNCTION("""COMPUTED_VALUE"""),"Qtr 3")</f>
        <v>Qtr 3</v>
      </c>
      <c r="E61" s="1" t="str">
        <f ca="1">IFERROR(__xludf.DUMMYFUNCTION("""COMPUTED_VALUE"""),"21/09/2015")</f>
        <v>21/09/2015</v>
      </c>
      <c r="F61" s="1" t="str">
        <f ca="1">IFERROR(__xludf.DUMMYFUNCTION("""COMPUTED_VALUE"""),"Second Class")</f>
        <v>Second Class</v>
      </c>
      <c r="G61" s="1" t="str">
        <f ca="1">IFERROR(__xludf.DUMMYFUNCTION("""COMPUTED_VALUE"""),"SB-20290")</f>
        <v>SB-20290</v>
      </c>
      <c r="H61" s="1" t="str">
        <f ca="1">IFERROR(__xludf.DUMMYFUNCTION("""COMPUTED_VALUE"""),"Sean")</f>
        <v>Sean</v>
      </c>
      <c r="I61" s="1" t="str">
        <f ca="1">IFERROR(__xludf.DUMMYFUNCTION("""COMPUTED_VALUE"""),"Braxton")</f>
        <v>Braxton</v>
      </c>
      <c r="J61" s="1"/>
      <c r="K61" s="1" t="str">
        <f ca="1">IFERROR(__xludf.DUMMYFUNCTION("""COMPUTED_VALUE"""),"Corporate")</f>
        <v>Corporate</v>
      </c>
      <c r="L61" s="1" t="str">
        <f ca="1">IFERROR(__xludf.DUMMYFUNCTION("""COMPUTED_VALUE"""),"United States")</f>
        <v>United States</v>
      </c>
      <c r="M61" s="1" t="str">
        <f ca="1">IFERROR(__xludf.DUMMYFUNCTION("""COMPUTED_VALUE"""),"Houston")</f>
        <v>Houston</v>
      </c>
      <c r="N61" s="1" t="str">
        <f ca="1">IFERROR(__xludf.DUMMYFUNCTION("""COMPUTED_VALUE"""),"Texas")</f>
        <v>Texas</v>
      </c>
      <c r="O61" s="1">
        <f ca="1">IFERROR(__xludf.DUMMYFUNCTION("""COMPUTED_VALUE"""),77036)</f>
        <v>77036</v>
      </c>
      <c r="P61" s="1" t="str">
        <f ca="1">IFERROR(__xludf.DUMMYFUNCTION("""COMPUTED_VALUE"""),"Central")</f>
        <v>Central</v>
      </c>
      <c r="Q61" s="1" t="str">
        <f ca="1">IFERROR(__xludf.DUMMYFUNCTION("""COMPUTED_VALUE"""),"TEC-MA-10000822")</f>
        <v>TEC-MA-10000822</v>
      </c>
      <c r="R61" s="1" t="str">
        <f ca="1">IFERROR(__xludf.DUMMYFUNCTION("""COMPUTED_VALUE"""),"Technology")</f>
        <v>Technology</v>
      </c>
      <c r="S61" s="7">
        <f ca="1">IFERROR(__xludf.DUMMYFUNCTION("""COMPUTED_VALUE"""),3059.982)</f>
        <v>3059.982</v>
      </c>
      <c r="T61" s="1">
        <f ca="1">IFERROR(__xludf.DUMMYFUNCTION("""COMPUTED_VALUE"""),7)</f>
        <v>7</v>
      </c>
      <c r="U61" s="9">
        <f ca="1">IFERROR(__xludf.DUMMYFUNCTION("""COMPUTED_VALUE"""),21419.874)</f>
        <v>21419.874</v>
      </c>
      <c r="V61" s="9">
        <f ca="1">IFERROR(__xludf.DUMMYFUNCTION("""COMPUTED_VALUE"""),21417.69)</f>
        <v>21417.69</v>
      </c>
      <c r="W61" s="12">
        <f ca="1">IFERROR(__xludf.DUMMYFUNCTION("""COMPUTED_VALUE"""),2.18399999999746)</f>
        <v>2.18399999999746</v>
      </c>
    </row>
    <row r="62" spans="1:23" ht="13.2">
      <c r="A62" s="1" t="str">
        <f ca="1">IFERROR(__xludf.DUMMYFUNCTION("""COMPUTED_VALUE"""),"US-2015-106992")</f>
        <v>US-2015-106992</v>
      </c>
      <c r="B62" s="8">
        <f ca="1">IFERROR(__xludf.DUMMYFUNCTION("""COMPUTED_VALUE"""),42266)</f>
        <v>42266</v>
      </c>
      <c r="C62" s="1" t="str">
        <f ca="1">IFERROR(__xludf.DUMMYFUNCTION("""COMPUTED_VALUE"""),"Sep")</f>
        <v>Sep</v>
      </c>
      <c r="D62" s="1" t="str">
        <f ca="1">IFERROR(__xludf.DUMMYFUNCTION("""COMPUTED_VALUE"""),"Qtr 3")</f>
        <v>Qtr 3</v>
      </c>
      <c r="E62" s="1" t="str">
        <f ca="1">IFERROR(__xludf.DUMMYFUNCTION("""COMPUTED_VALUE"""),"21/09/2015")</f>
        <v>21/09/2015</v>
      </c>
      <c r="F62" s="1" t="str">
        <f ca="1">IFERROR(__xludf.DUMMYFUNCTION("""COMPUTED_VALUE"""),"Second Class")</f>
        <v>Second Class</v>
      </c>
      <c r="G62" s="1" t="str">
        <f ca="1">IFERROR(__xludf.DUMMYFUNCTION("""COMPUTED_VALUE"""),"SB-20290")</f>
        <v>SB-20290</v>
      </c>
      <c r="H62" s="1" t="str">
        <f ca="1">IFERROR(__xludf.DUMMYFUNCTION("""COMPUTED_VALUE"""),"Sean")</f>
        <v>Sean</v>
      </c>
      <c r="I62" s="1" t="str">
        <f ca="1">IFERROR(__xludf.DUMMYFUNCTION("""COMPUTED_VALUE"""),"Braxton")</f>
        <v>Braxton</v>
      </c>
      <c r="J62" s="1"/>
      <c r="K62" s="1" t="str">
        <f ca="1">IFERROR(__xludf.DUMMYFUNCTION("""COMPUTED_VALUE"""),"Corporate")</f>
        <v>Corporate</v>
      </c>
      <c r="L62" s="1" t="str">
        <f ca="1">IFERROR(__xludf.DUMMYFUNCTION("""COMPUTED_VALUE"""),"United States")</f>
        <v>United States</v>
      </c>
      <c r="M62" s="1" t="str">
        <f ca="1">IFERROR(__xludf.DUMMYFUNCTION("""COMPUTED_VALUE"""),"Houston")</f>
        <v>Houston</v>
      </c>
      <c r="N62" s="1" t="str">
        <f ca="1">IFERROR(__xludf.DUMMYFUNCTION("""COMPUTED_VALUE"""),"Texas")</f>
        <v>Texas</v>
      </c>
      <c r="O62" s="1">
        <f ca="1">IFERROR(__xludf.DUMMYFUNCTION("""COMPUTED_VALUE"""),77036)</f>
        <v>77036</v>
      </c>
      <c r="P62" s="1" t="str">
        <f ca="1">IFERROR(__xludf.DUMMYFUNCTION("""COMPUTED_VALUE"""),"Central")</f>
        <v>Central</v>
      </c>
      <c r="Q62" s="1" t="str">
        <f ca="1">IFERROR(__xludf.DUMMYFUNCTION("""COMPUTED_VALUE"""),"TEC-MA-10003353")</f>
        <v>TEC-MA-10003353</v>
      </c>
      <c r="R62" s="1" t="str">
        <f ca="1">IFERROR(__xludf.DUMMYFUNCTION("""COMPUTED_VALUE"""),"Technology")</f>
        <v>Technology</v>
      </c>
      <c r="S62" s="7">
        <f ca="1">IFERROR(__xludf.DUMMYFUNCTION("""COMPUTED_VALUE"""),2519.958)</f>
        <v>2519.9580000000001</v>
      </c>
      <c r="T62" s="1">
        <f ca="1">IFERROR(__xludf.DUMMYFUNCTION("""COMPUTED_VALUE"""),7)</f>
        <v>7</v>
      </c>
      <c r="U62" s="9">
        <f ca="1">IFERROR(__xludf.DUMMYFUNCTION("""COMPUTED_VALUE"""),17639.706)</f>
        <v>17639.705999999998</v>
      </c>
      <c r="V62" s="9">
        <f ca="1">IFERROR(__xludf.DUMMYFUNCTION("""COMPUTED_VALUE"""),17638.46)</f>
        <v>17638.46</v>
      </c>
      <c r="W62" s="12">
        <f ca="1">IFERROR(__xludf.DUMMYFUNCTION("""COMPUTED_VALUE"""),1.24599999999918)</f>
        <v>1.24599999999918</v>
      </c>
    </row>
    <row r="63" spans="1:23" ht="13.2">
      <c r="A63" s="1" t="str">
        <f ca="1">IFERROR(__xludf.DUMMYFUNCTION("""COMPUTED_VALUE"""),"CA-2018-163979")</f>
        <v>CA-2018-163979</v>
      </c>
      <c r="B63" s="8">
        <f ca="1">IFERROR(__xludf.DUMMYFUNCTION("""COMPUTED_VALUE"""),43462)</f>
        <v>43462</v>
      </c>
      <c r="C63" s="1" t="str">
        <f ca="1">IFERROR(__xludf.DUMMYFUNCTION("""COMPUTED_VALUE"""),"Dec")</f>
        <v>Dec</v>
      </c>
      <c r="D63" s="1" t="str">
        <f ca="1">IFERROR(__xludf.DUMMYFUNCTION("""COMPUTED_VALUE"""),"Qtr 4")</f>
        <v>Qtr 4</v>
      </c>
      <c r="E63" s="1" t="str">
        <f ca="1">IFERROR(__xludf.DUMMYFUNCTION("""COMPUTED_VALUE"""),"2/1/2019")</f>
        <v>2/1/2019</v>
      </c>
      <c r="F63" s="1" t="str">
        <f ca="1">IFERROR(__xludf.DUMMYFUNCTION("""COMPUTED_VALUE"""),"Second Class")</f>
        <v>Second Class</v>
      </c>
      <c r="G63" s="1" t="str">
        <f ca="1">IFERROR(__xludf.DUMMYFUNCTION("""COMPUTED_VALUE"""),"KH-16690")</f>
        <v>KH-16690</v>
      </c>
      <c r="H63" s="1" t="str">
        <f ca="1">IFERROR(__xludf.DUMMYFUNCTION("""COMPUTED_VALUE"""),"Kristen")</f>
        <v>Kristen</v>
      </c>
      <c r="I63" s="1" t="str">
        <f ca="1">IFERROR(__xludf.DUMMYFUNCTION("""COMPUTED_VALUE"""),"Hastings")</f>
        <v>Hastings</v>
      </c>
      <c r="J63" s="1"/>
      <c r="K63" s="1" t="str">
        <f ca="1">IFERROR(__xludf.DUMMYFUNCTION("""COMPUTED_VALUE"""),"Corporate")</f>
        <v>Corporate</v>
      </c>
      <c r="L63" s="1" t="str">
        <f ca="1">IFERROR(__xludf.DUMMYFUNCTION("""COMPUTED_VALUE"""),"United States")</f>
        <v>United States</v>
      </c>
      <c r="M63" s="1" t="str">
        <f ca="1">IFERROR(__xludf.DUMMYFUNCTION("""COMPUTED_VALUE"""),"San Francisco")</f>
        <v>San Francisco</v>
      </c>
      <c r="N63" s="1" t="str">
        <f ca="1">IFERROR(__xludf.DUMMYFUNCTION("""COMPUTED_VALUE"""),"California")</f>
        <v>California</v>
      </c>
      <c r="O63" s="1">
        <f ca="1">IFERROR(__xludf.DUMMYFUNCTION("""COMPUTED_VALUE"""),94110)</f>
        <v>94110</v>
      </c>
      <c r="P63" s="1" t="str">
        <f ca="1">IFERROR(__xludf.DUMMYFUNCTION("""COMPUTED_VALUE"""),"West")</f>
        <v>West</v>
      </c>
      <c r="Q63" s="1" t="str">
        <f ca="1">IFERROR(__xludf.DUMMYFUNCTION("""COMPUTED_VALUE"""),"OFF-ST-10003208")</f>
        <v>OFF-ST-10003208</v>
      </c>
      <c r="R63" s="1" t="str">
        <f ca="1">IFERROR(__xludf.DUMMYFUNCTION("""COMPUTED_VALUE"""),"Office Supplies")</f>
        <v>Office Supplies</v>
      </c>
      <c r="S63" s="7">
        <f ca="1">IFERROR(__xludf.DUMMYFUNCTION("""COMPUTED_VALUE"""),725.84)</f>
        <v>725.84</v>
      </c>
      <c r="T63" s="1">
        <f ca="1">IFERROR(__xludf.DUMMYFUNCTION("""COMPUTED_VALUE"""),9)</f>
        <v>9</v>
      </c>
      <c r="U63" s="9">
        <f ca="1">IFERROR(__xludf.DUMMYFUNCTION("""COMPUTED_VALUE"""),6532.56)</f>
        <v>6532.56</v>
      </c>
      <c r="V63" s="9">
        <f ca="1">IFERROR(__xludf.DUMMYFUNCTION("""COMPUTED_VALUE"""),6525.99)</f>
        <v>6525.99</v>
      </c>
      <c r="W63" s="12">
        <f ca="1">IFERROR(__xludf.DUMMYFUNCTION("""COMPUTED_VALUE"""),6.57000000000061)</f>
        <v>6.5700000000006096</v>
      </c>
    </row>
    <row r="64" spans="1:23" ht="13.2">
      <c r="A64" s="1" t="str">
        <f ca="1">IFERROR(__xludf.DUMMYFUNCTION("""COMPUTED_VALUE"""),"US-2016-161991")</f>
        <v>US-2016-161991</v>
      </c>
      <c r="B64" s="8">
        <f ca="1">IFERROR(__xludf.DUMMYFUNCTION("""COMPUTED_VALUE"""),42639)</f>
        <v>42639</v>
      </c>
      <c r="C64" s="1" t="str">
        <f ca="1">IFERROR(__xludf.DUMMYFUNCTION("""COMPUTED_VALUE"""),"Sep")</f>
        <v>Sep</v>
      </c>
      <c r="D64" s="1" t="str">
        <f ca="1">IFERROR(__xludf.DUMMYFUNCTION("""COMPUTED_VALUE"""),"Qtr 3")</f>
        <v>Qtr 3</v>
      </c>
      <c r="E64" s="1" t="str">
        <f ca="1">IFERROR(__xludf.DUMMYFUNCTION("""COMPUTED_VALUE"""),"28/09/2016")</f>
        <v>28/09/2016</v>
      </c>
      <c r="F64" s="1" t="str">
        <f ca="1">IFERROR(__xludf.DUMMYFUNCTION("""COMPUTED_VALUE"""),"Second Class")</f>
        <v>Second Class</v>
      </c>
      <c r="G64" s="1" t="str">
        <f ca="1">IFERROR(__xludf.DUMMYFUNCTION("""COMPUTED_VALUE"""),"SC-20725")</f>
        <v>SC-20725</v>
      </c>
      <c r="H64" s="1" t="str">
        <f ca="1">IFERROR(__xludf.DUMMYFUNCTION("""COMPUTED_VALUE"""),"Steven")</f>
        <v>Steven</v>
      </c>
      <c r="I64" s="1" t="str">
        <f ca="1">IFERROR(__xludf.DUMMYFUNCTION("""COMPUTED_VALUE"""),"Cartwright")</f>
        <v>Cartwright</v>
      </c>
      <c r="J64" s="1"/>
      <c r="K64" s="1" t="str">
        <f ca="1">IFERROR(__xludf.DUMMYFUNCTION("""COMPUTED_VALUE"""),"Consumer")</f>
        <v>Consumer</v>
      </c>
      <c r="L64" s="1" t="str">
        <f ca="1">IFERROR(__xludf.DUMMYFUNCTION("""COMPUTED_VALUE"""),"United States")</f>
        <v>United States</v>
      </c>
      <c r="M64" s="1" t="str">
        <f ca="1">IFERROR(__xludf.DUMMYFUNCTION("""COMPUTED_VALUE"""),"Houston")</f>
        <v>Houston</v>
      </c>
      <c r="N64" s="1" t="str">
        <f ca="1">IFERROR(__xludf.DUMMYFUNCTION("""COMPUTED_VALUE"""),"Texas")</f>
        <v>Texas</v>
      </c>
      <c r="O64" s="1">
        <f ca="1">IFERROR(__xludf.DUMMYFUNCTION("""COMPUTED_VALUE"""),77070)</f>
        <v>77070</v>
      </c>
      <c r="P64" s="1" t="str">
        <f ca="1">IFERROR(__xludf.DUMMYFUNCTION("""COMPUTED_VALUE"""),"Central")</f>
        <v>Central</v>
      </c>
      <c r="Q64" s="1" t="str">
        <f ca="1">IFERROR(__xludf.DUMMYFUNCTION("""COMPUTED_VALUE"""),"OFF-BI-10004967")</f>
        <v>OFF-BI-10004967</v>
      </c>
      <c r="R64" s="1" t="str">
        <f ca="1">IFERROR(__xludf.DUMMYFUNCTION("""COMPUTED_VALUE"""),"Office Supplies")</f>
        <v>Office Supplies</v>
      </c>
      <c r="S64" s="7">
        <f ca="1">IFERROR(__xludf.DUMMYFUNCTION("""COMPUTED_VALUE"""),2.08)</f>
        <v>2.08</v>
      </c>
      <c r="T64" s="1">
        <f ca="1">IFERROR(__xludf.DUMMYFUNCTION("""COMPUTED_VALUE"""),7)</f>
        <v>7</v>
      </c>
      <c r="U64" s="9">
        <f ca="1">IFERROR(__xludf.DUMMYFUNCTION("""COMPUTED_VALUE"""),14.56)</f>
        <v>14.56</v>
      </c>
      <c r="V64" s="9">
        <f ca="1">IFERROR(__xludf.DUMMYFUNCTION("""COMPUTED_VALUE"""),13.86)</f>
        <v>13.86</v>
      </c>
      <c r="W64" s="12">
        <f ca="1">IFERROR(__xludf.DUMMYFUNCTION("""COMPUTED_VALUE"""),0.700000000000001)</f>
        <v>0.70000000000000095</v>
      </c>
    </row>
    <row r="65" spans="1:23" ht="13.2">
      <c r="A65" s="1" t="str">
        <f ca="1">IFERROR(__xludf.DUMMYFUNCTION("""COMPUTED_VALUE"""),"US-2016-161991")</f>
        <v>US-2016-161991</v>
      </c>
      <c r="B65" s="8">
        <f ca="1">IFERROR(__xludf.DUMMYFUNCTION("""COMPUTED_VALUE"""),42639)</f>
        <v>42639</v>
      </c>
      <c r="C65" s="1" t="str">
        <f ca="1">IFERROR(__xludf.DUMMYFUNCTION("""COMPUTED_VALUE"""),"Sep")</f>
        <v>Sep</v>
      </c>
      <c r="D65" s="1" t="str">
        <f ca="1">IFERROR(__xludf.DUMMYFUNCTION("""COMPUTED_VALUE"""),"Qtr 3")</f>
        <v>Qtr 3</v>
      </c>
      <c r="E65" s="1" t="str">
        <f ca="1">IFERROR(__xludf.DUMMYFUNCTION("""COMPUTED_VALUE"""),"28/09/2016")</f>
        <v>28/09/2016</v>
      </c>
      <c r="F65" s="1" t="str">
        <f ca="1">IFERROR(__xludf.DUMMYFUNCTION("""COMPUTED_VALUE"""),"Second Class")</f>
        <v>Second Class</v>
      </c>
      <c r="G65" s="1" t="str">
        <f ca="1">IFERROR(__xludf.DUMMYFUNCTION("""COMPUTED_VALUE"""),"SC-20725")</f>
        <v>SC-20725</v>
      </c>
      <c r="H65" s="1" t="str">
        <f ca="1">IFERROR(__xludf.DUMMYFUNCTION("""COMPUTED_VALUE"""),"Steven")</f>
        <v>Steven</v>
      </c>
      <c r="I65" s="1" t="str">
        <f ca="1">IFERROR(__xludf.DUMMYFUNCTION("""COMPUTED_VALUE"""),"Cartwright")</f>
        <v>Cartwright</v>
      </c>
      <c r="J65" s="1"/>
      <c r="K65" s="1" t="str">
        <f ca="1">IFERROR(__xludf.DUMMYFUNCTION("""COMPUTED_VALUE"""),"Consumer")</f>
        <v>Consumer</v>
      </c>
      <c r="L65" s="1" t="str">
        <f ca="1">IFERROR(__xludf.DUMMYFUNCTION("""COMPUTED_VALUE"""),"United States")</f>
        <v>United States</v>
      </c>
      <c r="M65" s="1" t="str">
        <f ca="1">IFERROR(__xludf.DUMMYFUNCTION("""COMPUTED_VALUE"""),"Houston")</f>
        <v>Houston</v>
      </c>
      <c r="N65" s="1" t="str">
        <f ca="1">IFERROR(__xludf.DUMMYFUNCTION("""COMPUTED_VALUE"""),"Texas")</f>
        <v>Texas</v>
      </c>
      <c r="O65" s="1">
        <f ca="1">IFERROR(__xludf.DUMMYFUNCTION("""COMPUTED_VALUE"""),77070)</f>
        <v>77070</v>
      </c>
      <c r="P65" s="1" t="str">
        <f ca="1">IFERROR(__xludf.DUMMYFUNCTION("""COMPUTED_VALUE"""),"Central")</f>
        <v>Central</v>
      </c>
      <c r="Q65" s="1" t="str">
        <f ca="1">IFERROR(__xludf.DUMMYFUNCTION("""COMPUTED_VALUE"""),"TEC-PH-10001760")</f>
        <v>TEC-PH-10001760</v>
      </c>
      <c r="R65" s="1" t="str">
        <f ca="1">IFERROR(__xludf.DUMMYFUNCTION("""COMPUTED_VALUE"""),"Technology")</f>
        <v>Technology</v>
      </c>
      <c r="S65" s="7">
        <f ca="1">IFERROR(__xludf.DUMMYFUNCTION("""COMPUTED_VALUE"""),1114.4)</f>
        <v>1114.4000000000001</v>
      </c>
      <c r="T65" s="1">
        <f ca="1">IFERROR(__xludf.DUMMYFUNCTION("""COMPUTED_VALUE"""),7)</f>
        <v>7</v>
      </c>
      <c r="U65" s="9">
        <f ca="1">IFERROR(__xludf.DUMMYFUNCTION("""COMPUTED_VALUE"""),7800.8)</f>
        <v>7800.8</v>
      </c>
      <c r="V65" s="9">
        <f ca="1">IFERROR(__xludf.DUMMYFUNCTION("""COMPUTED_VALUE"""),7794.71)</f>
        <v>7794.71</v>
      </c>
      <c r="W65" s="12">
        <f ca="1">IFERROR(__xludf.DUMMYFUNCTION("""COMPUTED_VALUE"""),6.09000000000105)</f>
        <v>6.0900000000010497</v>
      </c>
    </row>
    <row r="66" spans="1:23" ht="13.2">
      <c r="A66" s="1" t="str">
        <f ca="1">IFERROR(__xludf.DUMMYFUNCTION("""COMPUTED_VALUE"""),"CA-2017-112697")</f>
        <v>CA-2017-112697</v>
      </c>
      <c r="B66" s="8">
        <f ca="1">IFERROR(__xludf.DUMMYFUNCTION("""COMPUTED_VALUE"""),43087)</f>
        <v>43087</v>
      </c>
      <c r="C66" s="1" t="str">
        <f ca="1">IFERROR(__xludf.DUMMYFUNCTION("""COMPUTED_VALUE"""),"Dec")</f>
        <v>Dec</v>
      </c>
      <c r="D66" s="1" t="str">
        <f ca="1">IFERROR(__xludf.DUMMYFUNCTION("""COMPUTED_VALUE"""),"Qtr 4")</f>
        <v>Qtr 4</v>
      </c>
      <c r="E66" s="1" t="str">
        <f ca="1">IFERROR(__xludf.DUMMYFUNCTION("""COMPUTED_VALUE"""),"20/12/2017")</f>
        <v>20/12/2017</v>
      </c>
      <c r="F66" s="1" t="str">
        <f ca="1">IFERROR(__xludf.DUMMYFUNCTION("""COMPUTED_VALUE"""),"Second Class")</f>
        <v>Second Class</v>
      </c>
      <c r="G66" s="1" t="str">
        <f ca="1">IFERROR(__xludf.DUMMYFUNCTION("""COMPUTED_VALUE"""),"AH-10195")</f>
        <v>AH-10195</v>
      </c>
      <c r="H66" s="1" t="str">
        <f ca="1">IFERROR(__xludf.DUMMYFUNCTION("""COMPUTED_VALUE"""),"Alan")</f>
        <v>Alan</v>
      </c>
      <c r="I66" s="1" t="str">
        <f ca="1">IFERROR(__xludf.DUMMYFUNCTION("""COMPUTED_VALUE"""),"Haines")</f>
        <v>Haines</v>
      </c>
      <c r="J66" s="1"/>
      <c r="K66" s="1" t="str">
        <f ca="1">IFERROR(__xludf.DUMMYFUNCTION("""COMPUTED_VALUE"""),"Corporate")</f>
        <v>Corporate</v>
      </c>
      <c r="L66" s="1" t="str">
        <f ca="1">IFERROR(__xludf.DUMMYFUNCTION("""COMPUTED_VALUE"""),"United States")</f>
        <v>United States</v>
      </c>
      <c r="M66" s="1" t="str">
        <f ca="1">IFERROR(__xludf.DUMMYFUNCTION("""COMPUTED_VALUE"""),"Tamarac")</f>
        <v>Tamarac</v>
      </c>
      <c r="N66" s="1" t="str">
        <f ca="1">IFERROR(__xludf.DUMMYFUNCTION("""COMPUTED_VALUE"""),"Florida")</f>
        <v>Florida</v>
      </c>
      <c r="O66" s="1">
        <f ca="1">IFERROR(__xludf.DUMMYFUNCTION("""COMPUTED_VALUE"""),33319)</f>
        <v>33319</v>
      </c>
      <c r="P66" s="1" t="str">
        <f ca="1">IFERROR(__xludf.DUMMYFUNCTION("""COMPUTED_VALUE"""),"South")</f>
        <v>South</v>
      </c>
      <c r="Q66" s="1" t="str">
        <f ca="1">IFERROR(__xludf.DUMMYFUNCTION("""COMPUTED_VALUE"""),"OFF-BI-10000778")</f>
        <v>OFF-BI-10000778</v>
      </c>
      <c r="R66" s="1" t="str">
        <f ca="1">IFERROR(__xludf.DUMMYFUNCTION("""COMPUTED_VALUE"""),"Office Supplies")</f>
        <v>Office Supplies</v>
      </c>
      <c r="S66" s="7">
        <f ca="1">IFERROR(__xludf.DUMMYFUNCTION("""COMPUTED_VALUE"""),254.058)</f>
        <v>254.05799999999999</v>
      </c>
      <c r="T66" s="1">
        <f ca="1">IFERROR(__xludf.DUMMYFUNCTION("""COMPUTED_VALUE"""),3)</f>
        <v>3</v>
      </c>
      <c r="U66" s="9">
        <f ca="1">IFERROR(__xludf.DUMMYFUNCTION("""COMPUTED_VALUE"""),762.174)</f>
        <v>762.17399999999998</v>
      </c>
      <c r="V66" s="9">
        <f ca="1">IFERROR(__xludf.DUMMYFUNCTION("""COMPUTED_VALUE"""),761.22)</f>
        <v>761.22</v>
      </c>
      <c r="W66" s="12">
        <f ca="1">IFERROR(__xludf.DUMMYFUNCTION("""COMPUTED_VALUE"""),0.95399999999995)</f>
        <v>0.95399999999995</v>
      </c>
    </row>
    <row r="67" spans="1:23" ht="13.2">
      <c r="A67" s="1" t="str">
        <f ca="1">IFERROR(__xludf.DUMMYFUNCTION("""COMPUTED_VALUE"""),"CA-2017-112697")</f>
        <v>CA-2017-112697</v>
      </c>
      <c r="B67" s="8">
        <f ca="1">IFERROR(__xludf.DUMMYFUNCTION("""COMPUTED_VALUE"""),43087)</f>
        <v>43087</v>
      </c>
      <c r="C67" s="1" t="str">
        <f ca="1">IFERROR(__xludf.DUMMYFUNCTION("""COMPUTED_VALUE"""),"Dec")</f>
        <v>Dec</v>
      </c>
      <c r="D67" s="1" t="str">
        <f ca="1">IFERROR(__xludf.DUMMYFUNCTION("""COMPUTED_VALUE"""),"Qtr 4")</f>
        <v>Qtr 4</v>
      </c>
      <c r="E67" s="1" t="str">
        <f ca="1">IFERROR(__xludf.DUMMYFUNCTION("""COMPUTED_VALUE"""),"20/12/2017")</f>
        <v>20/12/2017</v>
      </c>
      <c r="F67" s="1" t="str">
        <f ca="1">IFERROR(__xludf.DUMMYFUNCTION("""COMPUTED_VALUE"""),"Second Class")</f>
        <v>Second Class</v>
      </c>
      <c r="G67" s="1" t="str">
        <f ca="1">IFERROR(__xludf.DUMMYFUNCTION("""COMPUTED_VALUE"""),"AH-10195")</f>
        <v>AH-10195</v>
      </c>
      <c r="H67" s="1" t="str">
        <f ca="1">IFERROR(__xludf.DUMMYFUNCTION("""COMPUTED_VALUE"""),"Alan")</f>
        <v>Alan</v>
      </c>
      <c r="I67" s="1" t="str">
        <f ca="1">IFERROR(__xludf.DUMMYFUNCTION("""COMPUTED_VALUE"""),"Haines")</f>
        <v>Haines</v>
      </c>
      <c r="J67" s="1"/>
      <c r="K67" s="1" t="str">
        <f ca="1">IFERROR(__xludf.DUMMYFUNCTION("""COMPUTED_VALUE"""),"Corporate")</f>
        <v>Corporate</v>
      </c>
      <c r="L67" s="1" t="str">
        <f ca="1">IFERROR(__xludf.DUMMYFUNCTION("""COMPUTED_VALUE"""),"United States")</f>
        <v>United States</v>
      </c>
      <c r="M67" s="1" t="str">
        <f ca="1">IFERROR(__xludf.DUMMYFUNCTION("""COMPUTED_VALUE"""),"Tamarac")</f>
        <v>Tamarac</v>
      </c>
      <c r="N67" s="1" t="str">
        <f ca="1">IFERROR(__xludf.DUMMYFUNCTION("""COMPUTED_VALUE"""),"Florida")</f>
        <v>Florida</v>
      </c>
      <c r="O67" s="1">
        <f ca="1">IFERROR(__xludf.DUMMYFUNCTION("""COMPUTED_VALUE"""),33319)</f>
        <v>33319</v>
      </c>
      <c r="P67" s="1" t="str">
        <f ca="1">IFERROR(__xludf.DUMMYFUNCTION("""COMPUTED_VALUE"""),"South")</f>
        <v>South</v>
      </c>
      <c r="Q67" s="1" t="str">
        <f ca="1">IFERROR(__xludf.DUMMYFUNCTION("""COMPUTED_VALUE"""),"OFF-AP-10002684")</f>
        <v>OFF-AP-10002684</v>
      </c>
      <c r="R67" s="1" t="str">
        <f ca="1">IFERROR(__xludf.DUMMYFUNCTION("""COMPUTED_VALUE"""),"Office Supplies")</f>
        <v>Office Supplies</v>
      </c>
      <c r="S67" s="7">
        <f ca="1">IFERROR(__xludf.DUMMYFUNCTION("""COMPUTED_VALUE"""),194.528)</f>
        <v>194.52799999999999</v>
      </c>
      <c r="T67" s="1">
        <f ca="1">IFERROR(__xludf.DUMMYFUNCTION("""COMPUTED_VALUE"""),3)</f>
        <v>3</v>
      </c>
      <c r="U67" s="9">
        <f ca="1">IFERROR(__xludf.DUMMYFUNCTION("""COMPUTED_VALUE"""),583.584)</f>
        <v>583.58399999999995</v>
      </c>
      <c r="V67" s="9">
        <f ca="1">IFERROR(__xludf.DUMMYFUNCTION("""COMPUTED_VALUE"""),581.79)</f>
        <v>581.79</v>
      </c>
      <c r="W67" s="12">
        <f ca="1">IFERROR(__xludf.DUMMYFUNCTION("""COMPUTED_VALUE"""),1.79399999999998)</f>
        <v>1.7939999999999801</v>
      </c>
    </row>
    <row r="68" spans="1:23" ht="13.2">
      <c r="A68" s="1" t="str">
        <f ca="1">IFERROR(__xludf.DUMMYFUNCTION("""COMPUTED_VALUE"""),"CA-2017-112697")</f>
        <v>CA-2017-112697</v>
      </c>
      <c r="B68" s="8">
        <f ca="1">IFERROR(__xludf.DUMMYFUNCTION("""COMPUTED_VALUE"""),43087)</f>
        <v>43087</v>
      </c>
      <c r="C68" s="1" t="str">
        <f ca="1">IFERROR(__xludf.DUMMYFUNCTION("""COMPUTED_VALUE"""),"Dec")</f>
        <v>Dec</v>
      </c>
      <c r="D68" s="1" t="str">
        <f ca="1">IFERROR(__xludf.DUMMYFUNCTION("""COMPUTED_VALUE"""),"Qtr 4")</f>
        <v>Qtr 4</v>
      </c>
      <c r="E68" s="1" t="str">
        <f ca="1">IFERROR(__xludf.DUMMYFUNCTION("""COMPUTED_VALUE"""),"20/12/2017")</f>
        <v>20/12/2017</v>
      </c>
      <c r="F68" s="1" t="str">
        <f ca="1">IFERROR(__xludf.DUMMYFUNCTION("""COMPUTED_VALUE"""),"Second Class")</f>
        <v>Second Class</v>
      </c>
      <c r="G68" s="1" t="str">
        <f ca="1">IFERROR(__xludf.DUMMYFUNCTION("""COMPUTED_VALUE"""),"AH-10195")</f>
        <v>AH-10195</v>
      </c>
      <c r="H68" s="1" t="str">
        <f ca="1">IFERROR(__xludf.DUMMYFUNCTION("""COMPUTED_VALUE"""),"Alan")</f>
        <v>Alan</v>
      </c>
      <c r="I68" s="1" t="str">
        <f ca="1">IFERROR(__xludf.DUMMYFUNCTION("""COMPUTED_VALUE"""),"Haines")</f>
        <v>Haines</v>
      </c>
      <c r="J68" s="1"/>
      <c r="K68" s="1" t="str">
        <f ca="1">IFERROR(__xludf.DUMMYFUNCTION("""COMPUTED_VALUE"""),"Corporate")</f>
        <v>Corporate</v>
      </c>
      <c r="L68" s="1" t="str">
        <f ca="1">IFERROR(__xludf.DUMMYFUNCTION("""COMPUTED_VALUE"""),"United States")</f>
        <v>United States</v>
      </c>
      <c r="M68" s="1" t="str">
        <f ca="1">IFERROR(__xludf.DUMMYFUNCTION("""COMPUTED_VALUE"""),"Tamarac")</f>
        <v>Tamarac</v>
      </c>
      <c r="N68" s="1" t="str">
        <f ca="1">IFERROR(__xludf.DUMMYFUNCTION("""COMPUTED_VALUE"""),"Florida")</f>
        <v>Florida</v>
      </c>
      <c r="O68" s="1">
        <f ca="1">IFERROR(__xludf.DUMMYFUNCTION("""COMPUTED_VALUE"""),33319)</f>
        <v>33319</v>
      </c>
      <c r="P68" s="1" t="str">
        <f ca="1">IFERROR(__xludf.DUMMYFUNCTION("""COMPUTED_VALUE"""),"South")</f>
        <v>South</v>
      </c>
      <c r="Q68" s="1" t="str">
        <f ca="1">IFERROR(__xludf.DUMMYFUNCTION("""COMPUTED_VALUE"""),"OFF-SU-10000646")</f>
        <v>OFF-SU-10000646</v>
      </c>
      <c r="R68" s="1" t="str">
        <f ca="1">IFERROR(__xludf.DUMMYFUNCTION("""COMPUTED_VALUE"""),"Office Supplies")</f>
        <v>Office Supplies</v>
      </c>
      <c r="S68" s="7">
        <f ca="1">IFERROR(__xludf.DUMMYFUNCTION("""COMPUTED_VALUE"""),961.48)</f>
        <v>961.48</v>
      </c>
      <c r="T68" s="1">
        <f ca="1">IFERROR(__xludf.DUMMYFUNCTION("""COMPUTED_VALUE"""),3)</f>
        <v>3</v>
      </c>
      <c r="U68" s="9">
        <f ca="1">IFERROR(__xludf.DUMMYFUNCTION("""COMPUTED_VALUE"""),2884.44)</f>
        <v>2884.44</v>
      </c>
      <c r="V68" s="9">
        <f ca="1">IFERROR(__xludf.DUMMYFUNCTION("""COMPUTED_VALUE"""),2883.89999999999)</f>
        <v>2883.8999999999901</v>
      </c>
      <c r="W68" s="12">
        <f ca="1">IFERROR(__xludf.DUMMYFUNCTION("""COMPUTED_VALUE"""),0.540000000000418)</f>
        <v>0.54000000000041803</v>
      </c>
    </row>
    <row r="69" spans="1:23" ht="13.2">
      <c r="A69" s="1" t="str">
        <f ca="1">IFERROR(__xludf.DUMMYFUNCTION("""COMPUTED_VALUE"""),"CA-2017-110772")</f>
        <v>CA-2017-110772</v>
      </c>
      <c r="B69" s="8">
        <f ca="1">IFERROR(__xludf.DUMMYFUNCTION("""COMPUTED_VALUE"""),43059)</f>
        <v>43059</v>
      </c>
      <c r="C69" s="1" t="str">
        <f ca="1">IFERROR(__xludf.DUMMYFUNCTION("""COMPUTED_VALUE"""),"Nov")</f>
        <v>Nov</v>
      </c>
      <c r="D69" s="1" t="str">
        <f ca="1">IFERROR(__xludf.DUMMYFUNCTION("""COMPUTED_VALUE"""),"Qtr 4")</f>
        <v>Qtr 4</v>
      </c>
      <c r="E69" s="1" t="str">
        <f ca="1">IFERROR(__xludf.DUMMYFUNCTION("""COMPUTED_VALUE"""),"24/11/2017")</f>
        <v>24/11/2017</v>
      </c>
      <c r="F69" s="1" t="str">
        <f ca="1">IFERROR(__xludf.DUMMYFUNCTION("""COMPUTED_VALUE"""),"Second Class")</f>
        <v>Second Class</v>
      </c>
      <c r="G69" s="1" t="str">
        <f ca="1">IFERROR(__xludf.DUMMYFUNCTION("""COMPUTED_VALUE"""),"NZ-18565")</f>
        <v>NZ-18565</v>
      </c>
      <c r="H69" s="1" t="str">
        <f ca="1">IFERROR(__xludf.DUMMYFUNCTION("""COMPUTED_VALUE"""),"Nick")</f>
        <v>Nick</v>
      </c>
      <c r="I69" s="1" t="str">
        <f ca="1">IFERROR(__xludf.DUMMYFUNCTION("""COMPUTED_VALUE"""),"Zandusky")</f>
        <v>Zandusky</v>
      </c>
      <c r="J69" s="1"/>
      <c r="K69" s="1" t="str">
        <f ca="1">IFERROR(__xludf.DUMMYFUNCTION("""COMPUTED_VALUE"""),"Home Office")</f>
        <v>Home Office</v>
      </c>
      <c r="L69" s="1" t="str">
        <f ca="1">IFERROR(__xludf.DUMMYFUNCTION("""COMPUTED_VALUE"""),"United States")</f>
        <v>United States</v>
      </c>
      <c r="M69" s="1" t="str">
        <f ca="1">IFERROR(__xludf.DUMMYFUNCTION("""COMPUTED_VALUE"""),"Columbus")</f>
        <v>Columbus</v>
      </c>
      <c r="N69" s="1" t="str">
        <f ca="1">IFERROR(__xludf.DUMMYFUNCTION("""COMPUTED_VALUE"""),"Ohio")</f>
        <v>Ohio</v>
      </c>
      <c r="O69" s="1">
        <f ca="1">IFERROR(__xludf.DUMMYFUNCTION("""COMPUTED_VALUE"""),43229)</f>
        <v>43229</v>
      </c>
      <c r="P69" s="1" t="str">
        <f ca="1">IFERROR(__xludf.DUMMYFUNCTION("""COMPUTED_VALUE"""),"East")</f>
        <v>East</v>
      </c>
      <c r="Q69" s="1" t="str">
        <f ca="1">IFERROR(__xludf.DUMMYFUNCTION("""COMPUTED_VALUE"""),"OFF-FA-10002983")</f>
        <v>OFF-FA-10002983</v>
      </c>
      <c r="R69" s="1" t="str">
        <f ca="1">IFERROR(__xludf.DUMMYFUNCTION("""COMPUTED_VALUE"""),"Office Supplies")</f>
        <v>Office Supplies</v>
      </c>
      <c r="S69" s="7">
        <f ca="1">IFERROR(__xludf.DUMMYFUNCTION("""COMPUTED_VALUE"""),19.096)</f>
        <v>19.096</v>
      </c>
      <c r="T69" s="1">
        <f ca="1">IFERROR(__xludf.DUMMYFUNCTION("""COMPUTED_VALUE"""),4)</f>
        <v>4</v>
      </c>
      <c r="U69" s="9">
        <f ca="1">IFERROR(__xludf.DUMMYFUNCTION("""COMPUTED_VALUE"""),76.384)</f>
        <v>76.384</v>
      </c>
      <c r="V69" s="9">
        <f ca="1">IFERROR(__xludf.DUMMYFUNCTION("""COMPUTED_VALUE"""),73.36)</f>
        <v>73.36</v>
      </c>
      <c r="W69" s="12">
        <f ca="1">IFERROR(__xludf.DUMMYFUNCTION("""COMPUTED_VALUE"""),3.024)</f>
        <v>3.024</v>
      </c>
    </row>
    <row r="70" spans="1:23" ht="13.2">
      <c r="A70" s="1" t="str">
        <f ca="1">IFERROR(__xludf.DUMMYFUNCTION("""COMPUTED_VALUE"""),"CA-2017-110772")</f>
        <v>CA-2017-110772</v>
      </c>
      <c r="B70" s="8">
        <f ca="1">IFERROR(__xludf.DUMMYFUNCTION("""COMPUTED_VALUE"""),43059)</f>
        <v>43059</v>
      </c>
      <c r="C70" s="1" t="str">
        <f ca="1">IFERROR(__xludf.DUMMYFUNCTION("""COMPUTED_VALUE"""),"Nov")</f>
        <v>Nov</v>
      </c>
      <c r="D70" s="1" t="str">
        <f ca="1">IFERROR(__xludf.DUMMYFUNCTION("""COMPUTED_VALUE"""),"Qtr 4")</f>
        <v>Qtr 4</v>
      </c>
      <c r="E70" s="1" t="str">
        <f ca="1">IFERROR(__xludf.DUMMYFUNCTION("""COMPUTED_VALUE"""),"24/11/2017")</f>
        <v>24/11/2017</v>
      </c>
      <c r="F70" s="1" t="str">
        <f ca="1">IFERROR(__xludf.DUMMYFUNCTION("""COMPUTED_VALUE"""),"Second Class")</f>
        <v>Second Class</v>
      </c>
      <c r="G70" s="1" t="str">
        <f ca="1">IFERROR(__xludf.DUMMYFUNCTION("""COMPUTED_VALUE"""),"NZ-18565")</f>
        <v>NZ-18565</v>
      </c>
      <c r="H70" s="1" t="str">
        <f ca="1">IFERROR(__xludf.DUMMYFUNCTION("""COMPUTED_VALUE"""),"Nick")</f>
        <v>Nick</v>
      </c>
      <c r="I70" s="1" t="str">
        <f ca="1">IFERROR(__xludf.DUMMYFUNCTION("""COMPUTED_VALUE"""),"Zandusky")</f>
        <v>Zandusky</v>
      </c>
      <c r="J70" s="1"/>
      <c r="K70" s="1" t="str">
        <f ca="1">IFERROR(__xludf.DUMMYFUNCTION("""COMPUTED_VALUE"""),"Home Office")</f>
        <v>Home Office</v>
      </c>
      <c r="L70" s="1" t="str">
        <f ca="1">IFERROR(__xludf.DUMMYFUNCTION("""COMPUTED_VALUE"""),"United States")</f>
        <v>United States</v>
      </c>
      <c r="M70" s="1" t="str">
        <f ca="1">IFERROR(__xludf.DUMMYFUNCTION("""COMPUTED_VALUE"""),"Columbus")</f>
        <v>Columbus</v>
      </c>
      <c r="N70" s="1" t="str">
        <f ca="1">IFERROR(__xludf.DUMMYFUNCTION("""COMPUTED_VALUE"""),"Ohio")</f>
        <v>Ohio</v>
      </c>
      <c r="O70" s="1">
        <f ca="1">IFERROR(__xludf.DUMMYFUNCTION("""COMPUTED_VALUE"""),43229)</f>
        <v>43229</v>
      </c>
      <c r="P70" s="1" t="str">
        <f ca="1">IFERROR(__xludf.DUMMYFUNCTION("""COMPUTED_VALUE"""),"East")</f>
        <v>East</v>
      </c>
      <c r="Q70" s="1" t="str">
        <f ca="1">IFERROR(__xludf.DUMMYFUNCTION("""COMPUTED_VALUE"""),"OFF-LA-10004689")</f>
        <v>OFF-LA-10004689</v>
      </c>
      <c r="R70" s="1" t="str">
        <f ca="1">IFERROR(__xludf.DUMMYFUNCTION("""COMPUTED_VALUE"""),"Office Supplies")</f>
        <v>Office Supplies</v>
      </c>
      <c r="S70" s="7">
        <f ca="1">IFERROR(__xludf.DUMMYFUNCTION("""COMPUTED_VALUE"""),18.496)</f>
        <v>18.495999999999999</v>
      </c>
      <c r="T70" s="1">
        <f ca="1">IFERROR(__xludf.DUMMYFUNCTION("""COMPUTED_VALUE"""),4)</f>
        <v>4</v>
      </c>
      <c r="U70" s="9">
        <f ca="1">IFERROR(__xludf.DUMMYFUNCTION("""COMPUTED_VALUE"""),73.984)</f>
        <v>73.983999999999995</v>
      </c>
      <c r="V70" s="9">
        <f ca="1">IFERROR(__xludf.DUMMYFUNCTION("""COMPUTED_VALUE"""),72.08)</f>
        <v>72.08</v>
      </c>
      <c r="W70" s="12">
        <f ca="1">IFERROR(__xludf.DUMMYFUNCTION("""COMPUTED_VALUE"""),1.90399999999999)</f>
        <v>1.9039999999999899</v>
      </c>
    </row>
    <row r="71" spans="1:23" ht="13.2">
      <c r="A71" s="1" t="str">
        <f ca="1">IFERROR(__xludf.DUMMYFUNCTION("""COMPUTED_VALUE"""),"CA-2017-110772")</f>
        <v>CA-2017-110772</v>
      </c>
      <c r="B71" s="8">
        <f ca="1">IFERROR(__xludf.DUMMYFUNCTION("""COMPUTED_VALUE"""),43059)</f>
        <v>43059</v>
      </c>
      <c r="C71" s="1" t="str">
        <f ca="1">IFERROR(__xludf.DUMMYFUNCTION("""COMPUTED_VALUE"""),"Nov")</f>
        <v>Nov</v>
      </c>
      <c r="D71" s="1" t="str">
        <f ca="1">IFERROR(__xludf.DUMMYFUNCTION("""COMPUTED_VALUE"""),"Qtr 4")</f>
        <v>Qtr 4</v>
      </c>
      <c r="E71" s="1" t="str">
        <f ca="1">IFERROR(__xludf.DUMMYFUNCTION("""COMPUTED_VALUE"""),"24/11/2017")</f>
        <v>24/11/2017</v>
      </c>
      <c r="F71" s="1" t="str">
        <f ca="1">IFERROR(__xludf.DUMMYFUNCTION("""COMPUTED_VALUE"""),"Second Class")</f>
        <v>Second Class</v>
      </c>
      <c r="G71" s="1" t="str">
        <f ca="1">IFERROR(__xludf.DUMMYFUNCTION("""COMPUTED_VALUE"""),"NZ-18565")</f>
        <v>NZ-18565</v>
      </c>
      <c r="H71" s="1" t="str">
        <f ca="1">IFERROR(__xludf.DUMMYFUNCTION("""COMPUTED_VALUE"""),"Nick")</f>
        <v>Nick</v>
      </c>
      <c r="I71" s="1" t="str">
        <f ca="1">IFERROR(__xludf.DUMMYFUNCTION("""COMPUTED_VALUE"""),"Zandusky")</f>
        <v>Zandusky</v>
      </c>
      <c r="J71" s="1"/>
      <c r="K71" s="1" t="str">
        <f ca="1">IFERROR(__xludf.DUMMYFUNCTION("""COMPUTED_VALUE"""),"Home Office")</f>
        <v>Home Office</v>
      </c>
      <c r="L71" s="1" t="str">
        <f ca="1">IFERROR(__xludf.DUMMYFUNCTION("""COMPUTED_VALUE"""),"United States")</f>
        <v>United States</v>
      </c>
      <c r="M71" s="1" t="str">
        <f ca="1">IFERROR(__xludf.DUMMYFUNCTION("""COMPUTED_VALUE"""),"Columbus")</f>
        <v>Columbus</v>
      </c>
      <c r="N71" s="1" t="str">
        <f ca="1">IFERROR(__xludf.DUMMYFUNCTION("""COMPUTED_VALUE"""),"Ohio")</f>
        <v>Ohio</v>
      </c>
      <c r="O71" s="1">
        <f ca="1">IFERROR(__xludf.DUMMYFUNCTION("""COMPUTED_VALUE"""),43229)</f>
        <v>43229</v>
      </c>
      <c r="P71" s="1" t="str">
        <f ca="1">IFERROR(__xludf.DUMMYFUNCTION("""COMPUTED_VALUE"""),"East")</f>
        <v>East</v>
      </c>
      <c r="Q71" s="1" t="str">
        <f ca="1">IFERROR(__xludf.DUMMYFUNCTION("""COMPUTED_VALUE"""),"TEC-AC-10002001")</f>
        <v>TEC-AC-10002001</v>
      </c>
      <c r="R71" s="1" t="str">
        <f ca="1">IFERROR(__xludf.DUMMYFUNCTION("""COMPUTED_VALUE"""),"Technology")</f>
        <v>Technology</v>
      </c>
      <c r="S71" s="7">
        <f ca="1">IFERROR(__xludf.DUMMYFUNCTION("""COMPUTED_VALUE"""),255.984)</f>
        <v>255.98400000000001</v>
      </c>
      <c r="T71" s="1">
        <f ca="1">IFERROR(__xludf.DUMMYFUNCTION("""COMPUTED_VALUE"""),4)</f>
        <v>4</v>
      </c>
      <c r="U71" s="9">
        <f ca="1">IFERROR(__xludf.DUMMYFUNCTION("""COMPUTED_VALUE"""),1023.936)</f>
        <v>1023.936</v>
      </c>
      <c r="V71" s="9">
        <f ca="1">IFERROR(__xludf.DUMMYFUNCTION("""COMPUTED_VALUE"""),1021.08)</f>
        <v>1021.08</v>
      </c>
      <c r="W71" s="12">
        <f ca="1">IFERROR(__xludf.DUMMYFUNCTION("""COMPUTED_VALUE"""),2.85599999999999)</f>
        <v>2.8559999999999901</v>
      </c>
    </row>
    <row r="72" spans="1:23" ht="13.2">
      <c r="A72" s="1" t="str">
        <f ca="1">IFERROR(__xludf.DUMMYFUNCTION("""COMPUTED_VALUE"""),"CA-2017-110772")</f>
        <v>CA-2017-110772</v>
      </c>
      <c r="B72" s="8">
        <f ca="1">IFERROR(__xludf.DUMMYFUNCTION("""COMPUTED_VALUE"""),43059)</f>
        <v>43059</v>
      </c>
      <c r="C72" s="1" t="str">
        <f ca="1">IFERROR(__xludf.DUMMYFUNCTION("""COMPUTED_VALUE"""),"Nov")</f>
        <v>Nov</v>
      </c>
      <c r="D72" s="1" t="str">
        <f ca="1">IFERROR(__xludf.DUMMYFUNCTION("""COMPUTED_VALUE"""),"Qtr 4")</f>
        <v>Qtr 4</v>
      </c>
      <c r="E72" s="1" t="str">
        <f ca="1">IFERROR(__xludf.DUMMYFUNCTION("""COMPUTED_VALUE"""),"24/11/2017")</f>
        <v>24/11/2017</v>
      </c>
      <c r="F72" s="1" t="str">
        <f ca="1">IFERROR(__xludf.DUMMYFUNCTION("""COMPUTED_VALUE"""),"Second Class")</f>
        <v>Second Class</v>
      </c>
      <c r="G72" s="1" t="str">
        <f ca="1">IFERROR(__xludf.DUMMYFUNCTION("""COMPUTED_VALUE"""),"NZ-18565")</f>
        <v>NZ-18565</v>
      </c>
      <c r="H72" s="1" t="str">
        <f ca="1">IFERROR(__xludf.DUMMYFUNCTION("""COMPUTED_VALUE"""),"Nick")</f>
        <v>Nick</v>
      </c>
      <c r="I72" s="1" t="str">
        <f ca="1">IFERROR(__xludf.DUMMYFUNCTION("""COMPUTED_VALUE"""),"Zandusky")</f>
        <v>Zandusky</v>
      </c>
      <c r="J72" s="1"/>
      <c r="K72" s="1" t="str">
        <f ca="1">IFERROR(__xludf.DUMMYFUNCTION("""COMPUTED_VALUE"""),"Home Office")</f>
        <v>Home Office</v>
      </c>
      <c r="L72" s="1" t="str">
        <f ca="1">IFERROR(__xludf.DUMMYFUNCTION("""COMPUTED_VALUE"""),"United States")</f>
        <v>United States</v>
      </c>
      <c r="M72" s="1" t="str">
        <f ca="1">IFERROR(__xludf.DUMMYFUNCTION("""COMPUTED_VALUE"""),"Columbus")</f>
        <v>Columbus</v>
      </c>
      <c r="N72" s="1" t="str">
        <f ca="1">IFERROR(__xludf.DUMMYFUNCTION("""COMPUTED_VALUE"""),"Ohio")</f>
        <v>Ohio</v>
      </c>
      <c r="O72" s="1">
        <f ca="1">IFERROR(__xludf.DUMMYFUNCTION("""COMPUTED_VALUE"""),43229)</f>
        <v>43229</v>
      </c>
      <c r="P72" s="1" t="str">
        <f ca="1">IFERROR(__xludf.DUMMYFUNCTION("""COMPUTED_VALUE"""),"East")</f>
        <v>East</v>
      </c>
      <c r="Q72" s="1" t="str">
        <f ca="1">IFERROR(__xludf.DUMMYFUNCTION("""COMPUTED_VALUE"""),"FUR-BO-10004709")</f>
        <v>FUR-BO-10004709</v>
      </c>
      <c r="R72" s="1" t="str">
        <f ca="1">IFERROR(__xludf.DUMMYFUNCTION("""COMPUTED_VALUE"""),"Furniture")</f>
        <v>Furniture</v>
      </c>
      <c r="S72" s="7">
        <f ca="1">IFERROR(__xludf.DUMMYFUNCTION("""COMPUTED_VALUE"""),86.97)</f>
        <v>86.97</v>
      </c>
      <c r="T72" s="1">
        <f ca="1">IFERROR(__xludf.DUMMYFUNCTION("""COMPUTED_VALUE"""),4)</f>
        <v>4</v>
      </c>
      <c r="U72" s="9">
        <f ca="1">IFERROR(__xludf.DUMMYFUNCTION("""COMPUTED_VALUE"""),347.88)</f>
        <v>347.88</v>
      </c>
      <c r="V72" s="9">
        <f ca="1">IFERROR(__xludf.DUMMYFUNCTION("""COMPUTED_VALUE"""),345.92)</f>
        <v>345.92</v>
      </c>
      <c r="W72" s="12">
        <f ca="1">IFERROR(__xludf.DUMMYFUNCTION("""COMPUTED_VALUE"""),1.95999999999997)</f>
        <v>1.95999999999997</v>
      </c>
    </row>
    <row r="73" spans="1:23" ht="13.2">
      <c r="A73" s="1" t="str">
        <f ca="1">IFERROR(__xludf.DUMMYFUNCTION("""COMPUTED_VALUE"""),"CA-2016-144253")</f>
        <v>CA-2016-144253</v>
      </c>
      <c r="B73" s="8">
        <f ca="1">IFERROR(__xludf.DUMMYFUNCTION("""COMPUTED_VALUE"""),42465)</f>
        <v>42465</v>
      </c>
      <c r="C73" s="1" t="str">
        <f ca="1">IFERROR(__xludf.DUMMYFUNCTION("""COMPUTED_VALUE"""),"Apr")</f>
        <v>Apr</v>
      </c>
      <c r="D73" s="1" t="str">
        <f ca="1">IFERROR(__xludf.DUMMYFUNCTION("""COMPUTED_VALUE"""),"Qtr 2")</f>
        <v>Qtr 2</v>
      </c>
      <c r="E73" s="1" t="str">
        <f ca="1">IFERROR(__xludf.DUMMYFUNCTION("""COMPUTED_VALUE"""),"9/5/2016")</f>
        <v>9/5/2016</v>
      </c>
      <c r="F73" s="1" t="str">
        <f ca="1">IFERROR(__xludf.DUMMYFUNCTION("""COMPUTED_VALUE"""),"Second Class")</f>
        <v>Second Class</v>
      </c>
      <c r="G73" s="1" t="str">
        <f ca="1">IFERROR(__xludf.DUMMYFUNCTION("""COMPUTED_VALUE"""),"AS-10225")</f>
        <v>AS-10225</v>
      </c>
      <c r="H73" s="1" t="str">
        <f ca="1">IFERROR(__xludf.DUMMYFUNCTION("""COMPUTED_VALUE"""),"Alan")</f>
        <v>Alan</v>
      </c>
      <c r="I73" s="1" t="str">
        <f ca="1">IFERROR(__xludf.DUMMYFUNCTION("""COMPUTED_VALUE"""),"Schoenberger")</f>
        <v>Schoenberger</v>
      </c>
      <c r="J73" s="1"/>
      <c r="K73" s="1" t="str">
        <f ca="1">IFERROR(__xludf.DUMMYFUNCTION("""COMPUTED_VALUE"""),"Corporate")</f>
        <v>Corporate</v>
      </c>
      <c r="L73" s="1" t="str">
        <f ca="1">IFERROR(__xludf.DUMMYFUNCTION("""COMPUTED_VALUE"""),"United States")</f>
        <v>United States</v>
      </c>
      <c r="M73" s="1" t="str">
        <f ca="1">IFERROR(__xludf.DUMMYFUNCTION("""COMPUTED_VALUE"""),"New York City")</f>
        <v>New York City</v>
      </c>
      <c r="N73" s="1" t="str">
        <f ca="1">IFERROR(__xludf.DUMMYFUNCTION("""COMPUTED_VALUE"""),"New York")</f>
        <v>New York</v>
      </c>
      <c r="O73" s="1">
        <f ca="1">IFERROR(__xludf.DUMMYFUNCTION("""COMPUTED_VALUE"""),10024)</f>
        <v>10024</v>
      </c>
      <c r="P73" s="1" t="str">
        <f ca="1">IFERROR(__xludf.DUMMYFUNCTION("""COMPUTED_VALUE"""),"East")</f>
        <v>East</v>
      </c>
      <c r="Q73" s="1" t="str">
        <f ca="1">IFERROR(__xludf.DUMMYFUNCTION("""COMPUTED_VALUE"""),"FUR-FU-10002671")</f>
        <v>FUR-FU-10002671</v>
      </c>
      <c r="R73" s="1" t="str">
        <f ca="1">IFERROR(__xludf.DUMMYFUNCTION("""COMPUTED_VALUE"""),"Furniture")</f>
        <v>Furniture</v>
      </c>
      <c r="S73" s="7">
        <f ca="1">IFERROR(__xludf.DUMMYFUNCTION("""COMPUTED_VALUE"""),26.8)</f>
        <v>26.8</v>
      </c>
      <c r="T73" s="1">
        <f ca="1">IFERROR(__xludf.DUMMYFUNCTION("""COMPUTED_VALUE"""),1)</f>
        <v>1</v>
      </c>
      <c r="U73" s="9">
        <f ca="1">IFERROR(__xludf.DUMMYFUNCTION("""COMPUTED_VALUE"""),26.8)</f>
        <v>26.8</v>
      </c>
      <c r="V73" s="9">
        <f ca="1">IFERROR(__xludf.DUMMYFUNCTION("""COMPUTED_VALUE"""),25.99)</f>
        <v>25.99</v>
      </c>
      <c r="W73" s="12">
        <f ca="1">IFERROR(__xludf.DUMMYFUNCTION("""COMPUTED_VALUE"""),0.810000000000002)</f>
        <v>0.81000000000000205</v>
      </c>
    </row>
    <row r="74" spans="1:23" ht="13.2">
      <c r="A74" s="1" t="str">
        <f ca="1">IFERROR(__xludf.DUMMYFUNCTION("""COMPUTED_VALUE"""),"CA-2017-142902")</f>
        <v>CA-2017-142902</v>
      </c>
      <c r="B74" s="8">
        <f ca="1">IFERROR(__xludf.DUMMYFUNCTION("""COMPUTED_VALUE"""),43078)</f>
        <v>43078</v>
      </c>
      <c r="C74" s="1" t="str">
        <f ca="1">IFERROR(__xludf.DUMMYFUNCTION("""COMPUTED_VALUE"""),"Dec")</f>
        <v>Dec</v>
      </c>
      <c r="D74" s="1" t="str">
        <f ca="1">IFERROR(__xludf.DUMMYFUNCTION("""COMPUTED_VALUE"""),"Qtr 4")</f>
        <v>Qtr 4</v>
      </c>
      <c r="E74" s="1" t="str">
        <f ca="1">IFERROR(__xludf.DUMMYFUNCTION("""COMPUTED_VALUE"""),"14/09/2017")</f>
        <v>14/09/2017</v>
      </c>
      <c r="F74" s="1" t="str">
        <f ca="1">IFERROR(__xludf.DUMMYFUNCTION("""COMPUTED_VALUE"""),"Second Class")</f>
        <v>Second Class</v>
      </c>
      <c r="G74" s="1" t="str">
        <f ca="1">IFERROR(__xludf.DUMMYFUNCTION("""COMPUTED_VALUE"""),"BP-11185")</f>
        <v>BP-11185</v>
      </c>
      <c r="H74" s="1" t="str">
        <f ca="1">IFERROR(__xludf.DUMMYFUNCTION("""COMPUTED_VALUE"""),"Ben")</f>
        <v>Ben</v>
      </c>
      <c r="I74" s="1" t="str">
        <f ca="1">IFERROR(__xludf.DUMMYFUNCTION("""COMPUTED_VALUE"""),"Peterman")</f>
        <v>Peterman</v>
      </c>
      <c r="J74" s="1"/>
      <c r="K74" s="1" t="str">
        <f ca="1">IFERROR(__xludf.DUMMYFUNCTION("""COMPUTED_VALUE"""),"Corporate")</f>
        <v>Corporate</v>
      </c>
      <c r="L74" s="1" t="str">
        <f ca="1">IFERROR(__xludf.DUMMYFUNCTION("""COMPUTED_VALUE"""),"United States")</f>
        <v>United States</v>
      </c>
      <c r="M74" s="1" t="str">
        <f ca="1">IFERROR(__xludf.DUMMYFUNCTION("""COMPUTED_VALUE"""),"Arvada")</f>
        <v>Arvada</v>
      </c>
      <c r="N74" s="1" t="str">
        <f ca="1">IFERROR(__xludf.DUMMYFUNCTION("""COMPUTED_VALUE"""),"Colorado")</f>
        <v>Colorado</v>
      </c>
      <c r="O74" s="1">
        <f ca="1">IFERROR(__xludf.DUMMYFUNCTION("""COMPUTED_VALUE"""),80004)</f>
        <v>80004</v>
      </c>
      <c r="P74" s="1" t="str">
        <f ca="1">IFERROR(__xludf.DUMMYFUNCTION("""COMPUTED_VALUE"""),"West")</f>
        <v>West</v>
      </c>
      <c r="Q74" s="1" t="str">
        <f ca="1">IFERROR(__xludf.DUMMYFUNCTION("""COMPUTED_VALUE"""),"FUR-FU-10001918")</f>
        <v>FUR-FU-10001918</v>
      </c>
      <c r="R74" s="1" t="str">
        <f ca="1">IFERROR(__xludf.DUMMYFUNCTION("""COMPUTED_VALUE"""),"Furniture")</f>
        <v>Furniture</v>
      </c>
      <c r="S74" s="7">
        <f ca="1">IFERROR(__xludf.DUMMYFUNCTION("""COMPUTED_VALUE"""),15.136)</f>
        <v>15.135999999999999</v>
      </c>
      <c r="T74" s="1">
        <f ca="1">IFERROR(__xludf.DUMMYFUNCTION("""COMPUTED_VALUE"""),8)</f>
        <v>8</v>
      </c>
      <c r="U74" s="9">
        <f ca="1">IFERROR(__xludf.DUMMYFUNCTION("""COMPUTED_VALUE"""),121.088)</f>
        <v>121.08799999999999</v>
      </c>
      <c r="V74" s="9">
        <f ca="1">IFERROR(__xludf.DUMMYFUNCTION("""COMPUTED_VALUE"""),119.12)</f>
        <v>119.12</v>
      </c>
      <c r="W74" s="12">
        <f ca="1">IFERROR(__xludf.DUMMYFUNCTION("""COMPUTED_VALUE"""),1.96799999999998)</f>
        <v>1.96799999999998</v>
      </c>
    </row>
    <row r="75" spans="1:23" ht="13.2">
      <c r="A75" s="1" t="str">
        <f ca="1">IFERROR(__xludf.DUMMYFUNCTION("""COMPUTED_VALUE"""),"CA-2017-142902")</f>
        <v>CA-2017-142902</v>
      </c>
      <c r="B75" s="8">
        <f ca="1">IFERROR(__xludf.DUMMYFUNCTION("""COMPUTED_VALUE"""),43078)</f>
        <v>43078</v>
      </c>
      <c r="C75" s="1" t="str">
        <f ca="1">IFERROR(__xludf.DUMMYFUNCTION("""COMPUTED_VALUE"""),"Dec")</f>
        <v>Dec</v>
      </c>
      <c r="D75" s="1" t="str">
        <f ca="1">IFERROR(__xludf.DUMMYFUNCTION("""COMPUTED_VALUE"""),"Qtr 4")</f>
        <v>Qtr 4</v>
      </c>
      <c r="E75" s="1" t="str">
        <f ca="1">IFERROR(__xludf.DUMMYFUNCTION("""COMPUTED_VALUE"""),"14/09/2017")</f>
        <v>14/09/2017</v>
      </c>
      <c r="F75" s="1" t="str">
        <f ca="1">IFERROR(__xludf.DUMMYFUNCTION("""COMPUTED_VALUE"""),"Second Class")</f>
        <v>Second Class</v>
      </c>
      <c r="G75" s="1" t="str">
        <f ca="1">IFERROR(__xludf.DUMMYFUNCTION("""COMPUTED_VALUE"""),"BP-11185")</f>
        <v>BP-11185</v>
      </c>
      <c r="H75" s="1" t="str">
        <f ca="1">IFERROR(__xludf.DUMMYFUNCTION("""COMPUTED_VALUE"""),"Ben")</f>
        <v>Ben</v>
      </c>
      <c r="I75" s="1" t="str">
        <f ca="1">IFERROR(__xludf.DUMMYFUNCTION("""COMPUTED_VALUE"""),"Peterman")</f>
        <v>Peterman</v>
      </c>
      <c r="J75" s="1"/>
      <c r="K75" s="1" t="str">
        <f ca="1">IFERROR(__xludf.DUMMYFUNCTION("""COMPUTED_VALUE"""),"Corporate")</f>
        <v>Corporate</v>
      </c>
      <c r="L75" s="1" t="str">
        <f ca="1">IFERROR(__xludf.DUMMYFUNCTION("""COMPUTED_VALUE"""),"United States")</f>
        <v>United States</v>
      </c>
      <c r="M75" s="1" t="str">
        <f ca="1">IFERROR(__xludf.DUMMYFUNCTION("""COMPUTED_VALUE"""),"Arvada")</f>
        <v>Arvada</v>
      </c>
      <c r="N75" s="1" t="str">
        <f ca="1">IFERROR(__xludf.DUMMYFUNCTION("""COMPUTED_VALUE"""),"Colorado")</f>
        <v>Colorado</v>
      </c>
      <c r="O75" s="1">
        <f ca="1">IFERROR(__xludf.DUMMYFUNCTION("""COMPUTED_VALUE"""),80004)</f>
        <v>80004</v>
      </c>
      <c r="P75" s="1" t="str">
        <f ca="1">IFERROR(__xludf.DUMMYFUNCTION("""COMPUTED_VALUE"""),"West")</f>
        <v>West</v>
      </c>
      <c r="Q75" s="1" t="str">
        <f ca="1">IFERROR(__xludf.DUMMYFUNCTION("""COMPUTED_VALUE"""),"FUR-CH-10004086")</f>
        <v>FUR-CH-10004086</v>
      </c>
      <c r="R75" s="1" t="str">
        <f ca="1">IFERROR(__xludf.DUMMYFUNCTION("""COMPUTED_VALUE"""),"Furniture")</f>
        <v>Furniture</v>
      </c>
      <c r="S75" s="7">
        <f ca="1">IFERROR(__xludf.DUMMYFUNCTION("""COMPUTED_VALUE"""),466.768)</f>
        <v>466.76799999999997</v>
      </c>
      <c r="T75" s="1">
        <f ca="1">IFERROR(__xludf.DUMMYFUNCTION("""COMPUTED_VALUE"""),8)</f>
        <v>8</v>
      </c>
      <c r="U75" s="9">
        <f ca="1">IFERROR(__xludf.DUMMYFUNCTION("""COMPUTED_VALUE"""),3734.144)</f>
        <v>3734.1439999999998</v>
      </c>
      <c r="V75" s="9">
        <f ca="1">IFERROR(__xludf.DUMMYFUNCTION("""COMPUTED_VALUE"""),3727.2)</f>
        <v>3727.2</v>
      </c>
      <c r="W75" s="12">
        <f ca="1">IFERROR(__xludf.DUMMYFUNCTION("""COMPUTED_VALUE"""),6.94399999999996)</f>
        <v>6.94399999999996</v>
      </c>
    </row>
    <row r="76" spans="1:23" ht="13.2">
      <c r="A76" s="1" t="str">
        <f ca="1">IFERROR(__xludf.DUMMYFUNCTION("""COMPUTED_VALUE"""),"CA-2017-142902")</f>
        <v>CA-2017-142902</v>
      </c>
      <c r="B76" s="8">
        <f ca="1">IFERROR(__xludf.DUMMYFUNCTION("""COMPUTED_VALUE"""),43078)</f>
        <v>43078</v>
      </c>
      <c r="C76" s="1" t="str">
        <f ca="1">IFERROR(__xludf.DUMMYFUNCTION("""COMPUTED_VALUE"""),"Dec")</f>
        <v>Dec</v>
      </c>
      <c r="D76" s="1" t="str">
        <f ca="1">IFERROR(__xludf.DUMMYFUNCTION("""COMPUTED_VALUE"""),"Qtr 4")</f>
        <v>Qtr 4</v>
      </c>
      <c r="E76" s="1" t="str">
        <f ca="1">IFERROR(__xludf.DUMMYFUNCTION("""COMPUTED_VALUE"""),"14/09/2017")</f>
        <v>14/09/2017</v>
      </c>
      <c r="F76" s="1" t="str">
        <f ca="1">IFERROR(__xludf.DUMMYFUNCTION("""COMPUTED_VALUE"""),"Second Class")</f>
        <v>Second Class</v>
      </c>
      <c r="G76" s="1" t="str">
        <f ca="1">IFERROR(__xludf.DUMMYFUNCTION("""COMPUTED_VALUE"""),"BP-11185")</f>
        <v>BP-11185</v>
      </c>
      <c r="H76" s="1" t="str">
        <f ca="1">IFERROR(__xludf.DUMMYFUNCTION("""COMPUTED_VALUE"""),"Ben")</f>
        <v>Ben</v>
      </c>
      <c r="I76" s="1" t="str">
        <f ca="1">IFERROR(__xludf.DUMMYFUNCTION("""COMPUTED_VALUE"""),"Peterman")</f>
        <v>Peterman</v>
      </c>
      <c r="J76" s="1"/>
      <c r="K76" s="1" t="str">
        <f ca="1">IFERROR(__xludf.DUMMYFUNCTION("""COMPUTED_VALUE"""),"Corporate")</f>
        <v>Corporate</v>
      </c>
      <c r="L76" s="1" t="str">
        <f ca="1">IFERROR(__xludf.DUMMYFUNCTION("""COMPUTED_VALUE"""),"United States")</f>
        <v>United States</v>
      </c>
      <c r="M76" s="1" t="str">
        <f ca="1">IFERROR(__xludf.DUMMYFUNCTION("""COMPUTED_VALUE"""),"Arvada")</f>
        <v>Arvada</v>
      </c>
      <c r="N76" s="1" t="str">
        <f ca="1">IFERROR(__xludf.DUMMYFUNCTION("""COMPUTED_VALUE"""),"Colorado")</f>
        <v>Colorado</v>
      </c>
      <c r="O76" s="1">
        <f ca="1">IFERROR(__xludf.DUMMYFUNCTION("""COMPUTED_VALUE"""),80004)</f>
        <v>80004</v>
      </c>
      <c r="P76" s="1" t="str">
        <f ca="1">IFERROR(__xludf.DUMMYFUNCTION("""COMPUTED_VALUE"""),"West")</f>
        <v>West</v>
      </c>
      <c r="Q76" s="1" t="str">
        <f ca="1">IFERROR(__xludf.DUMMYFUNCTION("""COMPUTED_VALUE"""),"FUR-FU-10001756")</f>
        <v>FUR-FU-10001756</v>
      </c>
      <c r="R76" s="1" t="str">
        <f ca="1">IFERROR(__xludf.DUMMYFUNCTION("""COMPUTED_VALUE"""),"Furniture")</f>
        <v>Furniture</v>
      </c>
      <c r="S76" s="7">
        <f ca="1">IFERROR(__xludf.DUMMYFUNCTION("""COMPUTED_VALUE"""),15.232)</f>
        <v>15.231999999999999</v>
      </c>
      <c r="T76" s="1">
        <f ca="1">IFERROR(__xludf.DUMMYFUNCTION("""COMPUTED_VALUE"""),8)</f>
        <v>8</v>
      </c>
      <c r="U76" s="9">
        <f ca="1">IFERROR(__xludf.DUMMYFUNCTION("""COMPUTED_VALUE"""),121.856)</f>
        <v>121.85599999999999</v>
      </c>
      <c r="V76" s="9">
        <f ca="1">IFERROR(__xludf.DUMMYFUNCTION("""COMPUTED_VALUE"""),118.08)</f>
        <v>118.08</v>
      </c>
      <c r="W76" s="12">
        <f ca="1">IFERROR(__xludf.DUMMYFUNCTION("""COMPUTED_VALUE"""),3.77599999999999)</f>
        <v>3.77599999999999</v>
      </c>
    </row>
    <row r="77" spans="1:23" ht="13.2">
      <c r="A77" s="1" t="str">
        <f ca="1">IFERROR(__xludf.DUMMYFUNCTION("""COMPUTED_VALUE"""),"CA-2017-142902")</f>
        <v>CA-2017-142902</v>
      </c>
      <c r="B77" s="8">
        <f ca="1">IFERROR(__xludf.DUMMYFUNCTION("""COMPUTED_VALUE"""),43078)</f>
        <v>43078</v>
      </c>
      <c r="C77" s="1" t="str">
        <f ca="1">IFERROR(__xludf.DUMMYFUNCTION("""COMPUTED_VALUE"""),"Dec")</f>
        <v>Dec</v>
      </c>
      <c r="D77" s="1" t="str">
        <f ca="1">IFERROR(__xludf.DUMMYFUNCTION("""COMPUTED_VALUE"""),"Qtr 4")</f>
        <v>Qtr 4</v>
      </c>
      <c r="E77" s="1" t="str">
        <f ca="1">IFERROR(__xludf.DUMMYFUNCTION("""COMPUTED_VALUE"""),"14/09/2017")</f>
        <v>14/09/2017</v>
      </c>
      <c r="F77" s="1" t="str">
        <f ca="1">IFERROR(__xludf.DUMMYFUNCTION("""COMPUTED_VALUE"""),"Second Class")</f>
        <v>Second Class</v>
      </c>
      <c r="G77" s="1" t="str">
        <f ca="1">IFERROR(__xludf.DUMMYFUNCTION("""COMPUTED_VALUE"""),"BP-11185")</f>
        <v>BP-11185</v>
      </c>
      <c r="H77" s="1" t="str">
        <f ca="1">IFERROR(__xludf.DUMMYFUNCTION("""COMPUTED_VALUE"""),"Ben")</f>
        <v>Ben</v>
      </c>
      <c r="I77" s="1" t="str">
        <f ca="1">IFERROR(__xludf.DUMMYFUNCTION("""COMPUTED_VALUE"""),"Peterman")</f>
        <v>Peterman</v>
      </c>
      <c r="J77" s="1"/>
      <c r="K77" s="1" t="str">
        <f ca="1">IFERROR(__xludf.DUMMYFUNCTION("""COMPUTED_VALUE"""),"Corporate")</f>
        <v>Corporate</v>
      </c>
      <c r="L77" s="1" t="str">
        <f ca="1">IFERROR(__xludf.DUMMYFUNCTION("""COMPUTED_VALUE"""),"United States")</f>
        <v>United States</v>
      </c>
      <c r="M77" s="1" t="str">
        <f ca="1">IFERROR(__xludf.DUMMYFUNCTION("""COMPUTED_VALUE"""),"Arvada")</f>
        <v>Arvada</v>
      </c>
      <c r="N77" s="1" t="str">
        <f ca="1">IFERROR(__xludf.DUMMYFUNCTION("""COMPUTED_VALUE"""),"Colorado")</f>
        <v>Colorado</v>
      </c>
      <c r="O77" s="1">
        <f ca="1">IFERROR(__xludf.DUMMYFUNCTION("""COMPUTED_VALUE"""),80004)</f>
        <v>80004</v>
      </c>
      <c r="P77" s="1" t="str">
        <f ca="1">IFERROR(__xludf.DUMMYFUNCTION("""COMPUTED_VALUE"""),"West")</f>
        <v>West</v>
      </c>
      <c r="Q77" s="1" t="str">
        <f ca="1">IFERROR(__xludf.DUMMYFUNCTION("""COMPUTED_VALUE"""),"OFF-LA-10000634")</f>
        <v>OFF-LA-10000634</v>
      </c>
      <c r="R77" s="1" t="str">
        <f ca="1">IFERROR(__xludf.DUMMYFUNCTION("""COMPUTED_VALUE"""),"Office Supplies")</f>
        <v>Office Supplies</v>
      </c>
      <c r="S77" s="7">
        <f ca="1">IFERROR(__xludf.DUMMYFUNCTION("""COMPUTED_VALUE"""),6.264)</f>
        <v>6.2640000000000002</v>
      </c>
      <c r="T77" s="1">
        <f ca="1">IFERROR(__xludf.DUMMYFUNCTION("""COMPUTED_VALUE"""),8)</f>
        <v>8</v>
      </c>
      <c r="U77" s="9">
        <f ca="1">IFERROR(__xludf.DUMMYFUNCTION("""COMPUTED_VALUE"""),50.112)</f>
        <v>50.112000000000002</v>
      </c>
      <c r="V77" s="9">
        <f ca="1">IFERROR(__xludf.DUMMYFUNCTION("""COMPUTED_VALUE"""),44.16)</f>
        <v>44.16</v>
      </c>
      <c r="W77" s="12">
        <f ca="1">IFERROR(__xludf.DUMMYFUNCTION("""COMPUTED_VALUE"""),5.952)</f>
        <v>5.952</v>
      </c>
    </row>
    <row r="78" spans="1:23" ht="13.2">
      <c r="A78" s="1" t="str">
        <f ca="1">IFERROR(__xludf.DUMMYFUNCTION("""COMPUTED_VALUE"""),"CA-2018-153339")</f>
        <v>CA-2018-153339</v>
      </c>
      <c r="B78" s="8">
        <f ca="1">IFERROR(__xludf.DUMMYFUNCTION("""COMPUTED_VALUE"""),43170)</f>
        <v>43170</v>
      </c>
      <c r="C78" s="1" t="str">
        <f ca="1">IFERROR(__xludf.DUMMYFUNCTION("""COMPUTED_VALUE"""),"Mar")</f>
        <v>Mar</v>
      </c>
      <c r="D78" s="1" t="str">
        <f ca="1">IFERROR(__xludf.DUMMYFUNCTION("""COMPUTED_VALUE"""),"Qtr 1")</f>
        <v>Qtr 1</v>
      </c>
      <c r="E78" s="1" t="str">
        <f ca="1">IFERROR(__xludf.DUMMYFUNCTION("""COMPUTED_VALUE"""),"5/11/2018")</f>
        <v>5/11/2018</v>
      </c>
      <c r="F78" s="1" t="str">
        <f ca="1">IFERROR(__xludf.DUMMYFUNCTION("""COMPUTED_VALUE"""),"Second Class")</f>
        <v>Second Class</v>
      </c>
      <c r="G78" s="1" t="str">
        <f ca="1">IFERROR(__xludf.DUMMYFUNCTION("""COMPUTED_VALUE"""),"DJ-13510")</f>
        <v>DJ-13510</v>
      </c>
      <c r="H78" s="1" t="str">
        <f ca="1">IFERROR(__xludf.DUMMYFUNCTION("""COMPUTED_VALUE"""),"Don")</f>
        <v>Don</v>
      </c>
      <c r="I78" s="1" t="str">
        <f ca="1">IFERROR(__xludf.DUMMYFUNCTION("""COMPUTED_VALUE"""),"Jones")</f>
        <v>Jones</v>
      </c>
      <c r="J78" s="1"/>
      <c r="K78" s="1" t="str">
        <f ca="1">IFERROR(__xludf.DUMMYFUNCTION("""COMPUTED_VALUE"""),"Corporate")</f>
        <v>Corporate</v>
      </c>
      <c r="L78" s="1" t="str">
        <f ca="1">IFERROR(__xludf.DUMMYFUNCTION("""COMPUTED_VALUE"""),"United States")</f>
        <v>United States</v>
      </c>
      <c r="M78" s="1" t="str">
        <f ca="1">IFERROR(__xludf.DUMMYFUNCTION("""COMPUTED_VALUE"""),"Murfreesboro")</f>
        <v>Murfreesboro</v>
      </c>
      <c r="N78" s="1" t="str">
        <f ca="1">IFERROR(__xludf.DUMMYFUNCTION("""COMPUTED_VALUE"""),"Tennessee")</f>
        <v>Tennessee</v>
      </c>
      <c r="O78" s="1">
        <f ca="1">IFERROR(__xludf.DUMMYFUNCTION("""COMPUTED_VALUE"""),37130)</f>
        <v>37130</v>
      </c>
      <c r="P78" s="1" t="str">
        <f ca="1">IFERROR(__xludf.DUMMYFUNCTION("""COMPUTED_VALUE"""),"South")</f>
        <v>South</v>
      </c>
      <c r="Q78" s="1" t="str">
        <f ca="1">IFERROR(__xludf.DUMMYFUNCTION("""COMPUTED_VALUE"""),"FUR-FU-10001967")</f>
        <v>FUR-FU-10001967</v>
      </c>
      <c r="R78" s="1" t="str">
        <f ca="1">IFERROR(__xludf.DUMMYFUNCTION("""COMPUTED_VALUE"""),"Furniture")</f>
        <v>Furniture</v>
      </c>
      <c r="S78" s="7">
        <f ca="1">IFERROR(__xludf.DUMMYFUNCTION("""COMPUTED_VALUE"""),15.992)</f>
        <v>15.992000000000001</v>
      </c>
      <c r="T78" s="1">
        <f ca="1">IFERROR(__xludf.DUMMYFUNCTION("""COMPUTED_VALUE"""),3)</f>
        <v>3</v>
      </c>
      <c r="U78" s="9">
        <f ca="1">IFERROR(__xludf.DUMMYFUNCTION("""COMPUTED_VALUE"""),47.976)</f>
        <v>47.975999999999999</v>
      </c>
      <c r="V78" s="9">
        <f ca="1">IFERROR(__xludf.DUMMYFUNCTION("""COMPUTED_VALUE"""),46.29)</f>
        <v>46.29</v>
      </c>
      <c r="W78" s="12">
        <f ca="1">IFERROR(__xludf.DUMMYFUNCTION("""COMPUTED_VALUE"""),1.686)</f>
        <v>1.6859999999999999</v>
      </c>
    </row>
    <row r="79" spans="1:23" ht="13.2">
      <c r="A79" s="1" t="str">
        <f ca="1">IFERROR(__xludf.DUMMYFUNCTION("""COMPUTED_VALUE"""),"US-2017-150147")</f>
        <v>US-2017-150147</v>
      </c>
      <c r="B79" s="8">
        <f ca="1">IFERROR(__xludf.DUMMYFUNCTION("""COMPUTED_VALUE"""),42850)</f>
        <v>42850</v>
      </c>
      <c r="C79" s="1" t="str">
        <f ca="1">IFERROR(__xludf.DUMMYFUNCTION("""COMPUTED_VALUE"""),"Apr")</f>
        <v>Apr</v>
      </c>
      <c r="D79" s="1" t="str">
        <f ca="1">IFERROR(__xludf.DUMMYFUNCTION("""COMPUTED_VALUE"""),"Qtr 2")</f>
        <v>Qtr 2</v>
      </c>
      <c r="E79" s="1" t="str">
        <f ca="1">IFERROR(__xludf.DUMMYFUNCTION("""COMPUTED_VALUE"""),"29/04/2017")</f>
        <v>29/04/2017</v>
      </c>
      <c r="F79" s="1" t="str">
        <f ca="1">IFERROR(__xludf.DUMMYFUNCTION("""COMPUTED_VALUE"""),"Second Class")</f>
        <v>Second Class</v>
      </c>
      <c r="G79" s="1" t="str">
        <f ca="1">IFERROR(__xludf.DUMMYFUNCTION("""COMPUTED_VALUE"""),"JL-15850")</f>
        <v>JL-15850</v>
      </c>
      <c r="H79" s="1" t="str">
        <f ca="1">IFERROR(__xludf.DUMMYFUNCTION("""COMPUTED_VALUE"""),"John")</f>
        <v>John</v>
      </c>
      <c r="I79" s="1" t="str">
        <f ca="1">IFERROR(__xludf.DUMMYFUNCTION("""COMPUTED_VALUE"""),"Lucas")</f>
        <v>Lucas</v>
      </c>
      <c r="J79" s="1"/>
      <c r="K79" s="1" t="str">
        <f ca="1">IFERROR(__xludf.DUMMYFUNCTION("""COMPUTED_VALUE"""),"Consumer")</f>
        <v>Consumer</v>
      </c>
      <c r="L79" s="1" t="str">
        <f ca="1">IFERROR(__xludf.DUMMYFUNCTION("""COMPUTED_VALUE"""),"United States")</f>
        <v>United States</v>
      </c>
      <c r="M79" s="1" t="str">
        <f ca="1">IFERROR(__xludf.DUMMYFUNCTION("""COMPUTED_VALUE"""),"Philadelphia")</f>
        <v>Philadelphia</v>
      </c>
      <c r="N79" s="1" t="str">
        <f ca="1">IFERROR(__xludf.DUMMYFUNCTION("""COMPUTED_VALUE"""),"Pennsylvania")</f>
        <v>Pennsylvania</v>
      </c>
      <c r="O79" s="1">
        <f ca="1">IFERROR(__xludf.DUMMYFUNCTION("""COMPUTED_VALUE"""),19134)</f>
        <v>19134</v>
      </c>
      <c r="P79" s="1" t="str">
        <f ca="1">IFERROR(__xludf.DUMMYFUNCTION("""COMPUTED_VALUE"""),"East")</f>
        <v>East</v>
      </c>
      <c r="Q79" s="1" t="str">
        <f ca="1">IFERROR(__xludf.DUMMYFUNCTION("""COMPUTED_VALUE"""),"TEC-PH-10004614")</f>
        <v>TEC-PH-10004614</v>
      </c>
      <c r="R79" s="1" t="str">
        <f ca="1">IFERROR(__xludf.DUMMYFUNCTION("""COMPUTED_VALUE"""),"Technology")</f>
        <v>Technology</v>
      </c>
      <c r="S79" s="7">
        <f ca="1">IFERROR(__xludf.DUMMYFUNCTION("""COMPUTED_VALUE"""),82.8)</f>
        <v>82.8</v>
      </c>
      <c r="T79" s="1">
        <f ca="1">IFERROR(__xludf.DUMMYFUNCTION("""COMPUTED_VALUE"""),1)</f>
        <v>1</v>
      </c>
      <c r="U79" s="9">
        <f ca="1">IFERROR(__xludf.DUMMYFUNCTION("""COMPUTED_VALUE"""),82.8)</f>
        <v>82.8</v>
      </c>
      <c r="V79" s="9">
        <f ca="1">IFERROR(__xludf.DUMMYFUNCTION("""COMPUTED_VALUE"""),82.11)</f>
        <v>82.11</v>
      </c>
      <c r="W79" s="12">
        <f ca="1">IFERROR(__xludf.DUMMYFUNCTION("""COMPUTED_VALUE"""),0.689999999999997)</f>
        <v>0.68999999999999695</v>
      </c>
    </row>
    <row r="80" spans="1:23" ht="13.2">
      <c r="A80" s="1" t="str">
        <f ca="1">IFERROR(__xludf.DUMMYFUNCTION("""COMPUTED_VALUE"""),"US-2017-150147")</f>
        <v>US-2017-150147</v>
      </c>
      <c r="B80" s="8">
        <f ca="1">IFERROR(__xludf.DUMMYFUNCTION("""COMPUTED_VALUE"""),42850)</f>
        <v>42850</v>
      </c>
      <c r="C80" s="1" t="str">
        <f ca="1">IFERROR(__xludf.DUMMYFUNCTION("""COMPUTED_VALUE"""),"Apr")</f>
        <v>Apr</v>
      </c>
      <c r="D80" s="1" t="str">
        <f ca="1">IFERROR(__xludf.DUMMYFUNCTION("""COMPUTED_VALUE"""),"Qtr 2")</f>
        <v>Qtr 2</v>
      </c>
      <c r="E80" s="1" t="str">
        <f ca="1">IFERROR(__xludf.DUMMYFUNCTION("""COMPUTED_VALUE"""),"29/04/2017")</f>
        <v>29/04/2017</v>
      </c>
      <c r="F80" s="1" t="str">
        <f ca="1">IFERROR(__xludf.DUMMYFUNCTION("""COMPUTED_VALUE"""),"Second Class")</f>
        <v>Second Class</v>
      </c>
      <c r="G80" s="1" t="str">
        <f ca="1">IFERROR(__xludf.DUMMYFUNCTION("""COMPUTED_VALUE"""),"JL-15850")</f>
        <v>JL-15850</v>
      </c>
      <c r="H80" s="1" t="str">
        <f ca="1">IFERROR(__xludf.DUMMYFUNCTION("""COMPUTED_VALUE"""),"John")</f>
        <v>John</v>
      </c>
      <c r="I80" s="1" t="str">
        <f ca="1">IFERROR(__xludf.DUMMYFUNCTION("""COMPUTED_VALUE"""),"Lucas")</f>
        <v>Lucas</v>
      </c>
      <c r="J80" s="1"/>
      <c r="K80" s="1" t="str">
        <f ca="1">IFERROR(__xludf.DUMMYFUNCTION("""COMPUTED_VALUE"""),"Consumer")</f>
        <v>Consumer</v>
      </c>
      <c r="L80" s="1" t="str">
        <f ca="1">IFERROR(__xludf.DUMMYFUNCTION("""COMPUTED_VALUE"""),"United States")</f>
        <v>United States</v>
      </c>
      <c r="M80" s="1" t="str">
        <f ca="1">IFERROR(__xludf.DUMMYFUNCTION("""COMPUTED_VALUE"""),"Philadelphia")</f>
        <v>Philadelphia</v>
      </c>
      <c r="N80" s="1" t="str">
        <f ca="1">IFERROR(__xludf.DUMMYFUNCTION("""COMPUTED_VALUE"""),"Pennsylvania")</f>
        <v>Pennsylvania</v>
      </c>
      <c r="O80" s="1">
        <f ca="1">IFERROR(__xludf.DUMMYFUNCTION("""COMPUTED_VALUE"""),19134)</f>
        <v>19134</v>
      </c>
      <c r="P80" s="1" t="str">
        <f ca="1">IFERROR(__xludf.DUMMYFUNCTION("""COMPUTED_VALUE"""),"East")</f>
        <v>East</v>
      </c>
      <c r="Q80" s="1" t="str">
        <f ca="1">IFERROR(__xludf.DUMMYFUNCTION("""COMPUTED_VALUE"""),"OFF-BI-10001153")</f>
        <v>OFF-BI-10001153</v>
      </c>
      <c r="R80" s="1" t="str">
        <f ca="1">IFERROR(__xludf.DUMMYFUNCTION("""COMPUTED_VALUE"""),"Office Supplies")</f>
        <v>Office Supplies</v>
      </c>
      <c r="S80" s="7">
        <f ca="1">IFERROR(__xludf.DUMMYFUNCTION("""COMPUTED_VALUE"""),20.724)</f>
        <v>20.724</v>
      </c>
      <c r="T80" s="1">
        <f ca="1">IFERROR(__xludf.DUMMYFUNCTION("""COMPUTED_VALUE"""),1)</f>
        <v>1</v>
      </c>
      <c r="U80" s="9">
        <f ca="1">IFERROR(__xludf.DUMMYFUNCTION("""COMPUTED_VALUE"""),20.724)</f>
        <v>20.724</v>
      </c>
      <c r="V80" s="9">
        <f ca="1">IFERROR(__xludf.DUMMYFUNCTION("""COMPUTED_VALUE"""),20.19)</f>
        <v>20.190000000000001</v>
      </c>
      <c r="W80" s="12">
        <f ca="1">IFERROR(__xludf.DUMMYFUNCTION("""COMPUTED_VALUE"""),0.533999999999998)</f>
        <v>0.53399999999999803</v>
      </c>
    </row>
    <row r="81" spans="1:23" ht="13.2">
      <c r="A81" s="1" t="str">
        <f ca="1">IFERROR(__xludf.DUMMYFUNCTION("""COMPUTED_VALUE"""),"US-2017-150147")</f>
        <v>US-2017-150147</v>
      </c>
      <c r="B81" s="8">
        <f ca="1">IFERROR(__xludf.DUMMYFUNCTION("""COMPUTED_VALUE"""),42850)</f>
        <v>42850</v>
      </c>
      <c r="C81" s="1" t="str">
        <f ca="1">IFERROR(__xludf.DUMMYFUNCTION("""COMPUTED_VALUE"""),"Apr")</f>
        <v>Apr</v>
      </c>
      <c r="D81" s="1" t="str">
        <f ca="1">IFERROR(__xludf.DUMMYFUNCTION("""COMPUTED_VALUE"""),"Qtr 2")</f>
        <v>Qtr 2</v>
      </c>
      <c r="E81" s="1" t="str">
        <f ca="1">IFERROR(__xludf.DUMMYFUNCTION("""COMPUTED_VALUE"""),"29/04/2017")</f>
        <v>29/04/2017</v>
      </c>
      <c r="F81" s="1" t="str">
        <f ca="1">IFERROR(__xludf.DUMMYFUNCTION("""COMPUTED_VALUE"""),"Second Class")</f>
        <v>Second Class</v>
      </c>
      <c r="G81" s="1" t="str">
        <f ca="1">IFERROR(__xludf.DUMMYFUNCTION("""COMPUTED_VALUE"""),"JL-15850")</f>
        <v>JL-15850</v>
      </c>
      <c r="H81" s="1" t="str">
        <f ca="1">IFERROR(__xludf.DUMMYFUNCTION("""COMPUTED_VALUE"""),"John")</f>
        <v>John</v>
      </c>
      <c r="I81" s="1" t="str">
        <f ca="1">IFERROR(__xludf.DUMMYFUNCTION("""COMPUTED_VALUE"""),"Lucas")</f>
        <v>Lucas</v>
      </c>
      <c r="J81" s="1"/>
      <c r="K81" s="1" t="str">
        <f ca="1">IFERROR(__xludf.DUMMYFUNCTION("""COMPUTED_VALUE"""),"Consumer")</f>
        <v>Consumer</v>
      </c>
      <c r="L81" s="1" t="str">
        <f ca="1">IFERROR(__xludf.DUMMYFUNCTION("""COMPUTED_VALUE"""),"United States")</f>
        <v>United States</v>
      </c>
      <c r="M81" s="1" t="str">
        <f ca="1">IFERROR(__xludf.DUMMYFUNCTION("""COMPUTED_VALUE"""),"Philadelphia")</f>
        <v>Philadelphia</v>
      </c>
      <c r="N81" s="1" t="str">
        <f ca="1">IFERROR(__xludf.DUMMYFUNCTION("""COMPUTED_VALUE"""),"Pennsylvania")</f>
        <v>Pennsylvania</v>
      </c>
      <c r="O81" s="1">
        <f ca="1">IFERROR(__xludf.DUMMYFUNCTION("""COMPUTED_VALUE"""),19134)</f>
        <v>19134</v>
      </c>
      <c r="P81" s="1" t="str">
        <f ca="1">IFERROR(__xludf.DUMMYFUNCTION("""COMPUTED_VALUE"""),"East")</f>
        <v>East</v>
      </c>
      <c r="Q81" s="1" t="str">
        <f ca="1">IFERROR(__xludf.DUMMYFUNCTION("""COMPUTED_VALUE"""),"OFF-BI-10001982")</f>
        <v>OFF-BI-10001982</v>
      </c>
      <c r="R81" s="1" t="str">
        <f ca="1">IFERROR(__xludf.DUMMYFUNCTION("""COMPUTED_VALUE"""),"Office Supplies")</f>
        <v>Office Supplies</v>
      </c>
      <c r="S81" s="7">
        <f ca="1">IFERROR(__xludf.DUMMYFUNCTION("""COMPUTED_VALUE"""),4.896)</f>
        <v>4.8959999999999999</v>
      </c>
      <c r="T81" s="1">
        <f ca="1">IFERROR(__xludf.DUMMYFUNCTION("""COMPUTED_VALUE"""),1)</f>
        <v>1</v>
      </c>
      <c r="U81" s="9">
        <f ca="1">IFERROR(__xludf.DUMMYFUNCTION("""COMPUTED_VALUE"""),4.896)</f>
        <v>4.8959999999999999</v>
      </c>
      <c r="V81" s="9">
        <f ca="1">IFERROR(__xludf.DUMMYFUNCTION("""COMPUTED_VALUE"""),4.8)</f>
        <v>4.8</v>
      </c>
      <c r="W81" s="12">
        <f ca="1">IFERROR(__xludf.DUMMYFUNCTION("""COMPUTED_VALUE"""),0.096)</f>
        <v>9.6000000000000002E-2</v>
      </c>
    </row>
    <row r="82" spans="1:23" ht="13.2">
      <c r="A82" s="1" t="str">
        <f ca="1">IFERROR(__xludf.DUMMYFUNCTION("""COMPUTED_VALUE"""),"CA-2016-137946")</f>
        <v>CA-2016-137946</v>
      </c>
      <c r="B82" s="8">
        <f ca="1">IFERROR(__xludf.DUMMYFUNCTION("""COMPUTED_VALUE"""),42378)</f>
        <v>42378</v>
      </c>
      <c r="C82" s="1" t="str">
        <f ca="1">IFERROR(__xludf.DUMMYFUNCTION("""COMPUTED_VALUE"""),"Jan")</f>
        <v>Jan</v>
      </c>
      <c r="D82" s="1" t="str">
        <f ca="1">IFERROR(__xludf.DUMMYFUNCTION("""COMPUTED_VALUE"""),"Qtr 1")</f>
        <v>Qtr 1</v>
      </c>
      <c r="E82" s="1" t="str">
        <f ca="1">IFERROR(__xludf.DUMMYFUNCTION("""COMPUTED_VALUE"""),"4/9/2016")</f>
        <v>4/9/2016</v>
      </c>
      <c r="F82" s="1" t="str">
        <f ca="1">IFERROR(__xludf.DUMMYFUNCTION("""COMPUTED_VALUE"""),"Second Class")</f>
        <v>Second Class</v>
      </c>
      <c r="G82" s="1" t="str">
        <f ca="1">IFERROR(__xludf.DUMMYFUNCTION("""COMPUTED_VALUE"""),"DB-13615")</f>
        <v>DB-13615</v>
      </c>
      <c r="H82" s="1" t="str">
        <f ca="1">IFERROR(__xludf.DUMMYFUNCTION("""COMPUTED_VALUE"""),"Doug")</f>
        <v>Doug</v>
      </c>
      <c r="I82" s="1" t="str">
        <f ca="1">IFERROR(__xludf.DUMMYFUNCTION("""COMPUTED_VALUE"""),"Bickford")</f>
        <v>Bickford</v>
      </c>
      <c r="J82" s="1"/>
      <c r="K82" s="1" t="str">
        <f ca="1">IFERROR(__xludf.DUMMYFUNCTION("""COMPUTED_VALUE"""),"Consumer")</f>
        <v>Consumer</v>
      </c>
      <c r="L82" s="1" t="str">
        <f ca="1">IFERROR(__xludf.DUMMYFUNCTION("""COMPUTED_VALUE"""),"United States")</f>
        <v>United States</v>
      </c>
      <c r="M82" s="1" t="str">
        <f ca="1">IFERROR(__xludf.DUMMYFUNCTION("""COMPUTED_VALUE"""),"Los Angeles")</f>
        <v>Los Angeles</v>
      </c>
      <c r="N82" s="1" t="str">
        <f ca="1">IFERROR(__xludf.DUMMYFUNCTION("""COMPUTED_VALUE"""),"California")</f>
        <v>California</v>
      </c>
      <c r="O82" s="1">
        <f ca="1">IFERROR(__xludf.DUMMYFUNCTION("""COMPUTED_VALUE"""),90045)</f>
        <v>90045</v>
      </c>
      <c r="P82" s="1" t="str">
        <f ca="1">IFERROR(__xludf.DUMMYFUNCTION("""COMPUTED_VALUE"""),"West")</f>
        <v>West</v>
      </c>
      <c r="Q82" s="1" t="str">
        <f ca="1">IFERROR(__xludf.DUMMYFUNCTION("""COMPUTED_VALUE"""),"OFF-BI-10001922")</f>
        <v>OFF-BI-10001922</v>
      </c>
      <c r="R82" s="1" t="str">
        <f ca="1">IFERROR(__xludf.DUMMYFUNCTION("""COMPUTED_VALUE"""),"Office Supplies")</f>
        <v>Office Supplies</v>
      </c>
      <c r="S82" s="7">
        <f ca="1">IFERROR(__xludf.DUMMYFUNCTION("""COMPUTED_VALUE"""),4.752)</f>
        <v>4.7519999999999998</v>
      </c>
      <c r="T82" s="1">
        <f ca="1">IFERROR(__xludf.DUMMYFUNCTION("""COMPUTED_VALUE"""),9)</f>
        <v>9</v>
      </c>
      <c r="U82" s="9">
        <f ca="1">IFERROR(__xludf.DUMMYFUNCTION("""COMPUTED_VALUE"""),42.768)</f>
        <v>42.768000000000001</v>
      </c>
      <c r="V82" s="9">
        <f ca="1">IFERROR(__xludf.DUMMYFUNCTION("""COMPUTED_VALUE"""),41.67)</f>
        <v>41.67</v>
      </c>
      <c r="W82" s="12">
        <f ca="1">IFERROR(__xludf.DUMMYFUNCTION("""COMPUTED_VALUE"""),1.09799999999999)</f>
        <v>1.0979999999999901</v>
      </c>
    </row>
    <row r="83" spans="1:23" ht="13.2">
      <c r="A83" s="1" t="str">
        <f ca="1">IFERROR(__xludf.DUMMYFUNCTION("""COMPUTED_VALUE"""),"CA-2016-137946")</f>
        <v>CA-2016-137946</v>
      </c>
      <c r="B83" s="8">
        <f ca="1">IFERROR(__xludf.DUMMYFUNCTION("""COMPUTED_VALUE"""),42378)</f>
        <v>42378</v>
      </c>
      <c r="C83" s="1" t="str">
        <f ca="1">IFERROR(__xludf.DUMMYFUNCTION("""COMPUTED_VALUE"""),"Jan")</f>
        <v>Jan</v>
      </c>
      <c r="D83" s="1" t="str">
        <f ca="1">IFERROR(__xludf.DUMMYFUNCTION("""COMPUTED_VALUE"""),"Qtr 1")</f>
        <v>Qtr 1</v>
      </c>
      <c r="E83" s="1" t="str">
        <f ca="1">IFERROR(__xludf.DUMMYFUNCTION("""COMPUTED_VALUE"""),"4/9/2016")</f>
        <v>4/9/2016</v>
      </c>
      <c r="F83" s="1" t="str">
        <f ca="1">IFERROR(__xludf.DUMMYFUNCTION("""COMPUTED_VALUE"""),"Second Class")</f>
        <v>Second Class</v>
      </c>
      <c r="G83" s="1" t="str">
        <f ca="1">IFERROR(__xludf.DUMMYFUNCTION("""COMPUTED_VALUE"""),"DB-13615")</f>
        <v>DB-13615</v>
      </c>
      <c r="H83" s="1" t="str">
        <f ca="1">IFERROR(__xludf.DUMMYFUNCTION("""COMPUTED_VALUE"""),"Doug")</f>
        <v>Doug</v>
      </c>
      <c r="I83" s="1" t="str">
        <f ca="1">IFERROR(__xludf.DUMMYFUNCTION("""COMPUTED_VALUE"""),"Bickford")</f>
        <v>Bickford</v>
      </c>
      <c r="J83" s="1"/>
      <c r="K83" s="1" t="str">
        <f ca="1">IFERROR(__xludf.DUMMYFUNCTION("""COMPUTED_VALUE"""),"Consumer")</f>
        <v>Consumer</v>
      </c>
      <c r="L83" s="1" t="str">
        <f ca="1">IFERROR(__xludf.DUMMYFUNCTION("""COMPUTED_VALUE"""),"United States")</f>
        <v>United States</v>
      </c>
      <c r="M83" s="1" t="str">
        <f ca="1">IFERROR(__xludf.DUMMYFUNCTION("""COMPUTED_VALUE"""),"Los Angeles")</f>
        <v>Los Angeles</v>
      </c>
      <c r="N83" s="1" t="str">
        <f ca="1">IFERROR(__xludf.DUMMYFUNCTION("""COMPUTED_VALUE"""),"California")</f>
        <v>California</v>
      </c>
      <c r="O83" s="1">
        <f ca="1">IFERROR(__xludf.DUMMYFUNCTION("""COMPUTED_VALUE"""),90045)</f>
        <v>90045</v>
      </c>
      <c r="P83" s="1" t="str">
        <f ca="1">IFERROR(__xludf.DUMMYFUNCTION("""COMPUTED_VALUE"""),"West")</f>
        <v>West</v>
      </c>
      <c r="Q83" s="1" t="str">
        <f ca="1">IFERROR(__xludf.DUMMYFUNCTION("""COMPUTED_VALUE"""),"TEC-CO-10001449")</f>
        <v>TEC-CO-10001449</v>
      </c>
      <c r="R83" s="1" t="str">
        <f ca="1">IFERROR(__xludf.DUMMYFUNCTION("""COMPUTED_VALUE"""),"Technology")</f>
        <v>Technology</v>
      </c>
      <c r="S83" s="7">
        <f ca="1">IFERROR(__xludf.DUMMYFUNCTION("""COMPUTED_VALUE"""),959.984)</f>
        <v>959.98400000000004</v>
      </c>
      <c r="T83" s="1">
        <f ca="1">IFERROR(__xludf.DUMMYFUNCTION("""COMPUTED_VALUE"""),9)</f>
        <v>9</v>
      </c>
      <c r="U83" s="9">
        <f ca="1">IFERROR(__xludf.DUMMYFUNCTION("""COMPUTED_VALUE"""),8639.856)</f>
        <v>8639.8559999999998</v>
      </c>
      <c r="V83" s="9">
        <f ca="1">IFERROR(__xludf.DUMMYFUNCTION("""COMPUTED_VALUE"""),8637.11999999999)</f>
        <v>8637.1199999999899</v>
      </c>
      <c r="W83" s="12">
        <f ca="1">IFERROR(__xludf.DUMMYFUNCTION("""COMPUTED_VALUE"""),2.73600000000078)</f>
        <v>2.73600000000078</v>
      </c>
    </row>
    <row r="84" spans="1:23" ht="13.2">
      <c r="A84" s="1" t="str">
        <f ca="1">IFERROR(__xludf.DUMMYFUNCTION("""COMPUTED_VALUE"""),"CA-2016-137946")</f>
        <v>CA-2016-137946</v>
      </c>
      <c r="B84" s="8">
        <f ca="1">IFERROR(__xludf.DUMMYFUNCTION("""COMPUTED_VALUE"""),42378)</f>
        <v>42378</v>
      </c>
      <c r="C84" s="1" t="str">
        <f ca="1">IFERROR(__xludf.DUMMYFUNCTION("""COMPUTED_VALUE"""),"Jan")</f>
        <v>Jan</v>
      </c>
      <c r="D84" s="1" t="str">
        <f ca="1">IFERROR(__xludf.DUMMYFUNCTION("""COMPUTED_VALUE"""),"Qtr 1")</f>
        <v>Qtr 1</v>
      </c>
      <c r="E84" s="1" t="str">
        <f ca="1">IFERROR(__xludf.DUMMYFUNCTION("""COMPUTED_VALUE"""),"4/9/2016")</f>
        <v>4/9/2016</v>
      </c>
      <c r="F84" s="1" t="str">
        <f ca="1">IFERROR(__xludf.DUMMYFUNCTION("""COMPUTED_VALUE"""),"Second Class")</f>
        <v>Second Class</v>
      </c>
      <c r="G84" s="1" t="str">
        <f ca="1">IFERROR(__xludf.DUMMYFUNCTION("""COMPUTED_VALUE"""),"DB-13615")</f>
        <v>DB-13615</v>
      </c>
      <c r="H84" s="1" t="str">
        <f ca="1">IFERROR(__xludf.DUMMYFUNCTION("""COMPUTED_VALUE"""),"Doug")</f>
        <v>Doug</v>
      </c>
      <c r="I84" s="1" t="str">
        <f ca="1">IFERROR(__xludf.DUMMYFUNCTION("""COMPUTED_VALUE"""),"Bickford")</f>
        <v>Bickford</v>
      </c>
      <c r="J84" s="1"/>
      <c r="K84" s="1" t="str">
        <f ca="1">IFERROR(__xludf.DUMMYFUNCTION("""COMPUTED_VALUE"""),"Consumer")</f>
        <v>Consumer</v>
      </c>
      <c r="L84" s="1" t="str">
        <f ca="1">IFERROR(__xludf.DUMMYFUNCTION("""COMPUTED_VALUE"""),"United States")</f>
        <v>United States</v>
      </c>
      <c r="M84" s="1" t="str">
        <f ca="1">IFERROR(__xludf.DUMMYFUNCTION("""COMPUTED_VALUE"""),"Los Angeles")</f>
        <v>Los Angeles</v>
      </c>
      <c r="N84" s="1" t="str">
        <f ca="1">IFERROR(__xludf.DUMMYFUNCTION("""COMPUTED_VALUE"""),"California")</f>
        <v>California</v>
      </c>
      <c r="O84" s="1">
        <f ca="1">IFERROR(__xludf.DUMMYFUNCTION("""COMPUTED_VALUE"""),90045)</f>
        <v>90045</v>
      </c>
      <c r="P84" s="1" t="str">
        <f ca="1">IFERROR(__xludf.DUMMYFUNCTION("""COMPUTED_VALUE"""),"West")</f>
        <v>West</v>
      </c>
      <c r="Q84" s="1" t="str">
        <f ca="1">IFERROR(__xludf.DUMMYFUNCTION("""COMPUTED_VALUE"""),"OFF-BI-10004140")</f>
        <v>OFF-BI-10004140</v>
      </c>
      <c r="R84" s="1" t="str">
        <f ca="1">IFERROR(__xludf.DUMMYFUNCTION("""COMPUTED_VALUE"""),"Office Supplies")</f>
        <v>Office Supplies</v>
      </c>
      <c r="S84" s="7">
        <f ca="1">IFERROR(__xludf.DUMMYFUNCTION("""COMPUTED_VALUE"""),14.368)</f>
        <v>14.368</v>
      </c>
      <c r="T84" s="1">
        <f ca="1">IFERROR(__xludf.DUMMYFUNCTION("""COMPUTED_VALUE"""),9)</f>
        <v>9</v>
      </c>
      <c r="U84" s="9">
        <f ca="1">IFERROR(__xludf.DUMMYFUNCTION("""COMPUTED_VALUE"""),129.312)</f>
        <v>129.31200000000001</v>
      </c>
      <c r="V84" s="9">
        <f ca="1">IFERROR(__xludf.DUMMYFUNCTION("""COMPUTED_VALUE"""),123.57)</f>
        <v>123.57</v>
      </c>
      <c r="W84" s="12">
        <f ca="1">IFERROR(__xludf.DUMMYFUNCTION("""COMPUTED_VALUE"""),5.742)</f>
        <v>5.742</v>
      </c>
    </row>
    <row r="85" spans="1:23" ht="13.2">
      <c r="A85" s="1" t="str">
        <f ca="1">IFERROR(__xludf.DUMMYFUNCTION("""COMPUTED_VALUE"""),"CA-2016-128167")</f>
        <v>CA-2016-128167</v>
      </c>
      <c r="B85" s="8">
        <f ca="1">IFERROR(__xludf.DUMMYFUNCTION("""COMPUTED_VALUE"""),42543)</f>
        <v>42543</v>
      </c>
      <c r="C85" s="1" t="str">
        <f ca="1">IFERROR(__xludf.DUMMYFUNCTION("""COMPUTED_VALUE"""),"Jun")</f>
        <v>Jun</v>
      </c>
      <c r="D85" s="1" t="str">
        <f ca="1">IFERROR(__xludf.DUMMYFUNCTION("""COMPUTED_VALUE"""),"Qtr 2")</f>
        <v>Qtr 2</v>
      </c>
      <c r="E85" s="1" t="str">
        <f ca="1">IFERROR(__xludf.DUMMYFUNCTION("""COMPUTED_VALUE"""),"26/06/2016")</f>
        <v>26/06/2016</v>
      </c>
      <c r="F85" s="1" t="str">
        <f ca="1">IFERROR(__xludf.DUMMYFUNCTION("""COMPUTED_VALUE"""),"Second Class")</f>
        <v>Second Class</v>
      </c>
      <c r="G85" s="1" t="str">
        <f ca="1">IFERROR(__xludf.DUMMYFUNCTION("""COMPUTED_VALUE"""),"KL-16645")</f>
        <v>KL-16645</v>
      </c>
      <c r="H85" s="1" t="str">
        <f ca="1">IFERROR(__xludf.DUMMYFUNCTION("""COMPUTED_VALUE"""),"Ken")</f>
        <v>Ken</v>
      </c>
      <c r="I85" s="1" t="str">
        <f ca="1">IFERROR(__xludf.DUMMYFUNCTION("""COMPUTED_VALUE"""),"Lonsdale")</f>
        <v>Lonsdale</v>
      </c>
      <c r="J85" s="1"/>
      <c r="K85" s="1" t="str">
        <f ca="1">IFERROR(__xludf.DUMMYFUNCTION("""COMPUTED_VALUE"""),"Consumer")</f>
        <v>Consumer</v>
      </c>
      <c r="L85" s="1" t="str">
        <f ca="1">IFERROR(__xludf.DUMMYFUNCTION("""COMPUTED_VALUE"""),"United States")</f>
        <v>United States</v>
      </c>
      <c r="M85" s="1" t="str">
        <f ca="1">IFERROR(__xludf.DUMMYFUNCTION("""COMPUTED_VALUE"""),"Layton")</f>
        <v>Layton</v>
      </c>
      <c r="N85" s="1" t="str">
        <f ca="1">IFERROR(__xludf.DUMMYFUNCTION("""COMPUTED_VALUE"""),"Utah")</f>
        <v>Utah</v>
      </c>
      <c r="O85" s="1">
        <f ca="1">IFERROR(__xludf.DUMMYFUNCTION("""COMPUTED_VALUE"""),84041)</f>
        <v>84041</v>
      </c>
      <c r="P85" s="1" t="str">
        <f ca="1">IFERROR(__xludf.DUMMYFUNCTION("""COMPUTED_VALUE"""),"West")</f>
        <v>West</v>
      </c>
      <c r="Q85" s="1" t="str">
        <f ca="1">IFERROR(__xludf.DUMMYFUNCTION("""COMPUTED_VALUE"""),"OFF-FA-10000490")</f>
        <v>OFF-FA-10000490</v>
      </c>
      <c r="R85" s="1" t="str">
        <f ca="1">IFERROR(__xludf.DUMMYFUNCTION("""COMPUTED_VALUE"""),"Office Supplies")</f>
        <v>Office Supplies</v>
      </c>
      <c r="S85" s="7">
        <f ca="1">IFERROR(__xludf.DUMMYFUNCTION("""COMPUTED_VALUE"""),4.96)</f>
        <v>4.96</v>
      </c>
      <c r="T85" s="1">
        <f ca="1">IFERROR(__xludf.DUMMYFUNCTION("""COMPUTED_VALUE"""),8)</f>
        <v>8</v>
      </c>
      <c r="U85" s="9">
        <f ca="1">IFERROR(__xludf.DUMMYFUNCTION("""COMPUTED_VALUE"""),39.68)</f>
        <v>39.68</v>
      </c>
      <c r="V85" s="9">
        <f ca="1">IFERROR(__xludf.DUMMYFUNCTION("""COMPUTED_VALUE"""),35.6)</f>
        <v>35.6</v>
      </c>
      <c r="W85" s="12">
        <f ca="1">IFERROR(__xludf.DUMMYFUNCTION("""COMPUTED_VALUE"""),4.07999999999999)</f>
        <v>4.0799999999999903</v>
      </c>
    </row>
    <row r="86" spans="1:23" ht="13.2">
      <c r="A86" s="1" t="str">
        <f ca="1">IFERROR(__xludf.DUMMYFUNCTION("""COMPUTED_VALUE"""),"CA-2015-122336")</f>
        <v>CA-2015-122336</v>
      </c>
      <c r="B86" s="8">
        <f ca="1">IFERROR(__xludf.DUMMYFUNCTION("""COMPUTED_VALUE"""),42107)</f>
        <v>42107</v>
      </c>
      <c r="C86" s="1" t="str">
        <f ca="1">IFERROR(__xludf.DUMMYFUNCTION("""COMPUTED_VALUE"""),"Apr")</f>
        <v>Apr</v>
      </c>
      <c r="D86" s="1" t="str">
        <f ca="1">IFERROR(__xludf.DUMMYFUNCTION("""COMPUTED_VALUE"""),"Qtr 2")</f>
        <v>Qtr 2</v>
      </c>
      <c r="E86" s="1" t="str">
        <f ca="1">IFERROR(__xludf.DUMMYFUNCTION("""COMPUTED_VALUE"""),"17/04/2015")</f>
        <v>17/04/2015</v>
      </c>
      <c r="F86" s="1" t="str">
        <f ca="1">IFERROR(__xludf.DUMMYFUNCTION("""COMPUTED_VALUE"""),"Second Class")</f>
        <v>Second Class</v>
      </c>
      <c r="G86" s="1" t="str">
        <f ca="1">IFERROR(__xludf.DUMMYFUNCTION("""COMPUTED_VALUE"""),"JD-15895")</f>
        <v>JD-15895</v>
      </c>
      <c r="H86" s="1" t="str">
        <f ca="1">IFERROR(__xludf.DUMMYFUNCTION("""COMPUTED_VALUE"""),"Jonathan")</f>
        <v>Jonathan</v>
      </c>
      <c r="I86" s="1" t="str">
        <f ca="1">IFERROR(__xludf.DUMMYFUNCTION("""COMPUTED_VALUE"""),"Doherty")</f>
        <v>Doherty</v>
      </c>
      <c r="J86" s="1"/>
      <c r="K86" s="1" t="str">
        <f ca="1">IFERROR(__xludf.DUMMYFUNCTION("""COMPUTED_VALUE"""),"Corporate")</f>
        <v>Corporate</v>
      </c>
      <c r="L86" s="1" t="str">
        <f ca="1">IFERROR(__xludf.DUMMYFUNCTION("""COMPUTED_VALUE"""),"United States")</f>
        <v>United States</v>
      </c>
      <c r="M86" s="1" t="str">
        <f ca="1">IFERROR(__xludf.DUMMYFUNCTION("""COMPUTED_VALUE"""),"Philadelphia")</f>
        <v>Philadelphia</v>
      </c>
      <c r="N86" s="1" t="str">
        <f ca="1">IFERROR(__xludf.DUMMYFUNCTION("""COMPUTED_VALUE"""),"Pennsylvania")</f>
        <v>Pennsylvania</v>
      </c>
      <c r="O86" s="1">
        <f ca="1">IFERROR(__xludf.DUMMYFUNCTION("""COMPUTED_VALUE"""),19140)</f>
        <v>19140</v>
      </c>
      <c r="P86" s="1" t="str">
        <f ca="1">IFERROR(__xludf.DUMMYFUNCTION("""COMPUTED_VALUE"""),"East")</f>
        <v>East</v>
      </c>
      <c r="Q86" s="1" t="str">
        <f ca="1">IFERROR(__xludf.DUMMYFUNCTION("""COMPUTED_VALUE"""),"OFF-AR-10000122")</f>
        <v>OFF-AR-10000122</v>
      </c>
      <c r="R86" s="1" t="str">
        <f ca="1">IFERROR(__xludf.DUMMYFUNCTION("""COMPUTED_VALUE"""),"Office Supplies")</f>
        <v>Office Supplies</v>
      </c>
      <c r="S86" s="7">
        <f ca="1">IFERROR(__xludf.DUMMYFUNCTION("""COMPUTED_VALUE"""),17.856)</f>
        <v>17.856000000000002</v>
      </c>
      <c r="T86" s="1">
        <f ca="1">IFERROR(__xludf.DUMMYFUNCTION("""COMPUTED_VALUE"""),1)</f>
        <v>1</v>
      </c>
      <c r="U86" s="9">
        <f ca="1">IFERROR(__xludf.DUMMYFUNCTION("""COMPUTED_VALUE"""),17.856)</f>
        <v>17.856000000000002</v>
      </c>
      <c r="V86" s="9">
        <f ca="1">IFERROR(__xludf.DUMMYFUNCTION("""COMPUTED_VALUE"""),17.12)</f>
        <v>17.12</v>
      </c>
      <c r="W86" s="12">
        <f ca="1">IFERROR(__xludf.DUMMYFUNCTION("""COMPUTED_VALUE"""),0.736)</f>
        <v>0.73599999999999999</v>
      </c>
    </row>
    <row r="87" spans="1:23" ht="13.2">
      <c r="A87" s="1" t="str">
        <f ca="1">IFERROR(__xludf.DUMMYFUNCTION("""COMPUTED_VALUE"""),"CA-2015-122336")</f>
        <v>CA-2015-122336</v>
      </c>
      <c r="B87" s="8">
        <f ca="1">IFERROR(__xludf.DUMMYFUNCTION("""COMPUTED_VALUE"""),42107)</f>
        <v>42107</v>
      </c>
      <c r="C87" s="1" t="str">
        <f ca="1">IFERROR(__xludf.DUMMYFUNCTION("""COMPUTED_VALUE"""),"Apr")</f>
        <v>Apr</v>
      </c>
      <c r="D87" s="1" t="str">
        <f ca="1">IFERROR(__xludf.DUMMYFUNCTION("""COMPUTED_VALUE"""),"Qtr 2")</f>
        <v>Qtr 2</v>
      </c>
      <c r="E87" s="1" t="str">
        <f ca="1">IFERROR(__xludf.DUMMYFUNCTION("""COMPUTED_VALUE"""),"17/04/2015")</f>
        <v>17/04/2015</v>
      </c>
      <c r="F87" s="1" t="str">
        <f ca="1">IFERROR(__xludf.DUMMYFUNCTION("""COMPUTED_VALUE"""),"Second Class")</f>
        <v>Second Class</v>
      </c>
      <c r="G87" s="1" t="str">
        <f ca="1">IFERROR(__xludf.DUMMYFUNCTION("""COMPUTED_VALUE"""),"JD-15895")</f>
        <v>JD-15895</v>
      </c>
      <c r="H87" s="1" t="str">
        <f ca="1">IFERROR(__xludf.DUMMYFUNCTION("""COMPUTED_VALUE"""),"Jonathan")</f>
        <v>Jonathan</v>
      </c>
      <c r="I87" s="1" t="str">
        <f ca="1">IFERROR(__xludf.DUMMYFUNCTION("""COMPUTED_VALUE"""),"Doherty")</f>
        <v>Doherty</v>
      </c>
      <c r="J87" s="1"/>
      <c r="K87" s="1" t="str">
        <f ca="1">IFERROR(__xludf.DUMMYFUNCTION("""COMPUTED_VALUE"""),"Corporate")</f>
        <v>Corporate</v>
      </c>
      <c r="L87" s="1" t="str">
        <f ca="1">IFERROR(__xludf.DUMMYFUNCTION("""COMPUTED_VALUE"""),"United States")</f>
        <v>United States</v>
      </c>
      <c r="M87" s="1" t="str">
        <f ca="1">IFERROR(__xludf.DUMMYFUNCTION("""COMPUTED_VALUE"""),"Philadelphia")</f>
        <v>Philadelphia</v>
      </c>
      <c r="N87" s="1" t="str">
        <f ca="1">IFERROR(__xludf.DUMMYFUNCTION("""COMPUTED_VALUE"""),"Pennsylvania")</f>
        <v>Pennsylvania</v>
      </c>
      <c r="O87" s="1">
        <f ca="1">IFERROR(__xludf.DUMMYFUNCTION("""COMPUTED_VALUE"""),19140)</f>
        <v>19140</v>
      </c>
      <c r="P87" s="1" t="str">
        <f ca="1">IFERROR(__xludf.DUMMYFUNCTION("""COMPUTED_VALUE"""),"East")</f>
        <v>East</v>
      </c>
      <c r="Q87" s="1" t="str">
        <f ca="1">IFERROR(__xludf.DUMMYFUNCTION("""COMPUTED_VALUE"""),"OFF-BI-10003656")</f>
        <v>OFF-BI-10003656</v>
      </c>
      <c r="R87" s="1" t="str">
        <f ca="1">IFERROR(__xludf.DUMMYFUNCTION("""COMPUTED_VALUE"""),"Office Supplies")</f>
        <v>Office Supplies</v>
      </c>
      <c r="S87" s="7">
        <f ca="1">IFERROR(__xludf.DUMMYFUNCTION("""COMPUTED_VALUE"""),509.97)</f>
        <v>509.97</v>
      </c>
      <c r="T87" s="1">
        <f ca="1">IFERROR(__xludf.DUMMYFUNCTION("""COMPUTED_VALUE"""),1)</f>
        <v>1</v>
      </c>
      <c r="U87" s="9">
        <f ca="1">IFERROR(__xludf.DUMMYFUNCTION("""COMPUTED_VALUE"""),509.97)</f>
        <v>509.97</v>
      </c>
      <c r="V87" s="9">
        <f ca="1">IFERROR(__xludf.DUMMYFUNCTION("""COMPUTED_VALUE"""),509.93)</f>
        <v>509.93</v>
      </c>
      <c r="W87" s="12">
        <f ca="1">IFERROR(__xludf.DUMMYFUNCTION("""COMPUTED_VALUE"""),0.0400000000000204)</f>
        <v>4.0000000000020401E-2</v>
      </c>
    </row>
    <row r="88" spans="1:23" ht="13.2">
      <c r="A88" s="1" t="str">
        <f ca="1">IFERROR(__xludf.DUMMYFUNCTION("""COMPUTED_VALUE"""),"CA-2015-122336")</f>
        <v>CA-2015-122336</v>
      </c>
      <c r="B88" s="8">
        <f ca="1">IFERROR(__xludf.DUMMYFUNCTION("""COMPUTED_VALUE"""),42107)</f>
        <v>42107</v>
      </c>
      <c r="C88" s="1" t="str">
        <f ca="1">IFERROR(__xludf.DUMMYFUNCTION("""COMPUTED_VALUE"""),"Apr")</f>
        <v>Apr</v>
      </c>
      <c r="D88" s="1" t="str">
        <f ca="1">IFERROR(__xludf.DUMMYFUNCTION("""COMPUTED_VALUE"""),"Qtr 2")</f>
        <v>Qtr 2</v>
      </c>
      <c r="E88" s="1" t="str">
        <f ca="1">IFERROR(__xludf.DUMMYFUNCTION("""COMPUTED_VALUE"""),"17/04/2015")</f>
        <v>17/04/2015</v>
      </c>
      <c r="F88" s="1" t="str">
        <f ca="1">IFERROR(__xludf.DUMMYFUNCTION("""COMPUTED_VALUE"""),"Second Class")</f>
        <v>Second Class</v>
      </c>
      <c r="G88" s="1" t="str">
        <f ca="1">IFERROR(__xludf.DUMMYFUNCTION("""COMPUTED_VALUE"""),"JD-15895")</f>
        <v>JD-15895</v>
      </c>
      <c r="H88" s="1" t="str">
        <f ca="1">IFERROR(__xludf.DUMMYFUNCTION("""COMPUTED_VALUE"""),"Jonathan")</f>
        <v>Jonathan</v>
      </c>
      <c r="I88" s="1" t="str">
        <f ca="1">IFERROR(__xludf.DUMMYFUNCTION("""COMPUTED_VALUE"""),"Doherty")</f>
        <v>Doherty</v>
      </c>
      <c r="J88" s="1"/>
      <c r="K88" s="1" t="str">
        <f ca="1">IFERROR(__xludf.DUMMYFUNCTION("""COMPUTED_VALUE"""),"Corporate")</f>
        <v>Corporate</v>
      </c>
      <c r="L88" s="1" t="str">
        <f ca="1">IFERROR(__xludf.DUMMYFUNCTION("""COMPUTED_VALUE"""),"United States")</f>
        <v>United States</v>
      </c>
      <c r="M88" s="1" t="str">
        <f ca="1">IFERROR(__xludf.DUMMYFUNCTION("""COMPUTED_VALUE"""),"Philadelphia")</f>
        <v>Philadelphia</v>
      </c>
      <c r="N88" s="1" t="str">
        <f ca="1">IFERROR(__xludf.DUMMYFUNCTION("""COMPUTED_VALUE"""),"Pennsylvania")</f>
        <v>Pennsylvania</v>
      </c>
      <c r="O88" s="1">
        <f ca="1">IFERROR(__xludf.DUMMYFUNCTION("""COMPUTED_VALUE"""),19140)</f>
        <v>19140</v>
      </c>
      <c r="P88" s="1" t="str">
        <f ca="1">IFERROR(__xludf.DUMMYFUNCTION("""COMPUTED_VALUE"""),"East")</f>
        <v>East</v>
      </c>
      <c r="Q88" s="1" t="str">
        <f ca="1">IFERROR(__xludf.DUMMYFUNCTION("""COMPUTED_VALUE"""),"OFF-FA-10002780")</f>
        <v>OFF-FA-10002780</v>
      </c>
      <c r="R88" s="1" t="str">
        <f ca="1">IFERROR(__xludf.DUMMYFUNCTION("""COMPUTED_VALUE"""),"Office Supplies")</f>
        <v>Office Supplies</v>
      </c>
      <c r="S88" s="7">
        <f ca="1">IFERROR(__xludf.DUMMYFUNCTION("""COMPUTED_VALUE"""),30.992)</f>
        <v>30.992000000000001</v>
      </c>
      <c r="T88" s="1">
        <f ca="1">IFERROR(__xludf.DUMMYFUNCTION("""COMPUTED_VALUE"""),1)</f>
        <v>1</v>
      </c>
      <c r="U88" s="9">
        <f ca="1">IFERROR(__xludf.DUMMYFUNCTION("""COMPUTED_VALUE"""),30.992)</f>
        <v>30.992000000000001</v>
      </c>
      <c r="V88" s="9">
        <f ca="1">IFERROR(__xludf.DUMMYFUNCTION("""COMPUTED_VALUE"""),30.06)</f>
        <v>30.06</v>
      </c>
      <c r="W88" s="12">
        <f ca="1">IFERROR(__xludf.DUMMYFUNCTION("""COMPUTED_VALUE"""),0.932000000000002)</f>
        <v>0.93200000000000205</v>
      </c>
    </row>
    <row r="89" spans="1:23" ht="13.2">
      <c r="A89" s="1" t="str">
        <f ca="1">IFERROR(__xludf.DUMMYFUNCTION("""COMPUTED_VALUE"""),"CA-2015-122336")</f>
        <v>CA-2015-122336</v>
      </c>
      <c r="B89" s="8">
        <f ca="1">IFERROR(__xludf.DUMMYFUNCTION("""COMPUTED_VALUE"""),42107)</f>
        <v>42107</v>
      </c>
      <c r="C89" s="1" t="str">
        <f ca="1">IFERROR(__xludf.DUMMYFUNCTION("""COMPUTED_VALUE"""),"Apr")</f>
        <v>Apr</v>
      </c>
      <c r="D89" s="1" t="str">
        <f ca="1">IFERROR(__xludf.DUMMYFUNCTION("""COMPUTED_VALUE"""),"Qtr 2")</f>
        <v>Qtr 2</v>
      </c>
      <c r="E89" s="1" t="str">
        <f ca="1">IFERROR(__xludf.DUMMYFUNCTION("""COMPUTED_VALUE"""),"17/04/2015")</f>
        <v>17/04/2015</v>
      </c>
      <c r="F89" s="1" t="str">
        <f ca="1">IFERROR(__xludf.DUMMYFUNCTION("""COMPUTED_VALUE"""),"Second Class")</f>
        <v>Second Class</v>
      </c>
      <c r="G89" s="1" t="str">
        <f ca="1">IFERROR(__xludf.DUMMYFUNCTION("""COMPUTED_VALUE"""),"JD-15895")</f>
        <v>JD-15895</v>
      </c>
      <c r="H89" s="1" t="str">
        <f ca="1">IFERROR(__xludf.DUMMYFUNCTION("""COMPUTED_VALUE"""),"Jonathan")</f>
        <v>Jonathan</v>
      </c>
      <c r="I89" s="1" t="str">
        <f ca="1">IFERROR(__xludf.DUMMYFUNCTION("""COMPUTED_VALUE"""),"Doherty")</f>
        <v>Doherty</v>
      </c>
      <c r="J89" s="1"/>
      <c r="K89" s="1" t="str">
        <f ca="1">IFERROR(__xludf.DUMMYFUNCTION("""COMPUTED_VALUE"""),"Corporate")</f>
        <v>Corporate</v>
      </c>
      <c r="L89" s="1" t="str">
        <f ca="1">IFERROR(__xludf.DUMMYFUNCTION("""COMPUTED_VALUE"""),"United States")</f>
        <v>United States</v>
      </c>
      <c r="M89" s="1" t="str">
        <f ca="1">IFERROR(__xludf.DUMMYFUNCTION("""COMPUTED_VALUE"""),"Philadelphia")</f>
        <v>Philadelphia</v>
      </c>
      <c r="N89" s="1" t="str">
        <f ca="1">IFERROR(__xludf.DUMMYFUNCTION("""COMPUTED_VALUE"""),"Pennsylvania")</f>
        <v>Pennsylvania</v>
      </c>
      <c r="O89" s="1">
        <f ca="1">IFERROR(__xludf.DUMMYFUNCTION("""COMPUTED_VALUE"""),19140)</f>
        <v>19140</v>
      </c>
      <c r="P89" s="1" t="str">
        <f ca="1">IFERROR(__xludf.DUMMYFUNCTION("""COMPUTED_VALUE"""),"East")</f>
        <v>East</v>
      </c>
      <c r="Q89" s="1" t="str">
        <f ca="1">IFERROR(__xludf.DUMMYFUNCTION("""COMPUTED_VALUE"""),"TEC-PH-10000702")</f>
        <v>TEC-PH-10000702</v>
      </c>
      <c r="R89" s="1" t="str">
        <f ca="1">IFERROR(__xludf.DUMMYFUNCTION("""COMPUTED_VALUE"""),"Technology")</f>
        <v>Technology</v>
      </c>
      <c r="S89" s="7">
        <f ca="1">IFERROR(__xludf.DUMMYFUNCTION("""COMPUTED_VALUE"""),71.928)</f>
        <v>71.927999999999997</v>
      </c>
      <c r="T89" s="1">
        <f ca="1">IFERROR(__xludf.DUMMYFUNCTION("""COMPUTED_VALUE"""),1)</f>
        <v>1</v>
      </c>
      <c r="U89" s="9">
        <f ca="1">IFERROR(__xludf.DUMMYFUNCTION("""COMPUTED_VALUE"""),71.928)</f>
        <v>71.927999999999997</v>
      </c>
      <c r="V89" s="9">
        <f ca="1">IFERROR(__xludf.DUMMYFUNCTION("""COMPUTED_VALUE"""),71.77)</f>
        <v>71.77</v>
      </c>
      <c r="W89" s="12">
        <f ca="1">IFERROR(__xludf.DUMMYFUNCTION("""COMPUTED_VALUE"""),0.158000000000001)</f>
        <v>0.158000000000001</v>
      </c>
    </row>
    <row r="90" spans="1:23" ht="13.2">
      <c r="A90" s="1" t="str">
        <f ca="1">IFERROR(__xludf.DUMMYFUNCTION("""COMPUTED_VALUE"""),"CA-2016-125395")</f>
        <v>CA-2016-125395</v>
      </c>
      <c r="B90" s="8">
        <f ca="1">IFERROR(__xludf.DUMMYFUNCTION("""COMPUTED_VALUE"""),42547)</f>
        <v>42547</v>
      </c>
      <c r="C90" s="1" t="str">
        <f ca="1">IFERROR(__xludf.DUMMYFUNCTION("""COMPUTED_VALUE"""),"Jun")</f>
        <v>Jun</v>
      </c>
      <c r="D90" s="1" t="str">
        <f ca="1">IFERROR(__xludf.DUMMYFUNCTION("""COMPUTED_VALUE"""),"Qtr 2")</f>
        <v>Qtr 2</v>
      </c>
      <c r="E90" s="1" t="str">
        <f ca="1">IFERROR(__xludf.DUMMYFUNCTION("""COMPUTED_VALUE"""),"29/06/2016")</f>
        <v>29/06/2016</v>
      </c>
      <c r="F90" s="1" t="str">
        <f ca="1">IFERROR(__xludf.DUMMYFUNCTION("""COMPUTED_VALUE"""),"Second Class")</f>
        <v>Second Class</v>
      </c>
      <c r="G90" s="1" t="str">
        <f ca="1">IFERROR(__xludf.DUMMYFUNCTION("""COMPUTED_VALUE"""),"LA-16780")</f>
        <v>LA-16780</v>
      </c>
      <c r="H90" s="1" t="str">
        <f ca="1">IFERROR(__xludf.DUMMYFUNCTION("""COMPUTED_VALUE"""),"Laura")</f>
        <v>Laura</v>
      </c>
      <c r="I90" s="1" t="str">
        <f ca="1">IFERROR(__xludf.DUMMYFUNCTION("""COMPUTED_VALUE"""),"Armstrong")</f>
        <v>Armstrong</v>
      </c>
      <c r="J90" s="1"/>
      <c r="K90" s="1" t="str">
        <f ca="1">IFERROR(__xludf.DUMMYFUNCTION("""COMPUTED_VALUE"""),"Corporate")</f>
        <v>Corporate</v>
      </c>
      <c r="L90" s="1" t="str">
        <f ca="1">IFERROR(__xludf.DUMMYFUNCTION("""COMPUTED_VALUE"""),"United States")</f>
        <v>United States</v>
      </c>
      <c r="M90" s="1" t="str">
        <f ca="1">IFERROR(__xludf.DUMMYFUNCTION("""COMPUTED_VALUE"""),"Taylor")</f>
        <v>Taylor</v>
      </c>
      <c r="N90" s="1" t="str">
        <f ca="1">IFERROR(__xludf.DUMMYFUNCTION("""COMPUTED_VALUE"""),"Michigan")</f>
        <v>Michigan</v>
      </c>
      <c r="O90" s="1">
        <f ca="1">IFERROR(__xludf.DUMMYFUNCTION("""COMPUTED_VALUE"""),48180)</f>
        <v>48180</v>
      </c>
      <c r="P90" s="1" t="str">
        <f ca="1">IFERROR(__xludf.DUMMYFUNCTION("""COMPUTED_VALUE"""),"Central")</f>
        <v>Central</v>
      </c>
      <c r="Q90" s="1" t="str">
        <f ca="1">IFERROR(__xludf.DUMMYFUNCTION("""COMPUTED_VALUE"""),"TEC-AC-10004708")</f>
        <v>TEC-AC-10004708</v>
      </c>
      <c r="R90" s="1" t="str">
        <f ca="1">IFERROR(__xludf.DUMMYFUNCTION("""COMPUTED_VALUE"""),"Technology")</f>
        <v>Technology</v>
      </c>
      <c r="S90" s="7">
        <f ca="1">IFERROR(__xludf.DUMMYFUNCTION("""COMPUTED_VALUE"""),41.9)</f>
        <v>41.9</v>
      </c>
      <c r="T90" s="1">
        <f ca="1">IFERROR(__xludf.DUMMYFUNCTION("""COMPUTED_VALUE"""),4)</f>
        <v>4</v>
      </c>
      <c r="U90" s="9">
        <f ca="1">IFERROR(__xludf.DUMMYFUNCTION("""COMPUTED_VALUE"""),167.6)</f>
        <v>167.6</v>
      </c>
      <c r="V90" s="9">
        <f ca="1">IFERROR(__xludf.DUMMYFUNCTION("""COMPUTED_VALUE"""),165.24)</f>
        <v>165.24</v>
      </c>
      <c r="W90" s="12">
        <f ca="1">IFERROR(__xludf.DUMMYFUNCTION("""COMPUTED_VALUE"""),2.35999999999998)</f>
        <v>2.3599999999999799</v>
      </c>
    </row>
    <row r="91" spans="1:23" ht="13.2">
      <c r="A91" s="1" t="str">
        <f ca="1">IFERROR(__xludf.DUMMYFUNCTION("""COMPUTED_VALUE"""),"US-2015-135972")</f>
        <v>US-2015-135972</v>
      </c>
      <c r="B91" s="8">
        <f ca="1">IFERROR(__xludf.DUMMYFUNCTION("""COMPUTED_VALUE"""),42268)</f>
        <v>42268</v>
      </c>
      <c r="C91" s="1" t="str">
        <f ca="1">IFERROR(__xludf.DUMMYFUNCTION("""COMPUTED_VALUE"""),"Sep")</f>
        <v>Sep</v>
      </c>
      <c r="D91" s="1" t="str">
        <f ca="1">IFERROR(__xludf.DUMMYFUNCTION("""COMPUTED_VALUE"""),"Qtr 3")</f>
        <v>Qtr 3</v>
      </c>
      <c r="E91" s="1" t="str">
        <f ca="1">IFERROR(__xludf.DUMMYFUNCTION("""COMPUTED_VALUE"""),"23/09/2015")</f>
        <v>23/09/2015</v>
      </c>
      <c r="F91" s="1" t="str">
        <f ca="1">IFERROR(__xludf.DUMMYFUNCTION("""COMPUTED_VALUE"""),"Second Class")</f>
        <v>Second Class</v>
      </c>
      <c r="G91" s="1" t="str">
        <f ca="1">IFERROR(__xludf.DUMMYFUNCTION("""COMPUTED_VALUE"""),"JG-15115")</f>
        <v>JG-15115</v>
      </c>
      <c r="H91" s="1" t="str">
        <f ca="1">IFERROR(__xludf.DUMMYFUNCTION("""COMPUTED_VALUE"""),"Jack")</f>
        <v>Jack</v>
      </c>
      <c r="I91" s="1" t="str">
        <f ca="1">IFERROR(__xludf.DUMMYFUNCTION("""COMPUTED_VALUE"""),"Garza")</f>
        <v>Garza</v>
      </c>
      <c r="J91" s="1"/>
      <c r="K91" s="1" t="str">
        <f ca="1">IFERROR(__xludf.DUMMYFUNCTION("""COMPUTED_VALUE"""),"Consumer")</f>
        <v>Consumer</v>
      </c>
      <c r="L91" s="1" t="str">
        <f ca="1">IFERROR(__xludf.DUMMYFUNCTION("""COMPUTED_VALUE"""),"United States")</f>
        <v>United States</v>
      </c>
      <c r="M91" s="1" t="str">
        <f ca="1">IFERROR(__xludf.DUMMYFUNCTION("""COMPUTED_VALUE"""),"Des Moines")</f>
        <v>Des Moines</v>
      </c>
      <c r="N91" s="1" t="str">
        <f ca="1">IFERROR(__xludf.DUMMYFUNCTION("""COMPUTED_VALUE"""),"Washington")</f>
        <v>Washington</v>
      </c>
      <c r="O91" s="1">
        <f ca="1">IFERROR(__xludf.DUMMYFUNCTION("""COMPUTED_VALUE"""),98198)</f>
        <v>98198</v>
      </c>
      <c r="P91" s="1" t="str">
        <f ca="1">IFERROR(__xludf.DUMMYFUNCTION("""COMPUTED_VALUE"""),"West")</f>
        <v>West</v>
      </c>
      <c r="Q91" s="1" t="str">
        <f ca="1">IFERROR(__xludf.DUMMYFUNCTION("""COMPUTED_VALUE"""),"TEC-PH-10003012")</f>
        <v>TEC-PH-10003012</v>
      </c>
      <c r="R91" s="1" t="str">
        <f ca="1">IFERROR(__xludf.DUMMYFUNCTION("""COMPUTED_VALUE"""),"Technology")</f>
        <v>Technology</v>
      </c>
      <c r="S91" s="7">
        <f ca="1">IFERROR(__xludf.DUMMYFUNCTION("""COMPUTED_VALUE"""),246.384)</f>
        <v>246.38399999999999</v>
      </c>
      <c r="T91" s="1">
        <f ca="1">IFERROR(__xludf.DUMMYFUNCTION("""COMPUTED_VALUE"""),9)</f>
        <v>9</v>
      </c>
      <c r="U91" s="9">
        <f ca="1">IFERROR(__xludf.DUMMYFUNCTION("""COMPUTED_VALUE"""),2217.45599999999)</f>
        <v>2217.4559999999901</v>
      </c>
      <c r="V91" s="9">
        <f ca="1">IFERROR(__xludf.DUMMYFUNCTION("""COMPUTED_VALUE"""),2210.4)</f>
        <v>2210.4</v>
      </c>
      <c r="W91" s="12">
        <f ca="1">IFERROR(__xludf.DUMMYFUNCTION("""COMPUTED_VALUE"""),7.05599999999958)</f>
        <v>7.0559999999995799</v>
      </c>
    </row>
    <row r="92" spans="1:23" ht="13.2">
      <c r="A92" s="1" t="str">
        <f ca="1">IFERROR(__xludf.DUMMYFUNCTION("""COMPUTED_VALUE"""),"US-2015-135972")</f>
        <v>US-2015-135972</v>
      </c>
      <c r="B92" s="8">
        <f ca="1">IFERROR(__xludf.DUMMYFUNCTION("""COMPUTED_VALUE"""),42268)</f>
        <v>42268</v>
      </c>
      <c r="C92" s="1" t="str">
        <f ca="1">IFERROR(__xludf.DUMMYFUNCTION("""COMPUTED_VALUE"""),"Sep")</f>
        <v>Sep</v>
      </c>
      <c r="D92" s="1" t="str">
        <f ca="1">IFERROR(__xludf.DUMMYFUNCTION("""COMPUTED_VALUE"""),"Qtr 3")</f>
        <v>Qtr 3</v>
      </c>
      <c r="E92" s="1" t="str">
        <f ca="1">IFERROR(__xludf.DUMMYFUNCTION("""COMPUTED_VALUE"""),"23/09/2015")</f>
        <v>23/09/2015</v>
      </c>
      <c r="F92" s="1" t="str">
        <f ca="1">IFERROR(__xludf.DUMMYFUNCTION("""COMPUTED_VALUE"""),"Second Class")</f>
        <v>Second Class</v>
      </c>
      <c r="G92" s="1" t="str">
        <f ca="1">IFERROR(__xludf.DUMMYFUNCTION("""COMPUTED_VALUE"""),"JG-15115")</f>
        <v>JG-15115</v>
      </c>
      <c r="H92" s="1" t="str">
        <f ca="1">IFERROR(__xludf.DUMMYFUNCTION("""COMPUTED_VALUE"""),"Jack")</f>
        <v>Jack</v>
      </c>
      <c r="I92" s="1" t="str">
        <f ca="1">IFERROR(__xludf.DUMMYFUNCTION("""COMPUTED_VALUE"""),"Garza")</f>
        <v>Garza</v>
      </c>
      <c r="J92" s="1"/>
      <c r="K92" s="1" t="str">
        <f ca="1">IFERROR(__xludf.DUMMYFUNCTION("""COMPUTED_VALUE"""),"Consumer")</f>
        <v>Consumer</v>
      </c>
      <c r="L92" s="1" t="str">
        <f ca="1">IFERROR(__xludf.DUMMYFUNCTION("""COMPUTED_VALUE"""),"United States")</f>
        <v>United States</v>
      </c>
      <c r="M92" s="1" t="str">
        <f ca="1">IFERROR(__xludf.DUMMYFUNCTION("""COMPUTED_VALUE"""),"Des Moines")</f>
        <v>Des Moines</v>
      </c>
      <c r="N92" s="1" t="str">
        <f ca="1">IFERROR(__xludf.DUMMYFUNCTION("""COMPUTED_VALUE"""),"Washington")</f>
        <v>Washington</v>
      </c>
      <c r="O92" s="1">
        <f ca="1">IFERROR(__xludf.DUMMYFUNCTION("""COMPUTED_VALUE"""),98198)</f>
        <v>98198</v>
      </c>
      <c r="P92" s="1" t="str">
        <f ca="1">IFERROR(__xludf.DUMMYFUNCTION("""COMPUTED_VALUE"""),"West")</f>
        <v>West</v>
      </c>
      <c r="Q92" s="1" t="str">
        <f ca="1">IFERROR(__xludf.DUMMYFUNCTION("""COMPUTED_VALUE"""),"TEC-CO-10002313")</f>
        <v>TEC-CO-10002313</v>
      </c>
      <c r="R92" s="1" t="str">
        <f ca="1">IFERROR(__xludf.DUMMYFUNCTION("""COMPUTED_VALUE"""),"Technology")</f>
        <v>Technology</v>
      </c>
      <c r="S92" s="7">
        <f ca="1">IFERROR(__xludf.DUMMYFUNCTION("""COMPUTED_VALUE"""),1799.97)</f>
        <v>1799.97</v>
      </c>
      <c r="T92" s="1">
        <f ca="1">IFERROR(__xludf.DUMMYFUNCTION("""COMPUTED_VALUE"""),9)</f>
        <v>9</v>
      </c>
      <c r="U92" s="9">
        <f ca="1">IFERROR(__xludf.DUMMYFUNCTION("""COMPUTED_VALUE"""),16199.73)</f>
        <v>16199.73</v>
      </c>
      <c r="V92" s="9">
        <f ca="1">IFERROR(__xludf.DUMMYFUNCTION("""COMPUTED_VALUE"""),16194.96)</f>
        <v>16194.96</v>
      </c>
      <c r="W92" s="12">
        <f ca="1">IFERROR(__xludf.DUMMYFUNCTION("""COMPUTED_VALUE"""),4.76999999999861)</f>
        <v>4.7699999999986096</v>
      </c>
    </row>
    <row r="93" spans="1:23" ht="13.2">
      <c r="A93" s="1" t="str">
        <f ca="1">IFERROR(__xludf.DUMMYFUNCTION("""COMPUTED_VALUE"""),"US-2015-134971")</f>
        <v>US-2015-134971</v>
      </c>
      <c r="B93" s="8">
        <f ca="1">IFERROR(__xludf.DUMMYFUNCTION("""COMPUTED_VALUE"""),42191)</f>
        <v>42191</v>
      </c>
      <c r="C93" s="1" t="str">
        <f ca="1">IFERROR(__xludf.DUMMYFUNCTION("""COMPUTED_VALUE"""),"Jul")</f>
        <v>Jul</v>
      </c>
      <c r="D93" s="1" t="str">
        <f ca="1">IFERROR(__xludf.DUMMYFUNCTION("""COMPUTED_VALUE"""),"Qtr 3")</f>
        <v>Qtr 3</v>
      </c>
      <c r="E93" s="1" t="str">
        <f ca="1">IFERROR(__xludf.DUMMYFUNCTION("""COMPUTED_VALUE"""),"10/6/2015")</f>
        <v>10/6/2015</v>
      </c>
      <c r="F93" s="1" t="str">
        <f ca="1">IFERROR(__xludf.DUMMYFUNCTION("""COMPUTED_VALUE"""),"Second Class")</f>
        <v>Second Class</v>
      </c>
      <c r="G93" s="1" t="str">
        <f ca="1">IFERROR(__xludf.DUMMYFUNCTION("""COMPUTED_VALUE"""),"BP-11095")</f>
        <v>BP-11095</v>
      </c>
      <c r="H93" s="1" t="str">
        <f ca="1">IFERROR(__xludf.DUMMYFUNCTION("""COMPUTED_VALUE"""),"Bart")</f>
        <v>Bart</v>
      </c>
      <c r="I93" s="1" t="str">
        <f ca="1">IFERROR(__xludf.DUMMYFUNCTION("""COMPUTED_VALUE"""),"Pistole")</f>
        <v>Pistole</v>
      </c>
      <c r="J93" s="1"/>
      <c r="K93" s="1" t="str">
        <f ca="1">IFERROR(__xludf.DUMMYFUNCTION("""COMPUTED_VALUE"""),"Corporate")</f>
        <v>Corporate</v>
      </c>
      <c r="L93" s="1" t="str">
        <f ca="1">IFERROR(__xludf.DUMMYFUNCTION("""COMPUTED_VALUE"""),"United States")</f>
        <v>United States</v>
      </c>
      <c r="M93" s="1" t="str">
        <f ca="1">IFERROR(__xludf.DUMMYFUNCTION("""COMPUTED_VALUE"""),"Peoria")</f>
        <v>Peoria</v>
      </c>
      <c r="N93" s="1" t="str">
        <f ca="1">IFERROR(__xludf.DUMMYFUNCTION("""COMPUTED_VALUE"""),"Illinois")</f>
        <v>Illinois</v>
      </c>
      <c r="O93" s="1">
        <f ca="1">IFERROR(__xludf.DUMMYFUNCTION("""COMPUTED_VALUE"""),61604)</f>
        <v>61604</v>
      </c>
      <c r="P93" s="1" t="str">
        <f ca="1">IFERROR(__xludf.DUMMYFUNCTION("""COMPUTED_VALUE"""),"Central")</f>
        <v>Central</v>
      </c>
      <c r="Q93" s="1" t="str">
        <f ca="1">IFERROR(__xludf.DUMMYFUNCTION("""COMPUTED_VALUE"""),"OFF-BI-10003982")</f>
        <v>OFF-BI-10003982</v>
      </c>
      <c r="R93" s="1" t="str">
        <f ca="1">IFERROR(__xludf.DUMMYFUNCTION("""COMPUTED_VALUE"""),"Office Supplies")</f>
        <v>Office Supplies</v>
      </c>
      <c r="S93" s="7">
        <f ca="1">IFERROR(__xludf.DUMMYFUNCTION("""COMPUTED_VALUE"""),12.462)</f>
        <v>12.462</v>
      </c>
      <c r="T93" s="1">
        <f ca="1">IFERROR(__xludf.DUMMYFUNCTION("""COMPUTED_VALUE"""),6)</f>
        <v>6</v>
      </c>
      <c r="U93" s="9">
        <f ca="1">IFERROR(__xludf.DUMMYFUNCTION("""COMPUTED_VALUE"""),74.7719999999999)</f>
        <v>74.771999999999906</v>
      </c>
      <c r="V93" s="9">
        <f ca="1">IFERROR(__xludf.DUMMYFUNCTION("""COMPUTED_VALUE"""),70.08)</f>
        <v>70.08</v>
      </c>
      <c r="W93" s="12">
        <f ca="1">IFERROR(__xludf.DUMMYFUNCTION("""COMPUTED_VALUE"""),4.69199999999999)</f>
        <v>4.6919999999999904</v>
      </c>
    </row>
    <row r="94" spans="1:23" ht="13.2">
      <c r="A94" s="1" t="str">
        <f ca="1">IFERROR(__xludf.DUMMYFUNCTION("""COMPUTED_VALUE"""),"CA-2018-165603")</f>
        <v>CA-2018-165603</v>
      </c>
      <c r="B94" s="8">
        <f ca="1">IFERROR(__xludf.DUMMYFUNCTION("""COMPUTED_VALUE"""),43390)</f>
        <v>43390</v>
      </c>
      <c r="C94" s="1" t="str">
        <f ca="1">IFERROR(__xludf.DUMMYFUNCTION("""COMPUTED_VALUE"""),"Oct")</f>
        <v>Oct</v>
      </c>
      <c r="D94" s="1" t="str">
        <f ca="1">IFERROR(__xludf.DUMMYFUNCTION("""COMPUTED_VALUE"""),"Qtr 4")</f>
        <v>Qtr 4</v>
      </c>
      <c r="E94" s="1" t="str">
        <f ca="1">IFERROR(__xludf.DUMMYFUNCTION("""COMPUTED_VALUE"""),"19/10/2018")</f>
        <v>19/10/2018</v>
      </c>
      <c r="F94" s="1" t="str">
        <f ca="1">IFERROR(__xludf.DUMMYFUNCTION("""COMPUTED_VALUE"""),"Second Class")</f>
        <v>Second Class</v>
      </c>
      <c r="G94" s="1" t="str">
        <f ca="1">IFERROR(__xludf.DUMMYFUNCTION("""COMPUTED_VALUE"""),"SS-20140")</f>
        <v>SS-20140</v>
      </c>
      <c r="H94" s="1" t="str">
        <f ca="1">IFERROR(__xludf.DUMMYFUNCTION("""COMPUTED_VALUE"""),"Saphhira")</f>
        <v>Saphhira</v>
      </c>
      <c r="I94" s="1" t="str">
        <f ca="1">IFERROR(__xludf.DUMMYFUNCTION("""COMPUTED_VALUE"""),"Shifley")</f>
        <v>Shifley</v>
      </c>
      <c r="J94" s="1"/>
      <c r="K94" s="1" t="str">
        <f ca="1">IFERROR(__xludf.DUMMYFUNCTION("""COMPUTED_VALUE"""),"Corporate")</f>
        <v>Corporate</v>
      </c>
      <c r="L94" s="1" t="str">
        <f ca="1">IFERROR(__xludf.DUMMYFUNCTION("""COMPUTED_VALUE"""),"United States")</f>
        <v>United States</v>
      </c>
      <c r="M94" s="1" t="str">
        <f ca="1">IFERROR(__xludf.DUMMYFUNCTION("""COMPUTED_VALUE"""),"Warwick")</f>
        <v>Warwick</v>
      </c>
      <c r="N94" s="1" t="str">
        <f ca="1">IFERROR(__xludf.DUMMYFUNCTION("""COMPUTED_VALUE"""),"Rhode Island")</f>
        <v>Rhode Island</v>
      </c>
      <c r="O94" s="1">
        <f ca="1">IFERROR(__xludf.DUMMYFUNCTION("""COMPUTED_VALUE"""),2886)</f>
        <v>2886</v>
      </c>
      <c r="P94" s="1" t="str">
        <f ca="1">IFERROR(__xludf.DUMMYFUNCTION("""COMPUTED_VALUE"""),"East")</f>
        <v>East</v>
      </c>
      <c r="Q94" s="1" t="str">
        <f ca="1">IFERROR(__xludf.DUMMYFUNCTION("""COMPUTED_VALUE"""),"OFF-ST-10000798")</f>
        <v>OFF-ST-10000798</v>
      </c>
      <c r="R94" s="1" t="str">
        <f ca="1">IFERROR(__xludf.DUMMYFUNCTION("""COMPUTED_VALUE"""),"Office Supplies")</f>
        <v>Office Supplies</v>
      </c>
      <c r="S94" s="7">
        <f ca="1">IFERROR(__xludf.DUMMYFUNCTION("""COMPUTED_VALUE"""),49.96)</f>
        <v>49.96</v>
      </c>
      <c r="T94" s="1">
        <f ca="1">IFERROR(__xludf.DUMMYFUNCTION("""COMPUTED_VALUE"""),2)</f>
        <v>2</v>
      </c>
      <c r="U94" s="9">
        <f ca="1">IFERROR(__xludf.DUMMYFUNCTION("""COMPUTED_VALUE"""),99.92)</f>
        <v>99.92</v>
      </c>
      <c r="V94" s="9">
        <f ca="1">IFERROR(__xludf.DUMMYFUNCTION("""COMPUTED_VALUE"""),99.62)</f>
        <v>99.62</v>
      </c>
      <c r="W94" s="12">
        <f ca="1">IFERROR(__xludf.DUMMYFUNCTION("""COMPUTED_VALUE"""),0.299999999999997)</f>
        <v>0.29999999999999699</v>
      </c>
    </row>
    <row r="95" spans="1:23" ht="13.2">
      <c r="A95" s="1" t="str">
        <f ca="1">IFERROR(__xludf.DUMMYFUNCTION("""COMPUTED_VALUE"""),"CA-2018-165603")</f>
        <v>CA-2018-165603</v>
      </c>
      <c r="B95" s="8">
        <f ca="1">IFERROR(__xludf.DUMMYFUNCTION("""COMPUTED_VALUE"""),43390)</f>
        <v>43390</v>
      </c>
      <c r="C95" s="1" t="str">
        <f ca="1">IFERROR(__xludf.DUMMYFUNCTION("""COMPUTED_VALUE"""),"Oct")</f>
        <v>Oct</v>
      </c>
      <c r="D95" s="1" t="str">
        <f ca="1">IFERROR(__xludf.DUMMYFUNCTION("""COMPUTED_VALUE"""),"Qtr 4")</f>
        <v>Qtr 4</v>
      </c>
      <c r="E95" s="1" t="str">
        <f ca="1">IFERROR(__xludf.DUMMYFUNCTION("""COMPUTED_VALUE"""),"19/10/2018")</f>
        <v>19/10/2018</v>
      </c>
      <c r="F95" s="1" t="str">
        <f ca="1">IFERROR(__xludf.DUMMYFUNCTION("""COMPUTED_VALUE"""),"Second Class")</f>
        <v>Second Class</v>
      </c>
      <c r="G95" s="1" t="str">
        <f ca="1">IFERROR(__xludf.DUMMYFUNCTION("""COMPUTED_VALUE"""),"SS-20140")</f>
        <v>SS-20140</v>
      </c>
      <c r="H95" s="1" t="str">
        <f ca="1">IFERROR(__xludf.DUMMYFUNCTION("""COMPUTED_VALUE"""),"Saphhira")</f>
        <v>Saphhira</v>
      </c>
      <c r="I95" s="1" t="str">
        <f ca="1">IFERROR(__xludf.DUMMYFUNCTION("""COMPUTED_VALUE"""),"Shifley")</f>
        <v>Shifley</v>
      </c>
      <c r="J95" s="1"/>
      <c r="K95" s="1" t="str">
        <f ca="1">IFERROR(__xludf.DUMMYFUNCTION("""COMPUTED_VALUE"""),"Corporate")</f>
        <v>Corporate</v>
      </c>
      <c r="L95" s="1" t="str">
        <f ca="1">IFERROR(__xludf.DUMMYFUNCTION("""COMPUTED_VALUE"""),"United States")</f>
        <v>United States</v>
      </c>
      <c r="M95" s="1" t="str">
        <f ca="1">IFERROR(__xludf.DUMMYFUNCTION("""COMPUTED_VALUE"""),"Warwick")</f>
        <v>Warwick</v>
      </c>
      <c r="N95" s="1" t="str">
        <f ca="1">IFERROR(__xludf.DUMMYFUNCTION("""COMPUTED_VALUE"""),"Rhode Island")</f>
        <v>Rhode Island</v>
      </c>
      <c r="O95" s="1">
        <f ca="1">IFERROR(__xludf.DUMMYFUNCTION("""COMPUTED_VALUE"""),2886)</f>
        <v>2886</v>
      </c>
      <c r="P95" s="1" t="str">
        <f ca="1">IFERROR(__xludf.DUMMYFUNCTION("""COMPUTED_VALUE"""),"East")</f>
        <v>East</v>
      </c>
      <c r="Q95" s="1" t="str">
        <f ca="1">IFERROR(__xludf.DUMMYFUNCTION("""COMPUTED_VALUE"""),"OFF-PA-10002552")</f>
        <v>OFF-PA-10002552</v>
      </c>
      <c r="R95" s="1" t="str">
        <f ca="1">IFERROR(__xludf.DUMMYFUNCTION("""COMPUTED_VALUE"""),"Office Supplies")</f>
        <v>Office Supplies</v>
      </c>
      <c r="S95" s="7">
        <f ca="1">IFERROR(__xludf.DUMMYFUNCTION("""COMPUTED_VALUE"""),12.96)</f>
        <v>12.96</v>
      </c>
      <c r="T95" s="1">
        <f ca="1">IFERROR(__xludf.DUMMYFUNCTION("""COMPUTED_VALUE"""),2)</f>
        <v>2</v>
      </c>
      <c r="U95" s="9">
        <f ca="1">IFERROR(__xludf.DUMMYFUNCTION("""COMPUTED_VALUE"""),25.92)</f>
        <v>25.92</v>
      </c>
      <c r="V95" s="9">
        <f ca="1">IFERROR(__xludf.DUMMYFUNCTION("""COMPUTED_VALUE"""),24.74)</f>
        <v>24.74</v>
      </c>
      <c r="W95" s="12">
        <f ca="1">IFERROR(__xludf.DUMMYFUNCTION("""COMPUTED_VALUE"""),1.18)</f>
        <v>1.18</v>
      </c>
    </row>
    <row r="96" spans="1:23" ht="13.2">
      <c r="A96" s="1" t="str">
        <f ca="1">IFERROR(__xludf.DUMMYFUNCTION("""COMPUTED_VALUE"""),"CA-2017-108987")</f>
        <v>CA-2017-108987</v>
      </c>
      <c r="B96" s="8">
        <f ca="1">IFERROR(__xludf.DUMMYFUNCTION("""COMPUTED_VALUE"""),42956)</f>
        <v>42956</v>
      </c>
      <c r="C96" s="1" t="str">
        <f ca="1">IFERROR(__xludf.DUMMYFUNCTION("""COMPUTED_VALUE"""),"Aug")</f>
        <v>Aug</v>
      </c>
      <c r="D96" s="1" t="str">
        <f ca="1">IFERROR(__xludf.DUMMYFUNCTION("""COMPUTED_VALUE"""),"Qtr 3")</f>
        <v>Qtr 3</v>
      </c>
      <c r="E96" s="1" t="str">
        <f ca="1">IFERROR(__xludf.DUMMYFUNCTION("""COMPUTED_VALUE"""),"10/9/2017")</f>
        <v>10/9/2017</v>
      </c>
      <c r="F96" s="1" t="str">
        <f ca="1">IFERROR(__xludf.DUMMYFUNCTION("""COMPUTED_VALUE"""),"Second Class")</f>
        <v>Second Class</v>
      </c>
      <c r="G96" s="1" t="str">
        <f ca="1">IFERROR(__xludf.DUMMYFUNCTION("""COMPUTED_VALUE"""),"AG-10675")</f>
        <v>AG-10675</v>
      </c>
      <c r="H96" s="1" t="str">
        <f ca="1">IFERROR(__xludf.DUMMYFUNCTION("""COMPUTED_VALUE"""),"Anna")</f>
        <v>Anna</v>
      </c>
      <c r="I96" s="1" t="str">
        <f ca="1">IFERROR(__xludf.DUMMYFUNCTION("""COMPUTED_VALUE"""),"Gayman")</f>
        <v>Gayman</v>
      </c>
      <c r="J96" s="1"/>
      <c r="K96" s="1" t="str">
        <f ca="1">IFERROR(__xludf.DUMMYFUNCTION("""COMPUTED_VALUE"""),"Consumer")</f>
        <v>Consumer</v>
      </c>
      <c r="L96" s="1" t="str">
        <f ca="1">IFERROR(__xludf.DUMMYFUNCTION("""COMPUTED_VALUE"""),"United States")</f>
        <v>United States</v>
      </c>
      <c r="M96" s="1" t="str">
        <f ca="1">IFERROR(__xludf.DUMMYFUNCTION("""COMPUTED_VALUE"""),"Houston")</f>
        <v>Houston</v>
      </c>
      <c r="N96" s="1" t="str">
        <f ca="1">IFERROR(__xludf.DUMMYFUNCTION("""COMPUTED_VALUE"""),"Texas")</f>
        <v>Texas</v>
      </c>
      <c r="O96" s="1">
        <f ca="1">IFERROR(__xludf.DUMMYFUNCTION("""COMPUTED_VALUE"""),77036)</f>
        <v>77036</v>
      </c>
      <c r="P96" s="1" t="str">
        <f ca="1">IFERROR(__xludf.DUMMYFUNCTION("""COMPUTED_VALUE"""),"Central")</f>
        <v>Central</v>
      </c>
      <c r="Q96" s="1" t="str">
        <f ca="1">IFERROR(__xludf.DUMMYFUNCTION("""COMPUTED_VALUE"""),"OFF-ST-10001580")</f>
        <v>OFF-ST-10001580</v>
      </c>
      <c r="R96" s="1" t="str">
        <f ca="1">IFERROR(__xludf.DUMMYFUNCTION("""COMPUTED_VALUE"""),"Office Supplies")</f>
        <v>Office Supplies</v>
      </c>
      <c r="S96" s="7">
        <f ca="1">IFERROR(__xludf.DUMMYFUNCTION("""COMPUTED_VALUE"""),35.952)</f>
        <v>35.951999999999998</v>
      </c>
      <c r="T96" s="1">
        <f ca="1">IFERROR(__xludf.DUMMYFUNCTION("""COMPUTED_VALUE"""),7)</f>
        <v>7</v>
      </c>
      <c r="U96" s="9">
        <f ca="1">IFERROR(__xludf.DUMMYFUNCTION("""COMPUTED_VALUE"""),251.664)</f>
        <v>251.66399999999999</v>
      </c>
      <c r="V96" s="9">
        <f ca="1">IFERROR(__xludf.DUMMYFUNCTION("""COMPUTED_VALUE"""),251.369999999999)</f>
        <v>251.36999999999901</v>
      </c>
      <c r="W96" s="12">
        <f ca="1">IFERROR(__xludf.DUMMYFUNCTION("""COMPUTED_VALUE"""),0.294000000000011)</f>
        <v>0.29400000000001097</v>
      </c>
    </row>
    <row r="97" spans="1:23" ht="13.2">
      <c r="A97" s="1" t="str">
        <f ca="1">IFERROR(__xludf.DUMMYFUNCTION("""COMPUTED_VALUE"""),"CA-2017-108987")</f>
        <v>CA-2017-108987</v>
      </c>
      <c r="B97" s="8">
        <f ca="1">IFERROR(__xludf.DUMMYFUNCTION("""COMPUTED_VALUE"""),42956)</f>
        <v>42956</v>
      </c>
      <c r="C97" s="1" t="str">
        <f ca="1">IFERROR(__xludf.DUMMYFUNCTION("""COMPUTED_VALUE"""),"Aug")</f>
        <v>Aug</v>
      </c>
      <c r="D97" s="1" t="str">
        <f ca="1">IFERROR(__xludf.DUMMYFUNCTION("""COMPUTED_VALUE"""),"Qtr 3")</f>
        <v>Qtr 3</v>
      </c>
      <c r="E97" s="1" t="str">
        <f ca="1">IFERROR(__xludf.DUMMYFUNCTION("""COMPUTED_VALUE"""),"10/9/2017")</f>
        <v>10/9/2017</v>
      </c>
      <c r="F97" s="1" t="str">
        <f ca="1">IFERROR(__xludf.DUMMYFUNCTION("""COMPUTED_VALUE"""),"Second Class")</f>
        <v>Second Class</v>
      </c>
      <c r="G97" s="1" t="str">
        <f ca="1">IFERROR(__xludf.DUMMYFUNCTION("""COMPUTED_VALUE"""),"AG-10675")</f>
        <v>AG-10675</v>
      </c>
      <c r="H97" s="1" t="str">
        <f ca="1">IFERROR(__xludf.DUMMYFUNCTION("""COMPUTED_VALUE"""),"Anna")</f>
        <v>Anna</v>
      </c>
      <c r="I97" s="1" t="str">
        <f ca="1">IFERROR(__xludf.DUMMYFUNCTION("""COMPUTED_VALUE"""),"Gayman")</f>
        <v>Gayman</v>
      </c>
      <c r="J97" s="1"/>
      <c r="K97" s="1" t="str">
        <f ca="1">IFERROR(__xludf.DUMMYFUNCTION("""COMPUTED_VALUE"""),"Consumer")</f>
        <v>Consumer</v>
      </c>
      <c r="L97" s="1" t="str">
        <f ca="1">IFERROR(__xludf.DUMMYFUNCTION("""COMPUTED_VALUE"""),"United States")</f>
        <v>United States</v>
      </c>
      <c r="M97" s="1" t="str">
        <f ca="1">IFERROR(__xludf.DUMMYFUNCTION("""COMPUTED_VALUE"""),"Houston")</f>
        <v>Houston</v>
      </c>
      <c r="N97" s="1" t="str">
        <f ca="1">IFERROR(__xludf.DUMMYFUNCTION("""COMPUTED_VALUE"""),"Texas")</f>
        <v>Texas</v>
      </c>
      <c r="O97" s="1">
        <f ca="1">IFERROR(__xludf.DUMMYFUNCTION("""COMPUTED_VALUE"""),77036)</f>
        <v>77036</v>
      </c>
      <c r="P97" s="1" t="str">
        <f ca="1">IFERROR(__xludf.DUMMYFUNCTION("""COMPUTED_VALUE"""),"Central")</f>
        <v>Central</v>
      </c>
      <c r="Q97" s="1" t="str">
        <f ca="1">IFERROR(__xludf.DUMMYFUNCTION("""COMPUTED_VALUE"""),"FUR-BO-10004834")</f>
        <v>FUR-BO-10004834</v>
      </c>
      <c r="R97" s="1" t="str">
        <f ca="1">IFERROR(__xludf.DUMMYFUNCTION("""COMPUTED_VALUE"""),"Furniture")</f>
        <v>Furniture</v>
      </c>
      <c r="S97" s="7">
        <f ca="1">IFERROR(__xludf.DUMMYFUNCTION("""COMPUTED_VALUE"""),2396.2656)</f>
        <v>2396.2656000000002</v>
      </c>
      <c r="T97" s="1">
        <f ca="1">IFERROR(__xludf.DUMMYFUNCTION("""COMPUTED_VALUE"""),7)</f>
        <v>7</v>
      </c>
      <c r="U97" s="9">
        <f ca="1">IFERROR(__xludf.DUMMYFUNCTION("""COMPUTED_VALUE"""),16773.8592)</f>
        <v>16773.859199999999</v>
      </c>
      <c r="V97" s="9">
        <f ca="1">IFERROR(__xludf.DUMMYFUNCTION("""COMPUTED_VALUE"""),16770.46)</f>
        <v>16770.46</v>
      </c>
      <c r="W97" s="12">
        <f ca="1">IFERROR(__xludf.DUMMYFUNCTION("""COMPUTED_VALUE"""),3.39919999999983)</f>
        <v>3.3991999999998299</v>
      </c>
    </row>
    <row r="98" spans="1:23" ht="13.2">
      <c r="A98" s="1" t="str">
        <f ca="1">IFERROR(__xludf.DUMMYFUNCTION("""COMPUTED_VALUE"""),"CA-2017-108987")</f>
        <v>CA-2017-108987</v>
      </c>
      <c r="B98" s="8">
        <f ca="1">IFERROR(__xludf.DUMMYFUNCTION("""COMPUTED_VALUE"""),42956)</f>
        <v>42956</v>
      </c>
      <c r="C98" s="1" t="str">
        <f ca="1">IFERROR(__xludf.DUMMYFUNCTION("""COMPUTED_VALUE"""),"Aug")</f>
        <v>Aug</v>
      </c>
      <c r="D98" s="1" t="str">
        <f ca="1">IFERROR(__xludf.DUMMYFUNCTION("""COMPUTED_VALUE"""),"Qtr 3")</f>
        <v>Qtr 3</v>
      </c>
      <c r="E98" s="1" t="str">
        <f ca="1">IFERROR(__xludf.DUMMYFUNCTION("""COMPUTED_VALUE"""),"10/9/2017")</f>
        <v>10/9/2017</v>
      </c>
      <c r="F98" s="1" t="str">
        <f ca="1">IFERROR(__xludf.DUMMYFUNCTION("""COMPUTED_VALUE"""),"Second Class")</f>
        <v>Second Class</v>
      </c>
      <c r="G98" s="1" t="str">
        <f ca="1">IFERROR(__xludf.DUMMYFUNCTION("""COMPUTED_VALUE"""),"AG-10675")</f>
        <v>AG-10675</v>
      </c>
      <c r="H98" s="1" t="str">
        <f ca="1">IFERROR(__xludf.DUMMYFUNCTION("""COMPUTED_VALUE"""),"Anna")</f>
        <v>Anna</v>
      </c>
      <c r="I98" s="1" t="str">
        <f ca="1">IFERROR(__xludf.DUMMYFUNCTION("""COMPUTED_VALUE"""),"Gayman")</f>
        <v>Gayman</v>
      </c>
      <c r="J98" s="1"/>
      <c r="K98" s="1" t="str">
        <f ca="1">IFERROR(__xludf.DUMMYFUNCTION("""COMPUTED_VALUE"""),"Consumer")</f>
        <v>Consumer</v>
      </c>
      <c r="L98" s="1" t="str">
        <f ca="1">IFERROR(__xludf.DUMMYFUNCTION("""COMPUTED_VALUE"""),"United States")</f>
        <v>United States</v>
      </c>
      <c r="M98" s="1" t="str">
        <f ca="1">IFERROR(__xludf.DUMMYFUNCTION("""COMPUTED_VALUE"""),"Houston")</f>
        <v>Houston</v>
      </c>
      <c r="N98" s="1" t="str">
        <f ca="1">IFERROR(__xludf.DUMMYFUNCTION("""COMPUTED_VALUE"""),"Texas")</f>
        <v>Texas</v>
      </c>
      <c r="O98" s="1">
        <f ca="1">IFERROR(__xludf.DUMMYFUNCTION("""COMPUTED_VALUE"""),77036)</f>
        <v>77036</v>
      </c>
      <c r="P98" s="1" t="str">
        <f ca="1">IFERROR(__xludf.DUMMYFUNCTION("""COMPUTED_VALUE"""),"Central")</f>
        <v>Central</v>
      </c>
      <c r="Q98" s="1" t="str">
        <f ca="1">IFERROR(__xludf.DUMMYFUNCTION("""COMPUTED_VALUE"""),"OFF-ST-10000934")</f>
        <v>OFF-ST-10000934</v>
      </c>
      <c r="R98" s="1" t="str">
        <f ca="1">IFERROR(__xludf.DUMMYFUNCTION("""COMPUTED_VALUE"""),"Office Supplies")</f>
        <v>Office Supplies</v>
      </c>
      <c r="S98" s="7">
        <f ca="1">IFERROR(__xludf.DUMMYFUNCTION("""COMPUTED_VALUE"""),131.136)</f>
        <v>131.136</v>
      </c>
      <c r="T98" s="1">
        <f ca="1">IFERROR(__xludf.DUMMYFUNCTION("""COMPUTED_VALUE"""),7)</f>
        <v>7</v>
      </c>
      <c r="U98" s="9">
        <f ca="1">IFERROR(__xludf.DUMMYFUNCTION("""COMPUTED_VALUE"""),917.952)</f>
        <v>917.952</v>
      </c>
      <c r="V98" s="9">
        <f ca="1">IFERROR(__xludf.DUMMYFUNCTION("""COMPUTED_VALUE"""),916.79)</f>
        <v>916.79</v>
      </c>
      <c r="W98" s="12">
        <f ca="1">IFERROR(__xludf.DUMMYFUNCTION("""COMPUTED_VALUE"""),1.16200000000003)</f>
        <v>1.1620000000000299</v>
      </c>
    </row>
    <row r="99" spans="1:23" ht="13.2">
      <c r="A99" s="1" t="str">
        <f ca="1">IFERROR(__xludf.DUMMYFUNCTION("""COMPUTED_VALUE"""),"CA-2017-108987")</f>
        <v>CA-2017-108987</v>
      </c>
      <c r="B99" s="8">
        <f ca="1">IFERROR(__xludf.DUMMYFUNCTION("""COMPUTED_VALUE"""),42956)</f>
        <v>42956</v>
      </c>
      <c r="C99" s="1" t="str">
        <f ca="1">IFERROR(__xludf.DUMMYFUNCTION("""COMPUTED_VALUE"""),"Aug")</f>
        <v>Aug</v>
      </c>
      <c r="D99" s="1" t="str">
        <f ca="1">IFERROR(__xludf.DUMMYFUNCTION("""COMPUTED_VALUE"""),"Qtr 3")</f>
        <v>Qtr 3</v>
      </c>
      <c r="E99" s="1" t="str">
        <f ca="1">IFERROR(__xludf.DUMMYFUNCTION("""COMPUTED_VALUE"""),"10/9/2017")</f>
        <v>10/9/2017</v>
      </c>
      <c r="F99" s="1" t="str">
        <f ca="1">IFERROR(__xludf.DUMMYFUNCTION("""COMPUTED_VALUE"""),"Second Class")</f>
        <v>Second Class</v>
      </c>
      <c r="G99" s="1" t="str">
        <f ca="1">IFERROR(__xludf.DUMMYFUNCTION("""COMPUTED_VALUE"""),"AG-10675")</f>
        <v>AG-10675</v>
      </c>
      <c r="H99" s="1" t="str">
        <f ca="1">IFERROR(__xludf.DUMMYFUNCTION("""COMPUTED_VALUE"""),"Anna")</f>
        <v>Anna</v>
      </c>
      <c r="I99" s="1" t="str">
        <f ca="1">IFERROR(__xludf.DUMMYFUNCTION("""COMPUTED_VALUE"""),"Gayman")</f>
        <v>Gayman</v>
      </c>
      <c r="J99" s="1"/>
      <c r="K99" s="1" t="str">
        <f ca="1">IFERROR(__xludf.DUMMYFUNCTION("""COMPUTED_VALUE"""),"Consumer")</f>
        <v>Consumer</v>
      </c>
      <c r="L99" s="1" t="str">
        <f ca="1">IFERROR(__xludf.DUMMYFUNCTION("""COMPUTED_VALUE"""),"United States")</f>
        <v>United States</v>
      </c>
      <c r="M99" s="1" t="str">
        <f ca="1">IFERROR(__xludf.DUMMYFUNCTION("""COMPUTED_VALUE"""),"Houston")</f>
        <v>Houston</v>
      </c>
      <c r="N99" s="1" t="str">
        <f ca="1">IFERROR(__xludf.DUMMYFUNCTION("""COMPUTED_VALUE"""),"Texas")</f>
        <v>Texas</v>
      </c>
      <c r="O99" s="1">
        <f ca="1">IFERROR(__xludf.DUMMYFUNCTION("""COMPUTED_VALUE"""),77036)</f>
        <v>77036</v>
      </c>
      <c r="P99" s="1" t="str">
        <f ca="1">IFERROR(__xludf.DUMMYFUNCTION("""COMPUTED_VALUE"""),"Central")</f>
        <v>Central</v>
      </c>
      <c r="Q99" s="1" t="str">
        <f ca="1">IFERROR(__xludf.DUMMYFUNCTION("""COMPUTED_VALUE"""),"TEC-AC-10000158")</f>
        <v>TEC-AC-10000158</v>
      </c>
      <c r="R99" s="1" t="str">
        <f ca="1">IFERROR(__xludf.DUMMYFUNCTION("""COMPUTED_VALUE"""),"Technology")</f>
        <v>Technology</v>
      </c>
      <c r="S99" s="7">
        <f ca="1">IFERROR(__xludf.DUMMYFUNCTION("""COMPUTED_VALUE"""),57.584)</f>
        <v>57.584000000000003</v>
      </c>
      <c r="T99" s="1">
        <f ca="1">IFERROR(__xludf.DUMMYFUNCTION("""COMPUTED_VALUE"""),7)</f>
        <v>7</v>
      </c>
      <c r="U99" s="9">
        <f ca="1">IFERROR(__xludf.DUMMYFUNCTION("""COMPUTED_VALUE"""),403.088)</f>
        <v>403.08800000000002</v>
      </c>
      <c r="V99" s="9">
        <f ca="1">IFERROR(__xludf.DUMMYFUNCTION("""COMPUTED_VALUE"""),399.7)</f>
        <v>399.7</v>
      </c>
      <c r="W99" s="12">
        <f ca="1">IFERROR(__xludf.DUMMYFUNCTION("""COMPUTED_VALUE"""),3.38800000000003)</f>
        <v>3.3880000000000301</v>
      </c>
    </row>
    <row r="100" spans="1:23" ht="13.2">
      <c r="A100" s="1" t="str">
        <f ca="1">IFERROR(__xludf.DUMMYFUNCTION("""COMPUTED_VALUE"""),"CA-2018-155705")</f>
        <v>CA-2018-155705</v>
      </c>
      <c r="B100" s="8">
        <f ca="1">IFERROR(__xludf.DUMMYFUNCTION("""COMPUTED_VALUE"""),43333)</f>
        <v>43333</v>
      </c>
      <c r="C100" s="1" t="str">
        <f ca="1">IFERROR(__xludf.DUMMYFUNCTION("""COMPUTED_VALUE"""),"Aug")</f>
        <v>Aug</v>
      </c>
      <c r="D100" s="1" t="str">
        <f ca="1">IFERROR(__xludf.DUMMYFUNCTION("""COMPUTED_VALUE"""),"Qtr 3")</f>
        <v>Qtr 3</v>
      </c>
      <c r="E100" s="1" t="str">
        <f ca="1">IFERROR(__xludf.DUMMYFUNCTION("""COMPUTED_VALUE"""),"23/08/2018")</f>
        <v>23/08/2018</v>
      </c>
      <c r="F100" s="1" t="str">
        <f ca="1">IFERROR(__xludf.DUMMYFUNCTION("""COMPUTED_VALUE"""),"Second Class")</f>
        <v>Second Class</v>
      </c>
      <c r="G100" s="1" t="str">
        <f ca="1">IFERROR(__xludf.DUMMYFUNCTION("""COMPUTED_VALUE"""),"NF-18385")</f>
        <v>NF-18385</v>
      </c>
      <c r="H100" s="1" t="str">
        <f ca="1">IFERROR(__xludf.DUMMYFUNCTION("""COMPUTED_VALUE"""),"Natalie")</f>
        <v>Natalie</v>
      </c>
      <c r="I100" s="1" t="str">
        <f ca="1">IFERROR(__xludf.DUMMYFUNCTION("""COMPUTED_VALUE"""),"Fritzler")</f>
        <v>Fritzler</v>
      </c>
      <c r="J100" s="1"/>
      <c r="K100" s="1" t="str">
        <f ca="1">IFERROR(__xludf.DUMMYFUNCTION("""COMPUTED_VALUE"""),"Consumer")</f>
        <v>Consumer</v>
      </c>
      <c r="L100" s="1" t="str">
        <f ca="1">IFERROR(__xludf.DUMMYFUNCTION("""COMPUTED_VALUE"""),"United States")</f>
        <v>United States</v>
      </c>
      <c r="M100" s="1" t="str">
        <f ca="1">IFERROR(__xludf.DUMMYFUNCTION("""COMPUTED_VALUE"""),"Jackson")</f>
        <v>Jackson</v>
      </c>
      <c r="N100" s="1" t="str">
        <f ca="1">IFERROR(__xludf.DUMMYFUNCTION("""COMPUTED_VALUE"""),"Mississippi")</f>
        <v>Mississippi</v>
      </c>
      <c r="O100" s="1">
        <f ca="1">IFERROR(__xludf.DUMMYFUNCTION("""COMPUTED_VALUE"""),39212)</f>
        <v>39212</v>
      </c>
      <c r="P100" s="1" t="str">
        <f ca="1">IFERROR(__xludf.DUMMYFUNCTION("""COMPUTED_VALUE"""),"South")</f>
        <v>South</v>
      </c>
      <c r="Q100" s="1" t="str">
        <f ca="1">IFERROR(__xludf.DUMMYFUNCTION("""COMPUTED_VALUE"""),"FUR-CH-10000015")</f>
        <v>FUR-CH-10000015</v>
      </c>
      <c r="R100" s="1" t="str">
        <f ca="1">IFERROR(__xludf.DUMMYFUNCTION("""COMPUTED_VALUE"""),"Furniture")</f>
        <v>Furniture</v>
      </c>
      <c r="S100" s="7">
        <f ca="1">IFERROR(__xludf.DUMMYFUNCTION("""COMPUTED_VALUE"""),866.4)</f>
        <v>866.4</v>
      </c>
      <c r="T100" s="1">
        <f ca="1">IFERROR(__xludf.DUMMYFUNCTION("""COMPUTED_VALUE"""),3)</f>
        <v>3</v>
      </c>
      <c r="U100" s="9">
        <f ca="1">IFERROR(__xludf.DUMMYFUNCTION("""COMPUTED_VALUE"""),2599.2)</f>
        <v>2599.1999999999998</v>
      </c>
      <c r="V100" s="9">
        <f ca="1">IFERROR(__xludf.DUMMYFUNCTION("""COMPUTED_VALUE"""),2597.88)</f>
        <v>2597.88</v>
      </c>
      <c r="W100" s="12">
        <f ca="1">IFERROR(__xludf.DUMMYFUNCTION("""COMPUTED_VALUE"""),1.3199999999997)</f>
        <v>1.3199999999997001</v>
      </c>
    </row>
    <row r="101" spans="1:23" ht="13.2">
      <c r="A101" s="1" t="str">
        <f ca="1">IFERROR(__xludf.DUMMYFUNCTION("""COMPUTED_VALUE"""),"CA-2018-149160")</f>
        <v>CA-2018-149160</v>
      </c>
      <c r="B101" s="8">
        <f ca="1">IFERROR(__xludf.DUMMYFUNCTION("""COMPUTED_VALUE"""),43427)</f>
        <v>43427</v>
      </c>
      <c r="C101" s="1" t="str">
        <f ca="1">IFERROR(__xludf.DUMMYFUNCTION("""COMPUTED_VALUE"""),"Nov")</f>
        <v>Nov</v>
      </c>
      <c r="D101" s="1" t="str">
        <f ca="1">IFERROR(__xludf.DUMMYFUNCTION("""COMPUTED_VALUE"""),"Qtr 4")</f>
        <v>Qtr 4</v>
      </c>
      <c r="E101" s="1" t="str">
        <f ca="1">IFERROR(__xludf.DUMMYFUNCTION("""COMPUTED_VALUE"""),"26/11/2018")</f>
        <v>26/11/2018</v>
      </c>
      <c r="F101" s="1" t="str">
        <f ca="1">IFERROR(__xludf.DUMMYFUNCTION("""COMPUTED_VALUE"""),"Second Class")</f>
        <v>Second Class</v>
      </c>
      <c r="G101" s="1" t="str">
        <f ca="1">IFERROR(__xludf.DUMMYFUNCTION("""COMPUTED_VALUE"""),"JM-15265")</f>
        <v>JM-15265</v>
      </c>
      <c r="H101" s="1" t="str">
        <f ca="1">IFERROR(__xludf.DUMMYFUNCTION("""COMPUTED_VALUE"""),"Janet")</f>
        <v>Janet</v>
      </c>
      <c r="I101" s="1" t="str">
        <f ca="1">IFERROR(__xludf.DUMMYFUNCTION("""COMPUTED_VALUE"""),"Molinari")</f>
        <v>Molinari</v>
      </c>
      <c r="J101" s="1"/>
      <c r="K101" s="1" t="str">
        <f ca="1">IFERROR(__xludf.DUMMYFUNCTION("""COMPUTED_VALUE"""),"Corporate")</f>
        <v>Corporate</v>
      </c>
      <c r="L101" s="1" t="str">
        <f ca="1">IFERROR(__xludf.DUMMYFUNCTION("""COMPUTED_VALUE"""),"United States")</f>
        <v>United States</v>
      </c>
      <c r="M101" s="1" t="str">
        <f ca="1">IFERROR(__xludf.DUMMYFUNCTION("""COMPUTED_VALUE"""),"Canton")</f>
        <v>Canton</v>
      </c>
      <c r="N101" s="1" t="str">
        <f ca="1">IFERROR(__xludf.DUMMYFUNCTION("""COMPUTED_VALUE"""),"Michigan")</f>
        <v>Michigan</v>
      </c>
      <c r="O101" s="1">
        <f ca="1">IFERROR(__xludf.DUMMYFUNCTION("""COMPUTED_VALUE"""),48187)</f>
        <v>48187</v>
      </c>
      <c r="P101" s="1" t="str">
        <f ca="1">IFERROR(__xludf.DUMMYFUNCTION("""COMPUTED_VALUE"""),"Central")</f>
        <v>Central</v>
      </c>
      <c r="Q101" s="1" t="str">
        <f ca="1">IFERROR(__xludf.DUMMYFUNCTION("""COMPUTED_VALUE"""),"FUR-FU-10003347")</f>
        <v>FUR-FU-10003347</v>
      </c>
      <c r="R101" s="1" t="str">
        <f ca="1">IFERROR(__xludf.DUMMYFUNCTION("""COMPUTED_VALUE"""),"Furniture")</f>
        <v>Furniture</v>
      </c>
      <c r="S101" s="7">
        <f ca="1">IFERROR(__xludf.DUMMYFUNCTION("""COMPUTED_VALUE"""),28.4)</f>
        <v>28.4</v>
      </c>
      <c r="T101" s="1">
        <f ca="1">IFERROR(__xludf.DUMMYFUNCTION("""COMPUTED_VALUE"""),4)</f>
        <v>4</v>
      </c>
      <c r="U101" s="9">
        <f ca="1">IFERROR(__xludf.DUMMYFUNCTION("""COMPUTED_VALUE"""),113.6)</f>
        <v>113.6</v>
      </c>
      <c r="V101" s="9">
        <f ca="1">IFERROR(__xludf.DUMMYFUNCTION("""COMPUTED_VALUE"""),109.84)</f>
        <v>109.84</v>
      </c>
      <c r="W101" s="12">
        <f ca="1">IFERROR(__xludf.DUMMYFUNCTION("""COMPUTED_VALUE"""),3.75999999999999)</f>
        <v>3.75999999999999</v>
      </c>
    </row>
    <row r="102" spans="1:23" ht="13.2">
      <c r="A102" s="1" t="str">
        <f ca="1">IFERROR(__xludf.DUMMYFUNCTION("""COMPUTED_VALUE"""),"CA-2018-149160")</f>
        <v>CA-2018-149160</v>
      </c>
      <c r="B102" s="8">
        <f ca="1">IFERROR(__xludf.DUMMYFUNCTION("""COMPUTED_VALUE"""),43427)</f>
        <v>43427</v>
      </c>
      <c r="C102" s="1" t="str">
        <f ca="1">IFERROR(__xludf.DUMMYFUNCTION("""COMPUTED_VALUE"""),"Nov")</f>
        <v>Nov</v>
      </c>
      <c r="D102" s="1" t="str">
        <f ca="1">IFERROR(__xludf.DUMMYFUNCTION("""COMPUTED_VALUE"""),"Qtr 4")</f>
        <v>Qtr 4</v>
      </c>
      <c r="E102" s="1" t="str">
        <f ca="1">IFERROR(__xludf.DUMMYFUNCTION("""COMPUTED_VALUE"""),"26/11/2018")</f>
        <v>26/11/2018</v>
      </c>
      <c r="F102" s="1" t="str">
        <f ca="1">IFERROR(__xludf.DUMMYFUNCTION("""COMPUTED_VALUE"""),"Second Class")</f>
        <v>Second Class</v>
      </c>
      <c r="G102" s="1" t="str">
        <f ca="1">IFERROR(__xludf.DUMMYFUNCTION("""COMPUTED_VALUE"""),"JM-15265")</f>
        <v>JM-15265</v>
      </c>
      <c r="H102" s="1" t="str">
        <f ca="1">IFERROR(__xludf.DUMMYFUNCTION("""COMPUTED_VALUE"""),"Janet")</f>
        <v>Janet</v>
      </c>
      <c r="I102" s="1" t="str">
        <f ca="1">IFERROR(__xludf.DUMMYFUNCTION("""COMPUTED_VALUE"""),"Molinari")</f>
        <v>Molinari</v>
      </c>
      <c r="J102" s="1"/>
      <c r="K102" s="1" t="str">
        <f ca="1">IFERROR(__xludf.DUMMYFUNCTION("""COMPUTED_VALUE"""),"Corporate")</f>
        <v>Corporate</v>
      </c>
      <c r="L102" s="1" t="str">
        <f ca="1">IFERROR(__xludf.DUMMYFUNCTION("""COMPUTED_VALUE"""),"United States")</f>
        <v>United States</v>
      </c>
      <c r="M102" s="1" t="str">
        <f ca="1">IFERROR(__xludf.DUMMYFUNCTION("""COMPUTED_VALUE"""),"Canton")</f>
        <v>Canton</v>
      </c>
      <c r="N102" s="1" t="str">
        <f ca="1">IFERROR(__xludf.DUMMYFUNCTION("""COMPUTED_VALUE"""),"Michigan")</f>
        <v>Michigan</v>
      </c>
      <c r="O102" s="1">
        <f ca="1">IFERROR(__xludf.DUMMYFUNCTION("""COMPUTED_VALUE"""),48187)</f>
        <v>48187</v>
      </c>
      <c r="P102" s="1" t="str">
        <f ca="1">IFERROR(__xludf.DUMMYFUNCTION("""COMPUTED_VALUE"""),"Central")</f>
        <v>Central</v>
      </c>
      <c r="Q102" s="1" t="str">
        <f ca="1">IFERROR(__xludf.DUMMYFUNCTION("""COMPUTED_VALUE"""),"OFF-BI-10001543")</f>
        <v>OFF-BI-10001543</v>
      </c>
      <c r="R102" s="1" t="str">
        <f ca="1">IFERROR(__xludf.DUMMYFUNCTION("""COMPUTED_VALUE"""),"Office Supplies")</f>
        <v>Office Supplies</v>
      </c>
      <c r="S102" s="7">
        <f ca="1">IFERROR(__xludf.DUMMYFUNCTION("""COMPUTED_VALUE"""),287.92)</f>
        <v>287.92</v>
      </c>
      <c r="T102" s="1">
        <f ca="1">IFERROR(__xludf.DUMMYFUNCTION("""COMPUTED_VALUE"""),4)</f>
        <v>4</v>
      </c>
      <c r="U102" s="9">
        <f ca="1">IFERROR(__xludf.DUMMYFUNCTION("""COMPUTED_VALUE"""),1151.68)</f>
        <v>1151.68</v>
      </c>
      <c r="V102" s="9">
        <f ca="1">IFERROR(__xludf.DUMMYFUNCTION("""COMPUTED_VALUE"""),1149.16)</f>
        <v>1149.1600000000001</v>
      </c>
      <c r="W102" s="12">
        <f ca="1">IFERROR(__xludf.DUMMYFUNCTION("""COMPUTED_VALUE"""),2.51999999999998)</f>
        <v>2.51999999999998</v>
      </c>
    </row>
    <row r="103" spans="1:23" ht="13.2">
      <c r="A103" s="1" t="str">
        <f ca="1">IFERROR(__xludf.DUMMYFUNCTION("""COMPUTED_VALUE"""),"CA-2017-147375")</f>
        <v>CA-2017-147375</v>
      </c>
      <c r="B103" s="8">
        <f ca="1">IFERROR(__xludf.DUMMYFUNCTION("""COMPUTED_VALUE"""),43075)</f>
        <v>43075</v>
      </c>
      <c r="C103" s="1" t="str">
        <f ca="1">IFERROR(__xludf.DUMMYFUNCTION("""COMPUTED_VALUE"""),"Dec")</f>
        <v>Dec</v>
      </c>
      <c r="D103" s="1" t="str">
        <f ca="1">IFERROR(__xludf.DUMMYFUNCTION("""COMPUTED_VALUE"""),"Qtr 4")</f>
        <v>Qtr 4</v>
      </c>
      <c r="E103" s="1" t="str">
        <f ca="1">IFERROR(__xludf.DUMMYFUNCTION("""COMPUTED_VALUE"""),"14/06/2017")</f>
        <v>14/06/2017</v>
      </c>
      <c r="F103" s="1" t="str">
        <f ca="1">IFERROR(__xludf.DUMMYFUNCTION("""COMPUTED_VALUE"""),"Second Class")</f>
        <v>Second Class</v>
      </c>
      <c r="G103" s="1" t="str">
        <f ca="1">IFERROR(__xludf.DUMMYFUNCTION("""COMPUTED_VALUE"""),"PO-19180")</f>
        <v>PO-19180</v>
      </c>
      <c r="H103" s="1" t="str">
        <f ca="1">IFERROR(__xludf.DUMMYFUNCTION("""COMPUTED_VALUE"""),"Philisse")</f>
        <v>Philisse</v>
      </c>
      <c r="I103" s="1" t="str">
        <f ca="1">IFERROR(__xludf.DUMMYFUNCTION("""COMPUTED_VALUE"""),"Overcash")</f>
        <v>Overcash</v>
      </c>
      <c r="J103" s="1"/>
      <c r="K103" s="1" t="str">
        <f ca="1">IFERROR(__xludf.DUMMYFUNCTION("""COMPUTED_VALUE"""),"Home Office")</f>
        <v>Home Office</v>
      </c>
      <c r="L103" s="1" t="str">
        <f ca="1">IFERROR(__xludf.DUMMYFUNCTION("""COMPUTED_VALUE"""),"United States")</f>
        <v>United States</v>
      </c>
      <c r="M103" s="1" t="str">
        <f ca="1">IFERROR(__xludf.DUMMYFUNCTION("""COMPUTED_VALUE"""),"Chicago")</f>
        <v>Chicago</v>
      </c>
      <c r="N103" s="1" t="str">
        <f ca="1">IFERROR(__xludf.DUMMYFUNCTION("""COMPUTED_VALUE"""),"Illinois")</f>
        <v>Illinois</v>
      </c>
      <c r="O103" s="1">
        <f ca="1">IFERROR(__xludf.DUMMYFUNCTION("""COMPUTED_VALUE"""),60623)</f>
        <v>60623</v>
      </c>
      <c r="P103" s="1" t="str">
        <f ca="1">IFERROR(__xludf.DUMMYFUNCTION("""COMPUTED_VALUE"""),"Central")</f>
        <v>Central</v>
      </c>
      <c r="Q103" s="1" t="str">
        <f ca="1">IFERROR(__xludf.DUMMYFUNCTION("""COMPUTED_VALUE"""),"TEC-MA-10002937")</f>
        <v>TEC-MA-10002937</v>
      </c>
      <c r="R103" s="1" t="str">
        <f ca="1">IFERROR(__xludf.DUMMYFUNCTION("""COMPUTED_VALUE"""),"Technology")</f>
        <v>Technology</v>
      </c>
      <c r="S103" s="7">
        <f ca="1">IFERROR(__xludf.DUMMYFUNCTION("""COMPUTED_VALUE"""),1007.979)</f>
        <v>1007.979</v>
      </c>
      <c r="T103" s="1">
        <f ca="1">IFERROR(__xludf.DUMMYFUNCTION("""COMPUTED_VALUE"""),6)</f>
        <v>6</v>
      </c>
      <c r="U103" s="9">
        <f ca="1">IFERROR(__xludf.DUMMYFUNCTION("""COMPUTED_VALUE"""),6047.874)</f>
        <v>6047.8739999999998</v>
      </c>
      <c r="V103" s="9">
        <f ca="1">IFERROR(__xludf.DUMMYFUNCTION("""COMPUTED_VALUE"""),6044.1)</f>
        <v>6044.1</v>
      </c>
      <c r="W103" s="12">
        <f ca="1">IFERROR(__xludf.DUMMYFUNCTION("""COMPUTED_VALUE"""),3.77399999999943)</f>
        <v>3.7739999999994298</v>
      </c>
    </row>
    <row r="104" spans="1:23" ht="13.2">
      <c r="A104" s="1" t="str">
        <f ca="1">IFERROR(__xludf.DUMMYFUNCTION("""COMPUTED_VALUE"""),"CA-2017-147375")</f>
        <v>CA-2017-147375</v>
      </c>
      <c r="B104" s="8">
        <f ca="1">IFERROR(__xludf.DUMMYFUNCTION("""COMPUTED_VALUE"""),43075)</f>
        <v>43075</v>
      </c>
      <c r="C104" s="1" t="str">
        <f ca="1">IFERROR(__xludf.DUMMYFUNCTION("""COMPUTED_VALUE"""),"Dec")</f>
        <v>Dec</v>
      </c>
      <c r="D104" s="1" t="str">
        <f ca="1">IFERROR(__xludf.DUMMYFUNCTION("""COMPUTED_VALUE"""),"Qtr 4")</f>
        <v>Qtr 4</v>
      </c>
      <c r="E104" s="1" t="str">
        <f ca="1">IFERROR(__xludf.DUMMYFUNCTION("""COMPUTED_VALUE"""),"14/06/2017")</f>
        <v>14/06/2017</v>
      </c>
      <c r="F104" s="1" t="str">
        <f ca="1">IFERROR(__xludf.DUMMYFUNCTION("""COMPUTED_VALUE"""),"Second Class")</f>
        <v>Second Class</v>
      </c>
      <c r="G104" s="1" t="str">
        <f ca="1">IFERROR(__xludf.DUMMYFUNCTION("""COMPUTED_VALUE"""),"PO-19180")</f>
        <v>PO-19180</v>
      </c>
      <c r="H104" s="1" t="str">
        <f ca="1">IFERROR(__xludf.DUMMYFUNCTION("""COMPUTED_VALUE"""),"Philisse")</f>
        <v>Philisse</v>
      </c>
      <c r="I104" s="1" t="str">
        <f ca="1">IFERROR(__xludf.DUMMYFUNCTION("""COMPUTED_VALUE"""),"Overcash")</f>
        <v>Overcash</v>
      </c>
      <c r="J104" s="1"/>
      <c r="K104" s="1" t="str">
        <f ca="1">IFERROR(__xludf.DUMMYFUNCTION("""COMPUTED_VALUE"""),"Home Office")</f>
        <v>Home Office</v>
      </c>
      <c r="L104" s="1" t="str">
        <f ca="1">IFERROR(__xludf.DUMMYFUNCTION("""COMPUTED_VALUE"""),"United States")</f>
        <v>United States</v>
      </c>
      <c r="M104" s="1" t="str">
        <f ca="1">IFERROR(__xludf.DUMMYFUNCTION("""COMPUTED_VALUE"""),"Chicago")</f>
        <v>Chicago</v>
      </c>
      <c r="N104" s="1" t="str">
        <f ca="1">IFERROR(__xludf.DUMMYFUNCTION("""COMPUTED_VALUE"""),"Illinois")</f>
        <v>Illinois</v>
      </c>
      <c r="O104" s="1">
        <f ca="1">IFERROR(__xludf.DUMMYFUNCTION("""COMPUTED_VALUE"""),60623)</f>
        <v>60623</v>
      </c>
      <c r="P104" s="1" t="str">
        <f ca="1">IFERROR(__xludf.DUMMYFUNCTION("""COMPUTED_VALUE"""),"Central")</f>
        <v>Central</v>
      </c>
      <c r="Q104" s="1" t="str">
        <f ca="1">IFERROR(__xludf.DUMMYFUNCTION("""COMPUTED_VALUE"""),"OFF-PA-10001970")</f>
        <v>OFF-PA-10001970</v>
      </c>
      <c r="R104" s="1" t="str">
        <f ca="1">IFERROR(__xludf.DUMMYFUNCTION("""COMPUTED_VALUE"""),"Office Supplies")</f>
        <v>Office Supplies</v>
      </c>
      <c r="S104" s="7">
        <f ca="1">IFERROR(__xludf.DUMMYFUNCTION("""COMPUTED_VALUE"""),313.488)</f>
        <v>313.488</v>
      </c>
      <c r="T104" s="1">
        <f ca="1">IFERROR(__xludf.DUMMYFUNCTION("""COMPUTED_VALUE"""),6)</f>
        <v>6</v>
      </c>
      <c r="U104" s="9">
        <f ca="1">IFERROR(__xludf.DUMMYFUNCTION("""COMPUTED_VALUE"""),1880.92799999999)</f>
        <v>1880.9279999999901</v>
      </c>
      <c r="V104" s="9">
        <f ca="1">IFERROR(__xludf.DUMMYFUNCTION("""COMPUTED_VALUE"""),1878.24)</f>
        <v>1878.24</v>
      </c>
      <c r="W104" s="12">
        <f ca="1">IFERROR(__xludf.DUMMYFUNCTION("""COMPUTED_VALUE"""),2.68799999999964)</f>
        <v>2.68799999999964</v>
      </c>
    </row>
    <row r="105" spans="1:23" ht="13.2">
      <c r="A105" s="1" t="str">
        <f ca="1">IFERROR(__xludf.DUMMYFUNCTION("""COMPUTED_VALUE"""),"CA-2018-157252")</f>
        <v>CA-2018-157252</v>
      </c>
      <c r="B105" s="8">
        <f ca="1">IFERROR(__xludf.DUMMYFUNCTION("""COMPUTED_VALUE"""),43120)</f>
        <v>43120</v>
      </c>
      <c r="C105" s="1" t="str">
        <f ca="1">IFERROR(__xludf.DUMMYFUNCTION("""COMPUTED_VALUE"""),"Jan")</f>
        <v>Jan</v>
      </c>
      <c r="D105" s="1" t="str">
        <f ca="1">IFERROR(__xludf.DUMMYFUNCTION("""COMPUTED_VALUE"""),"Qtr 1")</f>
        <v>Qtr 1</v>
      </c>
      <c r="E105" s="1" t="str">
        <f ca="1">IFERROR(__xludf.DUMMYFUNCTION("""COMPUTED_VALUE"""),"23/01/2018")</f>
        <v>23/01/2018</v>
      </c>
      <c r="F105" s="1" t="str">
        <f ca="1">IFERROR(__xludf.DUMMYFUNCTION("""COMPUTED_VALUE"""),"Second Class")</f>
        <v>Second Class</v>
      </c>
      <c r="G105" s="1" t="str">
        <f ca="1">IFERROR(__xludf.DUMMYFUNCTION("""COMPUTED_VALUE"""),"CV-12805")</f>
        <v>CV-12805</v>
      </c>
      <c r="H105" s="1" t="str">
        <f ca="1">IFERROR(__xludf.DUMMYFUNCTION("""COMPUTED_VALUE"""),"Cynthia")</f>
        <v>Cynthia</v>
      </c>
      <c r="I105" s="1" t="str">
        <f ca="1">IFERROR(__xludf.DUMMYFUNCTION("""COMPUTED_VALUE"""),"Voltz")</f>
        <v>Voltz</v>
      </c>
      <c r="J105" s="1"/>
      <c r="K105" s="1" t="str">
        <f ca="1">IFERROR(__xludf.DUMMYFUNCTION("""COMPUTED_VALUE"""),"Corporate")</f>
        <v>Corporate</v>
      </c>
      <c r="L105" s="1" t="str">
        <f ca="1">IFERROR(__xludf.DUMMYFUNCTION("""COMPUTED_VALUE"""),"United States")</f>
        <v>United States</v>
      </c>
      <c r="M105" s="1" t="str">
        <f ca="1">IFERROR(__xludf.DUMMYFUNCTION("""COMPUTED_VALUE"""),"New York City")</f>
        <v>New York City</v>
      </c>
      <c r="N105" s="1" t="str">
        <f ca="1">IFERROR(__xludf.DUMMYFUNCTION("""COMPUTED_VALUE"""),"New York")</f>
        <v>New York</v>
      </c>
      <c r="O105" s="1">
        <f ca="1">IFERROR(__xludf.DUMMYFUNCTION("""COMPUTED_VALUE"""),10024)</f>
        <v>10024</v>
      </c>
      <c r="P105" s="1" t="str">
        <f ca="1">IFERROR(__xludf.DUMMYFUNCTION("""COMPUTED_VALUE"""),"East")</f>
        <v>East</v>
      </c>
      <c r="Q105" s="1" t="str">
        <f ca="1">IFERROR(__xludf.DUMMYFUNCTION("""COMPUTED_VALUE"""),"FUR-CH-10003396")</f>
        <v>FUR-CH-10003396</v>
      </c>
      <c r="R105" s="1" t="str">
        <f ca="1">IFERROR(__xludf.DUMMYFUNCTION("""COMPUTED_VALUE"""),"Furniture")</f>
        <v>Furniture</v>
      </c>
      <c r="S105" s="7">
        <f ca="1">IFERROR(__xludf.DUMMYFUNCTION("""COMPUTED_VALUE"""),207.846)</f>
        <v>207.846</v>
      </c>
      <c r="T105" s="1">
        <f ca="1">IFERROR(__xludf.DUMMYFUNCTION("""COMPUTED_VALUE"""),1)</f>
        <v>1</v>
      </c>
      <c r="U105" s="9">
        <f ca="1">IFERROR(__xludf.DUMMYFUNCTION("""COMPUTED_VALUE"""),207.846)</f>
        <v>207.846</v>
      </c>
      <c r="V105" s="9">
        <f ca="1">IFERROR(__xludf.DUMMYFUNCTION("""COMPUTED_VALUE"""),207.58)</f>
        <v>207.58</v>
      </c>
      <c r="W105" s="12">
        <f ca="1">IFERROR(__xludf.DUMMYFUNCTION("""COMPUTED_VALUE"""),0.265999999999991)</f>
        <v>0.26599999999999102</v>
      </c>
    </row>
    <row r="106" spans="1:23" ht="13.2">
      <c r="A106" s="1" t="str">
        <f ca="1">IFERROR(__xludf.DUMMYFUNCTION("""COMPUTED_VALUE"""),"CA-2017-115756")</f>
        <v>CA-2017-115756</v>
      </c>
      <c r="B106" s="8">
        <f ca="1">IFERROR(__xludf.DUMMYFUNCTION("""COMPUTED_VALUE"""),42864)</f>
        <v>42864</v>
      </c>
      <c r="C106" s="1" t="str">
        <f ca="1">IFERROR(__xludf.DUMMYFUNCTION("""COMPUTED_VALUE"""),"May")</f>
        <v>May</v>
      </c>
      <c r="D106" s="1" t="str">
        <f ca="1">IFERROR(__xludf.DUMMYFUNCTION("""COMPUTED_VALUE"""),"Qtr 2")</f>
        <v>Qtr 2</v>
      </c>
      <c r="E106" s="1" t="str">
        <f ca="1">IFERROR(__xludf.DUMMYFUNCTION("""COMPUTED_VALUE"""),"7/9/2017")</f>
        <v>7/9/2017</v>
      </c>
      <c r="F106" s="1" t="str">
        <f ca="1">IFERROR(__xludf.DUMMYFUNCTION("""COMPUTED_VALUE"""),"Second Class")</f>
        <v>Second Class</v>
      </c>
      <c r="G106" s="1" t="str">
        <f ca="1">IFERROR(__xludf.DUMMYFUNCTION("""COMPUTED_VALUE"""),"PK-19075")</f>
        <v>PK-19075</v>
      </c>
      <c r="H106" s="1" t="str">
        <f ca="1">IFERROR(__xludf.DUMMYFUNCTION("""COMPUTED_VALUE"""),"Pete")</f>
        <v>Pete</v>
      </c>
      <c r="I106" s="1" t="str">
        <f ca="1">IFERROR(__xludf.DUMMYFUNCTION("""COMPUTED_VALUE"""),"Kriz")</f>
        <v>Kriz</v>
      </c>
      <c r="J106" s="1"/>
      <c r="K106" s="1" t="str">
        <f ca="1">IFERROR(__xludf.DUMMYFUNCTION("""COMPUTED_VALUE"""),"Consumer")</f>
        <v>Consumer</v>
      </c>
      <c r="L106" s="1" t="str">
        <f ca="1">IFERROR(__xludf.DUMMYFUNCTION("""COMPUTED_VALUE"""),"United States")</f>
        <v>United States</v>
      </c>
      <c r="M106" s="1" t="str">
        <f ca="1">IFERROR(__xludf.DUMMYFUNCTION("""COMPUTED_VALUE"""),"Detroit")</f>
        <v>Detroit</v>
      </c>
      <c r="N106" s="1" t="str">
        <f ca="1">IFERROR(__xludf.DUMMYFUNCTION("""COMPUTED_VALUE"""),"Michigan")</f>
        <v>Michigan</v>
      </c>
      <c r="O106" s="1">
        <f ca="1">IFERROR(__xludf.DUMMYFUNCTION("""COMPUTED_VALUE"""),48227)</f>
        <v>48227</v>
      </c>
      <c r="P106" s="1" t="str">
        <f ca="1">IFERROR(__xludf.DUMMYFUNCTION("""COMPUTED_VALUE"""),"Central")</f>
        <v>Central</v>
      </c>
      <c r="Q106" s="1" t="str">
        <f ca="1">IFERROR(__xludf.DUMMYFUNCTION("""COMPUTED_VALUE"""),"FUR-FU-10000246")</f>
        <v>FUR-FU-10000246</v>
      </c>
      <c r="R106" s="1" t="str">
        <f ca="1">IFERROR(__xludf.DUMMYFUNCTION("""COMPUTED_VALUE"""),"Furniture")</f>
        <v>Furniture</v>
      </c>
      <c r="S106" s="7">
        <f ca="1">IFERROR(__xludf.DUMMYFUNCTION("""COMPUTED_VALUE"""),12.22)</f>
        <v>12.22</v>
      </c>
      <c r="T106" s="1">
        <f ca="1">IFERROR(__xludf.DUMMYFUNCTION("""COMPUTED_VALUE"""),4)</f>
        <v>4</v>
      </c>
      <c r="U106" s="9">
        <f ca="1">IFERROR(__xludf.DUMMYFUNCTION("""COMPUTED_VALUE"""),48.88)</f>
        <v>48.88</v>
      </c>
      <c r="V106" s="9">
        <f ca="1">IFERROR(__xludf.DUMMYFUNCTION("""COMPUTED_VALUE"""),46.24)</f>
        <v>46.24</v>
      </c>
      <c r="W106" s="12">
        <f ca="1">IFERROR(__xludf.DUMMYFUNCTION("""COMPUTED_VALUE"""),2.64)</f>
        <v>2.64</v>
      </c>
    </row>
    <row r="107" spans="1:23" ht="13.2">
      <c r="A107" s="1" t="str">
        <f ca="1">IFERROR(__xludf.DUMMYFUNCTION("""COMPUTED_VALUE"""),"CA-2017-115756")</f>
        <v>CA-2017-115756</v>
      </c>
      <c r="B107" s="8">
        <f ca="1">IFERROR(__xludf.DUMMYFUNCTION("""COMPUTED_VALUE"""),42864)</f>
        <v>42864</v>
      </c>
      <c r="C107" s="1" t="str">
        <f ca="1">IFERROR(__xludf.DUMMYFUNCTION("""COMPUTED_VALUE"""),"May")</f>
        <v>May</v>
      </c>
      <c r="D107" s="1" t="str">
        <f ca="1">IFERROR(__xludf.DUMMYFUNCTION("""COMPUTED_VALUE"""),"Qtr 2")</f>
        <v>Qtr 2</v>
      </c>
      <c r="E107" s="1" t="str">
        <f ca="1">IFERROR(__xludf.DUMMYFUNCTION("""COMPUTED_VALUE"""),"7/9/2017")</f>
        <v>7/9/2017</v>
      </c>
      <c r="F107" s="1" t="str">
        <f ca="1">IFERROR(__xludf.DUMMYFUNCTION("""COMPUTED_VALUE"""),"Second Class")</f>
        <v>Second Class</v>
      </c>
      <c r="G107" s="1" t="str">
        <f ca="1">IFERROR(__xludf.DUMMYFUNCTION("""COMPUTED_VALUE"""),"PK-19075")</f>
        <v>PK-19075</v>
      </c>
      <c r="H107" s="1" t="str">
        <f ca="1">IFERROR(__xludf.DUMMYFUNCTION("""COMPUTED_VALUE"""),"Pete")</f>
        <v>Pete</v>
      </c>
      <c r="I107" s="1" t="str">
        <f ca="1">IFERROR(__xludf.DUMMYFUNCTION("""COMPUTED_VALUE"""),"Kriz")</f>
        <v>Kriz</v>
      </c>
      <c r="J107" s="1"/>
      <c r="K107" s="1" t="str">
        <f ca="1">IFERROR(__xludf.DUMMYFUNCTION("""COMPUTED_VALUE"""),"Consumer")</f>
        <v>Consumer</v>
      </c>
      <c r="L107" s="1" t="str">
        <f ca="1">IFERROR(__xludf.DUMMYFUNCTION("""COMPUTED_VALUE"""),"United States")</f>
        <v>United States</v>
      </c>
      <c r="M107" s="1" t="str">
        <f ca="1">IFERROR(__xludf.DUMMYFUNCTION("""COMPUTED_VALUE"""),"Detroit")</f>
        <v>Detroit</v>
      </c>
      <c r="N107" s="1" t="str">
        <f ca="1">IFERROR(__xludf.DUMMYFUNCTION("""COMPUTED_VALUE"""),"Michigan")</f>
        <v>Michigan</v>
      </c>
      <c r="O107" s="1">
        <f ca="1">IFERROR(__xludf.DUMMYFUNCTION("""COMPUTED_VALUE"""),48227)</f>
        <v>48227</v>
      </c>
      <c r="P107" s="1" t="str">
        <f ca="1">IFERROR(__xludf.DUMMYFUNCTION("""COMPUTED_VALUE"""),"Central")</f>
        <v>Central</v>
      </c>
      <c r="Q107" s="1" t="str">
        <f ca="1">IFERROR(__xludf.DUMMYFUNCTION("""COMPUTED_VALUE"""),"OFF-ST-10000060")</f>
        <v>OFF-ST-10000060</v>
      </c>
      <c r="R107" s="1" t="str">
        <f ca="1">IFERROR(__xludf.DUMMYFUNCTION("""COMPUTED_VALUE"""),"Office Supplies")</f>
        <v>Office Supplies</v>
      </c>
      <c r="S107" s="7">
        <f ca="1">IFERROR(__xludf.DUMMYFUNCTION("""COMPUTED_VALUE"""),194.94)</f>
        <v>194.94</v>
      </c>
      <c r="T107" s="1">
        <f ca="1">IFERROR(__xludf.DUMMYFUNCTION("""COMPUTED_VALUE"""),4)</f>
        <v>4</v>
      </c>
      <c r="U107" s="9">
        <f ca="1">IFERROR(__xludf.DUMMYFUNCTION("""COMPUTED_VALUE"""),779.76)</f>
        <v>779.76</v>
      </c>
      <c r="V107" s="9">
        <f ca="1">IFERROR(__xludf.DUMMYFUNCTION("""COMPUTED_VALUE"""),777.76)</f>
        <v>777.76</v>
      </c>
      <c r="W107" s="12">
        <f ca="1">IFERROR(__xludf.DUMMYFUNCTION("""COMPUTED_VALUE"""),2)</f>
        <v>2</v>
      </c>
    </row>
    <row r="108" spans="1:23" ht="13.2">
      <c r="A108" s="1" t="str">
        <f ca="1">IFERROR(__xludf.DUMMYFUNCTION("""COMPUTED_VALUE"""),"CA-2017-115756")</f>
        <v>CA-2017-115756</v>
      </c>
      <c r="B108" s="8">
        <f ca="1">IFERROR(__xludf.DUMMYFUNCTION("""COMPUTED_VALUE"""),42864)</f>
        <v>42864</v>
      </c>
      <c r="C108" s="1" t="str">
        <f ca="1">IFERROR(__xludf.DUMMYFUNCTION("""COMPUTED_VALUE"""),"May")</f>
        <v>May</v>
      </c>
      <c r="D108" s="1" t="str">
        <f ca="1">IFERROR(__xludf.DUMMYFUNCTION("""COMPUTED_VALUE"""),"Qtr 2")</f>
        <v>Qtr 2</v>
      </c>
      <c r="E108" s="1" t="str">
        <f ca="1">IFERROR(__xludf.DUMMYFUNCTION("""COMPUTED_VALUE"""),"7/9/2017")</f>
        <v>7/9/2017</v>
      </c>
      <c r="F108" s="1" t="str">
        <f ca="1">IFERROR(__xludf.DUMMYFUNCTION("""COMPUTED_VALUE"""),"Second Class")</f>
        <v>Second Class</v>
      </c>
      <c r="G108" s="1" t="str">
        <f ca="1">IFERROR(__xludf.DUMMYFUNCTION("""COMPUTED_VALUE"""),"PK-19075")</f>
        <v>PK-19075</v>
      </c>
      <c r="H108" s="1" t="str">
        <f ca="1">IFERROR(__xludf.DUMMYFUNCTION("""COMPUTED_VALUE"""),"Pete")</f>
        <v>Pete</v>
      </c>
      <c r="I108" s="1" t="str">
        <f ca="1">IFERROR(__xludf.DUMMYFUNCTION("""COMPUTED_VALUE"""),"Kriz")</f>
        <v>Kriz</v>
      </c>
      <c r="J108" s="1"/>
      <c r="K108" s="1" t="str">
        <f ca="1">IFERROR(__xludf.DUMMYFUNCTION("""COMPUTED_VALUE"""),"Consumer")</f>
        <v>Consumer</v>
      </c>
      <c r="L108" s="1" t="str">
        <f ca="1">IFERROR(__xludf.DUMMYFUNCTION("""COMPUTED_VALUE"""),"United States")</f>
        <v>United States</v>
      </c>
      <c r="M108" s="1" t="str">
        <f ca="1">IFERROR(__xludf.DUMMYFUNCTION("""COMPUTED_VALUE"""),"Detroit")</f>
        <v>Detroit</v>
      </c>
      <c r="N108" s="1" t="str">
        <f ca="1">IFERROR(__xludf.DUMMYFUNCTION("""COMPUTED_VALUE"""),"Michigan")</f>
        <v>Michigan</v>
      </c>
      <c r="O108" s="1">
        <f ca="1">IFERROR(__xludf.DUMMYFUNCTION("""COMPUTED_VALUE"""),48227)</f>
        <v>48227</v>
      </c>
      <c r="P108" s="1" t="str">
        <f ca="1">IFERROR(__xludf.DUMMYFUNCTION("""COMPUTED_VALUE"""),"Central")</f>
        <v>Central</v>
      </c>
      <c r="Q108" s="1" t="str">
        <f ca="1">IFERROR(__xludf.DUMMYFUNCTION("""COMPUTED_VALUE"""),"OFF-ST-10003058")</f>
        <v>OFF-ST-10003058</v>
      </c>
      <c r="R108" s="1" t="str">
        <f ca="1">IFERROR(__xludf.DUMMYFUNCTION("""COMPUTED_VALUE"""),"Office Supplies")</f>
        <v>Office Supplies</v>
      </c>
      <c r="S108" s="7">
        <f ca="1">IFERROR(__xludf.DUMMYFUNCTION("""COMPUTED_VALUE"""),70.95)</f>
        <v>70.95</v>
      </c>
      <c r="T108" s="1">
        <f ca="1">IFERROR(__xludf.DUMMYFUNCTION("""COMPUTED_VALUE"""),4)</f>
        <v>4</v>
      </c>
      <c r="U108" s="9">
        <f ca="1">IFERROR(__xludf.DUMMYFUNCTION("""COMPUTED_VALUE"""),283.8)</f>
        <v>283.8</v>
      </c>
      <c r="V108" s="9">
        <f ca="1">IFERROR(__xludf.DUMMYFUNCTION("""COMPUTED_VALUE"""),281.68)</f>
        <v>281.68</v>
      </c>
      <c r="W108" s="12">
        <f ca="1">IFERROR(__xludf.DUMMYFUNCTION("""COMPUTED_VALUE"""),2.12)</f>
        <v>2.12</v>
      </c>
    </row>
    <row r="109" spans="1:23" ht="13.2">
      <c r="A109" s="1" t="str">
        <f ca="1">IFERROR(__xludf.DUMMYFUNCTION("""COMPUTED_VALUE"""),"CA-2017-115756")</f>
        <v>CA-2017-115756</v>
      </c>
      <c r="B109" s="8">
        <f ca="1">IFERROR(__xludf.DUMMYFUNCTION("""COMPUTED_VALUE"""),42864)</f>
        <v>42864</v>
      </c>
      <c r="C109" s="1" t="str">
        <f ca="1">IFERROR(__xludf.DUMMYFUNCTION("""COMPUTED_VALUE"""),"May")</f>
        <v>May</v>
      </c>
      <c r="D109" s="1" t="str">
        <f ca="1">IFERROR(__xludf.DUMMYFUNCTION("""COMPUTED_VALUE"""),"Qtr 2")</f>
        <v>Qtr 2</v>
      </c>
      <c r="E109" s="1" t="str">
        <f ca="1">IFERROR(__xludf.DUMMYFUNCTION("""COMPUTED_VALUE"""),"7/9/2017")</f>
        <v>7/9/2017</v>
      </c>
      <c r="F109" s="1" t="str">
        <f ca="1">IFERROR(__xludf.DUMMYFUNCTION("""COMPUTED_VALUE"""),"Second Class")</f>
        <v>Second Class</v>
      </c>
      <c r="G109" s="1" t="str">
        <f ca="1">IFERROR(__xludf.DUMMYFUNCTION("""COMPUTED_VALUE"""),"PK-19075")</f>
        <v>PK-19075</v>
      </c>
      <c r="H109" s="1" t="str">
        <f ca="1">IFERROR(__xludf.DUMMYFUNCTION("""COMPUTED_VALUE"""),"Pete")</f>
        <v>Pete</v>
      </c>
      <c r="I109" s="1" t="str">
        <f ca="1">IFERROR(__xludf.DUMMYFUNCTION("""COMPUTED_VALUE"""),"Kriz")</f>
        <v>Kriz</v>
      </c>
      <c r="J109" s="1"/>
      <c r="K109" s="1" t="str">
        <f ca="1">IFERROR(__xludf.DUMMYFUNCTION("""COMPUTED_VALUE"""),"Consumer")</f>
        <v>Consumer</v>
      </c>
      <c r="L109" s="1" t="str">
        <f ca="1">IFERROR(__xludf.DUMMYFUNCTION("""COMPUTED_VALUE"""),"United States")</f>
        <v>United States</v>
      </c>
      <c r="M109" s="1" t="str">
        <f ca="1">IFERROR(__xludf.DUMMYFUNCTION("""COMPUTED_VALUE"""),"Detroit")</f>
        <v>Detroit</v>
      </c>
      <c r="N109" s="1" t="str">
        <f ca="1">IFERROR(__xludf.DUMMYFUNCTION("""COMPUTED_VALUE"""),"Michigan")</f>
        <v>Michigan</v>
      </c>
      <c r="O109" s="1">
        <f ca="1">IFERROR(__xludf.DUMMYFUNCTION("""COMPUTED_VALUE"""),48227)</f>
        <v>48227</v>
      </c>
      <c r="P109" s="1" t="str">
        <f ca="1">IFERROR(__xludf.DUMMYFUNCTION("""COMPUTED_VALUE"""),"Central")</f>
        <v>Central</v>
      </c>
      <c r="Q109" s="1" t="str">
        <f ca="1">IFERROR(__xludf.DUMMYFUNCTION("""COMPUTED_VALUE"""),"OFF-PA-10002222")</f>
        <v>OFF-PA-10002222</v>
      </c>
      <c r="R109" s="1" t="str">
        <f ca="1">IFERROR(__xludf.DUMMYFUNCTION("""COMPUTED_VALUE"""),"Office Supplies")</f>
        <v>Office Supplies</v>
      </c>
      <c r="S109" s="7">
        <f ca="1">IFERROR(__xludf.DUMMYFUNCTION("""COMPUTED_VALUE"""),91.36)</f>
        <v>91.36</v>
      </c>
      <c r="T109" s="1">
        <f ca="1">IFERROR(__xludf.DUMMYFUNCTION("""COMPUTED_VALUE"""),4)</f>
        <v>4</v>
      </c>
      <c r="U109" s="9">
        <f ca="1">IFERROR(__xludf.DUMMYFUNCTION("""COMPUTED_VALUE"""),365.44)</f>
        <v>365.44</v>
      </c>
      <c r="V109" s="9">
        <f ca="1">IFERROR(__xludf.DUMMYFUNCTION("""COMPUTED_VALUE"""),361.88)</f>
        <v>361.88</v>
      </c>
      <c r="W109" s="12">
        <f ca="1">IFERROR(__xludf.DUMMYFUNCTION("""COMPUTED_VALUE"""),3.56)</f>
        <v>3.56</v>
      </c>
    </row>
    <row r="110" spans="1:23" ht="13.2">
      <c r="A110" s="1" t="str">
        <f ca="1">IFERROR(__xludf.DUMMYFUNCTION("""COMPUTED_VALUE"""),"CA-2017-115756")</f>
        <v>CA-2017-115756</v>
      </c>
      <c r="B110" s="8">
        <f ca="1">IFERROR(__xludf.DUMMYFUNCTION("""COMPUTED_VALUE"""),42864)</f>
        <v>42864</v>
      </c>
      <c r="C110" s="1" t="str">
        <f ca="1">IFERROR(__xludf.DUMMYFUNCTION("""COMPUTED_VALUE"""),"May")</f>
        <v>May</v>
      </c>
      <c r="D110" s="1" t="str">
        <f ca="1">IFERROR(__xludf.DUMMYFUNCTION("""COMPUTED_VALUE"""),"Qtr 2")</f>
        <v>Qtr 2</v>
      </c>
      <c r="E110" s="1" t="str">
        <f ca="1">IFERROR(__xludf.DUMMYFUNCTION("""COMPUTED_VALUE"""),"7/9/2017")</f>
        <v>7/9/2017</v>
      </c>
      <c r="F110" s="1" t="str">
        <f ca="1">IFERROR(__xludf.DUMMYFUNCTION("""COMPUTED_VALUE"""),"Second Class")</f>
        <v>Second Class</v>
      </c>
      <c r="G110" s="1" t="str">
        <f ca="1">IFERROR(__xludf.DUMMYFUNCTION("""COMPUTED_VALUE"""),"PK-19075")</f>
        <v>PK-19075</v>
      </c>
      <c r="H110" s="1" t="str">
        <f ca="1">IFERROR(__xludf.DUMMYFUNCTION("""COMPUTED_VALUE"""),"Pete")</f>
        <v>Pete</v>
      </c>
      <c r="I110" s="1" t="str">
        <f ca="1">IFERROR(__xludf.DUMMYFUNCTION("""COMPUTED_VALUE"""),"Kriz")</f>
        <v>Kriz</v>
      </c>
      <c r="J110" s="1"/>
      <c r="K110" s="1" t="str">
        <f ca="1">IFERROR(__xludf.DUMMYFUNCTION("""COMPUTED_VALUE"""),"Consumer")</f>
        <v>Consumer</v>
      </c>
      <c r="L110" s="1" t="str">
        <f ca="1">IFERROR(__xludf.DUMMYFUNCTION("""COMPUTED_VALUE"""),"United States")</f>
        <v>United States</v>
      </c>
      <c r="M110" s="1" t="str">
        <f ca="1">IFERROR(__xludf.DUMMYFUNCTION("""COMPUTED_VALUE"""),"Detroit")</f>
        <v>Detroit</v>
      </c>
      <c r="N110" s="1" t="str">
        <f ca="1">IFERROR(__xludf.DUMMYFUNCTION("""COMPUTED_VALUE"""),"Michigan")</f>
        <v>Michigan</v>
      </c>
      <c r="O110" s="1">
        <f ca="1">IFERROR(__xludf.DUMMYFUNCTION("""COMPUTED_VALUE"""),48227)</f>
        <v>48227</v>
      </c>
      <c r="P110" s="1" t="str">
        <f ca="1">IFERROR(__xludf.DUMMYFUNCTION("""COMPUTED_VALUE"""),"Central")</f>
        <v>Central</v>
      </c>
      <c r="Q110" s="1" t="str">
        <f ca="1">IFERROR(__xludf.DUMMYFUNCTION("""COMPUTED_VALUE"""),"FUR-CH-10002372")</f>
        <v>FUR-CH-10002372</v>
      </c>
      <c r="R110" s="1" t="str">
        <f ca="1">IFERROR(__xludf.DUMMYFUNCTION("""COMPUTED_VALUE"""),"Furniture")</f>
        <v>Furniture</v>
      </c>
      <c r="S110" s="7">
        <f ca="1">IFERROR(__xludf.DUMMYFUNCTION("""COMPUTED_VALUE"""),242.94)</f>
        <v>242.94</v>
      </c>
      <c r="T110" s="1">
        <f ca="1">IFERROR(__xludf.DUMMYFUNCTION("""COMPUTED_VALUE"""),4)</f>
        <v>4</v>
      </c>
      <c r="U110" s="9">
        <f ca="1">IFERROR(__xludf.DUMMYFUNCTION("""COMPUTED_VALUE"""),971.76)</f>
        <v>971.76</v>
      </c>
      <c r="V110" s="9">
        <f ca="1">IFERROR(__xludf.DUMMYFUNCTION("""COMPUTED_VALUE"""),968.68)</f>
        <v>968.68</v>
      </c>
      <c r="W110" s="12">
        <f ca="1">IFERROR(__xludf.DUMMYFUNCTION("""COMPUTED_VALUE"""),3.08000000000004)</f>
        <v>3.08000000000004</v>
      </c>
    </row>
    <row r="111" spans="1:23" ht="13.2">
      <c r="A111" s="1" t="str">
        <f ca="1">IFERROR(__xludf.DUMMYFUNCTION("""COMPUTED_VALUE"""),"CA-2017-115756")</f>
        <v>CA-2017-115756</v>
      </c>
      <c r="B111" s="8">
        <f ca="1">IFERROR(__xludf.DUMMYFUNCTION("""COMPUTED_VALUE"""),42864)</f>
        <v>42864</v>
      </c>
      <c r="C111" s="1" t="str">
        <f ca="1">IFERROR(__xludf.DUMMYFUNCTION("""COMPUTED_VALUE"""),"May")</f>
        <v>May</v>
      </c>
      <c r="D111" s="1" t="str">
        <f ca="1">IFERROR(__xludf.DUMMYFUNCTION("""COMPUTED_VALUE"""),"Qtr 2")</f>
        <v>Qtr 2</v>
      </c>
      <c r="E111" s="1" t="str">
        <f ca="1">IFERROR(__xludf.DUMMYFUNCTION("""COMPUTED_VALUE"""),"7/9/2017")</f>
        <v>7/9/2017</v>
      </c>
      <c r="F111" s="1" t="str">
        <f ca="1">IFERROR(__xludf.DUMMYFUNCTION("""COMPUTED_VALUE"""),"Second Class")</f>
        <v>Second Class</v>
      </c>
      <c r="G111" s="1" t="str">
        <f ca="1">IFERROR(__xludf.DUMMYFUNCTION("""COMPUTED_VALUE"""),"PK-19075")</f>
        <v>PK-19075</v>
      </c>
      <c r="H111" s="1" t="str">
        <f ca="1">IFERROR(__xludf.DUMMYFUNCTION("""COMPUTED_VALUE"""),"Pete")</f>
        <v>Pete</v>
      </c>
      <c r="I111" s="1" t="str">
        <f ca="1">IFERROR(__xludf.DUMMYFUNCTION("""COMPUTED_VALUE"""),"Kriz")</f>
        <v>Kriz</v>
      </c>
      <c r="J111" s="1"/>
      <c r="K111" s="1" t="str">
        <f ca="1">IFERROR(__xludf.DUMMYFUNCTION("""COMPUTED_VALUE"""),"Consumer")</f>
        <v>Consumer</v>
      </c>
      <c r="L111" s="1" t="str">
        <f ca="1">IFERROR(__xludf.DUMMYFUNCTION("""COMPUTED_VALUE"""),"United States")</f>
        <v>United States</v>
      </c>
      <c r="M111" s="1" t="str">
        <f ca="1">IFERROR(__xludf.DUMMYFUNCTION("""COMPUTED_VALUE"""),"Detroit")</f>
        <v>Detroit</v>
      </c>
      <c r="N111" s="1" t="str">
        <f ca="1">IFERROR(__xludf.DUMMYFUNCTION("""COMPUTED_VALUE"""),"Michigan")</f>
        <v>Michigan</v>
      </c>
      <c r="O111" s="1">
        <f ca="1">IFERROR(__xludf.DUMMYFUNCTION("""COMPUTED_VALUE"""),48227)</f>
        <v>48227</v>
      </c>
      <c r="P111" s="1" t="str">
        <f ca="1">IFERROR(__xludf.DUMMYFUNCTION("""COMPUTED_VALUE"""),"Central")</f>
        <v>Central</v>
      </c>
      <c r="Q111" s="1" t="str">
        <f ca="1">IFERROR(__xludf.DUMMYFUNCTION("""COMPUTED_VALUE"""),"OFF-LA-10001317")</f>
        <v>OFF-LA-10001317</v>
      </c>
      <c r="R111" s="1" t="str">
        <f ca="1">IFERROR(__xludf.DUMMYFUNCTION("""COMPUTED_VALUE"""),"Office Supplies")</f>
        <v>Office Supplies</v>
      </c>
      <c r="S111" s="7">
        <f ca="1">IFERROR(__xludf.DUMMYFUNCTION("""COMPUTED_VALUE"""),22.05)</f>
        <v>22.05</v>
      </c>
      <c r="T111" s="1">
        <f ca="1">IFERROR(__xludf.DUMMYFUNCTION("""COMPUTED_VALUE"""),4)</f>
        <v>4</v>
      </c>
      <c r="U111" s="9">
        <f ca="1">IFERROR(__xludf.DUMMYFUNCTION("""COMPUTED_VALUE"""),88.2)</f>
        <v>88.2</v>
      </c>
      <c r="V111" s="9">
        <f ca="1">IFERROR(__xludf.DUMMYFUNCTION("""COMPUTED_VALUE"""),84.56)</f>
        <v>84.56</v>
      </c>
      <c r="W111" s="12">
        <f ca="1">IFERROR(__xludf.DUMMYFUNCTION("""COMPUTED_VALUE"""),3.64)</f>
        <v>3.64</v>
      </c>
    </row>
    <row r="112" spans="1:23" ht="13.2">
      <c r="A112" s="1" t="str">
        <f ca="1">IFERROR(__xludf.DUMMYFUNCTION("""COMPUTED_VALUE"""),"CA-2018-154214")</f>
        <v>CA-2018-154214</v>
      </c>
      <c r="B112" s="8">
        <f ca="1">IFERROR(__xludf.DUMMYFUNCTION("""COMPUTED_VALUE"""),43179)</f>
        <v>43179</v>
      </c>
      <c r="C112" s="1" t="str">
        <f ca="1">IFERROR(__xludf.DUMMYFUNCTION("""COMPUTED_VALUE"""),"Mar")</f>
        <v>Mar</v>
      </c>
      <c r="D112" s="1" t="str">
        <f ca="1">IFERROR(__xludf.DUMMYFUNCTION("""COMPUTED_VALUE"""),"Qtr 1")</f>
        <v>Qtr 1</v>
      </c>
      <c r="E112" s="1" t="str">
        <f ca="1">IFERROR(__xludf.DUMMYFUNCTION("""COMPUTED_VALUE"""),"25/03/2018")</f>
        <v>25/03/2018</v>
      </c>
      <c r="F112" s="1" t="str">
        <f ca="1">IFERROR(__xludf.DUMMYFUNCTION("""COMPUTED_VALUE"""),"Second Class")</f>
        <v>Second Class</v>
      </c>
      <c r="G112" s="1" t="str">
        <f ca="1">IFERROR(__xludf.DUMMYFUNCTION("""COMPUTED_VALUE"""),"TB-21595")</f>
        <v>TB-21595</v>
      </c>
      <c r="H112" s="1" t="str">
        <f ca="1">IFERROR(__xludf.DUMMYFUNCTION("""COMPUTED_VALUE"""),"Troy")</f>
        <v>Troy</v>
      </c>
      <c r="I112" s="1" t="str">
        <f ca="1">IFERROR(__xludf.DUMMYFUNCTION("""COMPUTED_VALUE"""),"Blackwell")</f>
        <v>Blackwell</v>
      </c>
      <c r="J112" s="1"/>
      <c r="K112" s="1" t="str">
        <f ca="1">IFERROR(__xludf.DUMMYFUNCTION("""COMPUTED_VALUE"""),"Consumer")</f>
        <v>Consumer</v>
      </c>
      <c r="L112" s="1" t="str">
        <f ca="1">IFERROR(__xludf.DUMMYFUNCTION("""COMPUTED_VALUE"""),"United States")</f>
        <v>United States</v>
      </c>
      <c r="M112" s="1" t="str">
        <f ca="1">IFERROR(__xludf.DUMMYFUNCTION("""COMPUTED_VALUE"""),"Columbus")</f>
        <v>Columbus</v>
      </c>
      <c r="N112" s="1" t="str">
        <f ca="1">IFERROR(__xludf.DUMMYFUNCTION("""COMPUTED_VALUE"""),"Indiana")</f>
        <v>Indiana</v>
      </c>
      <c r="O112" s="1">
        <f ca="1">IFERROR(__xludf.DUMMYFUNCTION("""COMPUTED_VALUE"""),47201)</f>
        <v>47201</v>
      </c>
      <c r="P112" s="1" t="str">
        <f ca="1">IFERROR(__xludf.DUMMYFUNCTION("""COMPUTED_VALUE"""),"Central")</f>
        <v>Central</v>
      </c>
      <c r="Q112" s="1" t="str">
        <f ca="1">IFERROR(__xludf.DUMMYFUNCTION("""COMPUTED_VALUE"""),"FUR-FU-10000206")</f>
        <v>FUR-FU-10000206</v>
      </c>
      <c r="R112" s="1" t="str">
        <f ca="1">IFERROR(__xludf.DUMMYFUNCTION("""COMPUTED_VALUE"""),"Furniture")</f>
        <v>Furniture</v>
      </c>
      <c r="S112" s="7">
        <f ca="1">IFERROR(__xludf.DUMMYFUNCTION("""COMPUTED_VALUE"""),2.91)</f>
        <v>2.91</v>
      </c>
      <c r="T112" s="1">
        <f ca="1">IFERROR(__xludf.DUMMYFUNCTION("""COMPUTED_VALUE"""),4)</f>
        <v>4</v>
      </c>
      <c r="U112" s="9">
        <f ca="1">IFERROR(__xludf.DUMMYFUNCTION("""COMPUTED_VALUE"""),11.64)</f>
        <v>11.64</v>
      </c>
      <c r="V112" s="9">
        <f ca="1">IFERROR(__xludf.DUMMYFUNCTION("""COMPUTED_VALUE"""),8.68)</f>
        <v>8.68</v>
      </c>
      <c r="W112" s="12">
        <f ca="1">IFERROR(__xludf.DUMMYFUNCTION("""COMPUTED_VALUE"""),2.96)</f>
        <v>2.96</v>
      </c>
    </row>
    <row r="113" spans="1:23" ht="13.2">
      <c r="A113" s="1" t="str">
        <f ca="1">IFERROR(__xludf.DUMMYFUNCTION("""COMPUTED_VALUE"""),"CA-2017-166674")</f>
        <v>CA-2017-166674</v>
      </c>
      <c r="B113" s="8">
        <f ca="1">IFERROR(__xludf.DUMMYFUNCTION("""COMPUTED_VALUE"""),42739)</f>
        <v>42739</v>
      </c>
      <c r="C113" s="1" t="str">
        <f ca="1">IFERROR(__xludf.DUMMYFUNCTION("""COMPUTED_VALUE"""),"Jan")</f>
        <v>Jan</v>
      </c>
      <c r="D113" s="1" t="str">
        <f ca="1">IFERROR(__xludf.DUMMYFUNCTION("""COMPUTED_VALUE"""),"Qtr 1")</f>
        <v>Qtr 1</v>
      </c>
      <c r="E113" s="1" t="str">
        <f ca="1">IFERROR(__xludf.DUMMYFUNCTION("""COMPUTED_VALUE"""),"3/4/2017")</f>
        <v>3/4/2017</v>
      </c>
      <c r="F113" s="1" t="str">
        <f ca="1">IFERROR(__xludf.DUMMYFUNCTION("""COMPUTED_VALUE"""),"Second Class")</f>
        <v>Second Class</v>
      </c>
      <c r="G113" s="1" t="str">
        <f ca="1">IFERROR(__xludf.DUMMYFUNCTION("""COMPUTED_VALUE"""),"RB-19360")</f>
        <v>RB-19360</v>
      </c>
      <c r="H113" s="1" t="str">
        <f ca="1">IFERROR(__xludf.DUMMYFUNCTION("""COMPUTED_VALUE"""),"Raymond")</f>
        <v>Raymond</v>
      </c>
      <c r="I113" s="1" t="str">
        <f ca="1">IFERROR(__xludf.DUMMYFUNCTION("""COMPUTED_VALUE"""),"Buch")</f>
        <v>Buch</v>
      </c>
      <c r="J113" s="1"/>
      <c r="K113" s="1" t="str">
        <f ca="1">IFERROR(__xludf.DUMMYFUNCTION("""COMPUTED_VALUE"""),"Consumer")</f>
        <v>Consumer</v>
      </c>
      <c r="L113" s="1" t="str">
        <f ca="1">IFERROR(__xludf.DUMMYFUNCTION("""COMPUTED_VALUE"""),"United States")</f>
        <v>United States</v>
      </c>
      <c r="M113" s="1" t="str">
        <f ca="1">IFERROR(__xludf.DUMMYFUNCTION("""COMPUTED_VALUE"""),"Auburn")</f>
        <v>Auburn</v>
      </c>
      <c r="N113" s="1" t="str">
        <f ca="1">IFERROR(__xludf.DUMMYFUNCTION("""COMPUTED_VALUE"""),"New York")</f>
        <v>New York</v>
      </c>
      <c r="O113" s="1">
        <f ca="1">IFERROR(__xludf.DUMMYFUNCTION("""COMPUTED_VALUE"""),13021)</f>
        <v>13021</v>
      </c>
      <c r="P113" s="1" t="str">
        <f ca="1">IFERROR(__xludf.DUMMYFUNCTION("""COMPUTED_VALUE"""),"East")</f>
        <v>East</v>
      </c>
      <c r="Q113" s="1" t="str">
        <f ca="1">IFERROR(__xludf.DUMMYFUNCTION("""COMPUTED_VALUE"""),"OFF-AR-10000588")</f>
        <v>OFF-AR-10000588</v>
      </c>
      <c r="R113" s="1" t="str">
        <f ca="1">IFERROR(__xludf.DUMMYFUNCTION("""COMPUTED_VALUE"""),"Office Supplies")</f>
        <v>Office Supplies</v>
      </c>
      <c r="S113" s="7">
        <f ca="1">IFERROR(__xludf.DUMMYFUNCTION("""COMPUTED_VALUE"""),59.52)</f>
        <v>59.52</v>
      </c>
      <c r="T113" s="1">
        <f ca="1">IFERROR(__xludf.DUMMYFUNCTION("""COMPUTED_VALUE"""),1)</f>
        <v>1</v>
      </c>
      <c r="U113" s="9">
        <f ca="1">IFERROR(__xludf.DUMMYFUNCTION("""COMPUTED_VALUE"""),59.52)</f>
        <v>59.52</v>
      </c>
      <c r="V113" s="9">
        <f ca="1">IFERROR(__xludf.DUMMYFUNCTION("""COMPUTED_VALUE"""),58.78)</f>
        <v>58.78</v>
      </c>
      <c r="W113" s="12">
        <f ca="1">IFERROR(__xludf.DUMMYFUNCTION("""COMPUTED_VALUE"""),0.740000000000002)</f>
        <v>0.74000000000000199</v>
      </c>
    </row>
    <row r="114" spans="1:23" ht="13.2">
      <c r="A114" s="1" t="str">
        <f ca="1">IFERROR(__xludf.DUMMYFUNCTION("""COMPUTED_VALUE"""),"CA-2017-166674")</f>
        <v>CA-2017-166674</v>
      </c>
      <c r="B114" s="8">
        <f ca="1">IFERROR(__xludf.DUMMYFUNCTION("""COMPUTED_VALUE"""),42739)</f>
        <v>42739</v>
      </c>
      <c r="C114" s="1" t="str">
        <f ca="1">IFERROR(__xludf.DUMMYFUNCTION("""COMPUTED_VALUE"""),"Jan")</f>
        <v>Jan</v>
      </c>
      <c r="D114" s="1" t="str">
        <f ca="1">IFERROR(__xludf.DUMMYFUNCTION("""COMPUTED_VALUE"""),"Qtr 1")</f>
        <v>Qtr 1</v>
      </c>
      <c r="E114" s="1" t="str">
        <f ca="1">IFERROR(__xludf.DUMMYFUNCTION("""COMPUTED_VALUE"""),"3/4/2017")</f>
        <v>3/4/2017</v>
      </c>
      <c r="F114" s="1" t="str">
        <f ca="1">IFERROR(__xludf.DUMMYFUNCTION("""COMPUTED_VALUE"""),"Second Class")</f>
        <v>Second Class</v>
      </c>
      <c r="G114" s="1" t="str">
        <f ca="1">IFERROR(__xludf.DUMMYFUNCTION("""COMPUTED_VALUE"""),"RB-19360")</f>
        <v>RB-19360</v>
      </c>
      <c r="H114" s="1" t="str">
        <f ca="1">IFERROR(__xludf.DUMMYFUNCTION("""COMPUTED_VALUE"""),"Raymond")</f>
        <v>Raymond</v>
      </c>
      <c r="I114" s="1" t="str">
        <f ca="1">IFERROR(__xludf.DUMMYFUNCTION("""COMPUTED_VALUE"""),"Buch")</f>
        <v>Buch</v>
      </c>
      <c r="J114" s="1"/>
      <c r="K114" s="1" t="str">
        <f ca="1">IFERROR(__xludf.DUMMYFUNCTION("""COMPUTED_VALUE"""),"Consumer")</f>
        <v>Consumer</v>
      </c>
      <c r="L114" s="1" t="str">
        <f ca="1">IFERROR(__xludf.DUMMYFUNCTION("""COMPUTED_VALUE"""),"United States")</f>
        <v>United States</v>
      </c>
      <c r="M114" s="1" t="str">
        <f ca="1">IFERROR(__xludf.DUMMYFUNCTION("""COMPUTED_VALUE"""),"Auburn")</f>
        <v>Auburn</v>
      </c>
      <c r="N114" s="1" t="str">
        <f ca="1">IFERROR(__xludf.DUMMYFUNCTION("""COMPUTED_VALUE"""),"New York")</f>
        <v>New York</v>
      </c>
      <c r="O114" s="1">
        <f ca="1">IFERROR(__xludf.DUMMYFUNCTION("""COMPUTED_VALUE"""),13021)</f>
        <v>13021</v>
      </c>
      <c r="P114" s="1" t="str">
        <f ca="1">IFERROR(__xludf.DUMMYFUNCTION("""COMPUTED_VALUE"""),"East")</f>
        <v>East</v>
      </c>
      <c r="Q114" s="1" t="str">
        <f ca="1">IFERROR(__xludf.DUMMYFUNCTION("""COMPUTED_VALUE"""),"OFF-ST-10001469")</f>
        <v>OFF-ST-10001469</v>
      </c>
      <c r="R114" s="1" t="str">
        <f ca="1">IFERROR(__xludf.DUMMYFUNCTION("""COMPUTED_VALUE"""),"Office Supplies")</f>
        <v>Office Supplies</v>
      </c>
      <c r="S114" s="7">
        <f ca="1">IFERROR(__xludf.DUMMYFUNCTION("""COMPUTED_VALUE"""),161.94)</f>
        <v>161.94</v>
      </c>
      <c r="T114" s="1">
        <f ca="1">IFERROR(__xludf.DUMMYFUNCTION("""COMPUTED_VALUE"""),1)</f>
        <v>1</v>
      </c>
      <c r="U114" s="9">
        <f ca="1">IFERROR(__xludf.DUMMYFUNCTION("""COMPUTED_VALUE"""),161.94)</f>
        <v>161.94</v>
      </c>
      <c r="V114" s="9">
        <f ca="1">IFERROR(__xludf.DUMMYFUNCTION("""COMPUTED_VALUE"""),161.59)</f>
        <v>161.59</v>
      </c>
      <c r="W114" s="12">
        <f ca="1">IFERROR(__xludf.DUMMYFUNCTION("""COMPUTED_VALUE"""),0.349999999999994)</f>
        <v>0.34999999999999398</v>
      </c>
    </row>
    <row r="115" spans="1:23" ht="13.2">
      <c r="A115" s="1" t="str">
        <f ca="1">IFERROR(__xludf.DUMMYFUNCTION("""COMPUTED_VALUE"""),"CA-2017-166674")</f>
        <v>CA-2017-166674</v>
      </c>
      <c r="B115" s="8">
        <f ca="1">IFERROR(__xludf.DUMMYFUNCTION("""COMPUTED_VALUE"""),42739)</f>
        <v>42739</v>
      </c>
      <c r="C115" s="1" t="str">
        <f ca="1">IFERROR(__xludf.DUMMYFUNCTION("""COMPUTED_VALUE"""),"Jan")</f>
        <v>Jan</v>
      </c>
      <c r="D115" s="1" t="str">
        <f ca="1">IFERROR(__xludf.DUMMYFUNCTION("""COMPUTED_VALUE"""),"Qtr 1")</f>
        <v>Qtr 1</v>
      </c>
      <c r="E115" s="1" t="str">
        <f ca="1">IFERROR(__xludf.DUMMYFUNCTION("""COMPUTED_VALUE"""),"3/4/2017")</f>
        <v>3/4/2017</v>
      </c>
      <c r="F115" s="1" t="str">
        <f ca="1">IFERROR(__xludf.DUMMYFUNCTION("""COMPUTED_VALUE"""),"Second Class")</f>
        <v>Second Class</v>
      </c>
      <c r="G115" s="1" t="str">
        <f ca="1">IFERROR(__xludf.DUMMYFUNCTION("""COMPUTED_VALUE"""),"RB-19360")</f>
        <v>RB-19360</v>
      </c>
      <c r="H115" s="1" t="str">
        <f ca="1">IFERROR(__xludf.DUMMYFUNCTION("""COMPUTED_VALUE"""),"Raymond")</f>
        <v>Raymond</v>
      </c>
      <c r="I115" s="1" t="str">
        <f ca="1">IFERROR(__xludf.DUMMYFUNCTION("""COMPUTED_VALUE"""),"Buch")</f>
        <v>Buch</v>
      </c>
      <c r="J115" s="1"/>
      <c r="K115" s="1" t="str">
        <f ca="1">IFERROR(__xludf.DUMMYFUNCTION("""COMPUTED_VALUE"""),"Consumer")</f>
        <v>Consumer</v>
      </c>
      <c r="L115" s="1" t="str">
        <f ca="1">IFERROR(__xludf.DUMMYFUNCTION("""COMPUTED_VALUE"""),"United States")</f>
        <v>United States</v>
      </c>
      <c r="M115" s="1" t="str">
        <f ca="1">IFERROR(__xludf.DUMMYFUNCTION("""COMPUTED_VALUE"""),"Auburn")</f>
        <v>Auburn</v>
      </c>
      <c r="N115" s="1" t="str">
        <f ca="1">IFERROR(__xludf.DUMMYFUNCTION("""COMPUTED_VALUE"""),"New York")</f>
        <v>New York</v>
      </c>
      <c r="O115" s="1">
        <f ca="1">IFERROR(__xludf.DUMMYFUNCTION("""COMPUTED_VALUE"""),13021)</f>
        <v>13021</v>
      </c>
      <c r="P115" s="1" t="str">
        <f ca="1">IFERROR(__xludf.DUMMYFUNCTION("""COMPUTED_VALUE"""),"East")</f>
        <v>East</v>
      </c>
      <c r="Q115" s="1" t="str">
        <f ca="1">IFERROR(__xludf.DUMMYFUNCTION("""COMPUTED_VALUE"""),"OFF-AR-10001953")</f>
        <v>OFF-AR-10001953</v>
      </c>
      <c r="R115" s="1" t="str">
        <f ca="1">IFERROR(__xludf.DUMMYFUNCTION("""COMPUTED_VALUE"""),"Office Supplies")</f>
        <v>Office Supplies</v>
      </c>
      <c r="S115" s="7">
        <f ca="1">IFERROR(__xludf.DUMMYFUNCTION("""COMPUTED_VALUE"""),263.88)</f>
        <v>263.88</v>
      </c>
      <c r="T115" s="1">
        <f ca="1">IFERROR(__xludf.DUMMYFUNCTION("""COMPUTED_VALUE"""),1)</f>
        <v>1</v>
      </c>
      <c r="U115" s="9">
        <f ca="1">IFERROR(__xludf.DUMMYFUNCTION("""COMPUTED_VALUE"""),263.88)</f>
        <v>263.88</v>
      </c>
      <c r="V115" s="9">
        <f ca="1">IFERROR(__xludf.DUMMYFUNCTION("""COMPUTED_VALUE"""),263.38)</f>
        <v>263.38</v>
      </c>
      <c r="W115" s="12">
        <f ca="1">IFERROR(__xludf.DUMMYFUNCTION("""COMPUTED_VALUE"""),0.5)</f>
        <v>0.5</v>
      </c>
    </row>
    <row r="116" spans="1:23" ht="13.2">
      <c r="A116" s="1" t="str">
        <f ca="1">IFERROR(__xludf.DUMMYFUNCTION("""COMPUTED_VALUE"""),"CA-2017-166674")</f>
        <v>CA-2017-166674</v>
      </c>
      <c r="B116" s="8">
        <f ca="1">IFERROR(__xludf.DUMMYFUNCTION("""COMPUTED_VALUE"""),42739)</f>
        <v>42739</v>
      </c>
      <c r="C116" s="1" t="str">
        <f ca="1">IFERROR(__xludf.DUMMYFUNCTION("""COMPUTED_VALUE"""),"Jan")</f>
        <v>Jan</v>
      </c>
      <c r="D116" s="1" t="str">
        <f ca="1">IFERROR(__xludf.DUMMYFUNCTION("""COMPUTED_VALUE"""),"Qtr 1")</f>
        <v>Qtr 1</v>
      </c>
      <c r="E116" s="1" t="str">
        <f ca="1">IFERROR(__xludf.DUMMYFUNCTION("""COMPUTED_VALUE"""),"3/4/2017")</f>
        <v>3/4/2017</v>
      </c>
      <c r="F116" s="1" t="str">
        <f ca="1">IFERROR(__xludf.DUMMYFUNCTION("""COMPUTED_VALUE"""),"Second Class")</f>
        <v>Second Class</v>
      </c>
      <c r="G116" s="1" t="str">
        <f ca="1">IFERROR(__xludf.DUMMYFUNCTION("""COMPUTED_VALUE"""),"RB-19360")</f>
        <v>RB-19360</v>
      </c>
      <c r="H116" s="1" t="str">
        <f ca="1">IFERROR(__xludf.DUMMYFUNCTION("""COMPUTED_VALUE"""),"Raymond")</f>
        <v>Raymond</v>
      </c>
      <c r="I116" s="1" t="str">
        <f ca="1">IFERROR(__xludf.DUMMYFUNCTION("""COMPUTED_VALUE"""),"Buch")</f>
        <v>Buch</v>
      </c>
      <c r="J116" s="1"/>
      <c r="K116" s="1" t="str">
        <f ca="1">IFERROR(__xludf.DUMMYFUNCTION("""COMPUTED_VALUE"""),"Consumer")</f>
        <v>Consumer</v>
      </c>
      <c r="L116" s="1" t="str">
        <f ca="1">IFERROR(__xludf.DUMMYFUNCTION("""COMPUTED_VALUE"""),"United States")</f>
        <v>United States</v>
      </c>
      <c r="M116" s="1" t="str">
        <f ca="1">IFERROR(__xludf.DUMMYFUNCTION("""COMPUTED_VALUE"""),"Auburn")</f>
        <v>Auburn</v>
      </c>
      <c r="N116" s="1" t="str">
        <f ca="1">IFERROR(__xludf.DUMMYFUNCTION("""COMPUTED_VALUE"""),"New York")</f>
        <v>New York</v>
      </c>
      <c r="O116" s="1">
        <f ca="1">IFERROR(__xludf.DUMMYFUNCTION("""COMPUTED_VALUE"""),13021)</f>
        <v>13021</v>
      </c>
      <c r="P116" s="1" t="str">
        <f ca="1">IFERROR(__xludf.DUMMYFUNCTION("""COMPUTED_VALUE"""),"East")</f>
        <v>East</v>
      </c>
      <c r="Q116" s="1" t="str">
        <f ca="1">IFERROR(__xludf.DUMMYFUNCTION("""COMPUTED_VALUE"""),"OFF-AR-10003156")</f>
        <v>OFF-AR-10003156</v>
      </c>
      <c r="R116" s="1" t="str">
        <f ca="1">IFERROR(__xludf.DUMMYFUNCTION("""COMPUTED_VALUE"""),"Office Supplies")</f>
        <v>Office Supplies</v>
      </c>
      <c r="S116" s="7">
        <f ca="1">IFERROR(__xludf.DUMMYFUNCTION("""COMPUTED_VALUE"""),30.48)</f>
        <v>30.48</v>
      </c>
      <c r="T116" s="1">
        <f ca="1">IFERROR(__xludf.DUMMYFUNCTION("""COMPUTED_VALUE"""),1)</f>
        <v>1</v>
      </c>
      <c r="U116" s="9">
        <f ca="1">IFERROR(__xludf.DUMMYFUNCTION("""COMPUTED_VALUE"""),30.48)</f>
        <v>30.48</v>
      </c>
      <c r="V116" s="9">
        <f ca="1">IFERROR(__xludf.DUMMYFUNCTION("""COMPUTED_VALUE"""),30.24)</f>
        <v>30.24</v>
      </c>
      <c r="W116" s="12">
        <f ca="1">IFERROR(__xludf.DUMMYFUNCTION("""COMPUTED_VALUE"""),0.240000000000002)</f>
        <v>0.24000000000000199</v>
      </c>
    </row>
    <row r="117" spans="1:23" ht="13.2">
      <c r="A117" s="1" t="str">
        <f ca="1">IFERROR(__xludf.DUMMYFUNCTION("""COMPUTED_VALUE"""),"CA-2017-166674")</f>
        <v>CA-2017-166674</v>
      </c>
      <c r="B117" s="8">
        <f ca="1">IFERROR(__xludf.DUMMYFUNCTION("""COMPUTED_VALUE"""),42739)</f>
        <v>42739</v>
      </c>
      <c r="C117" s="1" t="str">
        <f ca="1">IFERROR(__xludf.DUMMYFUNCTION("""COMPUTED_VALUE"""),"Jan")</f>
        <v>Jan</v>
      </c>
      <c r="D117" s="1" t="str">
        <f ca="1">IFERROR(__xludf.DUMMYFUNCTION("""COMPUTED_VALUE"""),"Qtr 1")</f>
        <v>Qtr 1</v>
      </c>
      <c r="E117" s="1" t="str">
        <f ca="1">IFERROR(__xludf.DUMMYFUNCTION("""COMPUTED_VALUE"""),"3/4/2017")</f>
        <v>3/4/2017</v>
      </c>
      <c r="F117" s="1" t="str">
        <f ca="1">IFERROR(__xludf.DUMMYFUNCTION("""COMPUTED_VALUE"""),"Second Class")</f>
        <v>Second Class</v>
      </c>
      <c r="G117" s="1" t="str">
        <f ca="1">IFERROR(__xludf.DUMMYFUNCTION("""COMPUTED_VALUE"""),"RB-19360")</f>
        <v>RB-19360</v>
      </c>
      <c r="H117" s="1" t="str">
        <f ca="1">IFERROR(__xludf.DUMMYFUNCTION("""COMPUTED_VALUE"""),"Raymond")</f>
        <v>Raymond</v>
      </c>
      <c r="I117" s="1" t="str">
        <f ca="1">IFERROR(__xludf.DUMMYFUNCTION("""COMPUTED_VALUE"""),"Buch")</f>
        <v>Buch</v>
      </c>
      <c r="J117" s="1"/>
      <c r="K117" s="1" t="str">
        <f ca="1">IFERROR(__xludf.DUMMYFUNCTION("""COMPUTED_VALUE"""),"Consumer")</f>
        <v>Consumer</v>
      </c>
      <c r="L117" s="1" t="str">
        <f ca="1">IFERROR(__xludf.DUMMYFUNCTION("""COMPUTED_VALUE"""),"United States")</f>
        <v>United States</v>
      </c>
      <c r="M117" s="1" t="str">
        <f ca="1">IFERROR(__xludf.DUMMYFUNCTION("""COMPUTED_VALUE"""),"Auburn")</f>
        <v>Auburn</v>
      </c>
      <c r="N117" s="1" t="str">
        <f ca="1">IFERROR(__xludf.DUMMYFUNCTION("""COMPUTED_VALUE"""),"New York")</f>
        <v>New York</v>
      </c>
      <c r="O117" s="1">
        <f ca="1">IFERROR(__xludf.DUMMYFUNCTION("""COMPUTED_VALUE"""),13021)</f>
        <v>13021</v>
      </c>
      <c r="P117" s="1" t="str">
        <f ca="1">IFERROR(__xludf.DUMMYFUNCTION("""COMPUTED_VALUE"""),"East")</f>
        <v>East</v>
      </c>
      <c r="Q117" s="1" t="str">
        <f ca="1">IFERROR(__xludf.DUMMYFUNCTION("""COMPUTED_VALUE"""),"OFF-AR-10004974")</f>
        <v>OFF-AR-10004974</v>
      </c>
      <c r="R117" s="1" t="str">
        <f ca="1">IFERROR(__xludf.DUMMYFUNCTION("""COMPUTED_VALUE"""),"Office Supplies")</f>
        <v>Office Supplies</v>
      </c>
      <c r="S117" s="7">
        <f ca="1">IFERROR(__xludf.DUMMYFUNCTION("""COMPUTED_VALUE"""),9.84)</f>
        <v>9.84</v>
      </c>
      <c r="T117" s="1">
        <f ca="1">IFERROR(__xludf.DUMMYFUNCTION("""COMPUTED_VALUE"""),1)</f>
        <v>1</v>
      </c>
      <c r="U117" s="9">
        <f ca="1">IFERROR(__xludf.DUMMYFUNCTION("""COMPUTED_VALUE"""),9.84)</f>
        <v>9.84</v>
      </c>
      <c r="V117" s="9">
        <f ca="1">IFERROR(__xludf.DUMMYFUNCTION("""COMPUTED_VALUE"""),9.02)</f>
        <v>9.02</v>
      </c>
      <c r="W117" s="12">
        <f ca="1">IFERROR(__xludf.DUMMYFUNCTION("""COMPUTED_VALUE"""),0.82)</f>
        <v>0.82</v>
      </c>
    </row>
    <row r="118" spans="1:23" ht="13.2">
      <c r="A118" s="1" t="str">
        <f ca="1">IFERROR(__xludf.DUMMYFUNCTION("""COMPUTED_VALUE"""),"CA-2017-166674")</f>
        <v>CA-2017-166674</v>
      </c>
      <c r="B118" s="8">
        <f ca="1">IFERROR(__xludf.DUMMYFUNCTION("""COMPUTED_VALUE"""),42739)</f>
        <v>42739</v>
      </c>
      <c r="C118" s="1" t="str">
        <f ca="1">IFERROR(__xludf.DUMMYFUNCTION("""COMPUTED_VALUE"""),"Jan")</f>
        <v>Jan</v>
      </c>
      <c r="D118" s="1" t="str">
        <f ca="1">IFERROR(__xludf.DUMMYFUNCTION("""COMPUTED_VALUE"""),"Qtr 1")</f>
        <v>Qtr 1</v>
      </c>
      <c r="E118" s="1" t="str">
        <f ca="1">IFERROR(__xludf.DUMMYFUNCTION("""COMPUTED_VALUE"""),"3/4/2017")</f>
        <v>3/4/2017</v>
      </c>
      <c r="F118" s="1" t="str">
        <f ca="1">IFERROR(__xludf.DUMMYFUNCTION("""COMPUTED_VALUE"""),"Second Class")</f>
        <v>Second Class</v>
      </c>
      <c r="G118" s="1" t="str">
        <f ca="1">IFERROR(__xludf.DUMMYFUNCTION("""COMPUTED_VALUE"""),"RB-19360")</f>
        <v>RB-19360</v>
      </c>
      <c r="H118" s="1" t="str">
        <f ca="1">IFERROR(__xludf.DUMMYFUNCTION("""COMPUTED_VALUE"""),"Raymond")</f>
        <v>Raymond</v>
      </c>
      <c r="I118" s="1" t="str">
        <f ca="1">IFERROR(__xludf.DUMMYFUNCTION("""COMPUTED_VALUE"""),"Buch")</f>
        <v>Buch</v>
      </c>
      <c r="J118" s="1"/>
      <c r="K118" s="1" t="str">
        <f ca="1">IFERROR(__xludf.DUMMYFUNCTION("""COMPUTED_VALUE"""),"Consumer")</f>
        <v>Consumer</v>
      </c>
      <c r="L118" s="1" t="str">
        <f ca="1">IFERROR(__xludf.DUMMYFUNCTION("""COMPUTED_VALUE"""),"United States")</f>
        <v>United States</v>
      </c>
      <c r="M118" s="1" t="str">
        <f ca="1">IFERROR(__xludf.DUMMYFUNCTION("""COMPUTED_VALUE"""),"Auburn")</f>
        <v>Auburn</v>
      </c>
      <c r="N118" s="1" t="str">
        <f ca="1">IFERROR(__xludf.DUMMYFUNCTION("""COMPUTED_VALUE"""),"New York")</f>
        <v>New York</v>
      </c>
      <c r="O118" s="1">
        <f ca="1">IFERROR(__xludf.DUMMYFUNCTION("""COMPUTED_VALUE"""),13021)</f>
        <v>13021</v>
      </c>
      <c r="P118" s="1" t="str">
        <f ca="1">IFERROR(__xludf.DUMMYFUNCTION("""COMPUTED_VALUE"""),"East")</f>
        <v>East</v>
      </c>
      <c r="Q118" s="1" t="str">
        <f ca="1">IFERROR(__xludf.DUMMYFUNCTION("""COMPUTED_VALUE"""),"TEC-PH-10002365")</f>
        <v>TEC-PH-10002365</v>
      </c>
      <c r="R118" s="1" t="str">
        <f ca="1">IFERROR(__xludf.DUMMYFUNCTION("""COMPUTED_VALUE"""),"Technology")</f>
        <v>Technology</v>
      </c>
      <c r="S118" s="7">
        <f ca="1">IFERROR(__xludf.DUMMYFUNCTION("""COMPUTED_VALUE"""),35.12)</f>
        <v>35.119999999999997</v>
      </c>
      <c r="T118" s="1">
        <f ca="1">IFERROR(__xludf.DUMMYFUNCTION("""COMPUTED_VALUE"""),1)</f>
        <v>1</v>
      </c>
      <c r="U118" s="9">
        <f ca="1">IFERROR(__xludf.DUMMYFUNCTION("""COMPUTED_VALUE"""),35.12)</f>
        <v>35.119999999999997</v>
      </c>
      <c r="V118" s="9">
        <f ca="1">IFERROR(__xludf.DUMMYFUNCTION("""COMPUTED_VALUE"""),34.27)</f>
        <v>34.270000000000003</v>
      </c>
      <c r="W118" s="12">
        <f ca="1">IFERROR(__xludf.DUMMYFUNCTION("""COMPUTED_VALUE"""),0.849999999999994)</f>
        <v>0.84999999999999398</v>
      </c>
    </row>
    <row r="119" spans="1:23" ht="13.2">
      <c r="A119" s="1" t="str">
        <f ca="1">IFERROR(__xludf.DUMMYFUNCTION("""COMPUTED_VALUE"""),"US-2017-100419")</f>
        <v>US-2017-100419</v>
      </c>
      <c r="B119" s="8">
        <f ca="1">IFERROR(__xludf.DUMMYFUNCTION("""COMPUTED_VALUE"""),43085)</f>
        <v>43085</v>
      </c>
      <c r="C119" s="1" t="str">
        <f ca="1">IFERROR(__xludf.DUMMYFUNCTION("""COMPUTED_VALUE"""),"Dec")</f>
        <v>Dec</v>
      </c>
      <c r="D119" s="1" t="str">
        <f ca="1">IFERROR(__xludf.DUMMYFUNCTION("""COMPUTED_VALUE"""),"Qtr 4")</f>
        <v>Qtr 4</v>
      </c>
      <c r="E119" s="1" t="str">
        <f ca="1">IFERROR(__xludf.DUMMYFUNCTION("""COMPUTED_VALUE"""),"20/12/2017")</f>
        <v>20/12/2017</v>
      </c>
      <c r="F119" s="1" t="str">
        <f ca="1">IFERROR(__xludf.DUMMYFUNCTION("""COMPUTED_VALUE"""),"Second Class")</f>
        <v>Second Class</v>
      </c>
      <c r="G119" s="1" t="str">
        <f ca="1">IFERROR(__xludf.DUMMYFUNCTION("""COMPUTED_VALUE"""),"CC-12670")</f>
        <v>CC-12670</v>
      </c>
      <c r="H119" s="1" t="str">
        <f ca="1">IFERROR(__xludf.DUMMYFUNCTION("""COMPUTED_VALUE"""),"Craig")</f>
        <v>Craig</v>
      </c>
      <c r="I119" s="1" t="str">
        <f ca="1">IFERROR(__xludf.DUMMYFUNCTION("""COMPUTED_VALUE"""),"Carreira")</f>
        <v>Carreira</v>
      </c>
      <c r="J119" s="1"/>
      <c r="K119" s="1" t="str">
        <f ca="1">IFERROR(__xludf.DUMMYFUNCTION("""COMPUTED_VALUE"""),"Consumer")</f>
        <v>Consumer</v>
      </c>
      <c r="L119" s="1" t="str">
        <f ca="1">IFERROR(__xludf.DUMMYFUNCTION("""COMPUTED_VALUE"""),"United States")</f>
        <v>United States</v>
      </c>
      <c r="M119" s="1" t="str">
        <f ca="1">IFERROR(__xludf.DUMMYFUNCTION("""COMPUTED_VALUE"""),"Chicago")</f>
        <v>Chicago</v>
      </c>
      <c r="N119" s="1" t="str">
        <f ca="1">IFERROR(__xludf.DUMMYFUNCTION("""COMPUTED_VALUE"""),"Illinois")</f>
        <v>Illinois</v>
      </c>
      <c r="O119" s="1">
        <f ca="1">IFERROR(__xludf.DUMMYFUNCTION("""COMPUTED_VALUE"""),60610)</f>
        <v>60610</v>
      </c>
      <c r="P119" s="1" t="str">
        <f ca="1">IFERROR(__xludf.DUMMYFUNCTION("""COMPUTED_VALUE"""),"Central")</f>
        <v>Central</v>
      </c>
      <c r="Q119" s="1" t="str">
        <f ca="1">IFERROR(__xludf.DUMMYFUNCTION("""COMPUTED_VALUE"""),"OFF-BI-10002194")</f>
        <v>OFF-BI-10002194</v>
      </c>
      <c r="R119" s="1" t="str">
        <f ca="1">IFERROR(__xludf.DUMMYFUNCTION("""COMPUTED_VALUE"""),"Office Supplies")</f>
        <v>Office Supplies</v>
      </c>
      <c r="S119" s="7">
        <f ca="1">IFERROR(__xludf.DUMMYFUNCTION("""COMPUTED_VALUE"""),4.788)</f>
        <v>4.7880000000000003</v>
      </c>
      <c r="T119" s="1">
        <f ca="1">IFERROR(__xludf.DUMMYFUNCTION("""COMPUTED_VALUE"""),6)</f>
        <v>6</v>
      </c>
      <c r="U119" s="9">
        <f ca="1">IFERROR(__xludf.DUMMYFUNCTION("""COMPUTED_VALUE"""),28.728)</f>
        <v>28.728000000000002</v>
      </c>
      <c r="V119" s="9">
        <f ca="1">IFERROR(__xludf.DUMMYFUNCTION("""COMPUTED_VALUE"""),28.02)</f>
        <v>28.02</v>
      </c>
      <c r="W119" s="12">
        <f ca="1">IFERROR(__xludf.DUMMYFUNCTION("""COMPUTED_VALUE"""),0.708000000000002)</f>
        <v>0.70800000000000196</v>
      </c>
    </row>
    <row r="120" spans="1:23" ht="13.2">
      <c r="A120" s="1" t="str">
        <f ca="1">IFERROR(__xludf.DUMMYFUNCTION("""COMPUTED_VALUE"""),"CA-2015-144666")</f>
        <v>CA-2015-144666</v>
      </c>
      <c r="B120" s="8">
        <f ca="1">IFERROR(__xludf.DUMMYFUNCTION("""COMPUTED_VALUE"""),42258)</f>
        <v>42258</v>
      </c>
      <c r="C120" s="1" t="str">
        <f ca="1">IFERROR(__xludf.DUMMYFUNCTION("""COMPUTED_VALUE"""),"Sep")</f>
        <v>Sep</v>
      </c>
      <c r="D120" s="1" t="str">
        <f ca="1">IFERROR(__xludf.DUMMYFUNCTION("""COMPUTED_VALUE"""),"Qtr 3")</f>
        <v>Qtr 3</v>
      </c>
      <c r="E120" s="1" t="str">
        <f ca="1">IFERROR(__xludf.DUMMYFUNCTION("""COMPUTED_VALUE"""),"11/11/2015")</f>
        <v>11/11/2015</v>
      </c>
      <c r="F120" s="1" t="str">
        <f ca="1">IFERROR(__xludf.DUMMYFUNCTION("""COMPUTED_VALUE"""),"Second Class")</f>
        <v>Second Class</v>
      </c>
      <c r="G120" s="1" t="str">
        <f ca="1">IFERROR(__xludf.DUMMYFUNCTION("""COMPUTED_VALUE"""),"JP-15520")</f>
        <v>JP-15520</v>
      </c>
      <c r="H120" s="1" t="str">
        <f ca="1">IFERROR(__xludf.DUMMYFUNCTION("""COMPUTED_VALUE"""),"Jeremy")</f>
        <v>Jeremy</v>
      </c>
      <c r="I120" s="1" t="str">
        <f ca="1">IFERROR(__xludf.DUMMYFUNCTION("""COMPUTED_VALUE"""),"Pistek")</f>
        <v>Pistek</v>
      </c>
      <c r="J120" s="1"/>
      <c r="K120" s="1" t="str">
        <f ca="1">IFERROR(__xludf.DUMMYFUNCTION("""COMPUTED_VALUE"""),"Consumer")</f>
        <v>Consumer</v>
      </c>
      <c r="L120" s="1" t="str">
        <f ca="1">IFERROR(__xludf.DUMMYFUNCTION("""COMPUTED_VALUE"""),"United States")</f>
        <v>United States</v>
      </c>
      <c r="M120" s="1" t="str">
        <f ca="1">IFERROR(__xludf.DUMMYFUNCTION("""COMPUTED_VALUE"""),"San Francisco")</f>
        <v>San Francisco</v>
      </c>
      <c r="N120" s="1" t="str">
        <f ca="1">IFERROR(__xludf.DUMMYFUNCTION("""COMPUTED_VALUE"""),"California")</f>
        <v>California</v>
      </c>
      <c r="O120" s="1">
        <f ca="1">IFERROR(__xludf.DUMMYFUNCTION("""COMPUTED_VALUE"""),94110)</f>
        <v>94110</v>
      </c>
      <c r="P120" s="1" t="str">
        <f ca="1">IFERROR(__xludf.DUMMYFUNCTION("""COMPUTED_VALUE"""),"West")</f>
        <v>West</v>
      </c>
      <c r="Q120" s="1" t="str">
        <f ca="1">IFERROR(__xludf.DUMMYFUNCTION("""COMPUTED_VALUE"""),"OFF-ST-10002743")</f>
        <v>OFF-ST-10002743</v>
      </c>
      <c r="R120" s="1" t="str">
        <f ca="1">IFERROR(__xludf.DUMMYFUNCTION("""COMPUTED_VALUE"""),"Office Supplies")</f>
        <v>Office Supplies</v>
      </c>
      <c r="S120" s="7">
        <f ca="1">IFERROR(__xludf.DUMMYFUNCTION("""COMPUTED_VALUE"""),340.92)</f>
        <v>340.92</v>
      </c>
      <c r="T120" s="1">
        <f ca="1">IFERROR(__xludf.DUMMYFUNCTION("""COMPUTED_VALUE"""),9)</f>
        <v>9</v>
      </c>
      <c r="U120" s="9">
        <f ca="1">IFERROR(__xludf.DUMMYFUNCTION("""COMPUTED_VALUE"""),3068.28)</f>
        <v>3068.28</v>
      </c>
      <c r="V120" s="9">
        <f ca="1">IFERROR(__xludf.DUMMYFUNCTION("""COMPUTED_VALUE"""),3063.87)</f>
        <v>3063.87</v>
      </c>
      <c r="W120" s="12">
        <f ca="1">IFERROR(__xludf.DUMMYFUNCTION("""COMPUTED_VALUE"""),4.4100000000003)</f>
        <v>4.4100000000003003</v>
      </c>
    </row>
    <row r="121" spans="1:23" ht="13.2">
      <c r="A121" s="1" t="str">
        <f ca="1">IFERROR(__xludf.DUMMYFUNCTION("""COMPUTED_VALUE"""),"CA-2015-144666")</f>
        <v>CA-2015-144666</v>
      </c>
      <c r="B121" s="8">
        <f ca="1">IFERROR(__xludf.DUMMYFUNCTION("""COMPUTED_VALUE"""),42258)</f>
        <v>42258</v>
      </c>
      <c r="C121" s="1" t="str">
        <f ca="1">IFERROR(__xludf.DUMMYFUNCTION("""COMPUTED_VALUE"""),"Sep")</f>
        <v>Sep</v>
      </c>
      <c r="D121" s="1" t="str">
        <f ca="1">IFERROR(__xludf.DUMMYFUNCTION("""COMPUTED_VALUE"""),"Qtr 3")</f>
        <v>Qtr 3</v>
      </c>
      <c r="E121" s="1" t="str">
        <f ca="1">IFERROR(__xludf.DUMMYFUNCTION("""COMPUTED_VALUE"""),"11/11/2015")</f>
        <v>11/11/2015</v>
      </c>
      <c r="F121" s="1" t="str">
        <f ca="1">IFERROR(__xludf.DUMMYFUNCTION("""COMPUTED_VALUE"""),"Second Class")</f>
        <v>Second Class</v>
      </c>
      <c r="G121" s="1" t="str">
        <f ca="1">IFERROR(__xludf.DUMMYFUNCTION("""COMPUTED_VALUE"""),"JP-15520")</f>
        <v>JP-15520</v>
      </c>
      <c r="H121" s="1" t="str">
        <f ca="1">IFERROR(__xludf.DUMMYFUNCTION("""COMPUTED_VALUE"""),"Jeremy")</f>
        <v>Jeremy</v>
      </c>
      <c r="I121" s="1" t="str">
        <f ca="1">IFERROR(__xludf.DUMMYFUNCTION("""COMPUTED_VALUE"""),"Pistek")</f>
        <v>Pistek</v>
      </c>
      <c r="J121" s="1"/>
      <c r="K121" s="1" t="str">
        <f ca="1">IFERROR(__xludf.DUMMYFUNCTION("""COMPUTED_VALUE"""),"Consumer")</f>
        <v>Consumer</v>
      </c>
      <c r="L121" s="1" t="str">
        <f ca="1">IFERROR(__xludf.DUMMYFUNCTION("""COMPUTED_VALUE"""),"United States")</f>
        <v>United States</v>
      </c>
      <c r="M121" s="1" t="str">
        <f ca="1">IFERROR(__xludf.DUMMYFUNCTION("""COMPUTED_VALUE"""),"San Francisco")</f>
        <v>San Francisco</v>
      </c>
      <c r="N121" s="1" t="str">
        <f ca="1">IFERROR(__xludf.DUMMYFUNCTION("""COMPUTED_VALUE"""),"California")</f>
        <v>California</v>
      </c>
      <c r="O121" s="1">
        <f ca="1">IFERROR(__xludf.DUMMYFUNCTION("""COMPUTED_VALUE"""),94110)</f>
        <v>94110</v>
      </c>
      <c r="P121" s="1" t="str">
        <f ca="1">IFERROR(__xludf.DUMMYFUNCTION("""COMPUTED_VALUE"""),"West")</f>
        <v>West</v>
      </c>
      <c r="Q121" s="1" t="str">
        <f ca="1">IFERROR(__xludf.DUMMYFUNCTION("""COMPUTED_VALUE"""),"FUR-BO-10001601")</f>
        <v>FUR-BO-10001601</v>
      </c>
      <c r="R121" s="1" t="str">
        <f ca="1">IFERROR(__xludf.DUMMYFUNCTION("""COMPUTED_VALUE"""),"Furniture")</f>
        <v>Furniture</v>
      </c>
      <c r="S121" s="7">
        <f ca="1">IFERROR(__xludf.DUMMYFUNCTION("""COMPUTED_VALUE"""),222.666)</f>
        <v>222.666</v>
      </c>
      <c r="T121" s="1">
        <f ca="1">IFERROR(__xludf.DUMMYFUNCTION("""COMPUTED_VALUE"""),9)</f>
        <v>9</v>
      </c>
      <c r="U121" s="9">
        <f ca="1">IFERROR(__xludf.DUMMYFUNCTION("""COMPUTED_VALUE"""),2003.994)</f>
        <v>2003.9939999999999</v>
      </c>
      <c r="V121" s="9">
        <f ca="1">IFERROR(__xludf.DUMMYFUNCTION("""COMPUTED_VALUE"""),1995.57)</f>
        <v>1995.57</v>
      </c>
      <c r="W121" s="12">
        <f ca="1">IFERROR(__xludf.DUMMYFUNCTION("""COMPUTED_VALUE"""),8.42399999999997)</f>
        <v>8.4239999999999693</v>
      </c>
    </row>
    <row r="122" spans="1:23" ht="13.2">
      <c r="A122" s="1" t="str">
        <f ca="1">IFERROR(__xludf.DUMMYFUNCTION("""COMPUTED_VALUE"""),"CA-2015-144666")</f>
        <v>CA-2015-144666</v>
      </c>
      <c r="B122" s="8">
        <f ca="1">IFERROR(__xludf.DUMMYFUNCTION("""COMPUTED_VALUE"""),42258)</f>
        <v>42258</v>
      </c>
      <c r="C122" s="1" t="str">
        <f ca="1">IFERROR(__xludf.DUMMYFUNCTION("""COMPUTED_VALUE"""),"Sep")</f>
        <v>Sep</v>
      </c>
      <c r="D122" s="1" t="str">
        <f ca="1">IFERROR(__xludf.DUMMYFUNCTION("""COMPUTED_VALUE"""),"Qtr 3")</f>
        <v>Qtr 3</v>
      </c>
      <c r="E122" s="1" t="str">
        <f ca="1">IFERROR(__xludf.DUMMYFUNCTION("""COMPUTED_VALUE"""),"11/11/2015")</f>
        <v>11/11/2015</v>
      </c>
      <c r="F122" s="1" t="str">
        <f ca="1">IFERROR(__xludf.DUMMYFUNCTION("""COMPUTED_VALUE"""),"Second Class")</f>
        <v>Second Class</v>
      </c>
      <c r="G122" s="1" t="str">
        <f ca="1">IFERROR(__xludf.DUMMYFUNCTION("""COMPUTED_VALUE"""),"JP-15520")</f>
        <v>JP-15520</v>
      </c>
      <c r="H122" s="1" t="str">
        <f ca="1">IFERROR(__xludf.DUMMYFUNCTION("""COMPUTED_VALUE"""),"Jeremy")</f>
        <v>Jeremy</v>
      </c>
      <c r="I122" s="1" t="str">
        <f ca="1">IFERROR(__xludf.DUMMYFUNCTION("""COMPUTED_VALUE"""),"Pistek")</f>
        <v>Pistek</v>
      </c>
      <c r="J122" s="1"/>
      <c r="K122" s="1" t="str">
        <f ca="1">IFERROR(__xludf.DUMMYFUNCTION("""COMPUTED_VALUE"""),"Consumer")</f>
        <v>Consumer</v>
      </c>
      <c r="L122" s="1" t="str">
        <f ca="1">IFERROR(__xludf.DUMMYFUNCTION("""COMPUTED_VALUE"""),"United States")</f>
        <v>United States</v>
      </c>
      <c r="M122" s="1" t="str">
        <f ca="1">IFERROR(__xludf.DUMMYFUNCTION("""COMPUTED_VALUE"""),"San Francisco")</f>
        <v>San Francisco</v>
      </c>
      <c r="N122" s="1" t="str">
        <f ca="1">IFERROR(__xludf.DUMMYFUNCTION("""COMPUTED_VALUE"""),"California")</f>
        <v>California</v>
      </c>
      <c r="O122" s="1">
        <f ca="1">IFERROR(__xludf.DUMMYFUNCTION("""COMPUTED_VALUE"""),94110)</f>
        <v>94110</v>
      </c>
      <c r="P122" s="1" t="str">
        <f ca="1">IFERROR(__xludf.DUMMYFUNCTION("""COMPUTED_VALUE"""),"West")</f>
        <v>West</v>
      </c>
      <c r="Q122" s="1" t="str">
        <f ca="1">IFERROR(__xludf.DUMMYFUNCTION("""COMPUTED_VALUE"""),"TEC-PH-10002680")</f>
        <v>TEC-PH-10002680</v>
      </c>
      <c r="R122" s="1" t="str">
        <f ca="1">IFERROR(__xludf.DUMMYFUNCTION("""COMPUTED_VALUE"""),"Technology")</f>
        <v>Technology</v>
      </c>
      <c r="S122" s="7">
        <f ca="1">IFERROR(__xludf.DUMMYFUNCTION("""COMPUTED_VALUE"""),703.968)</f>
        <v>703.96799999999996</v>
      </c>
      <c r="T122" s="1">
        <f ca="1">IFERROR(__xludf.DUMMYFUNCTION("""COMPUTED_VALUE"""),9)</f>
        <v>9</v>
      </c>
      <c r="U122" s="9">
        <f ca="1">IFERROR(__xludf.DUMMYFUNCTION("""COMPUTED_VALUE"""),6335.71199999999)</f>
        <v>6335.7119999999904</v>
      </c>
      <c r="V122" s="9">
        <f ca="1">IFERROR(__xludf.DUMMYFUNCTION("""COMPUTED_VALUE"""),6333.93)</f>
        <v>6333.93</v>
      </c>
      <c r="W122" s="12">
        <f ca="1">IFERROR(__xludf.DUMMYFUNCTION("""COMPUTED_VALUE"""),1.78199999999924)</f>
        <v>1.78199999999924</v>
      </c>
    </row>
    <row r="123" spans="1:23" ht="13.2">
      <c r="A123" s="1" t="str">
        <f ca="1">IFERROR(__xludf.DUMMYFUNCTION("""COMPUTED_VALUE"""),"CA-2015-144666")</f>
        <v>CA-2015-144666</v>
      </c>
      <c r="B123" s="8">
        <f ca="1">IFERROR(__xludf.DUMMYFUNCTION("""COMPUTED_VALUE"""),42258)</f>
        <v>42258</v>
      </c>
      <c r="C123" s="1" t="str">
        <f ca="1">IFERROR(__xludf.DUMMYFUNCTION("""COMPUTED_VALUE"""),"Sep")</f>
        <v>Sep</v>
      </c>
      <c r="D123" s="1" t="str">
        <f ca="1">IFERROR(__xludf.DUMMYFUNCTION("""COMPUTED_VALUE"""),"Qtr 3")</f>
        <v>Qtr 3</v>
      </c>
      <c r="E123" s="1" t="str">
        <f ca="1">IFERROR(__xludf.DUMMYFUNCTION("""COMPUTED_VALUE"""),"11/11/2015")</f>
        <v>11/11/2015</v>
      </c>
      <c r="F123" s="1" t="str">
        <f ca="1">IFERROR(__xludf.DUMMYFUNCTION("""COMPUTED_VALUE"""),"Second Class")</f>
        <v>Second Class</v>
      </c>
      <c r="G123" s="1" t="str">
        <f ca="1">IFERROR(__xludf.DUMMYFUNCTION("""COMPUTED_VALUE"""),"JP-15520")</f>
        <v>JP-15520</v>
      </c>
      <c r="H123" s="1" t="str">
        <f ca="1">IFERROR(__xludf.DUMMYFUNCTION("""COMPUTED_VALUE"""),"Jeremy")</f>
        <v>Jeremy</v>
      </c>
      <c r="I123" s="1" t="str">
        <f ca="1">IFERROR(__xludf.DUMMYFUNCTION("""COMPUTED_VALUE"""),"Pistek")</f>
        <v>Pistek</v>
      </c>
      <c r="J123" s="1"/>
      <c r="K123" s="1" t="str">
        <f ca="1">IFERROR(__xludf.DUMMYFUNCTION("""COMPUTED_VALUE"""),"Consumer")</f>
        <v>Consumer</v>
      </c>
      <c r="L123" s="1" t="str">
        <f ca="1">IFERROR(__xludf.DUMMYFUNCTION("""COMPUTED_VALUE"""),"United States")</f>
        <v>United States</v>
      </c>
      <c r="M123" s="1" t="str">
        <f ca="1">IFERROR(__xludf.DUMMYFUNCTION("""COMPUTED_VALUE"""),"San Francisco")</f>
        <v>San Francisco</v>
      </c>
      <c r="N123" s="1" t="str">
        <f ca="1">IFERROR(__xludf.DUMMYFUNCTION("""COMPUTED_VALUE"""),"California")</f>
        <v>California</v>
      </c>
      <c r="O123" s="1">
        <f ca="1">IFERROR(__xludf.DUMMYFUNCTION("""COMPUTED_VALUE"""),94110)</f>
        <v>94110</v>
      </c>
      <c r="P123" s="1" t="str">
        <f ca="1">IFERROR(__xludf.DUMMYFUNCTION("""COMPUTED_VALUE"""),"West")</f>
        <v>West</v>
      </c>
      <c r="Q123" s="1" t="str">
        <f ca="1">IFERROR(__xludf.DUMMYFUNCTION("""COMPUTED_VALUE"""),"OFF-ST-10001321")</f>
        <v>OFF-ST-10001321</v>
      </c>
      <c r="R123" s="1" t="str">
        <f ca="1">IFERROR(__xludf.DUMMYFUNCTION("""COMPUTED_VALUE"""),"Office Supplies")</f>
        <v>Office Supplies</v>
      </c>
      <c r="S123" s="7">
        <f ca="1">IFERROR(__xludf.DUMMYFUNCTION("""COMPUTED_VALUE"""),92.52)</f>
        <v>92.52</v>
      </c>
      <c r="T123" s="1">
        <f ca="1">IFERROR(__xludf.DUMMYFUNCTION("""COMPUTED_VALUE"""),9)</f>
        <v>9</v>
      </c>
      <c r="U123" s="9">
        <f ca="1">IFERROR(__xludf.DUMMYFUNCTION("""COMPUTED_VALUE"""),832.68)</f>
        <v>832.68</v>
      </c>
      <c r="V123" s="9">
        <f ca="1">IFERROR(__xludf.DUMMYFUNCTION("""COMPUTED_VALUE"""),825.84)</f>
        <v>825.84</v>
      </c>
      <c r="W123" s="12">
        <f ca="1">IFERROR(__xludf.DUMMYFUNCTION("""COMPUTED_VALUE"""),6.83999999999991)</f>
        <v>6.8399999999999102</v>
      </c>
    </row>
    <row r="124" spans="1:23" ht="13.2">
      <c r="A124" s="1" t="str">
        <f ca="1">IFERROR(__xludf.DUMMYFUNCTION("""COMPUTED_VALUE"""),"CA-2015-144666")</f>
        <v>CA-2015-144666</v>
      </c>
      <c r="B124" s="8">
        <f ca="1">IFERROR(__xludf.DUMMYFUNCTION("""COMPUTED_VALUE"""),42258)</f>
        <v>42258</v>
      </c>
      <c r="C124" s="1" t="str">
        <f ca="1">IFERROR(__xludf.DUMMYFUNCTION("""COMPUTED_VALUE"""),"Sep")</f>
        <v>Sep</v>
      </c>
      <c r="D124" s="1" t="str">
        <f ca="1">IFERROR(__xludf.DUMMYFUNCTION("""COMPUTED_VALUE"""),"Qtr 3")</f>
        <v>Qtr 3</v>
      </c>
      <c r="E124" s="1" t="str">
        <f ca="1">IFERROR(__xludf.DUMMYFUNCTION("""COMPUTED_VALUE"""),"11/11/2015")</f>
        <v>11/11/2015</v>
      </c>
      <c r="F124" s="1" t="str">
        <f ca="1">IFERROR(__xludf.DUMMYFUNCTION("""COMPUTED_VALUE"""),"Second Class")</f>
        <v>Second Class</v>
      </c>
      <c r="G124" s="1" t="str">
        <f ca="1">IFERROR(__xludf.DUMMYFUNCTION("""COMPUTED_VALUE"""),"JP-15520")</f>
        <v>JP-15520</v>
      </c>
      <c r="H124" s="1" t="str">
        <f ca="1">IFERROR(__xludf.DUMMYFUNCTION("""COMPUTED_VALUE"""),"Jeremy")</f>
        <v>Jeremy</v>
      </c>
      <c r="I124" s="1" t="str">
        <f ca="1">IFERROR(__xludf.DUMMYFUNCTION("""COMPUTED_VALUE"""),"Pistek")</f>
        <v>Pistek</v>
      </c>
      <c r="J124" s="1"/>
      <c r="K124" s="1" t="str">
        <f ca="1">IFERROR(__xludf.DUMMYFUNCTION("""COMPUTED_VALUE"""),"Consumer")</f>
        <v>Consumer</v>
      </c>
      <c r="L124" s="1" t="str">
        <f ca="1">IFERROR(__xludf.DUMMYFUNCTION("""COMPUTED_VALUE"""),"United States")</f>
        <v>United States</v>
      </c>
      <c r="M124" s="1" t="str">
        <f ca="1">IFERROR(__xludf.DUMMYFUNCTION("""COMPUTED_VALUE"""),"San Francisco")</f>
        <v>San Francisco</v>
      </c>
      <c r="N124" s="1" t="str">
        <f ca="1">IFERROR(__xludf.DUMMYFUNCTION("""COMPUTED_VALUE"""),"California")</f>
        <v>California</v>
      </c>
      <c r="O124" s="1">
        <f ca="1">IFERROR(__xludf.DUMMYFUNCTION("""COMPUTED_VALUE"""),94110)</f>
        <v>94110</v>
      </c>
      <c r="P124" s="1" t="str">
        <f ca="1">IFERROR(__xludf.DUMMYFUNCTION("""COMPUTED_VALUE"""),"West")</f>
        <v>West</v>
      </c>
      <c r="Q124" s="1" t="str">
        <f ca="1">IFERROR(__xludf.DUMMYFUNCTION("""COMPUTED_VALUE"""),"OFF-PA-10001509")</f>
        <v>OFF-PA-10001509</v>
      </c>
      <c r="R124" s="1" t="str">
        <f ca="1">IFERROR(__xludf.DUMMYFUNCTION("""COMPUTED_VALUE"""),"Office Supplies")</f>
        <v>Office Supplies</v>
      </c>
      <c r="S124" s="7">
        <f ca="1">IFERROR(__xludf.DUMMYFUNCTION("""COMPUTED_VALUE"""),62.65)</f>
        <v>62.65</v>
      </c>
      <c r="T124" s="1">
        <f ca="1">IFERROR(__xludf.DUMMYFUNCTION("""COMPUTED_VALUE"""),9)</f>
        <v>9</v>
      </c>
      <c r="U124" s="9">
        <f ca="1">IFERROR(__xludf.DUMMYFUNCTION("""COMPUTED_VALUE"""),563.85)</f>
        <v>563.85</v>
      </c>
      <c r="V124" s="9">
        <f ca="1">IFERROR(__xludf.DUMMYFUNCTION("""COMPUTED_VALUE"""),555.39)</f>
        <v>555.39</v>
      </c>
      <c r="W124" s="12">
        <f ca="1">IFERROR(__xludf.DUMMYFUNCTION("""COMPUTED_VALUE"""),8.46000000000003)</f>
        <v>8.4600000000000293</v>
      </c>
    </row>
    <row r="125" spans="1:23" ht="13.2">
      <c r="A125" s="1" t="str">
        <f ca="1">IFERROR(__xludf.DUMMYFUNCTION("""COMPUTED_VALUE"""),"CA-2015-144666")</f>
        <v>CA-2015-144666</v>
      </c>
      <c r="B125" s="8">
        <f ca="1">IFERROR(__xludf.DUMMYFUNCTION("""COMPUTED_VALUE"""),42258)</f>
        <v>42258</v>
      </c>
      <c r="C125" s="1" t="str">
        <f ca="1">IFERROR(__xludf.DUMMYFUNCTION("""COMPUTED_VALUE"""),"Sep")</f>
        <v>Sep</v>
      </c>
      <c r="D125" s="1" t="str">
        <f ca="1">IFERROR(__xludf.DUMMYFUNCTION("""COMPUTED_VALUE"""),"Qtr 3")</f>
        <v>Qtr 3</v>
      </c>
      <c r="E125" s="1" t="str">
        <f ca="1">IFERROR(__xludf.DUMMYFUNCTION("""COMPUTED_VALUE"""),"11/11/2015")</f>
        <v>11/11/2015</v>
      </c>
      <c r="F125" s="1" t="str">
        <f ca="1">IFERROR(__xludf.DUMMYFUNCTION("""COMPUTED_VALUE"""),"Second Class")</f>
        <v>Second Class</v>
      </c>
      <c r="G125" s="1" t="str">
        <f ca="1">IFERROR(__xludf.DUMMYFUNCTION("""COMPUTED_VALUE"""),"JP-15520")</f>
        <v>JP-15520</v>
      </c>
      <c r="H125" s="1" t="str">
        <f ca="1">IFERROR(__xludf.DUMMYFUNCTION("""COMPUTED_VALUE"""),"Jeremy")</f>
        <v>Jeremy</v>
      </c>
      <c r="I125" s="1" t="str">
        <f ca="1">IFERROR(__xludf.DUMMYFUNCTION("""COMPUTED_VALUE"""),"Pistek")</f>
        <v>Pistek</v>
      </c>
      <c r="J125" s="1"/>
      <c r="K125" s="1" t="str">
        <f ca="1">IFERROR(__xludf.DUMMYFUNCTION("""COMPUTED_VALUE"""),"Consumer")</f>
        <v>Consumer</v>
      </c>
      <c r="L125" s="1" t="str">
        <f ca="1">IFERROR(__xludf.DUMMYFUNCTION("""COMPUTED_VALUE"""),"United States")</f>
        <v>United States</v>
      </c>
      <c r="M125" s="1" t="str">
        <f ca="1">IFERROR(__xludf.DUMMYFUNCTION("""COMPUTED_VALUE"""),"San Francisco")</f>
        <v>San Francisco</v>
      </c>
      <c r="N125" s="1" t="str">
        <f ca="1">IFERROR(__xludf.DUMMYFUNCTION("""COMPUTED_VALUE"""),"California")</f>
        <v>California</v>
      </c>
      <c r="O125" s="1">
        <f ca="1">IFERROR(__xludf.DUMMYFUNCTION("""COMPUTED_VALUE"""),94110)</f>
        <v>94110</v>
      </c>
      <c r="P125" s="1" t="str">
        <f ca="1">IFERROR(__xludf.DUMMYFUNCTION("""COMPUTED_VALUE"""),"West")</f>
        <v>West</v>
      </c>
      <c r="Q125" s="1" t="str">
        <f ca="1">IFERROR(__xludf.DUMMYFUNCTION("""COMPUTED_VALUE"""),"OFF-PA-10003465")</f>
        <v>OFF-PA-10003465</v>
      </c>
      <c r="R125" s="1" t="str">
        <f ca="1">IFERROR(__xludf.DUMMYFUNCTION("""COMPUTED_VALUE"""),"Office Supplies")</f>
        <v>Office Supplies</v>
      </c>
      <c r="S125" s="7">
        <f ca="1">IFERROR(__xludf.DUMMYFUNCTION("""COMPUTED_VALUE"""),94.85)</f>
        <v>94.85</v>
      </c>
      <c r="T125" s="1">
        <f ca="1">IFERROR(__xludf.DUMMYFUNCTION("""COMPUTED_VALUE"""),9)</f>
        <v>9</v>
      </c>
      <c r="U125" s="9">
        <f ca="1">IFERROR(__xludf.DUMMYFUNCTION("""COMPUTED_VALUE"""),853.65)</f>
        <v>853.65</v>
      </c>
      <c r="V125" s="9">
        <f ca="1">IFERROR(__xludf.DUMMYFUNCTION("""COMPUTED_VALUE"""),847.71)</f>
        <v>847.71</v>
      </c>
      <c r="W125" s="12">
        <f ca="1">IFERROR(__xludf.DUMMYFUNCTION("""COMPUTED_VALUE"""),5.93999999999994)</f>
        <v>5.93999999999994</v>
      </c>
    </row>
    <row r="126" spans="1:23" ht="13.2">
      <c r="A126" s="1" t="str">
        <f ca="1">IFERROR(__xludf.DUMMYFUNCTION("""COMPUTED_VALUE"""),"CA-2015-133753")</f>
        <v>CA-2015-133753</v>
      </c>
      <c r="B126" s="8">
        <f ca="1">IFERROR(__xludf.DUMMYFUNCTION("""COMPUTED_VALUE"""),42253)</f>
        <v>42253</v>
      </c>
      <c r="C126" s="1" t="str">
        <f ca="1">IFERROR(__xludf.DUMMYFUNCTION("""COMPUTED_VALUE"""),"Sep")</f>
        <v>Sep</v>
      </c>
      <c r="D126" s="1" t="str">
        <f ca="1">IFERROR(__xludf.DUMMYFUNCTION("""COMPUTED_VALUE"""),"Qtr 3")</f>
        <v>Qtr 3</v>
      </c>
      <c r="E126" s="1" t="str">
        <f ca="1">IFERROR(__xludf.DUMMYFUNCTION("""COMPUTED_VALUE"""),"13/06/2015")</f>
        <v>13/06/2015</v>
      </c>
      <c r="F126" s="1" t="str">
        <f ca="1">IFERROR(__xludf.DUMMYFUNCTION("""COMPUTED_VALUE"""),"Second Class")</f>
        <v>Second Class</v>
      </c>
      <c r="G126" s="1" t="str">
        <f ca="1">IFERROR(__xludf.DUMMYFUNCTION("""COMPUTED_VALUE"""),"CW-11905")</f>
        <v>CW-11905</v>
      </c>
      <c r="H126" s="1" t="str">
        <f ca="1">IFERROR(__xludf.DUMMYFUNCTION("""COMPUTED_VALUE"""),"Carl")</f>
        <v>Carl</v>
      </c>
      <c r="I126" s="1" t="str">
        <f ca="1">IFERROR(__xludf.DUMMYFUNCTION("""COMPUTED_VALUE"""),"Weiss")</f>
        <v>Weiss</v>
      </c>
      <c r="J126" s="1"/>
      <c r="K126" s="1" t="str">
        <f ca="1">IFERROR(__xludf.DUMMYFUNCTION("""COMPUTED_VALUE"""),"Home Office")</f>
        <v>Home Office</v>
      </c>
      <c r="L126" s="1" t="str">
        <f ca="1">IFERROR(__xludf.DUMMYFUNCTION("""COMPUTED_VALUE"""),"United States")</f>
        <v>United States</v>
      </c>
      <c r="M126" s="1" t="str">
        <f ca="1">IFERROR(__xludf.DUMMYFUNCTION("""COMPUTED_VALUE"""),"Huntsville")</f>
        <v>Huntsville</v>
      </c>
      <c r="N126" s="1" t="str">
        <f ca="1">IFERROR(__xludf.DUMMYFUNCTION("""COMPUTED_VALUE"""),"Texas")</f>
        <v>Texas</v>
      </c>
      <c r="O126" s="1">
        <f ca="1">IFERROR(__xludf.DUMMYFUNCTION("""COMPUTED_VALUE"""),77340)</f>
        <v>77340</v>
      </c>
      <c r="P126" s="1" t="str">
        <f ca="1">IFERROR(__xludf.DUMMYFUNCTION("""COMPUTED_VALUE"""),"Central")</f>
        <v>Central</v>
      </c>
      <c r="Q126" s="1" t="str">
        <f ca="1">IFERROR(__xludf.DUMMYFUNCTION("""COMPUTED_VALUE"""),"TEC-PH-10000376")</f>
        <v>TEC-PH-10000376</v>
      </c>
      <c r="R126" s="1" t="str">
        <f ca="1">IFERROR(__xludf.DUMMYFUNCTION("""COMPUTED_VALUE"""),"Technology")</f>
        <v>Technology</v>
      </c>
      <c r="S126" s="7">
        <f ca="1">IFERROR(__xludf.DUMMYFUNCTION("""COMPUTED_VALUE"""),7.992)</f>
        <v>7.992</v>
      </c>
      <c r="T126" s="1">
        <f ca="1">IFERROR(__xludf.DUMMYFUNCTION("""COMPUTED_VALUE"""),7)</f>
        <v>7</v>
      </c>
      <c r="U126" s="9">
        <f ca="1">IFERROR(__xludf.DUMMYFUNCTION("""COMPUTED_VALUE"""),55.944)</f>
        <v>55.944000000000003</v>
      </c>
      <c r="V126" s="9">
        <f ca="1">IFERROR(__xludf.DUMMYFUNCTION("""COMPUTED_VALUE"""),51.03)</f>
        <v>51.03</v>
      </c>
      <c r="W126" s="12">
        <f ca="1">IFERROR(__xludf.DUMMYFUNCTION("""COMPUTED_VALUE"""),4.914)</f>
        <v>4.9139999999999997</v>
      </c>
    </row>
    <row r="127" spans="1:23" ht="13.2">
      <c r="A127" s="1" t="str">
        <f ca="1">IFERROR(__xludf.DUMMYFUNCTION("""COMPUTED_VALUE"""),"CA-2015-133753")</f>
        <v>CA-2015-133753</v>
      </c>
      <c r="B127" s="8">
        <f ca="1">IFERROR(__xludf.DUMMYFUNCTION("""COMPUTED_VALUE"""),42253)</f>
        <v>42253</v>
      </c>
      <c r="C127" s="1" t="str">
        <f ca="1">IFERROR(__xludf.DUMMYFUNCTION("""COMPUTED_VALUE"""),"Sep")</f>
        <v>Sep</v>
      </c>
      <c r="D127" s="1" t="str">
        <f ca="1">IFERROR(__xludf.DUMMYFUNCTION("""COMPUTED_VALUE"""),"Qtr 3")</f>
        <v>Qtr 3</v>
      </c>
      <c r="E127" s="1" t="str">
        <f ca="1">IFERROR(__xludf.DUMMYFUNCTION("""COMPUTED_VALUE"""),"13/06/2015")</f>
        <v>13/06/2015</v>
      </c>
      <c r="F127" s="1" t="str">
        <f ca="1">IFERROR(__xludf.DUMMYFUNCTION("""COMPUTED_VALUE"""),"Second Class")</f>
        <v>Second Class</v>
      </c>
      <c r="G127" s="1" t="str">
        <f ca="1">IFERROR(__xludf.DUMMYFUNCTION("""COMPUTED_VALUE"""),"CW-11905")</f>
        <v>CW-11905</v>
      </c>
      <c r="H127" s="1" t="str">
        <f ca="1">IFERROR(__xludf.DUMMYFUNCTION("""COMPUTED_VALUE"""),"Carl")</f>
        <v>Carl</v>
      </c>
      <c r="I127" s="1" t="str">
        <f ca="1">IFERROR(__xludf.DUMMYFUNCTION("""COMPUTED_VALUE"""),"Weiss")</f>
        <v>Weiss</v>
      </c>
      <c r="J127" s="1"/>
      <c r="K127" s="1" t="str">
        <f ca="1">IFERROR(__xludf.DUMMYFUNCTION("""COMPUTED_VALUE"""),"Home Office")</f>
        <v>Home Office</v>
      </c>
      <c r="L127" s="1" t="str">
        <f ca="1">IFERROR(__xludf.DUMMYFUNCTION("""COMPUTED_VALUE"""),"United States")</f>
        <v>United States</v>
      </c>
      <c r="M127" s="1" t="str">
        <f ca="1">IFERROR(__xludf.DUMMYFUNCTION("""COMPUTED_VALUE"""),"Huntsville")</f>
        <v>Huntsville</v>
      </c>
      <c r="N127" s="1" t="str">
        <f ca="1">IFERROR(__xludf.DUMMYFUNCTION("""COMPUTED_VALUE"""),"Texas")</f>
        <v>Texas</v>
      </c>
      <c r="O127" s="1">
        <f ca="1">IFERROR(__xludf.DUMMYFUNCTION("""COMPUTED_VALUE"""),77340)</f>
        <v>77340</v>
      </c>
      <c r="P127" s="1" t="str">
        <f ca="1">IFERROR(__xludf.DUMMYFUNCTION("""COMPUTED_VALUE"""),"Central")</f>
        <v>Central</v>
      </c>
      <c r="Q127" s="1" t="str">
        <f ca="1">IFERROR(__xludf.DUMMYFUNCTION("""COMPUTED_VALUE"""),"TEC-AC-10000303")</f>
        <v>TEC-AC-10000303</v>
      </c>
      <c r="R127" s="1" t="str">
        <f ca="1">IFERROR(__xludf.DUMMYFUNCTION("""COMPUTED_VALUE"""),"Technology")</f>
        <v>Technology</v>
      </c>
      <c r="S127" s="7">
        <f ca="1">IFERROR(__xludf.DUMMYFUNCTION("""COMPUTED_VALUE"""),63.984)</f>
        <v>63.984000000000002</v>
      </c>
      <c r="T127" s="1">
        <f ca="1">IFERROR(__xludf.DUMMYFUNCTION("""COMPUTED_VALUE"""),7)</f>
        <v>7</v>
      </c>
      <c r="U127" s="9">
        <f ca="1">IFERROR(__xludf.DUMMYFUNCTION("""COMPUTED_VALUE"""),447.888)</f>
        <v>447.88799999999998</v>
      </c>
      <c r="V127" s="9">
        <f ca="1">IFERROR(__xludf.DUMMYFUNCTION("""COMPUTED_VALUE"""),444.92)</f>
        <v>444.92</v>
      </c>
      <c r="W127" s="12">
        <f ca="1">IFERROR(__xludf.DUMMYFUNCTION("""COMPUTED_VALUE"""),2.96800000000001)</f>
        <v>2.9680000000000102</v>
      </c>
    </row>
    <row r="128" spans="1:23" ht="13.2">
      <c r="A128" s="1" t="str">
        <f ca="1">IFERROR(__xludf.DUMMYFUNCTION("""COMPUTED_VALUE"""),"CA-2015-133753")</f>
        <v>CA-2015-133753</v>
      </c>
      <c r="B128" s="8">
        <f ca="1">IFERROR(__xludf.DUMMYFUNCTION("""COMPUTED_VALUE"""),42253)</f>
        <v>42253</v>
      </c>
      <c r="C128" s="1" t="str">
        <f ca="1">IFERROR(__xludf.DUMMYFUNCTION("""COMPUTED_VALUE"""),"Sep")</f>
        <v>Sep</v>
      </c>
      <c r="D128" s="1" t="str">
        <f ca="1">IFERROR(__xludf.DUMMYFUNCTION("""COMPUTED_VALUE"""),"Qtr 3")</f>
        <v>Qtr 3</v>
      </c>
      <c r="E128" s="1" t="str">
        <f ca="1">IFERROR(__xludf.DUMMYFUNCTION("""COMPUTED_VALUE"""),"13/06/2015")</f>
        <v>13/06/2015</v>
      </c>
      <c r="F128" s="1" t="str">
        <f ca="1">IFERROR(__xludf.DUMMYFUNCTION("""COMPUTED_VALUE"""),"Second Class")</f>
        <v>Second Class</v>
      </c>
      <c r="G128" s="1" t="str">
        <f ca="1">IFERROR(__xludf.DUMMYFUNCTION("""COMPUTED_VALUE"""),"CW-11905")</f>
        <v>CW-11905</v>
      </c>
      <c r="H128" s="1" t="str">
        <f ca="1">IFERROR(__xludf.DUMMYFUNCTION("""COMPUTED_VALUE"""),"Carl")</f>
        <v>Carl</v>
      </c>
      <c r="I128" s="1" t="str">
        <f ca="1">IFERROR(__xludf.DUMMYFUNCTION("""COMPUTED_VALUE"""),"Weiss")</f>
        <v>Weiss</v>
      </c>
      <c r="J128" s="1"/>
      <c r="K128" s="1" t="str">
        <f ca="1">IFERROR(__xludf.DUMMYFUNCTION("""COMPUTED_VALUE"""),"Home Office")</f>
        <v>Home Office</v>
      </c>
      <c r="L128" s="1" t="str">
        <f ca="1">IFERROR(__xludf.DUMMYFUNCTION("""COMPUTED_VALUE"""),"United States")</f>
        <v>United States</v>
      </c>
      <c r="M128" s="1" t="str">
        <f ca="1">IFERROR(__xludf.DUMMYFUNCTION("""COMPUTED_VALUE"""),"Huntsville")</f>
        <v>Huntsville</v>
      </c>
      <c r="N128" s="1" t="str">
        <f ca="1">IFERROR(__xludf.DUMMYFUNCTION("""COMPUTED_VALUE"""),"Texas")</f>
        <v>Texas</v>
      </c>
      <c r="O128" s="1">
        <f ca="1">IFERROR(__xludf.DUMMYFUNCTION("""COMPUTED_VALUE"""),77340)</f>
        <v>77340</v>
      </c>
      <c r="P128" s="1" t="str">
        <f ca="1">IFERROR(__xludf.DUMMYFUNCTION("""COMPUTED_VALUE"""),"Central")</f>
        <v>Central</v>
      </c>
      <c r="Q128" s="1" t="str">
        <f ca="1">IFERROR(__xludf.DUMMYFUNCTION("""COMPUTED_VALUE"""),"OFF-AR-10001953")</f>
        <v>OFF-AR-10001953</v>
      </c>
      <c r="R128" s="1" t="str">
        <f ca="1">IFERROR(__xludf.DUMMYFUNCTION("""COMPUTED_VALUE"""),"Office Supplies")</f>
        <v>Office Supplies</v>
      </c>
      <c r="S128" s="7">
        <f ca="1">IFERROR(__xludf.DUMMYFUNCTION("""COMPUTED_VALUE"""),70.368)</f>
        <v>70.367999999999995</v>
      </c>
      <c r="T128" s="1">
        <f ca="1">IFERROR(__xludf.DUMMYFUNCTION("""COMPUTED_VALUE"""),7)</f>
        <v>7</v>
      </c>
      <c r="U128" s="9">
        <f ca="1">IFERROR(__xludf.DUMMYFUNCTION("""COMPUTED_VALUE"""),492.575999999999)</f>
        <v>492.575999999999</v>
      </c>
      <c r="V128" s="9">
        <f ca="1">IFERROR(__xludf.DUMMYFUNCTION("""COMPUTED_VALUE"""),487.76)</f>
        <v>487.76</v>
      </c>
      <c r="W128" s="12">
        <f ca="1">IFERROR(__xludf.DUMMYFUNCTION("""COMPUTED_VALUE"""),4.81599999999991)</f>
        <v>4.8159999999999101</v>
      </c>
    </row>
    <row r="129" spans="1:23" ht="13.2">
      <c r="A129" s="1" t="str">
        <f ca="1">IFERROR(__xludf.DUMMYFUNCTION("""COMPUTED_VALUE"""),"US-2017-120929")</f>
        <v>US-2017-120929</v>
      </c>
      <c r="B129" s="8">
        <f ca="1">IFERROR(__xludf.DUMMYFUNCTION("""COMPUTED_VALUE"""),42812)</f>
        <v>42812</v>
      </c>
      <c r="C129" s="1" t="str">
        <f ca="1">IFERROR(__xludf.DUMMYFUNCTION("""COMPUTED_VALUE"""),"Mar")</f>
        <v>Mar</v>
      </c>
      <c r="D129" s="1" t="str">
        <f ca="1">IFERROR(__xludf.DUMMYFUNCTION("""COMPUTED_VALUE"""),"Qtr 1")</f>
        <v>Qtr 1</v>
      </c>
      <c r="E129" s="1" t="str">
        <f ca="1">IFERROR(__xludf.DUMMYFUNCTION("""COMPUTED_VALUE"""),"21/03/2017")</f>
        <v>21/03/2017</v>
      </c>
      <c r="F129" s="1" t="str">
        <f ca="1">IFERROR(__xludf.DUMMYFUNCTION("""COMPUTED_VALUE"""),"Second Class")</f>
        <v>Second Class</v>
      </c>
      <c r="G129" s="1" t="str">
        <f ca="1">IFERROR(__xludf.DUMMYFUNCTION("""COMPUTED_VALUE"""),"RO-19780")</f>
        <v>RO-19780</v>
      </c>
      <c r="H129" s="1" t="str">
        <f ca="1">IFERROR(__xludf.DUMMYFUNCTION("""COMPUTED_VALUE"""),"Rose")</f>
        <v>Rose</v>
      </c>
      <c r="I129" s="1" t="str">
        <f ca="1">IFERROR(__xludf.DUMMYFUNCTION("""COMPUTED_VALUE"""),"O'Brian")</f>
        <v>O'Brian</v>
      </c>
      <c r="J129" s="1"/>
      <c r="K129" s="1" t="str">
        <f ca="1">IFERROR(__xludf.DUMMYFUNCTION("""COMPUTED_VALUE"""),"Consumer")</f>
        <v>Consumer</v>
      </c>
      <c r="L129" s="1" t="str">
        <f ca="1">IFERROR(__xludf.DUMMYFUNCTION("""COMPUTED_VALUE"""),"United States")</f>
        <v>United States</v>
      </c>
      <c r="M129" s="1" t="str">
        <f ca="1">IFERROR(__xludf.DUMMYFUNCTION("""COMPUTED_VALUE"""),"Memphis")</f>
        <v>Memphis</v>
      </c>
      <c r="N129" s="1" t="str">
        <f ca="1">IFERROR(__xludf.DUMMYFUNCTION("""COMPUTED_VALUE"""),"Tennessee")</f>
        <v>Tennessee</v>
      </c>
      <c r="O129" s="1">
        <f ca="1">IFERROR(__xludf.DUMMYFUNCTION("""COMPUTED_VALUE"""),38109)</f>
        <v>38109</v>
      </c>
      <c r="P129" s="1" t="str">
        <f ca="1">IFERROR(__xludf.DUMMYFUNCTION("""COMPUTED_VALUE"""),"South")</f>
        <v>South</v>
      </c>
      <c r="Q129" s="1" t="str">
        <f ca="1">IFERROR(__xludf.DUMMYFUNCTION("""COMPUTED_VALUE"""),"FUR-TA-10001857")</f>
        <v>FUR-TA-10001857</v>
      </c>
      <c r="R129" s="1" t="str">
        <f ca="1">IFERROR(__xludf.DUMMYFUNCTION("""COMPUTED_VALUE"""),"Furniture")</f>
        <v>Furniture</v>
      </c>
      <c r="S129" s="7">
        <f ca="1">IFERROR(__xludf.DUMMYFUNCTION("""COMPUTED_VALUE"""),189.882)</f>
        <v>189.88200000000001</v>
      </c>
      <c r="T129" s="1">
        <f ca="1">IFERROR(__xludf.DUMMYFUNCTION("""COMPUTED_VALUE"""),3)</f>
        <v>3</v>
      </c>
      <c r="U129" s="9">
        <f ca="1">IFERROR(__xludf.DUMMYFUNCTION("""COMPUTED_VALUE"""),569.646)</f>
        <v>569.64599999999996</v>
      </c>
      <c r="V129" s="9">
        <f ca="1">IFERROR(__xludf.DUMMYFUNCTION("""COMPUTED_VALUE"""),568.92)</f>
        <v>568.91999999999996</v>
      </c>
      <c r="W129" s="12">
        <f ca="1">IFERROR(__xludf.DUMMYFUNCTION("""COMPUTED_VALUE"""),0.725999999999999)</f>
        <v>0.72599999999999898</v>
      </c>
    </row>
    <row r="130" spans="1:23" ht="13.2">
      <c r="A130" s="1" t="str">
        <f ca="1">IFERROR(__xludf.DUMMYFUNCTION("""COMPUTED_VALUE"""),"CA-2018-134978")</f>
        <v>CA-2018-134978</v>
      </c>
      <c r="B130" s="8">
        <f ca="1">IFERROR(__xludf.DUMMYFUNCTION("""COMPUTED_VALUE"""),43445)</f>
        <v>43445</v>
      </c>
      <c r="C130" s="1" t="str">
        <f ca="1">IFERROR(__xludf.DUMMYFUNCTION("""COMPUTED_VALUE"""),"Dec")</f>
        <v>Dec</v>
      </c>
      <c r="D130" s="1" t="str">
        <f ca="1">IFERROR(__xludf.DUMMYFUNCTION("""COMPUTED_VALUE"""),"Qtr 4")</f>
        <v>Qtr 4</v>
      </c>
      <c r="E130" s="1" t="str">
        <f ca="1">IFERROR(__xludf.DUMMYFUNCTION("""COMPUTED_VALUE"""),"15/11/2018")</f>
        <v>15/11/2018</v>
      </c>
      <c r="F130" s="1" t="str">
        <f ca="1">IFERROR(__xludf.DUMMYFUNCTION("""COMPUTED_VALUE"""),"Second Class")</f>
        <v>Second Class</v>
      </c>
      <c r="G130" s="1" t="str">
        <f ca="1">IFERROR(__xludf.DUMMYFUNCTION("""COMPUTED_VALUE"""),"EB-13705")</f>
        <v>EB-13705</v>
      </c>
      <c r="H130" s="1" t="str">
        <f ca="1">IFERROR(__xludf.DUMMYFUNCTION("""COMPUTED_VALUE"""),"Ed")</f>
        <v>Ed</v>
      </c>
      <c r="I130" s="1" t="str">
        <f ca="1">IFERROR(__xludf.DUMMYFUNCTION("""COMPUTED_VALUE"""),"Braxton")</f>
        <v>Braxton</v>
      </c>
      <c r="J130" s="1"/>
      <c r="K130" s="1" t="str">
        <f ca="1">IFERROR(__xludf.DUMMYFUNCTION("""COMPUTED_VALUE"""),"Corporate")</f>
        <v>Corporate</v>
      </c>
      <c r="L130" s="1" t="str">
        <f ca="1">IFERROR(__xludf.DUMMYFUNCTION("""COMPUTED_VALUE"""),"United States")</f>
        <v>United States</v>
      </c>
      <c r="M130" s="1" t="str">
        <f ca="1">IFERROR(__xludf.DUMMYFUNCTION("""COMPUTED_VALUE"""),"New York City")</f>
        <v>New York City</v>
      </c>
      <c r="N130" s="1" t="str">
        <f ca="1">IFERROR(__xludf.DUMMYFUNCTION("""COMPUTED_VALUE"""),"New York")</f>
        <v>New York</v>
      </c>
      <c r="O130" s="1">
        <f ca="1">IFERROR(__xludf.DUMMYFUNCTION("""COMPUTED_VALUE"""),10024)</f>
        <v>10024</v>
      </c>
      <c r="P130" s="1" t="str">
        <f ca="1">IFERROR(__xludf.DUMMYFUNCTION("""COMPUTED_VALUE"""),"East")</f>
        <v>East</v>
      </c>
      <c r="Q130" s="1" t="str">
        <f ca="1">IFERROR(__xludf.DUMMYFUNCTION("""COMPUTED_VALUE"""),"OFF-BI-10003274")</f>
        <v>OFF-BI-10003274</v>
      </c>
      <c r="R130" s="1" t="str">
        <f ca="1">IFERROR(__xludf.DUMMYFUNCTION("""COMPUTED_VALUE"""),"Office Supplies")</f>
        <v>Office Supplies</v>
      </c>
      <c r="S130" s="7">
        <f ca="1">IFERROR(__xludf.DUMMYFUNCTION("""COMPUTED_VALUE"""),15.92)</f>
        <v>15.92</v>
      </c>
      <c r="T130" s="1">
        <f ca="1">IFERROR(__xludf.DUMMYFUNCTION("""COMPUTED_VALUE"""),1)</f>
        <v>1</v>
      </c>
      <c r="U130" s="9">
        <f ca="1">IFERROR(__xludf.DUMMYFUNCTION("""COMPUTED_VALUE"""),15.92)</f>
        <v>15.92</v>
      </c>
      <c r="V130" s="9">
        <f ca="1">IFERROR(__xludf.DUMMYFUNCTION("""COMPUTED_VALUE"""),15.15)</f>
        <v>15.15</v>
      </c>
      <c r="W130" s="12">
        <f ca="1">IFERROR(__xludf.DUMMYFUNCTION("""COMPUTED_VALUE"""),0.769999999999999)</f>
        <v>0.76999999999999902</v>
      </c>
    </row>
    <row r="131" spans="1:23" ht="13.2">
      <c r="A131" s="1" t="str">
        <f ca="1">IFERROR(__xludf.DUMMYFUNCTION("""COMPUTED_VALUE"""),"CA-2016-102848")</f>
        <v>CA-2016-102848</v>
      </c>
      <c r="B131" s="8">
        <f ca="1">IFERROR(__xludf.DUMMYFUNCTION("""COMPUTED_VALUE"""),42562)</f>
        <v>42562</v>
      </c>
      <c r="C131" s="1" t="str">
        <f ca="1">IFERROR(__xludf.DUMMYFUNCTION("""COMPUTED_VALUE"""),"Jul")</f>
        <v>Jul</v>
      </c>
      <c r="D131" s="1" t="str">
        <f ca="1">IFERROR(__xludf.DUMMYFUNCTION("""COMPUTED_VALUE"""),"Qtr 3")</f>
        <v>Qtr 3</v>
      </c>
      <c r="E131" s="1" t="str">
        <f ca="1">IFERROR(__xludf.DUMMYFUNCTION("""COMPUTED_VALUE"""),"9/11/2016")</f>
        <v>9/11/2016</v>
      </c>
      <c r="F131" s="1" t="str">
        <f ca="1">IFERROR(__xludf.DUMMYFUNCTION("""COMPUTED_VALUE"""),"Second Class")</f>
        <v>Second Class</v>
      </c>
      <c r="G131" s="1" t="str">
        <f ca="1">IFERROR(__xludf.DUMMYFUNCTION("""COMPUTED_VALUE"""),"KB-16240")</f>
        <v>KB-16240</v>
      </c>
      <c r="H131" s="1" t="str">
        <f ca="1">IFERROR(__xludf.DUMMYFUNCTION("""COMPUTED_VALUE"""),"Karen")</f>
        <v>Karen</v>
      </c>
      <c r="I131" s="1" t="str">
        <f ca="1">IFERROR(__xludf.DUMMYFUNCTION("""COMPUTED_VALUE"""),"Bern")</f>
        <v>Bern</v>
      </c>
      <c r="J131" s="1"/>
      <c r="K131" s="1" t="str">
        <f ca="1">IFERROR(__xludf.DUMMYFUNCTION("""COMPUTED_VALUE"""),"Corporate")</f>
        <v>Corporate</v>
      </c>
      <c r="L131" s="1" t="str">
        <f ca="1">IFERROR(__xludf.DUMMYFUNCTION("""COMPUTED_VALUE"""),"United States")</f>
        <v>United States</v>
      </c>
      <c r="M131" s="1" t="str">
        <f ca="1">IFERROR(__xludf.DUMMYFUNCTION("""COMPUTED_VALUE"""),"Los Angeles")</f>
        <v>Los Angeles</v>
      </c>
      <c r="N131" s="1" t="str">
        <f ca="1">IFERROR(__xludf.DUMMYFUNCTION("""COMPUTED_VALUE"""),"California")</f>
        <v>California</v>
      </c>
      <c r="O131" s="1">
        <f ca="1">IFERROR(__xludf.DUMMYFUNCTION("""COMPUTED_VALUE"""),90036)</f>
        <v>90036</v>
      </c>
      <c r="P131" s="1" t="str">
        <f ca="1">IFERROR(__xludf.DUMMYFUNCTION("""COMPUTED_VALUE"""),"West")</f>
        <v>West</v>
      </c>
      <c r="Q131" s="1" t="str">
        <f ca="1">IFERROR(__xludf.DUMMYFUNCTION("""COMPUTED_VALUE"""),"FUR-CH-10000595")</f>
        <v>FUR-CH-10000595</v>
      </c>
      <c r="R131" s="1" t="str">
        <f ca="1">IFERROR(__xludf.DUMMYFUNCTION("""COMPUTED_VALUE"""),"Furniture")</f>
        <v>Furniture</v>
      </c>
      <c r="S131" s="7">
        <f ca="1">IFERROR(__xludf.DUMMYFUNCTION("""COMPUTED_VALUE"""),190.72)</f>
        <v>190.72</v>
      </c>
      <c r="T131" s="1">
        <f ca="1">IFERROR(__xludf.DUMMYFUNCTION("""COMPUTED_VALUE"""),9)</f>
        <v>9</v>
      </c>
      <c r="U131" s="9">
        <f ca="1">IFERROR(__xludf.DUMMYFUNCTION("""COMPUTED_VALUE"""),1716.48)</f>
        <v>1716.48</v>
      </c>
      <c r="V131" s="9">
        <f ca="1">IFERROR(__xludf.DUMMYFUNCTION("""COMPUTED_VALUE"""),1711.35)</f>
        <v>1711.35</v>
      </c>
      <c r="W131" s="12">
        <f ca="1">IFERROR(__xludf.DUMMYFUNCTION("""COMPUTED_VALUE"""),5.12999999999988)</f>
        <v>5.12999999999988</v>
      </c>
    </row>
    <row r="132" spans="1:23" ht="13.2">
      <c r="A132" s="1" t="str">
        <f ca="1">IFERROR(__xludf.DUMMYFUNCTION("""COMPUTED_VALUE"""),"CA-2017-168753")</f>
        <v>CA-2017-168753</v>
      </c>
      <c r="B132" s="8">
        <f ca="1">IFERROR(__xludf.DUMMYFUNCTION("""COMPUTED_VALUE"""),42884)</f>
        <v>42884</v>
      </c>
      <c r="C132" s="1" t="str">
        <f ca="1">IFERROR(__xludf.DUMMYFUNCTION("""COMPUTED_VALUE"""),"May")</f>
        <v>May</v>
      </c>
      <c r="D132" s="1" t="str">
        <f ca="1">IFERROR(__xludf.DUMMYFUNCTION("""COMPUTED_VALUE"""),"Qtr 2")</f>
        <v>Qtr 2</v>
      </c>
      <c r="E132" s="1" t="str">
        <f ca="1">IFERROR(__xludf.DUMMYFUNCTION("""COMPUTED_VALUE"""),"1/6/2017")</f>
        <v>1/6/2017</v>
      </c>
      <c r="F132" s="1" t="str">
        <f ca="1">IFERROR(__xludf.DUMMYFUNCTION("""COMPUTED_VALUE"""),"Second Class")</f>
        <v>Second Class</v>
      </c>
      <c r="G132" s="1" t="str">
        <f ca="1">IFERROR(__xludf.DUMMYFUNCTION("""COMPUTED_VALUE"""),"RL-19615")</f>
        <v>RL-19615</v>
      </c>
      <c r="H132" s="1" t="str">
        <f ca="1">IFERROR(__xludf.DUMMYFUNCTION("""COMPUTED_VALUE"""),"Rob")</f>
        <v>Rob</v>
      </c>
      <c r="I132" s="1" t="str">
        <f ca="1">IFERROR(__xludf.DUMMYFUNCTION("""COMPUTED_VALUE"""),"Lucas")</f>
        <v>Lucas</v>
      </c>
      <c r="J132" s="1"/>
      <c r="K132" s="1" t="str">
        <f ca="1">IFERROR(__xludf.DUMMYFUNCTION("""COMPUTED_VALUE"""),"Consumer")</f>
        <v>Consumer</v>
      </c>
      <c r="L132" s="1" t="str">
        <f ca="1">IFERROR(__xludf.DUMMYFUNCTION("""COMPUTED_VALUE"""),"United States")</f>
        <v>United States</v>
      </c>
      <c r="M132" s="1" t="str">
        <f ca="1">IFERROR(__xludf.DUMMYFUNCTION("""COMPUTED_VALUE"""),"Montgomery")</f>
        <v>Montgomery</v>
      </c>
      <c r="N132" s="1" t="str">
        <f ca="1">IFERROR(__xludf.DUMMYFUNCTION("""COMPUTED_VALUE"""),"Alabama")</f>
        <v>Alabama</v>
      </c>
      <c r="O132" s="1">
        <f ca="1">IFERROR(__xludf.DUMMYFUNCTION("""COMPUTED_VALUE"""),36116)</f>
        <v>36116</v>
      </c>
      <c r="P132" s="1" t="str">
        <f ca="1">IFERROR(__xludf.DUMMYFUNCTION("""COMPUTED_VALUE"""),"South")</f>
        <v>South</v>
      </c>
      <c r="Q132" s="1" t="str">
        <f ca="1">IFERROR(__xludf.DUMMYFUNCTION("""COMPUTED_VALUE"""),"TEC-PH-10000984")</f>
        <v>TEC-PH-10000984</v>
      </c>
      <c r="R132" s="1" t="str">
        <f ca="1">IFERROR(__xludf.DUMMYFUNCTION("""COMPUTED_VALUE"""),"Technology")</f>
        <v>Technology</v>
      </c>
      <c r="S132" s="7">
        <f ca="1">IFERROR(__xludf.DUMMYFUNCTION("""COMPUTED_VALUE"""),979.95)</f>
        <v>979.95</v>
      </c>
      <c r="T132" s="1">
        <f ca="1">IFERROR(__xludf.DUMMYFUNCTION("""COMPUTED_VALUE"""),3)</f>
        <v>3</v>
      </c>
      <c r="U132" s="9">
        <f ca="1">IFERROR(__xludf.DUMMYFUNCTION("""COMPUTED_VALUE"""),2939.85)</f>
        <v>2939.85</v>
      </c>
      <c r="V132" s="9">
        <f ca="1">IFERROR(__xludf.DUMMYFUNCTION("""COMPUTED_VALUE"""),2938.05)</f>
        <v>2938.05</v>
      </c>
      <c r="W132" s="12">
        <f ca="1">IFERROR(__xludf.DUMMYFUNCTION("""COMPUTED_VALUE"""),1.80000000000018)</f>
        <v>1.8000000000001799</v>
      </c>
    </row>
    <row r="133" spans="1:23" ht="13.2">
      <c r="A133" s="1" t="str">
        <f ca="1">IFERROR(__xludf.DUMMYFUNCTION("""COMPUTED_VALUE"""),"CA-2017-168753")</f>
        <v>CA-2017-168753</v>
      </c>
      <c r="B133" s="8">
        <f ca="1">IFERROR(__xludf.DUMMYFUNCTION("""COMPUTED_VALUE"""),42884)</f>
        <v>42884</v>
      </c>
      <c r="C133" s="1" t="str">
        <f ca="1">IFERROR(__xludf.DUMMYFUNCTION("""COMPUTED_VALUE"""),"May")</f>
        <v>May</v>
      </c>
      <c r="D133" s="1" t="str">
        <f ca="1">IFERROR(__xludf.DUMMYFUNCTION("""COMPUTED_VALUE"""),"Qtr 2")</f>
        <v>Qtr 2</v>
      </c>
      <c r="E133" s="1" t="str">
        <f ca="1">IFERROR(__xludf.DUMMYFUNCTION("""COMPUTED_VALUE"""),"1/6/2017")</f>
        <v>1/6/2017</v>
      </c>
      <c r="F133" s="1" t="str">
        <f ca="1">IFERROR(__xludf.DUMMYFUNCTION("""COMPUTED_VALUE"""),"Second Class")</f>
        <v>Second Class</v>
      </c>
      <c r="G133" s="1" t="str">
        <f ca="1">IFERROR(__xludf.DUMMYFUNCTION("""COMPUTED_VALUE"""),"RL-19615")</f>
        <v>RL-19615</v>
      </c>
      <c r="H133" s="1" t="str">
        <f ca="1">IFERROR(__xludf.DUMMYFUNCTION("""COMPUTED_VALUE"""),"Rob")</f>
        <v>Rob</v>
      </c>
      <c r="I133" s="1" t="str">
        <f ca="1">IFERROR(__xludf.DUMMYFUNCTION("""COMPUTED_VALUE"""),"Lucas")</f>
        <v>Lucas</v>
      </c>
      <c r="J133" s="1"/>
      <c r="K133" s="1" t="str">
        <f ca="1">IFERROR(__xludf.DUMMYFUNCTION("""COMPUTED_VALUE"""),"Consumer")</f>
        <v>Consumer</v>
      </c>
      <c r="L133" s="1" t="str">
        <f ca="1">IFERROR(__xludf.DUMMYFUNCTION("""COMPUTED_VALUE"""),"United States")</f>
        <v>United States</v>
      </c>
      <c r="M133" s="1" t="str">
        <f ca="1">IFERROR(__xludf.DUMMYFUNCTION("""COMPUTED_VALUE"""),"Montgomery")</f>
        <v>Montgomery</v>
      </c>
      <c r="N133" s="1" t="str">
        <f ca="1">IFERROR(__xludf.DUMMYFUNCTION("""COMPUTED_VALUE"""),"Alabama")</f>
        <v>Alabama</v>
      </c>
      <c r="O133" s="1">
        <f ca="1">IFERROR(__xludf.DUMMYFUNCTION("""COMPUTED_VALUE"""),36116)</f>
        <v>36116</v>
      </c>
      <c r="P133" s="1" t="str">
        <f ca="1">IFERROR(__xludf.DUMMYFUNCTION("""COMPUTED_VALUE"""),"South")</f>
        <v>South</v>
      </c>
      <c r="Q133" s="1" t="str">
        <f ca="1">IFERROR(__xludf.DUMMYFUNCTION("""COMPUTED_VALUE"""),"OFF-BI-10002557")</f>
        <v>OFF-BI-10002557</v>
      </c>
      <c r="R133" s="1" t="str">
        <f ca="1">IFERROR(__xludf.DUMMYFUNCTION("""COMPUTED_VALUE"""),"Office Supplies")</f>
        <v>Office Supplies</v>
      </c>
      <c r="S133" s="7">
        <f ca="1">IFERROR(__xludf.DUMMYFUNCTION("""COMPUTED_VALUE"""),22.75)</f>
        <v>22.75</v>
      </c>
      <c r="T133" s="1">
        <f ca="1">IFERROR(__xludf.DUMMYFUNCTION("""COMPUTED_VALUE"""),3)</f>
        <v>3</v>
      </c>
      <c r="U133" s="9">
        <f ca="1">IFERROR(__xludf.DUMMYFUNCTION("""COMPUTED_VALUE"""),68.25)</f>
        <v>68.25</v>
      </c>
      <c r="V133" s="9">
        <f ca="1">IFERROR(__xludf.DUMMYFUNCTION("""COMPUTED_VALUE"""),67.53)</f>
        <v>67.53</v>
      </c>
      <c r="W133" s="12">
        <f ca="1">IFERROR(__xludf.DUMMYFUNCTION("""COMPUTED_VALUE"""),0.719999999999998)</f>
        <v>0.71999999999999797</v>
      </c>
    </row>
    <row r="134" spans="1:23" ht="13.2">
      <c r="A134" s="1" t="str">
        <f ca="1">IFERROR(__xludf.DUMMYFUNCTION("""COMPUTED_VALUE"""),"US-2018-122637")</f>
        <v>US-2018-122637</v>
      </c>
      <c r="B134" s="8">
        <f ca="1">IFERROR(__xludf.DUMMYFUNCTION("""COMPUTED_VALUE"""),43168)</f>
        <v>43168</v>
      </c>
      <c r="C134" s="1" t="str">
        <f ca="1">IFERROR(__xludf.DUMMYFUNCTION("""COMPUTED_VALUE"""),"Mar")</f>
        <v>Mar</v>
      </c>
      <c r="D134" s="1" t="str">
        <f ca="1">IFERROR(__xludf.DUMMYFUNCTION("""COMPUTED_VALUE"""),"Qtr 1")</f>
        <v>Qtr 1</v>
      </c>
      <c r="E134" s="1" t="str">
        <f ca="1">IFERROR(__xludf.DUMMYFUNCTION("""COMPUTED_VALUE"""),"8/9/2018")</f>
        <v>8/9/2018</v>
      </c>
      <c r="F134" s="1" t="str">
        <f ca="1">IFERROR(__xludf.DUMMYFUNCTION("""COMPUTED_VALUE"""),"Second Class")</f>
        <v>Second Class</v>
      </c>
      <c r="G134" s="1" t="str">
        <f ca="1">IFERROR(__xludf.DUMMYFUNCTION("""COMPUTED_VALUE"""),"EP-13915")</f>
        <v>EP-13915</v>
      </c>
      <c r="H134" s="1" t="str">
        <f ca="1">IFERROR(__xludf.DUMMYFUNCTION("""COMPUTED_VALUE"""),"Emily")</f>
        <v>Emily</v>
      </c>
      <c r="I134" s="1" t="str">
        <f ca="1">IFERROR(__xludf.DUMMYFUNCTION("""COMPUTED_VALUE"""),"Phan")</f>
        <v>Phan</v>
      </c>
      <c r="J134" s="1"/>
      <c r="K134" s="1" t="str">
        <f ca="1">IFERROR(__xludf.DUMMYFUNCTION("""COMPUTED_VALUE"""),"Consumer")</f>
        <v>Consumer</v>
      </c>
      <c r="L134" s="1" t="str">
        <f ca="1">IFERROR(__xludf.DUMMYFUNCTION("""COMPUTED_VALUE"""),"United States")</f>
        <v>United States</v>
      </c>
      <c r="M134" s="1" t="str">
        <f ca="1">IFERROR(__xludf.DUMMYFUNCTION("""COMPUTED_VALUE"""),"Chicago")</f>
        <v>Chicago</v>
      </c>
      <c r="N134" s="1" t="str">
        <f ca="1">IFERROR(__xludf.DUMMYFUNCTION("""COMPUTED_VALUE"""),"Illinois")</f>
        <v>Illinois</v>
      </c>
      <c r="O134" s="1">
        <f ca="1">IFERROR(__xludf.DUMMYFUNCTION("""COMPUTED_VALUE"""),60653)</f>
        <v>60653</v>
      </c>
      <c r="P134" s="1" t="str">
        <f ca="1">IFERROR(__xludf.DUMMYFUNCTION("""COMPUTED_VALUE"""),"Central")</f>
        <v>Central</v>
      </c>
      <c r="Q134" s="1" t="str">
        <f ca="1">IFERROR(__xludf.DUMMYFUNCTION("""COMPUTED_VALUE"""),"OFF-BI-10002429")</f>
        <v>OFF-BI-10002429</v>
      </c>
      <c r="R134" s="1" t="str">
        <f ca="1">IFERROR(__xludf.DUMMYFUNCTION("""COMPUTED_VALUE"""),"Office Supplies")</f>
        <v>Office Supplies</v>
      </c>
      <c r="S134" s="7">
        <f ca="1">IFERROR(__xludf.DUMMYFUNCTION("""COMPUTED_VALUE"""),42.616)</f>
        <v>42.616</v>
      </c>
      <c r="T134" s="1">
        <f ca="1">IFERROR(__xludf.DUMMYFUNCTION("""COMPUTED_VALUE"""),6)</f>
        <v>6</v>
      </c>
      <c r="U134" s="9">
        <f ca="1">IFERROR(__xludf.DUMMYFUNCTION("""COMPUTED_VALUE"""),255.696)</f>
        <v>255.696</v>
      </c>
      <c r="V134" s="9">
        <f ca="1">IFERROR(__xludf.DUMMYFUNCTION("""COMPUTED_VALUE"""),250.68)</f>
        <v>250.68</v>
      </c>
      <c r="W134" s="12">
        <f ca="1">IFERROR(__xludf.DUMMYFUNCTION("""COMPUTED_VALUE"""),5.01599999999999)</f>
        <v>5.0159999999999902</v>
      </c>
    </row>
    <row r="135" spans="1:23" ht="13.2">
      <c r="A135" s="1" t="str">
        <f ca="1">IFERROR(__xludf.DUMMYFUNCTION("""COMPUTED_VALUE"""),"CA-2016-113173")</f>
        <v>CA-2016-113173</v>
      </c>
      <c r="B135" s="8">
        <f ca="1">IFERROR(__xludf.DUMMYFUNCTION("""COMPUTED_VALUE"""),42689)</f>
        <v>42689</v>
      </c>
      <c r="C135" s="1" t="str">
        <f ca="1">IFERROR(__xludf.DUMMYFUNCTION("""COMPUTED_VALUE"""),"Nov")</f>
        <v>Nov</v>
      </c>
      <c r="D135" s="1" t="str">
        <f ca="1">IFERROR(__xludf.DUMMYFUNCTION("""COMPUTED_VALUE"""),"Qtr 4")</f>
        <v>Qtr 4</v>
      </c>
      <c r="E135" s="1" t="str">
        <f ca="1">IFERROR(__xludf.DUMMYFUNCTION("""COMPUTED_VALUE"""),"17/11/2016")</f>
        <v>17/11/2016</v>
      </c>
      <c r="F135" s="1" t="str">
        <f ca="1">IFERROR(__xludf.DUMMYFUNCTION("""COMPUTED_VALUE"""),"Second Class")</f>
        <v>Second Class</v>
      </c>
      <c r="G135" s="1" t="str">
        <f ca="1">IFERROR(__xludf.DUMMYFUNCTION("""COMPUTED_VALUE"""),"DK-13225")</f>
        <v>DK-13225</v>
      </c>
      <c r="H135" s="1" t="str">
        <f ca="1">IFERROR(__xludf.DUMMYFUNCTION("""COMPUTED_VALUE"""),"Dean")</f>
        <v>Dean</v>
      </c>
      <c r="I135" s="1" t="str">
        <f ca="1">IFERROR(__xludf.DUMMYFUNCTION("""COMPUTED_VALUE"""),"Katz")</f>
        <v>Katz</v>
      </c>
      <c r="J135" s="1"/>
      <c r="K135" s="1" t="str">
        <f ca="1">IFERROR(__xludf.DUMMYFUNCTION("""COMPUTED_VALUE"""),"Corporate")</f>
        <v>Corporate</v>
      </c>
      <c r="L135" s="1" t="str">
        <f ca="1">IFERROR(__xludf.DUMMYFUNCTION("""COMPUTED_VALUE"""),"United States")</f>
        <v>United States</v>
      </c>
      <c r="M135" s="1" t="str">
        <f ca="1">IFERROR(__xludf.DUMMYFUNCTION("""COMPUTED_VALUE"""),"Chicago")</f>
        <v>Chicago</v>
      </c>
      <c r="N135" s="1" t="str">
        <f ca="1">IFERROR(__xludf.DUMMYFUNCTION("""COMPUTED_VALUE"""),"Illinois")</f>
        <v>Illinois</v>
      </c>
      <c r="O135" s="1">
        <f ca="1">IFERROR(__xludf.DUMMYFUNCTION("""COMPUTED_VALUE"""),60653)</f>
        <v>60653</v>
      </c>
      <c r="P135" s="1" t="str">
        <f ca="1">IFERROR(__xludf.DUMMYFUNCTION("""COMPUTED_VALUE"""),"Central")</f>
        <v>Central</v>
      </c>
      <c r="Q135" s="1" t="str">
        <f ca="1">IFERROR(__xludf.DUMMYFUNCTION("""COMPUTED_VALUE"""),"OFF-ST-10000604")</f>
        <v>OFF-ST-10000604</v>
      </c>
      <c r="R135" s="1" t="str">
        <f ca="1">IFERROR(__xludf.DUMMYFUNCTION("""COMPUTED_VALUE"""),"Office Supplies")</f>
        <v>Office Supplies</v>
      </c>
      <c r="S135" s="7">
        <f ca="1">IFERROR(__xludf.DUMMYFUNCTION("""COMPUTED_VALUE"""),250.272)</f>
        <v>250.27199999999999</v>
      </c>
      <c r="T135" s="1">
        <f ca="1">IFERROR(__xludf.DUMMYFUNCTION("""COMPUTED_VALUE"""),6)</f>
        <v>6</v>
      </c>
      <c r="U135" s="9">
        <f ca="1">IFERROR(__xludf.DUMMYFUNCTION("""COMPUTED_VALUE"""),1501.632)</f>
        <v>1501.6320000000001</v>
      </c>
      <c r="V135" s="9">
        <f ca="1">IFERROR(__xludf.DUMMYFUNCTION("""COMPUTED_VALUE"""),1498.98)</f>
        <v>1498.98</v>
      </c>
      <c r="W135" s="12">
        <f ca="1">IFERROR(__xludf.DUMMYFUNCTION("""COMPUTED_VALUE"""),2.65200000000004)</f>
        <v>2.6520000000000401</v>
      </c>
    </row>
    <row r="136" spans="1:23" ht="13.2">
      <c r="A136" s="1" t="str">
        <f ca="1">IFERROR(__xludf.DUMMYFUNCTION("""COMPUTED_VALUE"""),"CA-2016-113173")</f>
        <v>CA-2016-113173</v>
      </c>
      <c r="B136" s="8">
        <f ca="1">IFERROR(__xludf.DUMMYFUNCTION("""COMPUTED_VALUE"""),42689)</f>
        <v>42689</v>
      </c>
      <c r="C136" s="1" t="str">
        <f ca="1">IFERROR(__xludf.DUMMYFUNCTION("""COMPUTED_VALUE"""),"Nov")</f>
        <v>Nov</v>
      </c>
      <c r="D136" s="1" t="str">
        <f ca="1">IFERROR(__xludf.DUMMYFUNCTION("""COMPUTED_VALUE"""),"Qtr 4")</f>
        <v>Qtr 4</v>
      </c>
      <c r="E136" s="1" t="str">
        <f ca="1">IFERROR(__xludf.DUMMYFUNCTION("""COMPUTED_VALUE"""),"17/11/2016")</f>
        <v>17/11/2016</v>
      </c>
      <c r="F136" s="1" t="str">
        <f ca="1">IFERROR(__xludf.DUMMYFUNCTION("""COMPUTED_VALUE"""),"Second Class")</f>
        <v>Second Class</v>
      </c>
      <c r="G136" s="1" t="str">
        <f ca="1">IFERROR(__xludf.DUMMYFUNCTION("""COMPUTED_VALUE"""),"DK-13225")</f>
        <v>DK-13225</v>
      </c>
      <c r="H136" s="1" t="str">
        <f ca="1">IFERROR(__xludf.DUMMYFUNCTION("""COMPUTED_VALUE"""),"Dean")</f>
        <v>Dean</v>
      </c>
      <c r="I136" s="1" t="str">
        <f ca="1">IFERROR(__xludf.DUMMYFUNCTION("""COMPUTED_VALUE"""),"Katz")</f>
        <v>Katz</v>
      </c>
      <c r="J136" s="1"/>
      <c r="K136" s="1" t="str">
        <f ca="1">IFERROR(__xludf.DUMMYFUNCTION("""COMPUTED_VALUE"""),"Corporate")</f>
        <v>Corporate</v>
      </c>
      <c r="L136" s="1" t="str">
        <f ca="1">IFERROR(__xludf.DUMMYFUNCTION("""COMPUTED_VALUE"""),"United States")</f>
        <v>United States</v>
      </c>
      <c r="M136" s="1" t="str">
        <f ca="1">IFERROR(__xludf.DUMMYFUNCTION("""COMPUTED_VALUE"""),"Chicago")</f>
        <v>Chicago</v>
      </c>
      <c r="N136" s="1" t="str">
        <f ca="1">IFERROR(__xludf.DUMMYFUNCTION("""COMPUTED_VALUE"""),"Illinois")</f>
        <v>Illinois</v>
      </c>
      <c r="O136" s="1">
        <f ca="1">IFERROR(__xludf.DUMMYFUNCTION("""COMPUTED_VALUE"""),60653)</f>
        <v>60653</v>
      </c>
      <c r="P136" s="1" t="str">
        <f ca="1">IFERROR(__xludf.DUMMYFUNCTION("""COMPUTED_VALUE"""),"Central")</f>
        <v>Central</v>
      </c>
      <c r="Q136" s="1" t="str">
        <f ca="1">IFERROR(__xludf.DUMMYFUNCTION("""COMPUTED_VALUE"""),"OFF-BI-10004738")</f>
        <v>OFF-BI-10004738</v>
      </c>
      <c r="R136" s="1" t="str">
        <f ca="1">IFERROR(__xludf.DUMMYFUNCTION("""COMPUTED_VALUE"""),"Office Supplies")</f>
        <v>Office Supplies</v>
      </c>
      <c r="S136" s="7">
        <f ca="1">IFERROR(__xludf.DUMMYFUNCTION("""COMPUTED_VALUE"""),11.364)</f>
        <v>11.364000000000001</v>
      </c>
      <c r="T136" s="1">
        <f ca="1">IFERROR(__xludf.DUMMYFUNCTION("""COMPUTED_VALUE"""),6)</f>
        <v>6</v>
      </c>
      <c r="U136" s="9">
        <f ca="1">IFERROR(__xludf.DUMMYFUNCTION("""COMPUTED_VALUE"""),68.184)</f>
        <v>68.183999999999997</v>
      </c>
      <c r="V136" s="9">
        <f ca="1">IFERROR(__xludf.DUMMYFUNCTION("""COMPUTED_VALUE"""),64.98)</f>
        <v>64.98</v>
      </c>
      <c r="W136" s="12">
        <f ca="1">IFERROR(__xludf.DUMMYFUNCTION("""COMPUTED_VALUE"""),3.20399999999999)</f>
        <v>3.20399999999999</v>
      </c>
    </row>
    <row r="137" spans="1:23" ht="13.2">
      <c r="A137" s="1" t="str">
        <f ca="1">IFERROR(__xludf.DUMMYFUNCTION("""COMPUTED_VALUE"""),"CA-2016-113173")</f>
        <v>CA-2016-113173</v>
      </c>
      <c r="B137" s="8">
        <f ca="1">IFERROR(__xludf.DUMMYFUNCTION("""COMPUTED_VALUE"""),42689)</f>
        <v>42689</v>
      </c>
      <c r="C137" s="1" t="str">
        <f ca="1">IFERROR(__xludf.DUMMYFUNCTION("""COMPUTED_VALUE"""),"Nov")</f>
        <v>Nov</v>
      </c>
      <c r="D137" s="1" t="str">
        <f ca="1">IFERROR(__xludf.DUMMYFUNCTION("""COMPUTED_VALUE"""),"Qtr 4")</f>
        <v>Qtr 4</v>
      </c>
      <c r="E137" s="1" t="str">
        <f ca="1">IFERROR(__xludf.DUMMYFUNCTION("""COMPUTED_VALUE"""),"17/11/2016")</f>
        <v>17/11/2016</v>
      </c>
      <c r="F137" s="1" t="str">
        <f ca="1">IFERROR(__xludf.DUMMYFUNCTION("""COMPUTED_VALUE"""),"Second Class")</f>
        <v>Second Class</v>
      </c>
      <c r="G137" s="1" t="str">
        <f ca="1">IFERROR(__xludf.DUMMYFUNCTION("""COMPUTED_VALUE"""),"DK-13225")</f>
        <v>DK-13225</v>
      </c>
      <c r="H137" s="1" t="str">
        <f ca="1">IFERROR(__xludf.DUMMYFUNCTION("""COMPUTED_VALUE"""),"Dean")</f>
        <v>Dean</v>
      </c>
      <c r="I137" s="1" t="str">
        <f ca="1">IFERROR(__xludf.DUMMYFUNCTION("""COMPUTED_VALUE"""),"Katz")</f>
        <v>Katz</v>
      </c>
      <c r="J137" s="1"/>
      <c r="K137" s="1" t="str">
        <f ca="1">IFERROR(__xludf.DUMMYFUNCTION("""COMPUTED_VALUE"""),"Corporate")</f>
        <v>Corporate</v>
      </c>
      <c r="L137" s="1" t="str">
        <f ca="1">IFERROR(__xludf.DUMMYFUNCTION("""COMPUTED_VALUE"""),"United States")</f>
        <v>United States</v>
      </c>
      <c r="M137" s="1" t="str">
        <f ca="1">IFERROR(__xludf.DUMMYFUNCTION("""COMPUTED_VALUE"""),"Chicago")</f>
        <v>Chicago</v>
      </c>
      <c r="N137" s="1" t="str">
        <f ca="1">IFERROR(__xludf.DUMMYFUNCTION("""COMPUTED_VALUE"""),"Illinois")</f>
        <v>Illinois</v>
      </c>
      <c r="O137" s="1">
        <f ca="1">IFERROR(__xludf.DUMMYFUNCTION("""COMPUTED_VALUE"""),60653)</f>
        <v>60653</v>
      </c>
      <c r="P137" s="1" t="str">
        <f ca="1">IFERROR(__xludf.DUMMYFUNCTION("""COMPUTED_VALUE"""),"Central")</f>
        <v>Central</v>
      </c>
      <c r="Q137" s="1" t="str">
        <f ca="1">IFERROR(__xludf.DUMMYFUNCTION("""COMPUTED_VALUE"""),"OFF-SU-10001935")</f>
        <v>OFF-SU-10001935</v>
      </c>
      <c r="R137" s="1" t="str">
        <f ca="1">IFERROR(__xludf.DUMMYFUNCTION("""COMPUTED_VALUE"""),"Office Supplies")</f>
        <v>Office Supplies</v>
      </c>
      <c r="S137" s="7">
        <f ca="1">IFERROR(__xludf.DUMMYFUNCTION("""COMPUTED_VALUE"""),8.72)</f>
        <v>8.7200000000000006</v>
      </c>
      <c r="T137" s="1">
        <f ca="1">IFERROR(__xludf.DUMMYFUNCTION("""COMPUTED_VALUE"""),6)</f>
        <v>6</v>
      </c>
      <c r="U137" s="9">
        <f ca="1">IFERROR(__xludf.DUMMYFUNCTION("""COMPUTED_VALUE"""),52.32)</f>
        <v>52.32</v>
      </c>
      <c r="V137" s="9">
        <f ca="1">IFERROR(__xludf.DUMMYFUNCTION("""COMPUTED_VALUE"""),46.56)</f>
        <v>46.56</v>
      </c>
      <c r="W137" s="12">
        <f ca="1">IFERROR(__xludf.DUMMYFUNCTION("""COMPUTED_VALUE"""),5.76)</f>
        <v>5.76</v>
      </c>
    </row>
    <row r="138" spans="1:23" ht="13.2">
      <c r="A138" s="1" t="str">
        <f ca="1">IFERROR(__xludf.DUMMYFUNCTION("""COMPUTED_VALUE"""),"CA-2017-136406")</f>
        <v>CA-2017-136406</v>
      </c>
      <c r="B138" s="8">
        <f ca="1">IFERROR(__xludf.DUMMYFUNCTION("""COMPUTED_VALUE"""),42840)</f>
        <v>42840</v>
      </c>
      <c r="C138" s="1" t="str">
        <f ca="1">IFERROR(__xludf.DUMMYFUNCTION("""COMPUTED_VALUE"""),"Apr")</f>
        <v>Apr</v>
      </c>
      <c r="D138" s="1" t="str">
        <f ca="1">IFERROR(__xludf.DUMMYFUNCTION("""COMPUTED_VALUE"""),"Qtr 2")</f>
        <v>Qtr 2</v>
      </c>
      <c r="E138" s="1" t="str">
        <f ca="1">IFERROR(__xludf.DUMMYFUNCTION("""COMPUTED_VALUE"""),"17/04/2017")</f>
        <v>17/04/2017</v>
      </c>
      <c r="F138" s="1" t="str">
        <f ca="1">IFERROR(__xludf.DUMMYFUNCTION("""COMPUTED_VALUE"""),"Second Class")</f>
        <v>Second Class</v>
      </c>
      <c r="G138" s="1" t="str">
        <f ca="1">IFERROR(__xludf.DUMMYFUNCTION("""COMPUTED_VALUE"""),"BD-11320")</f>
        <v>BD-11320</v>
      </c>
      <c r="H138" s="1" t="str">
        <f ca="1">IFERROR(__xludf.DUMMYFUNCTION("""COMPUTED_VALUE"""),"Bill")</f>
        <v>Bill</v>
      </c>
      <c r="I138" s="1" t="str">
        <f ca="1">IFERROR(__xludf.DUMMYFUNCTION("""COMPUTED_VALUE"""),"Donatelli")</f>
        <v>Donatelli</v>
      </c>
      <c r="J138" s="1"/>
      <c r="K138" s="1" t="str">
        <f ca="1">IFERROR(__xludf.DUMMYFUNCTION("""COMPUTED_VALUE"""),"Consumer")</f>
        <v>Consumer</v>
      </c>
      <c r="L138" s="1" t="str">
        <f ca="1">IFERROR(__xludf.DUMMYFUNCTION("""COMPUTED_VALUE"""),"United States")</f>
        <v>United States</v>
      </c>
      <c r="M138" s="1" t="str">
        <f ca="1">IFERROR(__xludf.DUMMYFUNCTION("""COMPUTED_VALUE"""),"San Francisco")</f>
        <v>San Francisco</v>
      </c>
      <c r="N138" s="1" t="str">
        <f ca="1">IFERROR(__xludf.DUMMYFUNCTION("""COMPUTED_VALUE"""),"California")</f>
        <v>California</v>
      </c>
      <c r="O138" s="1">
        <f ca="1">IFERROR(__xludf.DUMMYFUNCTION("""COMPUTED_VALUE"""),94110)</f>
        <v>94110</v>
      </c>
      <c r="P138" s="1" t="str">
        <f ca="1">IFERROR(__xludf.DUMMYFUNCTION("""COMPUTED_VALUE"""),"West")</f>
        <v>West</v>
      </c>
      <c r="Q138" s="1" t="str">
        <f ca="1">IFERROR(__xludf.DUMMYFUNCTION("""COMPUTED_VALUE"""),"FUR-CH-10002024")</f>
        <v>FUR-CH-10002024</v>
      </c>
      <c r="R138" s="1" t="str">
        <f ca="1">IFERROR(__xludf.DUMMYFUNCTION("""COMPUTED_VALUE"""),"Furniture")</f>
        <v>Furniture</v>
      </c>
      <c r="S138" s="7">
        <f ca="1">IFERROR(__xludf.DUMMYFUNCTION("""COMPUTED_VALUE"""),1121.568)</f>
        <v>1121.568</v>
      </c>
      <c r="T138" s="1">
        <f ca="1">IFERROR(__xludf.DUMMYFUNCTION("""COMPUTED_VALUE"""),9)</f>
        <v>9</v>
      </c>
      <c r="U138" s="9">
        <f ca="1">IFERROR(__xludf.DUMMYFUNCTION("""COMPUTED_VALUE"""),10094.112)</f>
        <v>10094.111999999999</v>
      </c>
      <c r="V138" s="9">
        <f ca="1">IFERROR(__xludf.DUMMYFUNCTION("""COMPUTED_VALUE"""),10087.47)</f>
        <v>10087.469999999999</v>
      </c>
      <c r="W138" s="12">
        <f ca="1">IFERROR(__xludf.DUMMYFUNCTION("""COMPUTED_VALUE"""),6.64199999999982)</f>
        <v>6.64199999999982</v>
      </c>
    </row>
    <row r="139" spans="1:23" ht="13.2">
      <c r="A139" s="1" t="str">
        <f ca="1">IFERROR(__xludf.DUMMYFUNCTION("""COMPUTED_VALUE"""),"CA-2018-100650")</f>
        <v>CA-2018-100650</v>
      </c>
      <c r="B139" s="8">
        <f ca="1">IFERROR(__xludf.DUMMYFUNCTION("""COMPUTED_VALUE"""),43280)</f>
        <v>43280</v>
      </c>
      <c r="C139" s="1" t="str">
        <f ca="1">IFERROR(__xludf.DUMMYFUNCTION("""COMPUTED_VALUE"""),"Jun")</f>
        <v>Jun</v>
      </c>
      <c r="D139" s="1" t="str">
        <f ca="1">IFERROR(__xludf.DUMMYFUNCTION("""COMPUTED_VALUE"""),"Qtr 2")</f>
        <v>Qtr 2</v>
      </c>
      <c r="E139" s="1" t="str">
        <f ca="1">IFERROR(__xludf.DUMMYFUNCTION("""COMPUTED_VALUE"""),"3/7/2018")</f>
        <v>3/7/2018</v>
      </c>
      <c r="F139" s="1" t="str">
        <f ca="1">IFERROR(__xludf.DUMMYFUNCTION("""COMPUTED_VALUE"""),"Second Class")</f>
        <v>Second Class</v>
      </c>
      <c r="G139" s="1" t="str">
        <f ca="1">IFERROR(__xludf.DUMMYFUNCTION("""COMPUTED_VALUE"""),"DK-13225")</f>
        <v>DK-13225</v>
      </c>
      <c r="H139" s="1" t="str">
        <f ca="1">IFERROR(__xludf.DUMMYFUNCTION("""COMPUTED_VALUE"""),"Dean")</f>
        <v>Dean</v>
      </c>
      <c r="I139" s="1" t="str">
        <f ca="1">IFERROR(__xludf.DUMMYFUNCTION("""COMPUTED_VALUE"""),"Katz")</f>
        <v>Katz</v>
      </c>
      <c r="J139" s="1"/>
      <c r="K139" s="1" t="str">
        <f ca="1">IFERROR(__xludf.DUMMYFUNCTION("""COMPUTED_VALUE"""),"Corporate")</f>
        <v>Corporate</v>
      </c>
      <c r="L139" s="1" t="str">
        <f ca="1">IFERROR(__xludf.DUMMYFUNCTION("""COMPUTED_VALUE"""),"United States")</f>
        <v>United States</v>
      </c>
      <c r="M139" s="1" t="str">
        <f ca="1">IFERROR(__xludf.DUMMYFUNCTION("""COMPUTED_VALUE"""),"Anaheim")</f>
        <v>Anaheim</v>
      </c>
      <c r="N139" s="1" t="str">
        <f ca="1">IFERROR(__xludf.DUMMYFUNCTION("""COMPUTED_VALUE"""),"California")</f>
        <v>California</v>
      </c>
      <c r="O139" s="1">
        <f ca="1">IFERROR(__xludf.DUMMYFUNCTION("""COMPUTED_VALUE"""),92804)</f>
        <v>92804</v>
      </c>
      <c r="P139" s="1" t="str">
        <f ca="1">IFERROR(__xludf.DUMMYFUNCTION("""COMPUTED_VALUE"""),"West")</f>
        <v>West</v>
      </c>
      <c r="Q139" s="1" t="str">
        <f ca="1">IFERROR(__xludf.DUMMYFUNCTION("""COMPUTED_VALUE"""),"OFF-ST-10001780")</f>
        <v>OFF-ST-10001780</v>
      </c>
      <c r="R139" s="1" t="str">
        <f ca="1">IFERROR(__xludf.DUMMYFUNCTION("""COMPUTED_VALUE"""),"Office Supplies")</f>
        <v>Office Supplies</v>
      </c>
      <c r="S139" s="7">
        <f ca="1">IFERROR(__xludf.DUMMYFUNCTION("""COMPUTED_VALUE"""),1295.78)</f>
        <v>1295.78</v>
      </c>
      <c r="T139" s="1">
        <f ca="1">IFERROR(__xludf.DUMMYFUNCTION("""COMPUTED_VALUE"""),9)</f>
        <v>9</v>
      </c>
      <c r="U139" s="9">
        <f ca="1">IFERROR(__xludf.DUMMYFUNCTION("""COMPUTED_VALUE"""),11662.02)</f>
        <v>11662.02</v>
      </c>
      <c r="V139" s="9">
        <f ca="1">IFERROR(__xludf.DUMMYFUNCTION("""COMPUTED_VALUE"""),11657.16)</f>
        <v>11657.16</v>
      </c>
      <c r="W139" s="12">
        <f ca="1">IFERROR(__xludf.DUMMYFUNCTION("""COMPUTED_VALUE"""),4.86000000000058)</f>
        <v>4.8600000000005803</v>
      </c>
    </row>
    <row r="140" spans="1:23" ht="13.2">
      <c r="A140" s="1" t="str">
        <f ca="1">IFERROR(__xludf.DUMMYFUNCTION("""COMPUTED_VALUE"""),"CA-2015-155852")</f>
        <v>CA-2015-155852</v>
      </c>
      <c r="B140" s="8">
        <f ca="1">IFERROR(__xludf.DUMMYFUNCTION("""COMPUTED_VALUE"""),42066)</f>
        <v>42066</v>
      </c>
      <c r="C140" s="1" t="str">
        <f ca="1">IFERROR(__xludf.DUMMYFUNCTION("""COMPUTED_VALUE"""),"Mar")</f>
        <v>Mar</v>
      </c>
      <c r="D140" s="1" t="str">
        <f ca="1">IFERROR(__xludf.DUMMYFUNCTION("""COMPUTED_VALUE"""),"Qtr 1")</f>
        <v>Qtr 1</v>
      </c>
      <c r="E140" s="1" t="str">
        <f ca="1">IFERROR(__xludf.DUMMYFUNCTION("""COMPUTED_VALUE"""),"7/3/2015")</f>
        <v>7/3/2015</v>
      </c>
      <c r="F140" s="1" t="str">
        <f ca="1">IFERROR(__xludf.DUMMYFUNCTION("""COMPUTED_VALUE"""),"Second Class")</f>
        <v>Second Class</v>
      </c>
      <c r="G140" s="1" t="str">
        <f ca="1">IFERROR(__xludf.DUMMYFUNCTION("""COMPUTED_VALUE"""),"AJ-10945")</f>
        <v>AJ-10945</v>
      </c>
      <c r="H140" s="1" t="str">
        <f ca="1">IFERROR(__xludf.DUMMYFUNCTION("""COMPUTED_VALUE"""),"Ashley")</f>
        <v>Ashley</v>
      </c>
      <c r="I140" s="1" t="str">
        <f ca="1">IFERROR(__xludf.DUMMYFUNCTION("""COMPUTED_VALUE"""),"Jarboe")</f>
        <v>Jarboe</v>
      </c>
      <c r="J140" s="1"/>
      <c r="K140" s="1" t="str">
        <f ca="1">IFERROR(__xludf.DUMMYFUNCTION("""COMPUTED_VALUE"""),"Consumer")</f>
        <v>Consumer</v>
      </c>
      <c r="L140" s="1" t="str">
        <f ca="1">IFERROR(__xludf.DUMMYFUNCTION("""COMPUTED_VALUE"""),"United States")</f>
        <v>United States</v>
      </c>
      <c r="M140" s="1" t="str">
        <f ca="1">IFERROR(__xludf.DUMMYFUNCTION("""COMPUTED_VALUE"""),"Wilmington")</f>
        <v>Wilmington</v>
      </c>
      <c r="N140" s="1" t="str">
        <f ca="1">IFERROR(__xludf.DUMMYFUNCTION("""COMPUTED_VALUE"""),"North Carolina")</f>
        <v>North Carolina</v>
      </c>
      <c r="O140" s="1">
        <f ca="1">IFERROR(__xludf.DUMMYFUNCTION("""COMPUTED_VALUE"""),28403)</f>
        <v>28403</v>
      </c>
      <c r="P140" s="1" t="str">
        <f ca="1">IFERROR(__xludf.DUMMYFUNCTION("""COMPUTED_VALUE"""),"South")</f>
        <v>South</v>
      </c>
      <c r="Q140" s="1" t="str">
        <f ca="1">IFERROR(__xludf.DUMMYFUNCTION("""COMPUTED_VALUE"""),"OFF-AR-10003560")</f>
        <v>OFF-AR-10003560</v>
      </c>
      <c r="R140" s="1" t="str">
        <f ca="1">IFERROR(__xludf.DUMMYFUNCTION("""COMPUTED_VALUE"""),"Office Supplies")</f>
        <v>Office Supplies</v>
      </c>
      <c r="S140" s="7">
        <f ca="1">IFERROR(__xludf.DUMMYFUNCTION("""COMPUTED_VALUE"""),19.456)</f>
        <v>19.456</v>
      </c>
      <c r="T140" s="1">
        <f ca="1">IFERROR(__xludf.DUMMYFUNCTION("""COMPUTED_VALUE"""),2)</f>
        <v>2</v>
      </c>
      <c r="U140" s="9">
        <f ca="1">IFERROR(__xludf.DUMMYFUNCTION("""COMPUTED_VALUE"""),38.912)</f>
        <v>38.911999999999999</v>
      </c>
      <c r="V140" s="9">
        <f ca="1">IFERROR(__xludf.DUMMYFUNCTION("""COMPUTED_VALUE"""),37.74)</f>
        <v>37.74</v>
      </c>
      <c r="W140" s="12">
        <f ca="1">IFERROR(__xludf.DUMMYFUNCTION("""COMPUTED_VALUE"""),1.17199999999999)</f>
        <v>1.1719999999999899</v>
      </c>
    </row>
    <row r="141" spans="1:23" ht="13.2">
      <c r="A141" s="1" t="str">
        <f ca="1">IFERROR(__xludf.DUMMYFUNCTION("""COMPUTED_VALUE"""),"CA-2018-118731")</f>
        <v>CA-2018-118731</v>
      </c>
      <c r="B141" s="8">
        <f ca="1">IFERROR(__xludf.DUMMYFUNCTION("""COMPUTED_VALUE"""),43424)</f>
        <v>43424</v>
      </c>
      <c r="C141" s="1" t="str">
        <f ca="1">IFERROR(__xludf.DUMMYFUNCTION("""COMPUTED_VALUE"""),"Nov")</f>
        <v>Nov</v>
      </c>
      <c r="D141" s="1" t="str">
        <f ca="1">IFERROR(__xludf.DUMMYFUNCTION("""COMPUTED_VALUE"""),"Qtr 4")</f>
        <v>Qtr 4</v>
      </c>
      <c r="E141" s="1" t="str">
        <f ca="1">IFERROR(__xludf.DUMMYFUNCTION("""COMPUTED_VALUE"""),"22/11/2018")</f>
        <v>22/11/2018</v>
      </c>
      <c r="F141" s="1" t="str">
        <f ca="1">IFERROR(__xludf.DUMMYFUNCTION("""COMPUTED_VALUE"""),"Second Class")</f>
        <v>Second Class</v>
      </c>
      <c r="G141" s="1" t="str">
        <f ca="1">IFERROR(__xludf.DUMMYFUNCTION("""COMPUTED_VALUE"""),"LP-17080")</f>
        <v>LP-17080</v>
      </c>
      <c r="H141" s="1" t="str">
        <f ca="1">IFERROR(__xludf.DUMMYFUNCTION("""COMPUTED_VALUE"""),"Liz")</f>
        <v>Liz</v>
      </c>
      <c r="I141" s="1" t="str">
        <f ca="1">IFERROR(__xludf.DUMMYFUNCTION("""COMPUTED_VALUE"""),"Pelletier")</f>
        <v>Pelletier</v>
      </c>
      <c r="J141" s="1"/>
      <c r="K141" s="1" t="str">
        <f ca="1">IFERROR(__xludf.DUMMYFUNCTION("""COMPUTED_VALUE"""),"Consumer")</f>
        <v>Consumer</v>
      </c>
      <c r="L141" s="1" t="str">
        <f ca="1">IFERROR(__xludf.DUMMYFUNCTION("""COMPUTED_VALUE"""),"United States")</f>
        <v>United States</v>
      </c>
      <c r="M141" s="1" t="str">
        <f ca="1">IFERROR(__xludf.DUMMYFUNCTION("""COMPUTED_VALUE"""),"San Francisco")</f>
        <v>San Francisco</v>
      </c>
      <c r="N141" s="1" t="str">
        <f ca="1">IFERROR(__xludf.DUMMYFUNCTION("""COMPUTED_VALUE"""),"California")</f>
        <v>California</v>
      </c>
      <c r="O141" s="1">
        <f ca="1">IFERROR(__xludf.DUMMYFUNCTION("""COMPUTED_VALUE"""),94110)</f>
        <v>94110</v>
      </c>
      <c r="P141" s="1" t="str">
        <f ca="1">IFERROR(__xludf.DUMMYFUNCTION("""COMPUTED_VALUE"""),"West")</f>
        <v>West</v>
      </c>
      <c r="Q141" s="1" t="str">
        <f ca="1">IFERROR(__xludf.DUMMYFUNCTION("""COMPUTED_VALUE"""),"FUR-FU-10003347")</f>
        <v>FUR-FU-10003347</v>
      </c>
      <c r="R141" s="1" t="str">
        <f ca="1">IFERROR(__xludf.DUMMYFUNCTION("""COMPUTED_VALUE"""),"Furniture")</f>
        <v>Furniture</v>
      </c>
      <c r="S141" s="7">
        <f ca="1">IFERROR(__xludf.DUMMYFUNCTION("""COMPUTED_VALUE"""),42.6)</f>
        <v>42.6</v>
      </c>
      <c r="T141" s="1">
        <f ca="1">IFERROR(__xludf.DUMMYFUNCTION("""COMPUTED_VALUE"""),9)</f>
        <v>9</v>
      </c>
      <c r="U141" s="9">
        <f ca="1">IFERROR(__xludf.DUMMYFUNCTION("""COMPUTED_VALUE"""),383.4)</f>
        <v>383.4</v>
      </c>
      <c r="V141" s="9">
        <f ca="1">IFERROR(__xludf.DUMMYFUNCTION("""COMPUTED_VALUE"""),375.39)</f>
        <v>375.39</v>
      </c>
      <c r="W141" s="12">
        <f ca="1">IFERROR(__xludf.DUMMYFUNCTION("""COMPUTED_VALUE"""),8.01000000000004)</f>
        <v>8.0100000000000406</v>
      </c>
    </row>
    <row r="142" spans="1:23" ht="13.2">
      <c r="A142" s="1" t="str">
        <f ca="1">IFERROR(__xludf.DUMMYFUNCTION("""COMPUTED_VALUE"""),"CA-2018-118731")</f>
        <v>CA-2018-118731</v>
      </c>
      <c r="B142" s="8">
        <f ca="1">IFERROR(__xludf.DUMMYFUNCTION("""COMPUTED_VALUE"""),43424)</f>
        <v>43424</v>
      </c>
      <c r="C142" s="1" t="str">
        <f ca="1">IFERROR(__xludf.DUMMYFUNCTION("""COMPUTED_VALUE"""),"Nov")</f>
        <v>Nov</v>
      </c>
      <c r="D142" s="1" t="str">
        <f ca="1">IFERROR(__xludf.DUMMYFUNCTION("""COMPUTED_VALUE"""),"Qtr 4")</f>
        <v>Qtr 4</v>
      </c>
      <c r="E142" s="1" t="str">
        <f ca="1">IFERROR(__xludf.DUMMYFUNCTION("""COMPUTED_VALUE"""),"22/11/2018")</f>
        <v>22/11/2018</v>
      </c>
      <c r="F142" s="1" t="str">
        <f ca="1">IFERROR(__xludf.DUMMYFUNCTION("""COMPUTED_VALUE"""),"Second Class")</f>
        <v>Second Class</v>
      </c>
      <c r="G142" s="1" t="str">
        <f ca="1">IFERROR(__xludf.DUMMYFUNCTION("""COMPUTED_VALUE"""),"LP-17080")</f>
        <v>LP-17080</v>
      </c>
      <c r="H142" s="1" t="str">
        <f ca="1">IFERROR(__xludf.DUMMYFUNCTION("""COMPUTED_VALUE"""),"Liz")</f>
        <v>Liz</v>
      </c>
      <c r="I142" s="1" t="str">
        <f ca="1">IFERROR(__xludf.DUMMYFUNCTION("""COMPUTED_VALUE"""),"Pelletier")</f>
        <v>Pelletier</v>
      </c>
      <c r="J142" s="1"/>
      <c r="K142" s="1" t="str">
        <f ca="1">IFERROR(__xludf.DUMMYFUNCTION("""COMPUTED_VALUE"""),"Consumer")</f>
        <v>Consumer</v>
      </c>
      <c r="L142" s="1" t="str">
        <f ca="1">IFERROR(__xludf.DUMMYFUNCTION("""COMPUTED_VALUE"""),"United States")</f>
        <v>United States</v>
      </c>
      <c r="M142" s="1" t="str">
        <f ca="1">IFERROR(__xludf.DUMMYFUNCTION("""COMPUTED_VALUE"""),"San Francisco")</f>
        <v>San Francisco</v>
      </c>
      <c r="N142" s="1" t="str">
        <f ca="1">IFERROR(__xludf.DUMMYFUNCTION("""COMPUTED_VALUE"""),"California")</f>
        <v>California</v>
      </c>
      <c r="O142" s="1">
        <f ca="1">IFERROR(__xludf.DUMMYFUNCTION("""COMPUTED_VALUE"""),94110)</f>
        <v>94110</v>
      </c>
      <c r="P142" s="1" t="str">
        <f ca="1">IFERROR(__xludf.DUMMYFUNCTION("""COMPUTED_VALUE"""),"West")</f>
        <v>West</v>
      </c>
      <c r="Q142" s="1" t="str">
        <f ca="1">IFERROR(__xludf.DUMMYFUNCTION("""COMPUTED_VALUE"""),"OFF-BI-10000069")</f>
        <v>OFF-BI-10000069</v>
      </c>
      <c r="R142" s="1" t="str">
        <f ca="1">IFERROR(__xludf.DUMMYFUNCTION("""COMPUTED_VALUE"""),"Office Supplies")</f>
        <v>Office Supplies</v>
      </c>
      <c r="S142" s="7">
        <f ca="1">IFERROR(__xludf.DUMMYFUNCTION("""COMPUTED_VALUE"""),84.056)</f>
        <v>84.055999999999997</v>
      </c>
      <c r="T142" s="1">
        <f ca="1">IFERROR(__xludf.DUMMYFUNCTION("""COMPUTED_VALUE"""),9)</f>
        <v>9</v>
      </c>
      <c r="U142" s="9">
        <f ca="1">IFERROR(__xludf.DUMMYFUNCTION("""COMPUTED_VALUE"""),756.504)</f>
        <v>756.50400000000002</v>
      </c>
      <c r="V142" s="9">
        <f ca="1">IFERROR(__xludf.DUMMYFUNCTION("""COMPUTED_VALUE"""),751.86)</f>
        <v>751.86</v>
      </c>
      <c r="W142" s="12">
        <f ca="1">IFERROR(__xludf.DUMMYFUNCTION("""COMPUTED_VALUE"""),4.644)</f>
        <v>4.6440000000000001</v>
      </c>
    </row>
    <row r="143" spans="1:23" ht="13.2">
      <c r="A143" s="1" t="str">
        <f ca="1">IFERROR(__xludf.DUMMYFUNCTION("""COMPUTED_VALUE"""),"CA-2015-145576")</f>
        <v>CA-2015-145576</v>
      </c>
      <c r="B143" s="8">
        <f ca="1">IFERROR(__xludf.DUMMYFUNCTION("""COMPUTED_VALUE"""),42261)</f>
        <v>42261</v>
      </c>
      <c r="C143" s="1" t="str">
        <f ca="1">IFERROR(__xludf.DUMMYFUNCTION("""COMPUTED_VALUE"""),"Sep")</f>
        <v>Sep</v>
      </c>
      <c r="D143" s="1" t="str">
        <f ca="1">IFERROR(__xludf.DUMMYFUNCTION("""COMPUTED_VALUE"""),"Qtr 3")</f>
        <v>Qtr 3</v>
      </c>
      <c r="E143" s="1" t="str">
        <f ca="1">IFERROR(__xludf.DUMMYFUNCTION("""COMPUTED_VALUE"""),"18/09/2015")</f>
        <v>18/09/2015</v>
      </c>
      <c r="F143" s="1" t="str">
        <f ca="1">IFERROR(__xludf.DUMMYFUNCTION("""COMPUTED_VALUE"""),"Second Class")</f>
        <v>Second Class</v>
      </c>
      <c r="G143" s="1" t="str">
        <f ca="1">IFERROR(__xludf.DUMMYFUNCTION("""COMPUTED_VALUE"""),"CA-12775")</f>
        <v>CA-12775</v>
      </c>
      <c r="H143" s="1" t="str">
        <f ca="1">IFERROR(__xludf.DUMMYFUNCTION("""COMPUTED_VALUE"""),"Cynthia")</f>
        <v>Cynthia</v>
      </c>
      <c r="I143" s="1" t="str">
        <f ca="1">IFERROR(__xludf.DUMMYFUNCTION("""COMPUTED_VALUE"""),"Arntzen")</f>
        <v>Arntzen</v>
      </c>
      <c r="J143" s="1"/>
      <c r="K143" s="1" t="str">
        <f ca="1">IFERROR(__xludf.DUMMYFUNCTION("""COMPUTED_VALUE"""),"Consumer")</f>
        <v>Consumer</v>
      </c>
      <c r="L143" s="1" t="str">
        <f ca="1">IFERROR(__xludf.DUMMYFUNCTION("""COMPUTED_VALUE"""),"United States")</f>
        <v>United States</v>
      </c>
      <c r="M143" s="1" t="str">
        <f ca="1">IFERROR(__xludf.DUMMYFUNCTION("""COMPUTED_VALUE"""),"Tampa")</f>
        <v>Tampa</v>
      </c>
      <c r="N143" s="1" t="str">
        <f ca="1">IFERROR(__xludf.DUMMYFUNCTION("""COMPUTED_VALUE"""),"Florida")</f>
        <v>Florida</v>
      </c>
      <c r="O143" s="1">
        <f ca="1">IFERROR(__xludf.DUMMYFUNCTION("""COMPUTED_VALUE"""),33614)</f>
        <v>33614</v>
      </c>
      <c r="P143" s="1" t="str">
        <f ca="1">IFERROR(__xludf.DUMMYFUNCTION("""COMPUTED_VALUE"""),"South")</f>
        <v>South</v>
      </c>
      <c r="Q143" s="1" t="str">
        <f ca="1">IFERROR(__xludf.DUMMYFUNCTION("""COMPUTED_VALUE"""),"OFF-AP-10003914")</f>
        <v>OFF-AP-10003914</v>
      </c>
      <c r="R143" s="1" t="str">
        <f ca="1">IFERROR(__xludf.DUMMYFUNCTION("""COMPUTED_VALUE"""),"Office Supplies")</f>
        <v>Office Supplies</v>
      </c>
      <c r="S143" s="7">
        <f ca="1">IFERROR(__xludf.DUMMYFUNCTION("""COMPUTED_VALUE"""),13)</f>
        <v>13</v>
      </c>
      <c r="T143" s="1">
        <f ca="1">IFERROR(__xludf.DUMMYFUNCTION("""COMPUTED_VALUE"""),3)</f>
        <v>3</v>
      </c>
      <c r="U143" s="9">
        <f ca="1">IFERROR(__xludf.DUMMYFUNCTION("""COMPUTED_VALUE"""),39)</f>
        <v>39</v>
      </c>
      <c r="V143" s="9">
        <f ca="1">IFERROR(__xludf.DUMMYFUNCTION("""COMPUTED_VALUE"""),36.5999999999999)</f>
        <v>36.599999999999902</v>
      </c>
      <c r="W143" s="12">
        <f ca="1">IFERROR(__xludf.DUMMYFUNCTION("""COMPUTED_VALUE"""),2.4)</f>
        <v>2.4</v>
      </c>
    </row>
    <row r="144" spans="1:23" ht="13.2">
      <c r="A144" s="1" t="str">
        <f ca="1">IFERROR(__xludf.DUMMYFUNCTION("""COMPUTED_VALUE"""),"CA-2015-145576")</f>
        <v>CA-2015-145576</v>
      </c>
      <c r="B144" s="8">
        <f ca="1">IFERROR(__xludf.DUMMYFUNCTION("""COMPUTED_VALUE"""),42261)</f>
        <v>42261</v>
      </c>
      <c r="C144" s="1" t="str">
        <f ca="1">IFERROR(__xludf.DUMMYFUNCTION("""COMPUTED_VALUE"""),"Sep")</f>
        <v>Sep</v>
      </c>
      <c r="D144" s="1" t="str">
        <f ca="1">IFERROR(__xludf.DUMMYFUNCTION("""COMPUTED_VALUE"""),"Qtr 3")</f>
        <v>Qtr 3</v>
      </c>
      <c r="E144" s="1" t="str">
        <f ca="1">IFERROR(__xludf.DUMMYFUNCTION("""COMPUTED_VALUE"""),"18/09/2015")</f>
        <v>18/09/2015</v>
      </c>
      <c r="F144" s="1" t="str">
        <f ca="1">IFERROR(__xludf.DUMMYFUNCTION("""COMPUTED_VALUE"""),"Second Class")</f>
        <v>Second Class</v>
      </c>
      <c r="G144" s="1" t="str">
        <f ca="1">IFERROR(__xludf.DUMMYFUNCTION("""COMPUTED_VALUE"""),"CA-12775")</f>
        <v>CA-12775</v>
      </c>
      <c r="H144" s="1" t="str">
        <f ca="1">IFERROR(__xludf.DUMMYFUNCTION("""COMPUTED_VALUE"""),"Cynthia")</f>
        <v>Cynthia</v>
      </c>
      <c r="I144" s="1" t="str">
        <f ca="1">IFERROR(__xludf.DUMMYFUNCTION("""COMPUTED_VALUE"""),"Arntzen")</f>
        <v>Arntzen</v>
      </c>
      <c r="J144" s="1"/>
      <c r="K144" s="1" t="str">
        <f ca="1">IFERROR(__xludf.DUMMYFUNCTION("""COMPUTED_VALUE"""),"Consumer")</f>
        <v>Consumer</v>
      </c>
      <c r="L144" s="1" t="str">
        <f ca="1">IFERROR(__xludf.DUMMYFUNCTION("""COMPUTED_VALUE"""),"United States")</f>
        <v>United States</v>
      </c>
      <c r="M144" s="1" t="str">
        <f ca="1">IFERROR(__xludf.DUMMYFUNCTION("""COMPUTED_VALUE"""),"Tampa")</f>
        <v>Tampa</v>
      </c>
      <c r="N144" s="1" t="str">
        <f ca="1">IFERROR(__xludf.DUMMYFUNCTION("""COMPUTED_VALUE"""),"Florida")</f>
        <v>Florida</v>
      </c>
      <c r="O144" s="1">
        <f ca="1">IFERROR(__xludf.DUMMYFUNCTION("""COMPUTED_VALUE"""),33614)</f>
        <v>33614</v>
      </c>
      <c r="P144" s="1" t="str">
        <f ca="1">IFERROR(__xludf.DUMMYFUNCTION("""COMPUTED_VALUE"""),"South")</f>
        <v>South</v>
      </c>
      <c r="Q144" s="1" t="str">
        <f ca="1">IFERROR(__xludf.DUMMYFUNCTION("""COMPUTED_VALUE"""),"FUR-FU-10004020")</f>
        <v>FUR-FU-10004020</v>
      </c>
      <c r="R144" s="1" t="str">
        <f ca="1">IFERROR(__xludf.DUMMYFUNCTION("""COMPUTED_VALUE"""),"Furniture")</f>
        <v>Furniture</v>
      </c>
      <c r="S144" s="7">
        <f ca="1">IFERROR(__xludf.DUMMYFUNCTION("""COMPUTED_VALUE"""),13.128)</f>
        <v>13.128</v>
      </c>
      <c r="T144" s="1">
        <f ca="1">IFERROR(__xludf.DUMMYFUNCTION("""COMPUTED_VALUE"""),3)</f>
        <v>3</v>
      </c>
      <c r="U144" s="9">
        <f ca="1">IFERROR(__xludf.DUMMYFUNCTION("""COMPUTED_VALUE"""),39.384)</f>
        <v>39.384</v>
      </c>
      <c r="V144" s="9">
        <f ca="1">IFERROR(__xludf.DUMMYFUNCTION("""COMPUTED_VALUE"""),39.15)</f>
        <v>39.15</v>
      </c>
      <c r="W144" s="12">
        <f ca="1">IFERROR(__xludf.DUMMYFUNCTION("""COMPUTED_VALUE"""),0.233999999999994)</f>
        <v>0.23399999999999399</v>
      </c>
    </row>
    <row r="145" spans="1:23" ht="13.2">
      <c r="A145" s="1" t="str">
        <f ca="1">IFERROR(__xludf.DUMMYFUNCTION("""COMPUTED_VALUE"""),"CA-2016-149713")</f>
        <v>CA-2016-149713</v>
      </c>
      <c r="B145" s="8">
        <f ca="1">IFERROR(__xludf.DUMMYFUNCTION("""COMPUTED_VALUE"""),42631)</f>
        <v>42631</v>
      </c>
      <c r="C145" s="1" t="str">
        <f ca="1">IFERROR(__xludf.DUMMYFUNCTION("""COMPUTED_VALUE"""),"Sep")</f>
        <v>Sep</v>
      </c>
      <c r="D145" s="1" t="str">
        <f ca="1">IFERROR(__xludf.DUMMYFUNCTION("""COMPUTED_VALUE"""),"Qtr 3")</f>
        <v>Qtr 3</v>
      </c>
      <c r="E145" s="1" t="str">
        <f ca="1">IFERROR(__xludf.DUMMYFUNCTION("""COMPUTED_VALUE"""),"22/09/2016")</f>
        <v>22/09/2016</v>
      </c>
      <c r="F145" s="1" t="str">
        <f ca="1">IFERROR(__xludf.DUMMYFUNCTION("""COMPUTED_VALUE"""),"Second Class")</f>
        <v>Second Class</v>
      </c>
      <c r="G145" s="1" t="str">
        <f ca="1">IFERROR(__xludf.DUMMYFUNCTION("""COMPUTED_VALUE"""),"TG-21640")</f>
        <v>TG-21640</v>
      </c>
      <c r="H145" s="1" t="str">
        <f ca="1">IFERROR(__xludf.DUMMYFUNCTION("""COMPUTED_VALUE"""),"Trudy")</f>
        <v>Trudy</v>
      </c>
      <c r="I145" s="1" t="str">
        <f ca="1">IFERROR(__xludf.DUMMYFUNCTION("""COMPUTED_VALUE"""),"Glocke")</f>
        <v>Glocke</v>
      </c>
      <c r="J145" s="1"/>
      <c r="K145" s="1" t="str">
        <f ca="1">IFERROR(__xludf.DUMMYFUNCTION("""COMPUTED_VALUE"""),"Consumer")</f>
        <v>Consumer</v>
      </c>
      <c r="L145" s="1" t="str">
        <f ca="1">IFERROR(__xludf.DUMMYFUNCTION("""COMPUTED_VALUE"""),"United States")</f>
        <v>United States</v>
      </c>
      <c r="M145" s="1" t="str">
        <f ca="1">IFERROR(__xludf.DUMMYFUNCTION("""COMPUTED_VALUE"""),"Long Beach")</f>
        <v>Long Beach</v>
      </c>
      <c r="N145" s="1" t="str">
        <f ca="1">IFERROR(__xludf.DUMMYFUNCTION("""COMPUTED_VALUE"""),"California")</f>
        <v>California</v>
      </c>
      <c r="O145" s="1">
        <f ca="1">IFERROR(__xludf.DUMMYFUNCTION("""COMPUTED_VALUE"""),90805)</f>
        <v>90805</v>
      </c>
      <c r="P145" s="1" t="str">
        <f ca="1">IFERROR(__xludf.DUMMYFUNCTION("""COMPUTED_VALUE"""),"West")</f>
        <v>West</v>
      </c>
      <c r="Q145" s="1" t="str">
        <f ca="1">IFERROR(__xludf.DUMMYFUNCTION("""COMPUTED_VALUE"""),"OFF-PA-10004530")</f>
        <v>OFF-PA-10004530</v>
      </c>
      <c r="R145" s="1" t="str">
        <f ca="1">IFERROR(__xludf.DUMMYFUNCTION("""COMPUTED_VALUE"""),"Office Supplies")</f>
        <v>Office Supplies</v>
      </c>
      <c r="S145" s="7">
        <f ca="1">IFERROR(__xludf.DUMMYFUNCTION("""COMPUTED_VALUE"""),160.72)</f>
        <v>160.72</v>
      </c>
      <c r="T145" s="1">
        <f ca="1">IFERROR(__xludf.DUMMYFUNCTION("""COMPUTED_VALUE"""),9)</f>
        <v>9</v>
      </c>
      <c r="U145" s="9">
        <f ca="1">IFERROR(__xludf.DUMMYFUNCTION("""COMPUTED_VALUE"""),1446.48)</f>
        <v>1446.48</v>
      </c>
      <c r="V145" s="9">
        <f ca="1">IFERROR(__xludf.DUMMYFUNCTION("""COMPUTED_VALUE"""),1440.89999999999)</f>
        <v>1440.8999999999901</v>
      </c>
      <c r="W145" s="12">
        <f ca="1">IFERROR(__xludf.DUMMYFUNCTION("""COMPUTED_VALUE"""),5.58000000000015)</f>
        <v>5.5800000000001502</v>
      </c>
    </row>
    <row r="146" spans="1:23" ht="13.2">
      <c r="A146" s="1" t="str">
        <f ca="1">IFERROR(__xludf.DUMMYFUNCTION("""COMPUTED_VALUE"""),"CA-2016-149713")</f>
        <v>CA-2016-149713</v>
      </c>
      <c r="B146" s="8">
        <f ca="1">IFERROR(__xludf.DUMMYFUNCTION("""COMPUTED_VALUE"""),42631)</f>
        <v>42631</v>
      </c>
      <c r="C146" s="1" t="str">
        <f ca="1">IFERROR(__xludf.DUMMYFUNCTION("""COMPUTED_VALUE"""),"Sep")</f>
        <v>Sep</v>
      </c>
      <c r="D146" s="1" t="str">
        <f ca="1">IFERROR(__xludf.DUMMYFUNCTION("""COMPUTED_VALUE"""),"Qtr 3")</f>
        <v>Qtr 3</v>
      </c>
      <c r="E146" s="1" t="str">
        <f ca="1">IFERROR(__xludf.DUMMYFUNCTION("""COMPUTED_VALUE"""),"22/09/2016")</f>
        <v>22/09/2016</v>
      </c>
      <c r="F146" s="1" t="str">
        <f ca="1">IFERROR(__xludf.DUMMYFUNCTION("""COMPUTED_VALUE"""),"Second Class")</f>
        <v>Second Class</v>
      </c>
      <c r="G146" s="1" t="str">
        <f ca="1">IFERROR(__xludf.DUMMYFUNCTION("""COMPUTED_VALUE"""),"TG-21640")</f>
        <v>TG-21640</v>
      </c>
      <c r="H146" s="1" t="str">
        <f ca="1">IFERROR(__xludf.DUMMYFUNCTION("""COMPUTED_VALUE"""),"Trudy")</f>
        <v>Trudy</v>
      </c>
      <c r="I146" s="1" t="str">
        <f ca="1">IFERROR(__xludf.DUMMYFUNCTION("""COMPUTED_VALUE"""),"Glocke")</f>
        <v>Glocke</v>
      </c>
      <c r="J146" s="1"/>
      <c r="K146" s="1" t="str">
        <f ca="1">IFERROR(__xludf.DUMMYFUNCTION("""COMPUTED_VALUE"""),"Consumer")</f>
        <v>Consumer</v>
      </c>
      <c r="L146" s="1" t="str">
        <f ca="1">IFERROR(__xludf.DUMMYFUNCTION("""COMPUTED_VALUE"""),"United States")</f>
        <v>United States</v>
      </c>
      <c r="M146" s="1" t="str">
        <f ca="1">IFERROR(__xludf.DUMMYFUNCTION("""COMPUTED_VALUE"""),"Long Beach")</f>
        <v>Long Beach</v>
      </c>
      <c r="N146" s="1" t="str">
        <f ca="1">IFERROR(__xludf.DUMMYFUNCTION("""COMPUTED_VALUE"""),"California")</f>
        <v>California</v>
      </c>
      <c r="O146" s="1">
        <f ca="1">IFERROR(__xludf.DUMMYFUNCTION("""COMPUTED_VALUE"""),90805)</f>
        <v>90805</v>
      </c>
      <c r="P146" s="1" t="str">
        <f ca="1">IFERROR(__xludf.DUMMYFUNCTION("""COMPUTED_VALUE"""),"West")</f>
        <v>West</v>
      </c>
      <c r="Q146" s="1" t="str">
        <f ca="1">IFERROR(__xludf.DUMMYFUNCTION("""COMPUTED_VALUE"""),"OFF-PA-10001450")</f>
        <v>OFF-PA-10001450</v>
      </c>
      <c r="R146" s="1" t="str">
        <f ca="1">IFERROR(__xludf.DUMMYFUNCTION("""COMPUTED_VALUE"""),"Office Supplies")</f>
        <v>Office Supplies</v>
      </c>
      <c r="S146" s="7">
        <f ca="1">IFERROR(__xludf.DUMMYFUNCTION("""COMPUTED_VALUE"""),19.92)</f>
        <v>19.920000000000002</v>
      </c>
      <c r="T146" s="1">
        <f ca="1">IFERROR(__xludf.DUMMYFUNCTION("""COMPUTED_VALUE"""),9)</f>
        <v>9</v>
      </c>
      <c r="U146" s="9">
        <f ca="1">IFERROR(__xludf.DUMMYFUNCTION("""COMPUTED_VALUE"""),179.28)</f>
        <v>179.28</v>
      </c>
      <c r="V146" s="9">
        <f ca="1">IFERROR(__xludf.DUMMYFUNCTION("""COMPUTED_VALUE"""),174.6)</f>
        <v>174.6</v>
      </c>
      <c r="W146" s="12">
        <f ca="1">IFERROR(__xludf.DUMMYFUNCTION("""COMPUTED_VALUE"""),4.68000000000003)</f>
        <v>4.6800000000000299</v>
      </c>
    </row>
    <row r="147" spans="1:23" ht="13.2">
      <c r="A147" s="1" t="str">
        <f ca="1">IFERROR(__xludf.DUMMYFUNCTION("""COMPUTED_VALUE"""),"CA-2016-149713")</f>
        <v>CA-2016-149713</v>
      </c>
      <c r="B147" s="8">
        <f ca="1">IFERROR(__xludf.DUMMYFUNCTION("""COMPUTED_VALUE"""),42631)</f>
        <v>42631</v>
      </c>
      <c r="C147" s="1" t="str">
        <f ca="1">IFERROR(__xludf.DUMMYFUNCTION("""COMPUTED_VALUE"""),"Sep")</f>
        <v>Sep</v>
      </c>
      <c r="D147" s="1" t="str">
        <f ca="1">IFERROR(__xludf.DUMMYFUNCTION("""COMPUTED_VALUE"""),"Qtr 3")</f>
        <v>Qtr 3</v>
      </c>
      <c r="E147" s="1" t="str">
        <f ca="1">IFERROR(__xludf.DUMMYFUNCTION("""COMPUTED_VALUE"""),"22/09/2016")</f>
        <v>22/09/2016</v>
      </c>
      <c r="F147" s="1" t="str">
        <f ca="1">IFERROR(__xludf.DUMMYFUNCTION("""COMPUTED_VALUE"""),"Second Class")</f>
        <v>Second Class</v>
      </c>
      <c r="G147" s="1" t="str">
        <f ca="1">IFERROR(__xludf.DUMMYFUNCTION("""COMPUTED_VALUE"""),"TG-21640")</f>
        <v>TG-21640</v>
      </c>
      <c r="H147" s="1" t="str">
        <f ca="1">IFERROR(__xludf.DUMMYFUNCTION("""COMPUTED_VALUE"""),"Trudy")</f>
        <v>Trudy</v>
      </c>
      <c r="I147" s="1" t="str">
        <f ca="1">IFERROR(__xludf.DUMMYFUNCTION("""COMPUTED_VALUE"""),"Glocke")</f>
        <v>Glocke</v>
      </c>
      <c r="J147" s="1"/>
      <c r="K147" s="1" t="str">
        <f ca="1">IFERROR(__xludf.DUMMYFUNCTION("""COMPUTED_VALUE"""),"Consumer")</f>
        <v>Consumer</v>
      </c>
      <c r="L147" s="1" t="str">
        <f ca="1">IFERROR(__xludf.DUMMYFUNCTION("""COMPUTED_VALUE"""),"United States")</f>
        <v>United States</v>
      </c>
      <c r="M147" s="1" t="str">
        <f ca="1">IFERROR(__xludf.DUMMYFUNCTION("""COMPUTED_VALUE"""),"Long Beach")</f>
        <v>Long Beach</v>
      </c>
      <c r="N147" s="1" t="str">
        <f ca="1">IFERROR(__xludf.DUMMYFUNCTION("""COMPUTED_VALUE"""),"California")</f>
        <v>California</v>
      </c>
      <c r="O147" s="1">
        <f ca="1">IFERROR(__xludf.DUMMYFUNCTION("""COMPUTED_VALUE"""),90805)</f>
        <v>90805</v>
      </c>
      <c r="P147" s="1" t="str">
        <f ca="1">IFERROR(__xludf.DUMMYFUNCTION("""COMPUTED_VALUE"""),"West")</f>
        <v>West</v>
      </c>
      <c r="Q147" s="1" t="str">
        <f ca="1">IFERROR(__xludf.DUMMYFUNCTION("""COMPUTED_VALUE"""),"OFF-SU-10001574")</f>
        <v>OFF-SU-10001574</v>
      </c>
      <c r="R147" s="1" t="str">
        <f ca="1">IFERROR(__xludf.DUMMYFUNCTION("""COMPUTED_VALUE"""),"Office Supplies")</f>
        <v>Office Supplies</v>
      </c>
      <c r="S147" s="7">
        <f ca="1">IFERROR(__xludf.DUMMYFUNCTION("""COMPUTED_VALUE"""),7.3)</f>
        <v>7.3</v>
      </c>
      <c r="T147" s="1">
        <f ca="1">IFERROR(__xludf.DUMMYFUNCTION("""COMPUTED_VALUE"""),9)</f>
        <v>9</v>
      </c>
      <c r="U147" s="9">
        <f ca="1">IFERROR(__xludf.DUMMYFUNCTION("""COMPUTED_VALUE"""),65.7)</f>
        <v>65.7</v>
      </c>
      <c r="V147" s="9">
        <f ca="1">IFERROR(__xludf.DUMMYFUNCTION("""COMPUTED_VALUE"""),57.6)</f>
        <v>57.6</v>
      </c>
      <c r="W147" s="12">
        <f ca="1">IFERROR(__xludf.DUMMYFUNCTION("""COMPUTED_VALUE"""),8.1)</f>
        <v>8.1</v>
      </c>
    </row>
    <row r="148" spans="1:23" ht="13.2">
      <c r="A148" s="1" t="str">
        <f ca="1">IFERROR(__xludf.DUMMYFUNCTION("""COMPUTED_VALUE"""),"CA-2017-121223")</f>
        <v>CA-2017-121223</v>
      </c>
      <c r="B148" s="8">
        <f ca="1">IFERROR(__xludf.DUMMYFUNCTION("""COMPUTED_VALUE"""),43048)</f>
        <v>43048</v>
      </c>
      <c r="C148" s="1" t="str">
        <f ca="1">IFERROR(__xludf.DUMMYFUNCTION("""COMPUTED_VALUE"""),"Nov")</f>
        <v>Nov</v>
      </c>
      <c r="D148" s="1" t="str">
        <f ca="1">IFERROR(__xludf.DUMMYFUNCTION("""COMPUTED_VALUE"""),"Qtr 4")</f>
        <v>Qtr 4</v>
      </c>
      <c r="E148" s="1" t="str">
        <f ca="1">IFERROR(__xludf.DUMMYFUNCTION("""COMPUTED_VALUE"""),"13/09/2017")</f>
        <v>13/09/2017</v>
      </c>
      <c r="F148" s="1" t="str">
        <f ca="1">IFERROR(__xludf.DUMMYFUNCTION("""COMPUTED_VALUE"""),"Second Class")</f>
        <v>Second Class</v>
      </c>
      <c r="G148" s="1" t="str">
        <f ca="1">IFERROR(__xludf.DUMMYFUNCTION("""COMPUTED_VALUE"""),"GD-14590")</f>
        <v>GD-14590</v>
      </c>
      <c r="H148" s="1" t="str">
        <f ca="1">IFERROR(__xludf.DUMMYFUNCTION("""COMPUTED_VALUE"""),"Giulietta")</f>
        <v>Giulietta</v>
      </c>
      <c r="I148" s="1" t="str">
        <f ca="1">IFERROR(__xludf.DUMMYFUNCTION("""COMPUTED_VALUE"""),"Dortch")</f>
        <v>Dortch</v>
      </c>
      <c r="J148" s="1"/>
      <c r="K148" s="1" t="str">
        <f ca="1">IFERROR(__xludf.DUMMYFUNCTION("""COMPUTED_VALUE"""),"Corporate")</f>
        <v>Corporate</v>
      </c>
      <c r="L148" s="1" t="str">
        <f ca="1">IFERROR(__xludf.DUMMYFUNCTION("""COMPUTED_VALUE"""),"United States")</f>
        <v>United States</v>
      </c>
      <c r="M148" s="1" t="str">
        <f ca="1">IFERROR(__xludf.DUMMYFUNCTION("""COMPUTED_VALUE"""),"Philadelphia")</f>
        <v>Philadelphia</v>
      </c>
      <c r="N148" s="1" t="str">
        <f ca="1">IFERROR(__xludf.DUMMYFUNCTION("""COMPUTED_VALUE"""),"Pennsylvania")</f>
        <v>Pennsylvania</v>
      </c>
      <c r="O148" s="1">
        <f ca="1">IFERROR(__xludf.DUMMYFUNCTION("""COMPUTED_VALUE"""),19143)</f>
        <v>19143</v>
      </c>
      <c r="P148" s="1" t="str">
        <f ca="1">IFERROR(__xludf.DUMMYFUNCTION("""COMPUTED_VALUE"""),"East")</f>
        <v>East</v>
      </c>
      <c r="Q148" s="1" t="str">
        <f ca="1">IFERROR(__xludf.DUMMYFUNCTION("""COMPUTED_VALUE"""),"OFF-PA-10001204")</f>
        <v>OFF-PA-10001204</v>
      </c>
      <c r="R148" s="1" t="str">
        <f ca="1">IFERROR(__xludf.DUMMYFUNCTION("""COMPUTED_VALUE"""),"Office Supplies")</f>
        <v>Office Supplies</v>
      </c>
      <c r="S148" s="7">
        <f ca="1">IFERROR(__xludf.DUMMYFUNCTION("""COMPUTED_VALUE"""),8.448)</f>
        <v>8.4480000000000004</v>
      </c>
      <c r="T148" s="1">
        <f ca="1">IFERROR(__xludf.DUMMYFUNCTION("""COMPUTED_VALUE"""),1)</f>
        <v>1</v>
      </c>
      <c r="U148" s="9">
        <f ca="1">IFERROR(__xludf.DUMMYFUNCTION("""COMPUTED_VALUE"""),8.448)</f>
        <v>8.4480000000000004</v>
      </c>
      <c r="V148" s="9">
        <f ca="1">IFERROR(__xludf.DUMMYFUNCTION("""COMPUTED_VALUE"""),7.49)</f>
        <v>7.49</v>
      </c>
      <c r="W148" s="12">
        <f ca="1">IFERROR(__xludf.DUMMYFUNCTION("""COMPUTED_VALUE"""),0.958)</f>
        <v>0.95799999999999996</v>
      </c>
    </row>
    <row r="149" spans="1:23" ht="13.2">
      <c r="A149" s="1" t="str">
        <f ca="1">IFERROR(__xludf.DUMMYFUNCTION("""COMPUTED_VALUE"""),"CA-2017-121223")</f>
        <v>CA-2017-121223</v>
      </c>
      <c r="B149" s="8">
        <f ca="1">IFERROR(__xludf.DUMMYFUNCTION("""COMPUTED_VALUE"""),43048)</f>
        <v>43048</v>
      </c>
      <c r="C149" s="1" t="str">
        <f ca="1">IFERROR(__xludf.DUMMYFUNCTION("""COMPUTED_VALUE"""),"Nov")</f>
        <v>Nov</v>
      </c>
      <c r="D149" s="1" t="str">
        <f ca="1">IFERROR(__xludf.DUMMYFUNCTION("""COMPUTED_VALUE"""),"Qtr 4")</f>
        <v>Qtr 4</v>
      </c>
      <c r="E149" s="1" t="str">
        <f ca="1">IFERROR(__xludf.DUMMYFUNCTION("""COMPUTED_VALUE"""),"13/09/2017")</f>
        <v>13/09/2017</v>
      </c>
      <c r="F149" s="1" t="str">
        <f ca="1">IFERROR(__xludf.DUMMYFUNCTION("""COMPUTED_VALUE"""),"Second Class")</f>
        <v>Second Class</v>
      </c>
      <c r="G149" s="1" t="str">
        <f ca="1">IFERROR(__xludf.DUMMYFUNCTION("""COMPUTED_VALUE"""),"GD-14590")</f>
        <v>GD-14590</v>
      </c>
      <c r="H149" s="1" t="str">
        <f ca="1">IFERROR(__xludf.DUMMYFUNCTION("""COMPUTED_VALUE"""),"Giulietta")</f>
        <v>Giulietta</v>
      </c>
      <c r="I149" s="1" t="str">
        <f ca="1">IFERROR(__xludf.DUMMYFUNCTION("""COMPUTED_VALUE"""),"Dortch")</f>
        <v>Dortch</v>
      </c>
      <c r="J149" s="1"/>
      <c r="K149" s="1" t="str">
        <f ca="1">IFERROR(__xludf.DUMMYFUNCTION("""COMPUTED_VALUE"""),"Corporate")</f>
        <v>Corporate</v>
      </c>
      <c r="L149" s="1" t="str">
        <f ca="1">IFERROR(__xludf.DUMMYFUNCTION("""COMPUTED_VALUE"""),"United States")</f>
        <v>United States</v>
      </c>
      <c r="M149" s="1" t="str">
        <f ca="1">IFERROR(__xludf.DUMMYFUNCTION("""COMPUTED_VALUE"""),"Philadelphia")</f>
        <v>Philadelphia</v>
      </c>
      <c r="N149" s="1" t="str">
        <f ca="1">IFERROR(__xludf.DUMMYFUNCTION("""COMPUTED_VALUE"""),"Pennsylvania")</f>
        <v>Pennsylvania</v>
      </c>
      <c r="O149" s="1">
        <f ca="1">IFERROR(__xludf.DUMMYFUNCTION("""COMPUTED_VALUE"""),19143)</f>
        <v>19143</v>
      </c>
      <c r="P149" s="1" t="str">
        <f ca="1">IFERROR(__xludf.DUMMYFUNCTION("""COMPUTED_VALUE"""),"East")</f>
        <v>East</v>
      </c>
      <c r="Q149" s="1" t="str">
        <f ca="1">IFERROR(__xludf.DUMMYFUNCTION("""COMPUTED_VALUE"""),"TEC-PH-10004667")</f>
        <v>TEC-PH-10004667</v>
      </c>
      <c r="R149" s="1" t="str">
        <f ca="1">IFERROR(__xludf.DUMMYFUNCTION("""COMPUTED_VALUE"""),"Technology")</f>
        <v>Technology</v>
      </c>
      <c r="S149" s="7">
        <f ca="1">IFERROR(__xludf.DUMMYFUNCTION("""COMPUTED_VALUE"""),728.946)</f>
        <v>728.94600000000003</v>
      </c>
      <c r="T149" s="1">
        <f ca="1">IFERROR(__xludf.DUMMYFUNCTION("""COMPUTED_VALUE"""),1)</f>
        <v>1</v>
      </c>
      <c r="U149" s="9">
        <f ca="1">IFERROR(__xludf.DUMMYFUNCTION("""COMPUTED_VALUE"""),728.946)</f>
        <v>728.94600000000003</v>
      </c>
      <c r="V149" s="9">
        <f ca="1">IFERROR(__xludf.DUMMYFUNCTION("""COMPUTED_VALUE"""),727.99)</f>
        <v>727.99</v>
      </c>
      <c r="W149" s="12">
        <f ca="1">IFERROR(__xludf.DUMMYFUNCTION("""COMPUTED_VALUE"""),0.956000000000017)</f>
        <v>0.95600000000001695</v>
      </c>
    </row>
    <row r="150" spans="1:23" ht="13.2">
      <c r="A150" s="1" t="str">
        <f ca="1">IFERROR(__xludf.DUMMYFUNCTION("""COMPUTED_VALUE"""),"CA-2018-138611")</f>
        <v>CA-2018-138611</v>
      </c>
      <c r="B150" s="8">
        <f ca="1">IFERROR(__xludf.DUMMYFUNCTION("""COMPUTED_VALUE"""),43418)</f>
        <v>43418</v>
      </c>
      <c r="C150" s="1" t="str">
        <f ca="1">IFERROR(__xludf.DUMMYFUNCTION("""COMPUTED_VALUE"""),"Nov")</f>
        <v>Nov</v>
      </c>
      <c r="D150" s="1" t="str">
        <f ca="1">IFERROR(__xludf.DUMMYFUNCTION("""COMPUTED_VALUE"""),"Qtr 4")</f>
        <v>Qtr 4</v>
      </c>
      <c r="E150" s="1" t="str">
        <f ca="1">IFERROR(__xludf.DUMMYFUNCTION("""COMPUTED_VALUE"""),"17/11/2018")</f>
        <v>17/11/2018</v>
      </c>
      <c r="F150" s="1" t="str">
        <f ca="1">IFERROR(__xludf.DUMMYFUNCTION("""COMPUTED_VALUE"""),"Second Class")</f>
        <v>Second Class</v>
      </c>
      <c r="G150" s="1" t="str">
        <f ca="1">IFERROR(__xludf.DUMMYFUNCTION("""COMPUTED_VALUE"""),"CK-12595")</f>
        <v>CK-12595</v>
      </c>
      <c r="H150" s="1" t="str">
        <f ca="1">IFERROR(__xludf.DUMMYFUNCTION("""COMPUTED_VALUE"""),"Clytie")</f>
        <v>Clytie</v>
      </c>
      <c r="I150" s="1" t="str">
        <f ca="1">IFERROR(__xludf.DUMMYFUNCTION("""COMPUTED_VALUE"""),"Kelty")</f>
        <v>Kelty</v>
      </c>
      <c r="J150" s="1"/>
      <c r="K150" s="1" t="str">
        <f ca="1">IFERROR(__xludf.DUMMYFUNCTION("""COMPUTED_VALUE"""),"Consumer")</f>
        <v>Consumer</v>
      </c>
      <c r="L150" s="1" t="str">
        <f ca="1">IFERROR(__xludf.DUMMYFUNCTION("""COMPUTED_VALUE"""),"United States")</f>
        <v>United States</v>
      </c>
      <c r="M150" s="1" t="str">
        <f ca="1">IFERROR(__xludf.DUMMYFUNCTION("""COMPUTED_VALUE"""),"Grove City")</f>
        <v>Grove City</v>
      </c>
      <c r="N150" s="1" t="str">
        <f ca="1">IFERROR(__xludf.DUMMYFUNCTION("""COMPUTED_VALUE"""),"Ohio")</f>
        <v>Ohio</v>
      </c>
      <c r="O150" s="1">
        <f ca="1">IFERROR(__xludf.DUMMYFUNCTION("""COMPUTED_VALUE"""),43123)</f>
        <v>43123</v>
      </c>
      <c r="P150" s="1" t="str">
        <f ca="1">IFERROR(__xludf.DUMMYFUNCTION("""COMPUTED_VALUE"""),"East")</f>
        <v>East</v>
      </c>
      <c r="Q150" s="1" t="str">
        <f ca="1">IFERROR(__xludf.DUMMYFUNCTION("""COMPUTED_VALUE"""),"TEC-PH-10000011")</f>
        <v>TEC-PH-10000011</v>
      </c>
      <c r="R150" s="1" t="str">
        <f ca="1">IFERROR(__xludf.DUMMYFUNCTION("""COMPUTED_VALUE"""),"Technology")</f>
        <v>Technology</v>
      </c>
      <c r="S150" s="7">
        <f ca="1">IFERROR(__xludf.DUMMYFUNCTION("""COMPUTED_VALUE"""),119.94)</f>
        <v>119.94</v>
      </c>
      <c r="T150" s="1">
        <f ca="1">IFERROR(__xludf.DUMMYFUNCTION("""COMPUTED_VALUE"""),4)</f>
        <v>4</v>
      </c>
      <c r="U150" s="9">
        <f ca="1">IFERROR(__xludf.DUMMYFUNCTION("""COMPUTED_VALUE"""),479.76)</f>
        <v>479.76</v>
      </c>
      <c r="V150" s="9">
        <f ca="1">IFERROR(__xludf.DUMMYFUNCTION("""COMPUTED_VALUE"""),478.88)</f>
        <v>478.88</v>
      </c>
      <c r="W150" s="12">
        <f ca="1">IFERROR(__xludf.DUMMYFUNCTION("""COMPUTED_VALUE"""),0.879999999999995)</f>
        <v>0.87999999999999501</v>
      </c>
    </row>
    <row r="151" spans="1:23" ht="13.2">
      <c r="A151" s="1" t="str">
        <f ca="1">IFERROR(__xludf.DUMMYFUNCTION("""COMPUTED_VALUE"""),"CA-2018-138611")</f>
        <v>CA-2018-138611</v>
      </c>
      <c r="B151" s="8">
        <f ca="1">IFERROR(__xludf.DUMMYFUNCTION("""COMPUTED_VALUE"""),43418)</f>
        <v>43418</v>
      </c>
      <c r="C151" s="1" t="str">
        <f ca="1">IFERROR(__xludf.DUMMYFUNCTION("""COMPUTED_VALUE"""),"Nov")</f>
        <v>Nov</v>
      </c>
      <c r="D151" s="1" t="str">
        <f ca="1">IFERROR(__xludf.DUMMYFUNCTION("""COMPUTED_VALUE"""),"Qtr 4")</f>
        <v>Qtr 4</v>
      </c>
      <c r="E151" s="1" t="str">
        <f ca="1">IFERROR(__xludf.DUMMYFUNCTION("""COMPUTED_VALUE"""),"17/11/2018")</f>
        <v>17/11/2018</v>
      </c>
      <c r="F151" s="1" t="str">
        <f ca="1">IFERROR(__xludf.DUMMYFUNCTION("""COMPUTED_VALUE"""),"Second Class")</f>
        <v>Second Class</v>
      </c>
      <c r="G151" s="1" t="str">
        <f ca="1">IFERROR(__xludf.DUMMYFUNCTION("""COMPUTED_VALUE"""),"CK-12595")</f>
        <v>CK-12595</v>
      </c>
      <c r="H151" s="1" t="str">
        <f ca="1">IFERROR(__xludf.DUMMYFUNCTION("""COMPUTED_VALUE"""),"Clytie")</f>
        <v>Clytie</v>
      </c>
      <c r="I151" s="1" t="str">
        <f ca="1">IFERROR(__xludf.DUMMYFUNCTION("""COMPUTED_VALUE"""),"Kelty")</f>
        <v>Kelty</v>
      </c>
      <c r="J151" s="1"/>
      <c r="K151" s="1" t="str">
        <f ca="1">IFERROR(__xludf.DUMMYFUNCTION("""COMPUTED_VALUE"""),"Consumer")</f>
        <v>Consumer</v>
      </c>
      <c r="L151" s="1" t="str">
        <f ca="1">IFERROR(__xludf.DUMMYFUNCTION("""COMPUTED_VALUE"""),"United States")</f>
        <v>United States</v>
      </c>
      <c r="M151" s="1" t="str">
        <f ca="1">IFERROR(__xludf.DUMMYFUNCTION("""COMPUTED_VALUE"""),"Grove City")</f>
        <v>Grove City</v>
      </c>
      <c r="N151" s="1" t="str">
        <f ca="1">IFERROR(__xludf.DUMMYFUNCTION("""COMPUTED_VALUE"""),"Ohio")</f>
        <v>Ohio</v>
      </c>
      <c r="O151" s="1">
        <f ca="1">IFERROR(__xludf.DUMMYFUNCTION("""COMPUTED_VALUE"""),43123)</f>
        <v>43123</v>
      </c>
      <c r="P151" s="1" t="str">
        <f ca="1">IFERROR(__xludf.DUMMYFUNCTION("""COMPUTED_VALUE"""),"East")</f>
        <v>East</v>
      </c>
      <c r="Q151" s="1" t="str">
        <f ca="1">IFERROR(__xludf.DUMMYFUNCTION("""COMPUTED_VALUE"""),"OFF-BI-10002949")</f>
        <v>OFF-BI-10002949</v>
      </c>
      <c r="R151" s="1" t="str">
        <f ca="1">IFERROR(__xludf.DUMMYFUNCTION("""COMPUTED_VALUE"""),"Office Supplies")</f>
        <v>Office Supplies</v>
      </c>
      <c r="S151" s="7">
        <f ca="1">IFERROR(__xludf.DUMMYFUNCTION("""COMPUTED_VALUE"""),3.648)</f>
        <v>3.6480000000000001</v>
      </c>
      <c r="T151" s="1">
        <f ca="1">IFERROR(__xludf.DUMMYFUNCTION("""COMPUTED_VALUE"""),4)</f>
        <v>4</v>
      </c>
      <c r="U151" s="9">
        <f ca="1">IFERROR(__xludf.DUMMYFUNCTION("""COMPUTED_VALUE"""),14.592)</f>
        <v>14.592000000000001</v>
      </c>
      <c r="V151" s="9">
        <f ca="1">IFERROR(__xludf.DUMMYFUNCTION("""COMPUTED_VALUE"""),11.24)</f>
        <v>11.24</v>
      </c>
      <c r="W151" s="12">
        <f ca="1">IFERROR(__xludf.DUMMYFUNCTION("""COMPUTED_VALUE"""),3.352)</f>
        <v>3.3519999999999999</v>
      </c>
    </row>
    <row r="152" spans="1:23" ht="13.2">
      <c r="A152" s="1" t="str">
        <f ca="1">IFERROR(__xludf.DUMMYFUNCTION("""COMPUTED_VALUE"""),"CA-2018-117947")</f>
        <v>CA-2018-117947</v>
      </c>
      <c r="B152" s="8">
        <f ca="1">IFERROR(__xludf.DUMMYFUNCTION("""COMPUTED_VALUE"""),43330)</f>
        <v>43330</v>
      </c>
      <c r="C152" s="1" t="str">
        <f ca="1">IFERROR(__xludf.DUMMYFUNCTION("""COMPUTED_VALUE"""),"Aug")</f>
        <v>Aug</v>
      </c>
      <c r="D152" s="1" t="str">
        <f ca="1">IFERROR(__xludf.DUMMYFUNCTION("""COMPUTED_VALUE"""),"Qtr 3")</f>
        <v>Qtr 3</v>
      </c>
      <c r="E152" s="1" t="str">
        <f ca="1">IFERROR(__xludf.DUMMYFUNCTION("""COMPUTED_VALUE"""),"23/08/2018")</f>
        <v>23/08/2018</v>
      </c>
      <c r="F152" s="1" t="str">
        <f ca="1">IFERROR(__xludf.DUMMYFUNCTION("""COMPUTED_VALUE"""),"Second Class")</f>
        <v>Second Class</v>
      </c>
      <c r="G152" s="1" t="str">
        <f ca="1">IFERROR(__xludf.DUMMYFUNCTION("""COMPUTED_VALUE"""),"NG-18355")</f>
        <v>NG-18355</v>
      </c>
      <c r="H152" s="1" t="str">
        <f ca="1">IFERROR(__xludf.DUMMYFUNCTION("""COMPUTED_VALUE"""),"Nat")</f>
        <v>Nat</v>
      </c>
      <c r="I152" s="1" t="str">
        <f ca="1">IFERROR(__xludf.DUMMYFUNCTION("""COMPUTED_VALUE"""),"Gilpin")</f>
        <v>Gilpin</v>
      </c>
      <c r="J152" s="1"/>
      <c r="K152" s="1" t="str">
        <f ca="1">IFERROR(__xludf.DUMMYFUNCTION("""COMPUTED_VALUE"""),"Corporate")</f>
        <v>Corporate</v>
      </c>
      <c r="L152" s="1" t="str">
        <f ca="1">IFERROR(__xludf.DUMMYFUNCTION("""COMPUTED_VALUE"""),"United States")</f>
        <v>United States</v>
      </c>
      <c r="M152" s="1" t="str">
        <f ca="1">IFERROR(__xludf.DUMMYFUNCTION("""COMPUTED_VALUE"""),"New York City")</f>
        <v>New York City</v>
      </c>
      <c r="N152" s="1" t="str">
        <f ca="1">IFERROR(__xludf.DUMMYFUNCTION("""COMPUTED_VALUE"""),"New York")</f>
        <v>New York</v>
      </c>
      <c r="O152" s="1">
        <f ca="1">IFERROR(__xludf.DUMMYFUNCTION("""COMPUTED_VALUE"""),10011)</f>
        <v>10011</v>
      </c>
      <c r="P152" s="1" t="str">
        <f ca="1">IFERROR(__xludf.DUMMYFUNCTION("""COMPUTED_VALUE"""),"East")</f>
        <v>East</v>
      </c>
      <c r="Q152" s="1" t="str">
        <f ca="1">IFERROR(__xludf.DUMMYFUNCTION("""COMPUTED_VALUE"""),"FUR-FU-10003849")</f>
        <v>FUR-FU-10003849</v>
      </c>
      <c r="R152" s="1" t="str">
        <f ca="1">IFERROR(__xludf.DUMMYFUNCTION("""COMPUTED_VALUE"""),"Furniture")</f>
        <v>Furniture</v>
      </c>
      <c r="S152" s="7">
        <f ca="1">IFERROR(__xludf.DUMMYFUNCTION("""COMPUTED_VALUE"""),40.48)</f>
        <v>40.479999999999997</v>
      </c>
      <c r="T152" s="1">
        <f ca="1">IFERROR(__xludf.DUMMYFUNCTION("""COMPUTED_VALUE"""),1)</f>
        <v>1</v>
      </c>
      <c r="U152" s="9">
        <f ca="1">IFERROR(__xludf.DUMMYFUNCTION("""COMPUTED_VALUE"""),40.48)</f>
        <v>40.479999999999997</v>
      </c>
      <c r="V152" s="9">
        <f ca="1">IFERROR(__xludf.DUMMYFUNCTION("""COMPUTED_VALUE"""),40.35)</f>
        <v>40.35</v>
      </c>
      <c r="W152" s="12">
        <f ca="1">IFERROR(__xludf.DUMMYFUNCTION("""COMPUTED_VALUE"""),0.129999999999995)</f>
        <v>0.12999999999999501</v>
      </c>
    </row>
    <row r="153" spans="1:23" ht="13.2">
      <c r="A153" s="1" t="str">
        <f ca="1">IFERROR(__xludf.DUMMYFUNCTION("""COMPUTED_VALUE"""),"CA-2018-117947")</f>
        <v>CA-2018-117947</v>
      </c>
      <c r="B153" s="8">
        <f ca="1">IFERROR(__xludf.DUMMYFUNCTION("""COMPUTED_VALUE"""),43330)</f>
        <v>43330</v>
      </c>
      <c r="C153" s="1" t="str">
        <f ca="1">IFERROR(__xludf.DUMMYFUNCTION("""COMPUTED_VALUE"""),"Aug")</f>
        <v>Aug</v>
      </c>
      <c r="D153" s="1" t="str">
        <f ca="1">IFERROR(__xludf.DUMMYFUNCTION("""COMPUTED_VALUE"""),"Qtr 3")</f>
        <v>Qtr 3</v>
      </c>
      <c r="E153" s="1" t="str">
        <f ca="1">IFERROR(__xludf.DUMMYFUNCTION("""COMPUTED_VALUE"""),"23/08/2018")</f>
        <v>23/08/2018</v>
      </c>
      <c r="F153" s="1" t="str">
        <f ca="1">IFERROR(__xludf.DUMMYFUNCTION("""COMPUTED_VALUE"""),"Second Class")</f>
        <v>Second Class</v>
      </c>
      <c r="G153" s="1" t="str">
        <f ca="1">IFERROR(__xludf.DUMMYFUNCTION("""COMPUTED_VALUE"""),"NG-18355")</f>
        <v>NG-18355</v>
      </c>
      <c r="H153" s="1" t="str">
        <f ca="1">IFERROR(__xludf.DUMMYFUNCTION("""COMPUTED_VALUE"""),"Nat")</f>
        <v>Nat</v>
      </c>
      <c r="I153" s="1" t="str">
        <f ca="1">IFERROR(__xludf.DUMMYFUNCTION("""COMPUTED_VALUE"""),"Gilpin")</f>
        <v>Gilpin</v>
      </c>
      <c r="J153" s="1"/>
      <c r="K153" s="1" t="str">
        <f ca="1">IFERROR(__xludf.DUMMYFUNCTION("""COMPUTED_VALUE"""),"Corporate")</f>
        <v>Corporate</v>
      </c>
      <c r="L153" s="1" t="str">
        <f ca="1">IFERROR(__xludf.DUMMYFUNCTION("""COMPUTED_VALUE"""),"United States")</f>
        <v>United States</v>
      </c>
      <c r="M153" s="1" t="str">
        <f ca="1">IFERROR(__xludf.DUMMYFUNCTION("""COMPUTED_VALUE"""),"New York City")</f>
        <v>New York City</v>
      </c>
      <c r="N153" s="1" t="str">
        <f ca="1">IFERROR(__xludf.DUMMYFUNCTION("""COMPUTED_VALUE"""),"New York")</f>
        <v>New York</v>
      </c>
      <c r="O153" s="1">
        <f ca="1">IFERROR(__xludf.DUMMYFUNCTION("""COMPUTED_VALUE"""),10011)</f>
        <v>10011</v>
      </c>
      <c r="P153" s="1" t="str">
        <f ca="1">IFERROR(__xludf.DUMMYFUNCTION("""COMPUTED_VALUE"""),"East")</f>
        <v>East</v>
      </c>
      <c r="Q153" s="1" t="str">
        <f ca="1">IFERROR(__xludf.DUMMYFUNCTION("""COMPUTED_VALUE"""),"FUR-FU-10000010")</f>
        <v>FUR-FU-10000010</v>
      </c>
      <c r="R153" s="1" t="str">
        <f ca="1">IFERROR(__xludf.DUMMYFUNCTION("""COMPUTED_VALUE"""),"Furniture")</f>
        <v>Furniture</v>
      </c>
      <c r="S153" s="7">
        <f ca="1">IFERROR(__xludf.DUMMYFUNCTION("""COMPUTED_VALUE"""),9.94)</f>
        <v>9.94</v>
      </c>
      <c r="T153" s="1">
        <f ca="1">IFERROR(__xludf.DUMMYFUNCTION("""COMPUTED_VALUE"""),1)</f>
        <v>1</v>
      </c>
      <c r="U153" s="9">
        <f ca="1">IFERROR(__xludf.DUMMYFUNCTION("""COMPUTED_VALUE"""),9.94)</f>
        <v>9.94</v>
      </c>
      <c r="V153" s="9">
        <f ca="1">IFERROR(__xludf.DUMMYFUNCTION("""COMPUTED_VALUE"""),9.42)</f>
        <v>9.42</v>
      </c>
      <c r="W153" s="12">
        <f ca="1">IFERROR(__xludf.DUMMYFUNCTION("""COMPUTED_VALUE"""),0.519999999999999)</f>
        <v>0.51999999999999902</v>
      </c>
    </row>
    <row r="154" spans="1:23" ht="13.2">
      <c r="A154" s="1" t="str">
        <f ca="1">IFERROR(__xludf.DUMMYFUNCTION("""COMPUTED_VALUE"""),"CA-2018-117947")</f>
        <v>CA-2018-117947</v>
      </c>
      <c r="B154" s="8">
        <f ca="1">IFERROR(__xludf.DUMMYFUNCTION("""COMPUTED_VALUE"""),43330)</f>
        <v>43330</v>
      </c>
      <c r="C154" s="1" t="str">
        <f ca="1">IFERROR(__xludf.DUMMYFUNCTION("""COMPUTED_VALUE"""),"Aug")</f>
        <v>Aug</v>
      </c>
      <c r="D154" s="1" t="str">
        <f ca="1">IFERROR(__xludf.DUMMYFUNCTION("""COMPUTED_VALUE"""),"Qtr 3")</f>
        <v>Qtr 3</v>
      </c>
      <c r="E154" s="1" t="str">
        <f ca="1">IFERROR(__xludf.DUMMYFUNCTION("""COMPUTED_VALUE"""),"23/08/2018")</f>
        <v>23/08/2018</v>
      </c>
      <c r="F154" s="1" t="str">
        <f ca="1">IFERROR(__xludf.DUMMYFUNCTION("""COMPUTED_VALUE"""),"Second Class")</f>
        <v>Second Class</v>
      </c>
      <c r="G154" s="1" t="str">
        <f ca="1">IFERROR(__xludf.DUMMYFUNCTION("""COMPUTED_VALUE"""),"NG-18355")</f>
        <v>NG-18355</v>
      </c>
      <c r="H154" s="1" t="str">
        <f ca="1">IFERROR(__xludf.DUMMYFUNCTION("""COMPUTED_VALUE"""),"Nat")</f>
        <v>Nat</v>
      </c>
      <c r="I154" s="1" t="str">
        <f ca="1">IFERROR(__xludf.DUMMYFUNCTION("""COMPUTED_VALUE"""),"Gilpin")</f>
        <v>Gilpin</v>
      </c>
      <c r="J154" s="1"/>
      <c r="K154" s="1" t="str">
        <f ca="1">IFERROR(__xludf.DUMMYFUNCTION("""COMPUTED_VALUE"""),"Corporate")</f>
        <v>Corporate</v>
      </c>
      <c r="L154" s="1" t="str">
        <f ca="1">IFERROR(__xludf.DUMMYFUNCTION("""COMPUTED_VALUE"""),"United States")</f>
        <v>United States</v>
      </c>
      <c r="M154" s="1" t="str">
        <f ca="1">IFERROR(__xludf.DUMMYFUNCTION("""COMPUTED_VALUE"""),"New York City")</f>
        <v>New York City</v>
      </c>
      <c r="N154" s="1" t="str">
        <f ca="1">IFERROR(__xludf.DUMMYFUNCTION("""COMPUTED_VALUE"""),"New York")</f>
        <v>New York</v>
      </c>
      <c r="O154" s="1">
        <f ca="1">IFERROR(__xludf.DUMMYFUNCTION("""COMPUTED_VALUE"""),10011)</f>
        <v>10011</v>
      </c>
      <c r="P154" s="1" t="str">
        <f ca="1">IFERROR(__xludf.DUMMYFUNCTION("""COMPUTED_VALUE"""),"East")</f>
        <v>East</v>
      </c>
      <c r="Q154" s="1" t="str">
        <f ca="1">IFERROR(__xludf.DUMMYFUNCTION("""COMPUTED_VALUE"""),"OFF-BI-10002824")</f>
        <v>OFF-BI-10002824</v>
      </c>
      <c r="R154" s="1" t="str">
        <f ca="1">IFERROR(__xludf.DUMMYFUNCTION("""COMPUTED_VALUE"""),"Office Supplies")</f>
        <v>Office Supplies</v>
      </c>
      <c r="S154" s="7">
        <f ca="1">IFERROR(__xludf.DUMMYFUNCTION("""COMPUTED_VALUE"""),107.424)</f>
        <v>107.42400000000001</v>
      </c>
      <c r="T154" s="1">
        <f ca="1">IFERROR(__xludf.DUMMYFUNCTION("""COMPUTED_VALUE"""),1)</f>
        <v>1</v>
      </c>
      <c r="U154" s="9">
        <f ca="1">IFERROR(__xludf.DUMMYFUNCTION("""COMPUTED_VALUE"""),107.424)</f>
        <v>107.42400000000001</v>
      </c>
      <c r="V154" s="9">
        <f ca="1">IFERROR(__xludf.DUMMYFUNCTION("""COMPUTED_VALUE"""),107.26)</f>
        <v>107.26</v>
      </c>
      <c r="W154" s="12">
        <f ca="1">IFERROR(__xludf.DUMMYFUNCTION("""COMPUTED_VALUE"""),0.164000000000001)</f>
        <v>0.16400000000000101</v>
      </c>
    </row>
    <row r="155" spans="1:23" ht="13.2">
      <c r="A155" s="1" t="str">
        <f ca="1">IFERROR(__xludf.DUMMYFUNCTION("""COMPUTED_VALUE"""),"CA-2018-117947")</f>
        <v>CA-2018-117947</v>
      </c>
      <c r="B155" s="8">
        <f ca="1">IFERROR(__xludf.DUMMYFUNCTION("""COMPUTED_VALUE"""),43330)</f>
        <v>43330</v>
      </c>
      <c r="C155" s="1" t="str">
        <f ca="1">IFERROR(__xludf.DUMMYFUNCTION("""COMPUTED_VALUE"""),"Aug")</f>
        <v>Aug</v>
      </c>
      <c r="D155" s="1" t="str">
        <f ca="1">IFERROR(__xludf.DUMMYFUNCTION("""COMPUTED_VALUE"""),"Qtr 3")</f>
        <v>Qtr 3</v>
      </c>
      <c r="E155" s="1" t="str">
        <f ca="1">IFERROR(__xludf.DUMMYFUNCTION("""COMPUTED_VALUE"""),"23/08/2018")</f>
        <v>23/08/2018</v>
      </c>
      <c r="F155" s="1" t="str">
        <f ca="1">IFERROR(__xludf.DUMMYFUNCTION("""COMPUTED_VALUE"""),"Second Class")</f>
        <v>Second Class</v>
      </c>
      <c r="G155" s="1" t="str">
        <f ca="1">IFERROR(__xludf.DUMMYFUNCTION("""COMPUTED_VALUE"""),"NG-18355")</f>
        <v>NG-18355</v>
      </c>
      <c r="H155" s="1" t="str">
        <f ca="1">IFERROR(__xludf.DUMMYFUNCTION("""COMPUTED_VALUE"""),"Nat")</f>
        <v>Nat</v>
      </c>
      <c r="I155" s="1" t="str">
        <f ca="1">IFERROR(__xludf.DUMMYFUNCTION("""COMPUTED_VALUE"""),"Gilpin")</f>
        <v>Gilpin</v>
      </c>
      <c r="J155" s="1"/>
      <c r="K155" s="1" t="str">
        <f ca="1">IFERROR(__xludf.DUMMYFUNCTION("""COMPUTED_VALUE"""),"Corporate")</f>
        <v>Corporate</v>
      </c>
      <c r="L155" s="1" t="str">
        <f ca="1">IFERROR(__xludf.DUMMYFUNCTION("""COMPUTED_VALUE"""),"United States")</f>
        <v>United States</v>
      </c>
      <c r="M155" s="1" t="str">
        <f ca="1">IFERROR(__xludf.DUMMYFUNCTION("""COMPUTED_VALUE"""),"New York City")</f>
        <v>New York City</v>
      </c>
      <c r="N155" s="1" t="str">
        <f ca="1">IFERROR(__xludf.DUMMYFUNCTION("""COMPUTED_VALUE"""),"New York")</f>
        <v>New York</v>
      </c>
      <c r="O155" s="1">
        <f ca="1">IFERROR(__xludf.DUMMYFUNCTION("""COMPUTED_VALUE"""),10011)</f>
        <v>10011</v>
      </c>
      <c r="P155" s="1" t="str">
        <f ca="1">IFERROR(__xludf.DUMMYFUNCTION("""COMPUTED_VALUE"""),"East")</f>
        <v>East</v>
      </c>
      <c r="Q155" s="1" t="str">
        <f ca="1">IFERROR(__xludf.DUMMYFUNCTION("""COMPUTED_VALUE"""),"TEC-PH-10002538")</f>
        <v>TEC-PH-10002538</v>
      </c>
      <c r="R155" s="1" t="str">
        <f ca="1">IFERROR(__xludf.DUMMYFUNCTION("""COMPUTED_VALUE"""),"Technology")</f>
        <v>Technology</v>
      </c>
      <c r="S155" s="7">
        <f ca="1">IFERROR(__xludf.DUMMYFUNCTION("""COMPUTED_VALUE"""),37.91)</f>
        <v>37.909999999999997</v>
      </c>
      <c r="T155" s="1">
        <f ca="1">IFERROR(__xludf.DUMMYFUNCTION("""COMPUTED_VALUE"""),1)</f>
        <v>1</v>
      </c>
      <c r="U155" s="9">
        <f ca="1">IFERROR(__xludf.DUMMYFUNCTION("""COMPUTED_VALUE"""),37.91)</f>
        <v>37.909999999999997</v>
      </c>
      <c r="V155" s="9">
        <f ca="1">IFERROR(__xludf.DUMMYFUNCTION("""COMPUTED_VALUE"""),37.76)</f>
        <v>37.76</v>
      </c>
      <c r="W155" s="12">
        <f ca="1">IFERROR(__xludf.DUMMYFUNCTION("""COMPUTED_VALUE"""),0.149999999999998)</f>
        <v>0.149999999999998</v>
      </c>
    </row>
    <row r="156" spans="1:23" ht="13.2">
      <c r="A156" s="1" t="str">
        <f ca="1">IFERROR(__xludf.DUMMYFUNCTION("""COMPUTED_VALUE"""),"CA-2018-117947")</f>
        <v>CA-2018-117947</v>
      </c>
      <c r="B156" s="8">
        <f ca="1">IFERROR(__xludf.DUMMYFUNCTION("""COMPUTED_VALUE"""),43330)</f>
        <v>43330</v>
      </c>
      <c r="C156" s="1" t="str">
        <f ca="1">IFERROR(__xludf.DUMMYFUNCTION("""COMPUTED_VALUE"""),"Aug")</f>
        <v>Aug</v>
      </c>
      <c r="D156" s="1" t="str">
        <f ca="1">IFERROR(__xludf.DUMMYFUNCTION("""COMPUTED_VALUE"""),"Qtr 3")</f>
        <v>Qtr 3</v>
      </c>
      <c r="E156" s="1" t="str">
        <f ca="1">IFERROR(__xludf.DUMMYFUNCTION("""COMPUTED_VALUE"""),"23/08/2018")</f>
        <v>23/08/2018</v>
      </c>
      <c r="F156" s="1" t="str">
        <f ca="1">IFERROR(__xludf.DUMMYFUNCTION("""COMPUTED_VALUE"""),"Second Class")</f>
        <v>Second Class</v>
      </c>
      <c r="G156" s="1" t="str">
        <f ca="1">IFERROR(__xludf.DUMMYFUNCTION("""COMPUTED_VALUE"""),"NG-18355")</f>
        <v>NG-18355</v>
      </c>
      <c r="H156" s="1" t="str">
        <f ca="1">IFERROR(__xludf.DUMMYFUNCTION("""COMPUTED_VALUE"""),"Nat")</f>
        <v>Nat</v>
      </c>
      <c r="I156" s="1" t="str">
        <f ca="1">IFERROR(__xludf.DUMMYFUNCTION("""COMPUTED_VALUE"""),"Gilpin")</f>
        <v>Gilpin</v>
      </c>
      <c r="J156" s="1"/>
      <c r="K156" s="1" t="str">
        <f ca="1">IFERROR(__xludf.DUMMYFUNCTION("""COMPUTED_VALUE"""),"Corporate")</f>
        <v>Corporate</v>
      </c>
      <c r="L156" s="1" t="str">
        <f ca="1">IFERROR(__xludf.DUMMYFUNCTION("""COMPUTED_VALUE"""),"United States")</f>
        <v>United States</v>
      </c>
      <c r="M156" s="1" t="str">
        <f ca="1">IFERROR(__xludf.DUMMYFUNCTION("""COMPUTED_VALUE"""),"New York City")</f>
        <v>New York City</v>
      </c>
      <c r="N156" s="1" t="str">
        <f ca="1">IFERROR(__xludf.DUMMYFUNCTION("""COMPUTED_VALUE"""),"New York")</f>
        <v>New York</v>
      </c>
      <c r="O156" s="1">
        <f ca="1">IFERROR(__xludf.DUMMYFUNCTION("""COMPUTED_VALUE"""),10011)</f>
        <v>10011</v>
      </c>
      <c r="P156" s="1" t="str">
        <f ca="1">IFERROR(__xludf.DUMMYFUNCTION("""COMPUTED_VALUE"""),"East")</f>
        <v>East</v>
      </c>
      <c r="Q156" s="1" t="str">
        <f ca="1">IFERROR(__xludf.DUMMYFUNCTION("""COMPUTED_VALUE"""),"FUR-FU-10000521")</f>
        <v>FUR-FU-10000521</v>
      </c>
      <c r="R156" s="1" t="str">
        <f ca="1">IFERROR(__xludf.DUMMYFUNCTION("""COMPUTED_VALUE"""),"Furniture")</f>
        <v>Furniture</v>
      </c>
      <c r="S156" s="7">
        <f ca="1">IFERROR(__xludf.DUMMYFUNCTION("""COMPUTED_VALUE"""),88.02)</f>
        <v>88.02</v>
      </c>
      <c r="T156" s="1">
        <f ca="1">IFERROR(__xludf.DUMMYFUNCTION("""COMPUTED_VALUE"""),1)</f>
        <v>1</v>
      </c>
      <c r="U156" s="9">
        <f ca="1">IFERROR(__xludf.DUMMYFUNCTION("""COMPUTED_VALUE"""),88.02)</f>
        <v>88.02</v>
      </c>
      <c r="V156" s="9">
        <f ca="1">IFERROR(__xludf.DUMMYFUNCTION("""COMPUTED_VALUE"""),87.89)</f>
        <v>87.89</v>
      </c>
      <c r="W156" s="12">
        <f ca="1">IFERROR(__xludf.DUMMYFUNCTION("""COMPUTED_VALUE"""),0.129999999999995)</f>
        <v>0.12999999999999501</v>
      </c>
    </row>
    <row r="157" spans="1:23" ht="13.2">
      <c r="A157" s="1" t="str">
        <f ca="1">IFERROR(__xludf.DUMMYFUNCTION("""COMPUTED_VALUE"""),"US-2017-135720")</f>
        <v>US-2017-135720</v>
      </c>
      <c r="B157" s="8">
        <f ca="1">IFERROR(__xludf.DUMMYFUNCTION("""COMPUTED_VALUE"""),43051)</f>
        <v>43051</v>
      </c>
      <c r="C157" s="1" t="str">
        <f ca="1">IFERROR(__xludf.DUMMYFUNCTION("""COMPUTED_VALUE"""),"Nov")</f>
        <v>Nov</v>
      </c>
      <c r="D157" s="1" t="str">
        <f ca="1">IFERROR(__xludf.DUMMYFUNCTION("""COMPUTED_VALUE"""),"Qtr 4")</f>
        <v>Qtr 4</v>
      </c>
      <c r="E157" s="1" t="str">
        <f ca="1">IFERROR(__xludf.DUMMYFUNCTION("""COMPUTED_VALUE"""),"13/12/2017")</f>
        <v>13/12/2017</v>
      </c>
      <c r="F157" s="1" t="str">
        <f ca="1">IFERROR(__xludf.DUMMYFUNCTION("""COMPUTED_VALUE"""),"Second Class")</f>
        <v>Second Class</v>
      </c>
      <c r="G157" s="1" t="str">
        <f ca="1">IFERROR(__xludf.DUMMYFUNCTION("""COMPUTED_VALUE"""),"FM-14380")</f>
        <v>FM-14380</v>
      </c>
      <c r="H157" s="1" t="str">
        <f ca="1">IFERROR(__xludf.DUMMYFUNCTION("""COMPUTED_VALUE"""),"Fred")</f>
        <v>Fred</v>
      </c>
      <c r="I157" s="1" t="str">
        <f ca="1">IFERROR(__xludf.DUMMYFUNCTION("""COMPUTED_VALUE"""),"McMath")</f>
        <v>McMath</v>
      </c>
      <c r="J157" s="1"/>
      <c r="K157" s="1" t="str">
        <f ca="1">IFERROR(__xludf.DUMMYFUNCTION("""COMPUTED_VALUE"""),"Consumer")</f>
        <v>Consumer</v>
      </c>
      <c r="L157" s="1" t="str">
        <f ca="1">IFERROR(__xludf.DUMMYFUNCTION("""COMPUTED_VALUE"""),"United States")</f>
        <v>United States</v>
      </c>
      <c r="M157" s="1" t="str">
        <f ca="1">IFERROR(__xludf.DUMMYFUNCTION("""COMPUTED_VALUE"""),"Aurora")</f>
        <v>Aurora</v>
      </c>
      <c r="N157" s="1" t="str">
        <f ca="1">IFERROR(__xludf.DUMMYFUNCTION("""COMPUTED_VALUE"""),"Colorado")</f>
        <v>Colorado</v>
      </c>
      <c r="O157" s="1">
        <f ca="1">IFERROR(__xludf.DUMMYFUNCTION("""COMPUTED_VALUE"""),80013)</f>
        <v>80013</v>
      </c>
      <c r="P157" s="1" t="str">
        <f ca="1">IFERROR(__xludf.DUMMYFUNCTION("""COMPUTED_VALUE"""),"West")</f>
        <v>West</v>
      </c>
      <c r="Q157" s="1" t="str">
        <f ca="1">IFERROR(__xludf.DUMMYFUNCTION("""COMPUTED_VALUE"""),"OFF-ST-10001963")</f>
        <v>OFF-ST-10001963</v>
      </c>
      <c r="R157" s="1" t="str">
        <f ca="1">IFERROR(__xludf.DUMMYFUNCTION("""COMPUTED_VALUE"""),"Office Supplies")</f>
        <v>Office Supplies</v>
      </c>
      <c r="S157" s="7">
        <f ca="1">IFERROR(__xludf.DUMMYFUNCTION("""COMPUTED_VALUE"""),243.384)</f>
        <v>243.38399999999999</v>
      </c>
      <c r="T157" s="1">
        <f ca="1">IFERROR(__xludf.DUMMYFUNCTION("""COMPUTED_VALUE"""),8)</f>
        <v>8</v>
      </c>
      <c r="U157" s="9">
        <f ca="1">IFERROR(__xludf.DUMMYFUNCTION("""COMPUTED_VALUE"""),1947.072)</f>
        <v>1947.0719999999999</v>
      </c>
      <c r="V157" s="9">
        <f ca="1">IFERROR(__xludf.DUMMYFUNCTION("""COMPUTED_VALUE"""),1942.4)</f>
        <v>1942.4</v>
      </c>
      <c r="W157" s="12">
        <f ca="1">IFERROR(__xludf.DUMMYFUNCTION("""COMPUTED_VALUE"""),4.67199999999979)</f>
        <v>4.6719999999997901</v>
      </c>
    </row>
    <row r="158" spans="1:23" ht="13.2">
      <c r="A158" s="1" t="str">
        <f ca="1">IFERROR(__xludf.DUMMYFUNCTION("""COMPUTED_VALUE"""),"US-2017-135720")</f>
        <v>US-2017-135720</v>
      </c>
      <c r="B158" s="8">
        <f ca="1">IFERROR(__xludf.DUMMYFUNCTION("""COMPUTED_VALUE"""),43051)</f>
        <v>43051</v>
      </c>
      <c r="C158" s="1" t="str">
        <f ca="1">IFERROR(__xludf.DUMMYFUNCTION("""COMPUTED_VALUE"""),"Nov")</f>
        <v>Nov</v>
      </c>
      <c r="D158" s="1" t="str">
        <f ca="1">IFERROR(__xludf.DUMMYFUNCTION("""COMPUTED_VALUE"""),"Qtr 4")</f>
        <v>Qtr 4</v>
      </c>
      <c r="E158" s="1" t="str">
        <f ca="1">IFERROR(__xludf.DUMMYFUNCTION("""COMPUTED_VALUE"""),"13/12/2017")</f>
        <v>13/12/2017</v>
      </c>
      <c r="F158" s="1" t="str">
        <f ca="1">IFERROR(__xludf.DUMMYFUNCTION("""COMPUTED_VALUE"""),"Second Class")</f>
        <v>Second Class</v>
      </c>
      <c r="G158" s="1" t="str">
        <f ca="1">IFERROR(__xludf.DUMMYFUNCTION("""COMPUTED_VALUE"""),"FM-14380")</f>
        <v>FM-14380</v>
      </c>
      <c r="H158" s="1" t="str">
        <f ca="1">IFERROR(__xludf.DUMMYFUNCTION("""COMPUTED_VALUE"""),"Fred")</f>
        <v>Fred</v>
      </c>
      <c r="I158" s="1" t="str">
        <f ca="1">IFERROR(__xludf.DUMMYFUNCTION("""COMPUTED_VALUE"""),"McMath")</f>
        <v>McMath</v>
      </c>
      <c r="J158" s="1"/>
      <c r="K158" s="1" t="str">
        <f ca="1">IFERROR(__xludf.DUMMYFUNCTION("""COMPUTED_VALUE"""),"Consumer")</f>
        <v>Consumer</v>
      </c>
      <c r="L158" s="1" t="str">
        <f ca="1">IFERROR(__xludf.DUMMYFUNCTION("""COMPUTED_VALUE"""),"United States")</f>
        <v>United States</v>
      </c>
      <c r="M158" s="1" t="str">
        <f ca="1">IFERROR(__xludf.DUMMYFUNCTION("""COMPUTED_VALUE"""),"Aurora")</f>
        <v>Aurora</v>
      </c>
      <c r="N158" s="1" t="str">
        <f ca="1">IFERROR(__xludf.DUMMYFUNCTION("""COMPUTED_VALUE"""),"Colorado")</f>
        <v>Colorado</v>
      </c>
      <c r="O158" s="1">
        <f ca="1">IFERROR(__xludf.DUMMYFUNCTION("""COMPUTED_VALUE"""),80013)</f>
        <v>80013</v>
      </c>
      <c r="P158" s="1" t="str">
        <f ca="1">IFERROR(__xludf.DUMMYFUNCTION("""COMPUTED_VALUE"""),"West")</f>
        <v>West</v>
      </c>
      <c r="Q158" s="1" t="str">
        <f ca="1">IFERROR(__xludf.DUMMYFUNCTION("""COMPUTED_VALUE"""),"TEC-AC-10001267")</f>
        <v>TEC-AC-10001267</v>
      </c>
      <c r="R158" s="1" t="str">
        <f ca="1">IFERROR(__xludf.DUMMYFUNCTION("""COMPUTED_VALUE"""),"Technology")</f>
        <v>Technology</v>
      </c>
      <c r="S158" s="7">
        <f ca="1">IFERROR(__xludf.DUMMYFUNCTION("""COMPUTED_VALUE"""),119.8)</f>
        <v>119.8</v>
      </c>
      <c r="T158" s="1">
        <f ca="1">IFERROR(__xludf.DUMMYFUNCTION("""COMPUTED_VALUE"""),8)</f>
        <v>8</v>
      </c>
      <c r="U158" s="9">
        <f ca="1">IFERROR(__xludf.DUMMYFUNCTION("""COMPUTED_VALUE"""),958.4)</f>
        <v>958.4</v>
      </c>
      <c r="V158" s="9">
        <f ca="1">IFERROR(__xludf.DUMMYFUNCTION("""COMPUTED_VALUE"""),955.92)</f>
        <v>955.92</v>
      </c>
      <c r="W158" s="12">
        <f ca="1">IFERROR(__xludf.DUMMYFUNCTION("""COMPUTED_VALUE"""),2.48000000000001)</f>
        <v>2.4800000000000102</v>
      </c>
    </row>
    <row r="159" spans="1:23" ht="13.2">
      <c r="A159" s="1" t="str">
        <f ca="1">IFERROR(__xludf.DUMMYFUNCTION("""COMPUTED_VALUE"""),"US-2017-135720")</f>
        <v>US-2017-135720</v>
      </c>
      <c r="B159" s="8">
        <f ca="1">IFERROR(__xludf.DUMMYFUNCTION("""COMPUTED_VALUE"""),43051)</f>
        <v>43051</v>
      </c>
      <c r="C159" s="1" t="str">
        <f ca="1">IFERROR(__xludf.DUMMYFUNCTION("""COMPUTED_VALUE"""),"Nov")</f>
        <v>Nov</v>
      </c>
      <c r="D159" s="1" t="str">
        <f ca="1">IFERROR(__xludf.DUMMYFUNCTION("""COMPUTED_VALUE"""),"Qtr 4")</f>
        <v>Qtr 4</v>
      </c>
      <c r="E159" s="1" t="str">
        <f ca="1">IFERROR(__xludf.DUMMYFUNCTION("""COMPUTED_VALUE"""),"13/12/2017")</f>
        <v>13/12/2017</v>
      </c>
      <c r="F159" s="1" t="str">
        <f ca="1">IFERROR(__xludf.DUMMYFUNCTION("""COMPUTED_VALUE"""),"Second Class")</f>
        <v>Second Class</v>
      </c>
      <c r="G159" s="1" t="str">
        <f ca="1">IFERROR(__xludf.DUMMYFUNCTION("""COMPUTED_VALUE"""),"FM-14380")</f>
        <v>FM-14380</v>
      </c>
      <c r="H159" s="1" t="str">
        <f ca="1">IFERROR(__xludf.DUMMYFUNCTION("""COMPUTED_VALUE"""),"Fred")</f>
        <v>Fred</v>
      </c>
      <c r="I159" s="1" t="str">
        <f ca="1">IFERROR(__xludf.DUMMYFUNCTION("""COMPUTED_VALUE"""),"McMath")</f>
        <v>McMath</v>
      </c>
      <c r="J159" s="1"/>
      <c r="K159" s="1" t="str">
        <f ca="1">IFERROR(__xludf.DUMMYFUNCTION("""COMPUTED_VALUE"""),"Consumer")</f>
        <v>Consumer</v>
      </c>
      <c r="L159" s="1" t="str">
        <f ca="1">IFERROR(__xludf.DUMMYFUNCTION("""COMPUTED_VALUE"""),"United States")</f>
        <v>United States</v>
      </c>
      <c r="M159" s="1" t="str">
        <f ca="1">IFERROR(__xludf.DUMMYFUNCTION("""COMPUTED_VALUE"""),"Aurora")</f>
        <v>Aurora</v>
      </c>
      <c r="N159" s="1" t="str">
        <f ca="1">IFERROR(__xludf.DUMMYFUNCTION("""COMPUTED_VALUE"""),"Colorado")</f>
        <v>Colorado</v>
      </c>
      <c r="O159" s="1">
        <f ca="1">IFERROR(__xludf.DUMMYFUNCTION("""COMPUTED_VALUE"""),80013)</f>
        <v>80013</v>
      </c>
      <c r="P159" s="1" t="str">
        <f ca="1">IFERROR(__xludf.DUMMYFUNCTION("""COMPUTED_VALUE"""),"West")</f>
        <v>West</v>
      </c>
      <c r="Q159" s="1" t="str">
        <f ca="1">IFERROR(__xludf.DUMMYFUNCTION("""COMPUTED_VALUE"""),"TEC-PH-10002103")</f>
        <v>TEC-PH-10002103</v>
      </c>
      <c r="R159" s="1" t="str">
        <f ca="1">IFERROR(__xludf.DUMMYFUNCTION("""COMPUTED_VALUE"""),"Technology")</f>
        <v>Technology</v>
      </c>
      <c r="S159" s="7">
        <f ca="1">IFERROR(__xludf.DUMMYFUNCTION("""COMPUTED_VALUE"""),300.768)</f>
        <v>300.76799999999997</v>
      </c>
      <c r="T159" s="1">
        <f ca="1">IFERROR(__xludf.DUMMYFUNCTION("""COMPUTED_VALUE"""),8)</f>
        <v>8</v>
      </c>
      <c r="U159" s="9">
        <f ca="1">IFERROR(__xludf.DUMMYFUNCTION("""COMPUTED_VALUE"""),2406.144)</f>
        <v>2406.1439999999998</v>
      </c>
      <c r="V159" s="9">
        <f ca="1">IFERROR(__xludf.DUMMYFUNCTION("""COMPUTED_VALUE"""),2400.72)</f>
        <v>2400.7199999999998</v>
      </c>
      <c r="W159" s="12">
        <f ca="1">IFERROR(__xludf.DUMMYFUNCTION("""COMPUTED_VALUE"""),5.42399999999997)</f>
        <v>5.4239999999999702</v>
      </c>
    </row>
    <row r="160" spans="1:23" ht="13.2">
      <c r="A160" s="1" t="str">
        <f ca="1">IFERROR(__xludf.DUMMYFUNCTION("""COMPUTED_VALUE"""),"CA-2018-144694")</f>
        <v>CA-2018-144694</v>
      </c>
      <c r="B160" s="8">
        <f ca="1">IFERROR(__xludf.DUMMYFUNCTION("""COMPUTED_VALUE"""),43367)</f>
        <v>43367</v>
      </c>
      <c r="C160" s="1" t="str">
        <f ca="1">IFERROR(__xludf.DUMMYFUNCTION("""COMPUTED_VALUE"""),"Sep")</f>
        <v>Sep</v>
      </c>
      <c r="D160" s="1" t="str">
        <f ca="1">IFERROR(__xludf.DUMMYFUNCTION("""COMPUTED_VALUE"""),"Qtr 3")</f>
        <v>Qtr 3</v>
      </c>
      <c r="E160" s="1" t="str">
        <f ca="1">IFERROR(__xludf.DUMMYFUNCTION("""COMPUTED_VALUE"""),"26/09/2018")</f>
        <v>26/09/2018</v>
      </c>
      <c r="F160" s="1" t="str">
        <f ca="1">IFERROR(__xludf.DUMMYFUNCTION("""COMPUTED_VALUE"""),"Second Class")</f>
        <v>Second Class</v>
      </c>
      <c r="G160" s="1" t="str">
        <f ca="1">IFERROR(__xludf.DUMMYFUNCTION("""COMPUTED_VALUE"""),"BD-11605")</f>
        <v>BD-11605</v>
      </c>
      <c r="H160" s="1" t="str">
        <f ca="1">IFERROR(__xludf.DUMMYFUNCTION("""COMPUTED_VALUE"""),"Brian")</f>
        <v>Brian</v>
      </c>
      <c r="I160" s="1" t="str">
        <f ca="1">IFERROR(__xludf.DUMMYFUNCTION("""COMPUTED_VALUE"""),"Dahlen")</f>
        <v>Dahlen</v>
      </c>
      <c r="J160" s="1"/>
      <c r="K160" s="1" t="str">
        <f ca="1">IFERROR(__xludf.DUMMYFUNCTION("""COMPUTED_VALUE"""),"Consumer")</f>
        <v>Consumer</v>
      </c>
      <c r="L160" s="1" t="str">
        <f ca="1">IFERROR(__xludf.DUMMYFUNCTION("""COMPUTED_VALUE"""),"United States")</f>
        <v>United States</v>
      </c>
      <c r="M160" s="1" t="str">
        <f ca="1">IFERROR(__xludf.DUMMYFUNCTION("""COMPUTED_VALUE"""),"Miami")</f>
        <v>Miami</v>
      </c>
      <c r="N160" s="1" t="str">
        <f ca="1">IFERROR(__xludf.DUMMYFUNCTION("""COMPUTED_VALUE"""),"Florida")</f>
        <v>Florida</v>
      </c>
      <c r="O160" s="1">
        <f ca="1">IFERROR(__xludf.DUMMYFUNCTION("""COMPUTED_VALUE"""),33180)</f>
        <v>33180</v>
      </c>
      <c r="P160" s="1" t="str">
        <f ca="1">IFERROR(__xludf.DUMMYFUNCTION("""COMPUTED_VALUE"""),"South")</f>
        <v>South</v>
      </c>
      <c r="Q160" s="1" t="str">
        <f ca="1">IFERROR(__xludf.DUMMYFUNCTION("""COMPUTED_VALUE"""),"TEC-AC-10002857")</f>
        <v>TEC-AC-10002857</v>
      </c>
      <c r="R160" s="1" t="str">
        <f ca="1">IFERROR(__xludf.DUMMYFUNCTION("""COMPUTED_VALUE"""),"Technology")</f>
        <v>Technology</v>
      </c>
      <c r="S160" s="7">
        <f ca="1">IFERROR(__xludf.DUMMYFUNCTION("""COMPUTED_VALUE"""),17.88)</f>
        <v>17.88</v>
      </c>
      <c r="T160" s="1">
        <f ca="1">IFERROR(__xludf.DUMMYFUNCTION("""COMPUTED_VALUE"""),3)</f>
        <v>3</v>
      </c>
      <c r="U160" s="9">
        <f ca="1">IFERROR(__xludf.DUMMYFUNCTION("""COMPUTED_VALUE"""),53.64)</f>
        <v>53.64</v>
      </c>
      <c r="V160" s="9">
        <f ca="1">IFERROR(__xludf.DUMMYFUNCTION("""COMPUTED_VALUE"""),50.67)</f>
        <v>50.67</v>
      </c>
      <c r="W160" s="12">
        <f ca="1">IFERROR(__xludf.DUMMYFUNCTION("""COMPUTED_VALUE"""),2.96999999999999)</f>
        <v>2.96999999999999</v>
      </c>
    </row>
    <row r="161" spans="1:23" ht="13.2">
      <c r="A161" s="1" t="str">
        <f ca="1">IFERROR(__xludf.DUMMYFUNCTION("""COMPUTED_VALUE"""),"CA-2018-144694")</f>
        <v>CA-2018-144694</v>
      </c>
      <c r="B161" s="8">
        <f ca="1">IFERROR(__xludf.DUMMYFUNCTION("""COMPUTED_VALUE"""),43367)</f>
        <v>43367</v>
      </c>
      <c r="C161" s="1" t="str">
        <f ca="1">IFERROR(__xludf.DUMMYFUNCTION("""COMPUTED_VALUE"""),"Sep")</f>
        <v>Sep</v>
      </c>
      <c r="D161" s="1" t="str">
        <f ca="1">IFERROR(__xludf.DUMMYFUNCTION("""COMPUTED_VALUE"""),"Qtr 3")</f>
        <v>Qtr 3</v>
      </c>
      <c r="E161" s="1" t="str">
        <f ca="1">IFERROR(__xludf.DUMMYFUNCTION("""COMPUTED_VALUE"""),"26/09/2018")</f>
        <v>26/09/2018</v>
      </c>
      <c r="F161" s="1" t="str">
        <f ca="1">IFERROR(__xludf.DUMMYFUNCTION("""COMPUTED_VALUE"""),"Second Class")</f>
        <v>Second Class</v>
      </c>
      <c r="G161" s="1" t="str">
        <f ca="1">IFERROR(__xludf.DUMMYFUNCTION("""COMPUTED_VALUE"""),"BD-11605")</f>
        <v>BD-11605</v>
      </c>
      <c r="H161" s="1" t="str">
        <f ca="1">IFERROR(__xludf.DUMMYFUNCTION("""COMPUTED_VALUE"""),"Brian")</f>
        <v>Brian</v>
      </c>
      <c r="I161" s="1" t="str">
        <f ca="1">IFERROR(__xludf.DUMMYFUNCTION("""COMPUTED_VALUE"""),"Dahlen")</f>
        <v>Dahlen</v>
      </c>
      <c r="J161" s="1"/>
      <c r="K161" s="1" t="str">
        <f ca="1">IFERROR(__xludf.DUMMYFUNCTION("""COMPUTED_VALUE"""),"Consumer")</f>
        <v>Consumer</v>
      </c>
      <c r="L161" s="1" t="str">
        <f ca="1">IFERROR(__xludf.DUMMYFUNCTION("""COMPUTED_VALUE"""),"United States")</f>
        <v>United States</v>
      </c>
      <c r="M161" s="1" t="str">
        <f ca="1">IFERROR(__xludf.DUMMYFUNCTION("""COMPUTED_VALUE"""),"Miami")</f>
        <v>Miami</v>
      </c>
      <c r="N161" s="1" t="str">
        <f ca="1">IFERROR(__xludf.DUMMYFUNCTION("""COMPUTED_VALUE"""),"Florida")</f>
        <v>Florida</v>
      </c>
      <c r="O161" s="1">
        <f ca="1">IFERROR(__xludf.DUMMYFUNCTION("""COMPUTED_VALUE"""),33180)</f>
        <v>33180</v>
      </c>
      <c r="P161" s="1" t="str">
        <f ca="1">IFERROR(__xludf.DUMMYFUNCTION("""COMPUTED_VALUE"""),"South")</f>
        <v>South</v>
      </c>
      <c r="Q161" s="1" t="str">
        <f ca="1">IFERROR(__xludf.DUMMYFUNCTION("""COMPUTED_VALUE"""),"OFF-LA-10003930")</f>
        <v>OFF-LA-10003930</v>
      </c>
      <c r="R161" s="1" t="str">
        <f ca="1">IFERROR(__xludf.DUMMYFUNCTION("""COMPUTED_VALUE"""),"Office Supplies")</f>
        <v>Office Supplies</v>
      </c>
      <c r="S161" s="7">
        <f ca="1">IFERROR(__xludf.DUMMYFUNCTION("""COMPUTED_VALUE"""),235.944)</f>
        <v>235.94399999999999</v>
      </c>
      <c r="T161" s="1">
        <f ca="1">IFERROR(__xludf.DUMMYFUNCTION("""COMPUTED_VALUE"""),3)</f>
        <v>3</v>
      </c>
      <c r="U161" s="9">
        <f ca="1">IFERROR(__xludf.DUMMYFUNCTION("""COMPUTED_VALUE"""),707.832)</f>
        <v>707.83199999999999</v>
      </c>
      <c r="V161" s="9">
        <f ca="1">IFERROR(__xludf.DUMMYFUNCTION("""COMPUTED_VALUE"""),705.15)</f>
        <v>705.15</v>
      </c>
      <c r="W161" s="12">
        <f ca="1">IFERROR(__xludf.DUMMYFUNCTION("""COMPUTED_VALUE"""),2.6819999999999)</f>
        <v>2.6819999999999</v>
      </c>
    </row>
    <row r="162" spans="1:23" ht="13.2">
      <c r="A162" s="1" t="str">
        <f ca="1">IFERROR(__xludf.DUMMYFUNCTION("""COMPUTED_VALUE"""),"CA-2016-168004")</f>
        <v>CA-2016-168004</v>
      </c>
      <c r="B162" s="8">
        <f ca="1">IFERROR(__xludf.DUMMYFUNCTION("""COMPUTED_VALUE"""),42470)</f>
        <v>42470</v>
      </c>
      <c r="C162" s="1" t="str">
        <f ca="1">IFERROR(__xludf.DUMMYFUNCTION("""COMPUTED_VALUE"""),"Apr")</f>
        <v>Apr</v>
      </c>
      <c r="D162" s="1" t="str">
        <f ca="1">IFERROR(__xludf.DUMMYFUNCTION("""COMPUTED_VALUE"""),"Qtr 2")</f>
        <v>Qtr 2</v>
      </c>
      <c r="E162" s="1" t="str">
        <f ca="1">IFERROR(__xludf.DUMMYFUNCTION("""COMPUTED_VALUE"""),"9/10/2016")</f>
        <v>9/10/2016</v>
      </c>
      <c r="F162" s="1" t="str">
        <f ca="1">IFERROR(__xludf.DUMMYFUNCTION("""COMPUTED_VALUE"""),"Second Class")</f>
        <v>Second Class</v>
      </c>
      <c r="G162" s="1" t="str">
        <f ca="1">IFERROR(__xludf.DUMMYFUNCTION("""COMPUTED_VALUE"""),"DJ-13420")</f>
        <v>DJ-13420</v>
      </c>
      <c r="H162" s="1" t="str">
        <f ca="1">IFERROR(__xludf.DUMMYFUNCTION("""COMPUTED_VALUE"""),"Denny")</f>
        <v>Denny</v>
      </c>
      <c r="I162" s="1" t="str">
        <f ca="1">IFERROR(__xludf.DUMMYFUNCTION("""COMPUTED_VALUE"""),"Joy")</f>
        <v>Joy</v>
      </c>
      <c r="J162" s="1"/>
      <c r="K162" s="1" t="str">
        <f ca="1">IFERROR(__xludf.DUMMYFUNCTION("""COMPUTED_VALUE"""),"Corporate")</f>
        <v>Corporate</v>
      </c>
      <c r="L162" s="1" t="str">
        <f ca="1">IFERROR(__xludf.DUMMYFUNCTION("""COMPUTED_VALUE"""),"United States")</f>
        <v>United States</v>
      </c>
      <c r="M162" s="1" t="str">
        <f ca="1">IFERROR(__xludf.DUMMYFUNCTION("""COMPUTED_VALUE"""),"Warner Robins")</f>
        <v>Warner Robins</v>
      </c>
      <c r="N162" s="1" t="str">
        <f ca="1">IFERROR(__xludf.DUMMYFUNCTION("""COMPUTED_VALUE"""),"Georgia")</f>
        <v>Georgia</v>
      </c>
      <c r="O162" s="1">
        <f ca="1">IFERROR(__xludf.DUMMYFUNCTION("""COMPUTED_VALUE"""),31088)</f>
        <v>31088</v>
      </c>
      <c r="P162" s="1" t="str">
        <f ca="1">IFERROR(__xludf.DUMMYFUNCTION("""COMPUTED_VALUE"""),"South")</f>
        <v>South</v>
      </c>
      <c r="Q162" s="1" t="str">
        <f ca="1">IFERROR(__xludf.DUMMYFUNCTION("""COMPUTED_VALUE"""),"FUR-CH-10001482")</f>
        <v>FUR-CH-10001482</v>
      </c>
      <c r="R162" s="1" t="str">
        <f ca="1">IFERROR(__xludf.DUMMYFUNCTION("""COMPUTED_VALUE"""),"Furniture")</f>
        <v>Furniture</v>
      </c>
      <c r="S162" s="7">
        <f ca="1">IFERROR(__xludf.DUMMYFUNCTION("""COMPUTED_VALUE"""),392.94)</f>
        <v>392.94</v>
      </c>
      <c r="T162" s="1">
        <f ca="1">IFERROR(__xludf.DUMMYFUNCTION("""COMPUTED_VALUE"""),3)</f>
        <v>3</v>
      </c>
      <c r="U162" s="9">
        <f ca="1">IFERROR(__xludf.DUMMYFUNCTION("""COMPUTED_VALUE"""),1178.82)</f>
        <v>1178.82</v>
      </c>
      <c r="V162" s="9">
        <f ca="1">IFERROR(__xludf.DUMMYFUNCTION("""COMPUTED_VALUE"""),1176.9)</f>
        <v>1176.9000000000001</v>
      </c>
      <c r="W162" s="12">
        <f ca="1">IFERROR(__xludf.DUMMYFUNCTION("""COMPUTED_VALUE"""),1.91999999999984)</f>
        <v>1.9199999999998401</v>
      </c>
    </row>
    <row r="163" spans="1:23" ht="13.2">
      <c r="A163" s="1" t="str">
        <f ca="1">IFERROR(__xludf.DUMMYFUNCTION("""COMPUTED_VALUE"""),"CA-2018-167913")</f>
        <v>CA-2018-167913</v>
      </c>
      <c r="B163" s="8">
        <f ca="1">IFERROR(__xludf.DUMMYFUNCTION("""COMPUTED_VALUE"""),43311)</f>
        <v>43311</v>
      </c>
      <c r="C163" s="1" t="str">
        <f ca="1">IFERROR(__xludf.DUMMYFUNCTION("""COMPUTED_VALUE"""),"Jul")</f>
        <v>Jul</v>
      </c>
      <c r="D163" s="1" t="str">
        <f ca="1">IFERROR(__xludf.DUMMYFUNCTION("""COMPUTED_VALUE"""),"Qtr 3")</f>
        <v>Qtr 3</v>
      </c>
      <c r="E163" s="1" t="str">
        <f ca="1">IFERROR(__xludf.DUMMYFUNCTION("""COMPUTED_VALUE"""),"3/8/2018")</f>
        <v>3/8/2018</v>
      </c>
      <c r="F163" s="1" t="str">
        <f ca="1">IFERROR(__xludf.DUMMYFUNCTION("""COMPUTED_VALUE"""),"Second Class")</f>
        <v>Second Class</v>
      </c>
      <c r="G163" s="1" t="str">
        <f ca="1">IFERROR(__xludf.DUMMYFUNCTION("""COMPUTED_VALUE"""),"JL-15835")</f>
        <v>JL-15835</v>
      </c>
      <c r="H163" s="1" t="str">
        <f ca="1">IFERROR(__xludf.DUMMYFUNCTION("""COMPUTED_VALUE"""),"John")</f>
        <v>John</v>
      </c>
      <c r="I163" s="1" t="str">
        <f ca="1">IFERROR(__xludf.DUMMYFUNCTION("""COMPUTED_VALUE"""),"Lee")</f>
        <v>Lee</v>
      </c>
      <c r="J163" s="1"/>
      <c r="K163" s="1" t="str">
        <f ca="1">IFERROR(__xludf.DUMMYFUNCTION("""COMPUTED_VALUE"""),"Consumer")</f>
        <v>Consumer</v>
      </c>
      <c r="L163" s="1" t="str">
        <f ca="1">IFERROR(__xludf.DUMMYFUNCTION("""COMPUTED_VALUE"""),"United States")</f>
        <v>United States</v>
      </c>
      <c r="M163" s="1" t="str">
        <f ca="1">IFERROR(__xludf.DUMMYFUNCTION("""COMPUTED_VALUE"""),"Mission Viejo")</f>
        <v>Mission Viejo</v>
      </c>
      <c r="N163" s="1" t="str">
        <f ca="1">IFERROR(__xludf.DUMMYFUNCTION("""COMPUTED_VALUE"""),"California")</f>
        <v>California</v>
      </c>
      <c r="O163" s="1">
        <f ca="1">IFERROR(__xludf.DUMMYFUNCTION("""COMPUTED_VALUE"""),92691)</f>
        <v>92691</v>
      </c>
      <c r="P163" s="1" t="str">
        <f ca="1">IFERROR(__xludf.DUMMYFUNCTION("""COMPUTED_VALUE"""),"West")</f>
        <v>West</v>
      </c>
      <c r="Q163" s="1" t="str">
        <f ca="1">IFERROR(__xludf.DUMMYFUNCTION("""COMPUTED_VALUE"""),"OFF-ST-10000585")</f>
        <v>OFF-ST-10000585</v>
      </c>
      <c r="R163" s="1" t="str">
        <f ca="1">IFERROR(__xludf.DUMMYFUNCTION("""COMPUTED_VALUE"""),"Office Supplies")</f>
        <v>Office Supplies</v>
      </c>
      <c r="S163" s="7">
        <f ca="1">IFERROR(__xludf.DUMMYFUNCTION("""COMPUTED_VALUE"""),330.4)</f>
        <v>330.4</v>
      </c>
      <c r="T163" s="1">
        <f ca="1">IFERROR(__xludf.DUMMYFUNCTION("""COMPUTED_VALUE"""),9)</f>
        <v>9</v>
      </c>
      <c r="U163" s="9">
        <f ca="1">IFERROR(__xludf.DUMMYFUNCTION("""COMPUTED_VALUE"""),2973.6)</f>
        <v>2973.6</v>
      </c>
      <c r="V163" s="9">
        <f ca="1">IFERROR(__xludf.DUMMYFUNCTION("""COMPUTED_VALUE"""),2971.71)</f>
        <v>2971.71</v>
      </c>
      <c r="W163" s="12">
        <f ca="1">IFERROR(__xludf.DUMMYFUNCTION("""COMPUTED_VALUE"""),1.88999999999987)</f>
        <v>1.88999999999987</v>
      </c>
    </row>
    <row r="164" spans="1:23" ht="13.2">
      <c r="A164" s="1" t="str">
        <f ca="1">IFERROR(__xludf.DUMMYFUNCTION("""COMPUTED_VALUE"""),"CA-2018-167913")</f>
        <v>CA-2018-167913</v>
      </c>
      <c r="B164" s="8">
        <f ca="1">IFERROR(__xludf.DUMMYFUNCTION("""COMPUTED_VALUE"""),43311)</f>
        <v>43311</v>
      </c>
      <c r="C164" s="1" t="str">
        <f ca="1">IFERROR(__xludf.DUMMYFUNCTION("""COMPUTED_VALUE"""),"Jul")</f>
        <v>Jul</v>
      </c>
      <c r="D164" s="1" t="str">
        <f ca="1">IFERROR(__xludf.DUMMYFUNCTION("""COMPUTED_VALUE"""),"Qtr 3")</f>
        <v>Qtr 3</v>
      </c>
      <c r="E164" s="1" t="str">
        <f ca="1">IFERROR(__xludf.DUMMYFUNCTION("""COMPUTED_VALUE"""),"3/8/2018")</f>
        <v>3/8/2018</v>
      </c>
      <c r="F164" s="1" t="str">
        <f ca="1">IFERROR(__xludf.DUMMYFUNCTION("""COMPUTED_VALUE"""),"Second Class")</f>
        <v>Second Class</v>
      </c>
      <c r="G164" s="1" t="str">
        <f ca="1">IFERROR(__xludf.DUMMYFUNCTION("""COMPUTED_VALUE"""),"JL-15835")</f>
        <v>JL-15835</v>
      </c>
      <c r="H164" s="1" t="str">
        <f ca="1">IFERROR(__xludf.DUMMYFUNCTION("""COMPUTED_VALUE"""),"John")</f>
        <v>John</v>
      </c>
      <c r="I164" s="1" t="str">
        <f ca="1">IFERROR(__xludf.DUMMYFUNCTION("""COMPUTED_VALUE"""),"Lee")</f>
        <v>Lee</v>
      </c>
      <c r="J164" s="1"/>
      <c r="K164" s="1" t="str">
        <f ca="1">IFERROR(__xludf.DUMMYFUNCTION("""COMPUTED_VALUE"""),"Consumer")</f>
        <v>Consumer</v>
      </c>
      <c r="L164" s="1" t="str">
        <f ca="1">IFERROR(__xludf.DUMMYFUNCTION("""COMPUTED_VALUE"""),"United States")</f>
        <v>United States</v>
      </c>
      <c r="M164" s="1" t="str">
        <f ca="1">IFERROR(__xludf.DUMMYFUNCTION("""COMPUTED_VALUE"""),"Mission Viejo")</f>
        <v>Mission Viejo</v>
      </c>
      <c r="N164" s="1" t="str">
        <f ca="1">IFERROR(__xludf.DUMMYFUNCTION("""COMPUTED_VALUE"""),"California")</f>
        <v>California</v>
      </c>
      <c r="O164" s="1">
        <f ca="1">IFERROR(__xludf.DUMMYFUNCTION("""COMPUTED_VALUE"""),92691)</f>
        <v>92691</v>
      </c>
      <c r="P164" s="1" t="str">
        <f ca="1">IFERROR(__xludf.DUMMYFUNCTION("""COMPUTED_VALUE"""),"West")</f>
        <v>West</v>
      </c>
      <c r="Q164" s="1" t="str">
        <f ca="1">IFERROR(__xludf.DUMMYFUNCTION("""COMPUTED_VALUE"""),"OFF-LA-10002787")</f>
        <v>OFF-LA-10002787</v>
      </c>
      <c r="R164" s="1" t="str">
        <f ca="1">IFERROR(__xludf.DUMMYFUNCTION("""COMPUTED_VALUE"""),"Office Supplies")</f>
        <v>Office Supplies</v>
      </c>
      <c r="S164" s="7">
        <f ca="1">IFERROR(__xludf.DUMMYFUNCTION("""COMPUTED_VALUE"""),26.25)</f>
        <v>26.25</v>
      </c>
      <c r="T164" s="1">
        <f ca="1">IFERROR(__xludf.DUMMYFUNCTION("""COMPUTED_VALUE"""),9)</f>
        <v>9</v>
      </c>
      <c r="U164" s="9">
        <f ca="1">IFERROR(__xludf.DUMMYFUNCTION("""COMPUTED_VALUE"""),236.25)</f>
        <v>236.25</v>
      </c>
      <c r="V164" s="9">
        <f ca="1">IFERROR(__xludf.DUMMYFUNCTION("""COMPUTED_VALUE"""),229.95)</f>
        <v>229.95</v>
      </c>
      <c r="W164" s="12">
        <f ca="1">IFERROR(__xludf.DUMMYFUNCTION("""COMPUTED_VALUE"""),6.29999999999998)</f>
        <v>6.2999999999999803</v>
      </c>
    </row>
    <row r="165" spans="1:23" ht="13.2">
      <c r="A165" s="1" t="str">
        <f ca="1">IFERROR(__xludf.DUMMYFUNCTION("""COMPUTED_VALUE"""),"CA-2017-160745")</f>
        <v>CA-2017-160745</v>
      </c>
      <c r="B165" s="8">
        <f ca="1">IFERROR(__xludf.DUMMYFUNCTION("""COMPUTED_VALUE"""),43051)</f>
        <v>43051</v>
      </c>
      <c r="C165" s="1" t="str">
        <f ca="1">IFERROR(__xludf.DUMMYFUNCTION("""COMPUTED_VALUE"""),"Nov")</f>
        <v>Nov</v>
      </c>
      <c r="D165" s="1" t="str">
        <f ca="1">IFERROR(__xludf.DUMMYFUNCTION("""COMPUTED_VALUE"""),"Qtr 4")</f>
        <v>Qtr 4</v>
      </c>
      <c r="E165" s="1" t="str">
        <f ca="1">IFERROR(__xludf.DUMMYFUNCTION("""COMPUTED_VALUE"""),"16/12/2017")</f>
        <v>16/12/2017</v>
      </c>
      <c r="F165" s="1" t="str">
        <f ca="1">IFERROR(__xludf.DUMMYFUNCTION("""COMPUTED_VALUE"""),"Second Class")</f>
        <v>Second Class</v>
      </c>
      <c r="G165" s="1" t="str">
        <f ca="1">IFERROR(__xludf.DUMMYFUNCTION("""COMPUTED_VALUE"""),"AR-10825")</f>
        <v>AR-10825</v>
      </c>
      <c r="H165" s="1" t="str">
        <f ca="1">IFERROR(__xludf.DUMMYFUNCTION("""COMPUTED_VALUE"""),"Anthony")</f>
        <v>Anthony</v>
      </c>
      <c r="I165" s="1" t="str">
        <f ca="1">IFERROR(__xludf.DUMMYFUNCTION("""COMPUTED_VALUE"""),"Rawles")</f>
        <v>Rawles</v>
      </c>
      <c r="J165" s="1"/>
      <c r="K165" s="1" t="str">
        <f ca="1">IFERROR(__xludf.DUMMYFUNCTION("""COMPUTED_VALUE"""),"Corporate")</f>
        <v>Corporate</v>
      </c>
      <c r="L165" s="1" t="str">
        <f ca="1">IFERROR(__xludf.DUMMYFUNCTION("""COMPUTED_VALUE"""),"United States")</f>
        <v>United States</v>
      </c>
      <c r="M165" s="1" t="str">
        <f ca="1">IFERROR(__xludf.DUMMYFUNCTION("""COMPUTED_VALUE"""),"Vancouver")</f>
        <v>Vancouver</v>
      </c>
      <c r="N165" s="1" t="str">
        <f ca="1">IFERROR(__xludf.DUMMYFUNCTION("""COMPUTED_VALUE"""),"Washington")</f>
        <v>Washington</v>
      </c>
      <c r="O165" s="1">
        <f ca="1">IFERROR(__xludf.DUMMYFUNCTION("""COMPUTED_VALUE"""),98661)</f>
        <v>98661</v>
      </c>
      <c r="P165" s="1" t="str">
        <f ca="1">IFERROR(__xludf.DUMMYFUNCTION("""COMPUTED_VALUE"""),"West")</f>
        <v>West</v>
      </c>
      <c r="Q165" s="1" t="str">
        <f ca="1">IFERROR(__xludf.DUMMYFUNCTION("""COMPUTED_VALUE"""),"FUR-FU-10001935")</f>
        <v>FUR-FU-10001935</v>
      </c>
      <c r="R165" s="1" t="str">
        <f ca="1">IFERROR(__xludf.DUMMYFUNCTION("""COMPUTED_VALUE"""),"Furniture")</f>
        <v>Furniture</v>
      </c>
      <c r="S165" s="7">
        <f ca="1">IFERROR(__xludf.DUMMYFUNCTION("""COMPUTED_VALUE"""),14.8)</f>
        <v>14.8</v>
      </c>
      <c r="T165" s="1">
        <f ca="1">IFERROR(__xludf.DUMMYFUNCTION("""COMPUTED_VALUE"""),9)</f>
        <v>9</v>
      </c>
      <c r="U165" s="9">
        <f ca="1">IFERROR(__xludf.DUMMYFUNCTION("""COMPUTED_VALUE"""),133.2)</f>
        <v>133.19999999999999</v>
      </c>
      <c r="V165" s="9">
        <f ca="1">IFERROR(__xludf.DUMMYFUNCTION("""COMPUTED_VALUE"""),132.57)</f>
        <v>132.57</v>
      </c>
      <c r="W165" s="12">
        <f ca="1">IFERROR(__xludf.DUMMYFUNCTION("""COMPUTED_VALUE"""),0.630000000000023)</f>
        <v>0.63000000000002299</v>
      </c>
    </row>
    <row r="166" spans="1:23" ht="13.2">
      <c r="A166" s="1" t="str">
        <f ca="1">IFERROR(__xludf.DUMMYFUNCTION("""COMPUTED_VALUE"""),"CA-2017-160745")</f>
        <v>CA-2017-160745</v>
      </c>
      <c r="B166" s="8">
        <f ca="1">IFERROR(__xludf.DUMMYFUNCTION("""COMPUTED_VALUE"""),43051)</f>
        <v>43051</v>
      </c>
      <c r="C166" s="1" t="str">
        <f ca="1">IFERROR(__xludf.DUMMYFUNCTION("""COMPUTED_VALUE"""),"Nov")</f>
        <v>Nov</v>
      </c>
      <c r="D166" s="1" t="str">
        <f ca="1">IFERROR(__xludf.DUMMYFUNCTION("""COMPUTED_VALUE"""),"Qtr 4")</f>
        <v>Qtr 4</v>
      </c>
      <c r="E166" s="1" t="str">
        <f ca="1">IFERROR(__xludf.DUMMYFUNCTION("""COMPUTED_VALUE"""),"16/12/2017")</f>
        <v>16/12/2017</v>
      </c>
      <c r="F166" s="1" t="str">
        <f ca="1">IFERROR(__xludf.DUMMYFUNCTION("""COMPUTED_VALUE"""),"Second Class")</f>
        <v>Second Class</v>
      </c>
      <c r="G166" s="1" t="str">
        <f ca="1">IFERROR(__xludf.DUMMYFUNCTION("""COMPUTED_VALUE"""),"AR-10825")</f>
        <v>AR-10825</v>
      </c>
      <c r="H166" s="1" t="str">
        <f ca="1">IFERROR(__xludf.DUMMYFUNCTION("""COMPUTED_VALUE"""),"Anthony")</f>
        <v>Anthony</v>
      </c>
      <c r="I166" s="1" t="str">
        <f ca="1">IFERROR(__xludf.DUMMYFUNCTION("""COMPUTED_VALUE"""),"Rawles")</f>
        <v>Rawles</v>
      </c>
      <c r="J166" s="1"/>
      <c r="K166" s="1" t="str">
        <f ca="1">IFERROR(__xludf.DUMMYFUNCTION("""COMPUTED_VALUE"""),"Corporate")</f>
        <v>Corporate</v>
      </c>
      <c r="L166" s="1" t="str">
        <f ca="1">IFERROR(__xludf.DUMMYFUNCTION("""COMPUTED_VALUE"""),"United States")</f>
        <v>United States</v>
      </c>
      <c r="M166" s="1" t="str">
        <f ca="1">IFERROR(__xludf.DUMMYFUNCTION("""COMPUTED_VALUE"""),"Vancouver")</f>
        <v>Vancouver</v>
      </c>
      <c r="N166" s="1" t="str">
        <f ca="1">IFERROR(__xludf.DUMMYFUNCTION("""COMPUTED_VALUE"""),"Washington")</f>
        <v>Washington</v>
      </c>
      <c r="O166" s="1">
        <f ca="1">IFERROR(__xludf.DUMMYFUNCTION("""COMPUTED_VALUE"""),98661)</f>
        <v>98661</v>
      </c>
      <c r="P166" s="1" t="str">
        <f ca="1">IFERROR(__xludf.DUMMYFUNCTION("""COMPUTED_VALUE"""),"West")</f>
        <v>West</v>
      </c>
      <c r="Q166" s="1" t="str">
        <f ca="1">IFERROR(__xludf.DUMMYFUNCTION("""COMPUTED_VALUE"""),"TEC-PH-10003273")</f>
        <v>TEC-PH-10003273</v>
      </c>
      <c r="R166" s="1" t="str">
        <f ca="1">IFERROR(__xludf.DUMMYFUNCTION("""COMPUTED_VALUE"""),"Technology")</f>
        <v>Technology</v>
      </c>
      <c r="S166" s="7">
        <f ca="1">IFERROR(__xludf.DUMMYFUNCTION("""COMPUTED_VALUE"""),302.376)</f>
        <v>302.37599999999998</v>
      </c>
      <c r="T166" s="1">
        <f ca="1">IFERROR(__xludf.DUMMYFUNCTION("""COMPUTED_VALUE"""),9)</f>
        <v>9</v>
      </c>
      <c r="U166" s="9">
        <f ca="1">IFERROR(__xludf.DUMMYFUNCTION("""COMPUTED_VALUE"""),2721.384)</f>
        <v>2721.384</v>
      </c>
      <c r="V166" s="9">
        <f ca="1">IFERROR(__xludf.DUMMYFUNCTION("""COMPUTED_VALUE"""),2713.04999999999)</f>
        <v>2713.0499999999902</v>
      </c>
      <c r="W166" s="12">
        <f ca="1">IFERROR(__xludf.DUMMYFUNCTION("""COMPUTED_VALUE"""),8.33400000000028)</f>
        <v>8.3340000000002803</v>
      </c>
    </row>
    <row r="167" spans="1:23" ht="13.2">
      <c r="A167" s="1" t="str">
        <f ca="1">IFERROR(__xludf.DUMMYFUNCTION("""COMPUTED_VALUE"""),"CA-2017-160745")</f>
        <v>CA-2017-160745</v>
      </c>
      <c r="B167" s="8">
        <f ca="1">IFERROR(__xludf.DUMMYFUNCTION("""COMPUTED_VALUE"""),43051)</f>
        <v>43051</v>
      </c>
      <c r="C167" s="1" t="str">
        <f ca="1">IFERROR(__xludf.DUMMYFUNCTION("""COMPUTED_VALUE"""),"Nov")</f>
        <v>Nov</v>
      </c>
      <c r="D167" s="1" t="str">
        <f ca="1">IFERROR(__xludf.DUMMYFUNCTION("""COMPUTED_VALUE"""),"Qtr 4")</f>
        <v>Qtr 4</v>
      </c>
      <c r="E167" s="1" t="str">
        <f ca="1">IFERROR(__xludf.DUMMYFUNCTION("""COMPUTED_VALUE"""),"16/12/2017")</f>
        <v>16/12/2017</v>
      </c>
      <c r="F167" s="1" t="str">
        <f ca="1">IFERROR(__xludf.DUMMYFUNCTION("""COMPUTED_VALUE"""),"Second Class")</f>
        <v>Second Class</v>
      </c>
      <c r="G167" s="1" t="str">
        <f ca="1">IFERROR(__xludf.DUMMYFUNCTION("""COMPUTED_VALUE"""),"AR-10825")</f>
        <v>AR-10825</v>
      </c>
      <c r="H167" s="1" t="str">
        <f ca="1">IFERROR(__xludf.DUMMYFUNCTION("""COMPUTED_VALUE"""),"Anthony")</f>
        <v>Anthony</v>
      </c>
      <c r="I167" s="1" t="str">
        <f ca="1">IFERROR(__xludf.DUMMYFUNCTION("""COMPUTED_VALUE"""),"Rawles")</f>
        <v>Rawles</v>
      </c>
      <c r="J167" s="1"/>
      <c r="K167" s="1" t="str">
        <f ca="1">IFERROR(__xludf.DUMMYFUNCTION("""COMPUTED_VALUE"""),"Corporate")</f>
        <v>Corporate</v>
      </c>
      <c r="L167" s="1" t="str">
        <f ca="1">IFERROR(__xludf.DUMMYFUNCTION("""COMPUTED_VALUE"""),"United States")</f>
        <v>United States</v>
      </c>
      <c r="M167" s="1" t="str">
        <f ca="1">IFERROR(__xludf.DUMMYFUNCTION("""COMPUTED_VALUE"""),"Vancouver")</f>
        <v>Vancouver</v>
      </c>
      <c r="N167" s="1" t="str">
        <f ca="1">IFERROR(__xludf.DUMMYFUNCTION("""COMPUTED_VALUE"""),"Washington")</f>
        <v>Washington</v>
      </c>
      <c r="O167" s="1">
        <f ca="1">IFERROR(__xludf.DUMMYFUNCTION("""COMPUTED_VALUE"""),98661)</f>
        <v>98661</v>
      </c>
      <c r="P167" s="1" t="str">
        <f ca="1">IFERROR(__xludf.DUMMYFUNCTION("""COMPUTED_VALUE"""),"West")</f>
        <v>West</v>
      </c>
      <c r="Q167" s="1" t="str">
        <f ca="1">IFERROR(__xludf.DUMMYFUNCTION("""COMPUTED_VALUE"""),"TEC-AC-10001142")</f>
        <v>TEC-AC-10001142</v>
      </c>
      <c r="R167" s="1" t="str">
        <f ca="1">IFERROR(__xludf.DUMMYFUNCTION("""COMPUTED_VALUE"""),"Technology")</f>
        <v>Technology</v>
      </c>
      <c r="S167" s="7">
        <f ca="1">IFERROR(__xludf.DUMMYFUNCTION("""COMPUTED_VALUE"""),316)</f>
        <v>316</v>
      </c>
      <c r="T167" s="1">
        <f ca="1">IFERROR(__xludf.DUMMYFUNCTION("""COMPUTED_VALUE"""),9)</f>
        <v>9</v>
      </c>
      <c r="U167" s="9">
        <f ca="1">IFERROR(__xludf.DUMMYFUNCTION("""COMPUTED_VALUE"""),2844)</f>
        <v>2844</v>
      </c>
      <c r="V167" s="9">
        <f ca="1">IFERROR(__xludf.DUMMYFUNCTION("""COMPUTED_VALUE"""),2835)</f>
        <v>2835</v>
      </c>
      <c r="W167" s="12">
        <f ca="1">IFERROR(__xludf.DUMMYFUNCTION("""COMPUTED_VALUE"""),9)</f>
        <v>9</v>
      </c>
    </row>
    <row r="168" spans="1:23" ht="13.2">
      <c r="A168" s="1" t="str">
        <f ca="1">IFERROR(__xludf.DUMMYFUNCTION("""COMPUTED_VALUE"""),"CA-2018-132682")</f>
        <v>CA-2018-132682</v>
      </c>
      <c r="B168" s="8">
        <f ca="1">IFERROR(__xludf.DUMMYFUNCTION("""COMPUTED_VALUE"""),43318)</f>
        <v>43318</v>
      </c>
      <c r="C168" s="1" t="str">
        <f ca="1">IFERROR(__xludf.DUMMYFUNCTION("""COMPUTED_VALUE"""),"Aug")</f>
        <v>Aug</v>
      </c>
      <c r="D168" s="1" t="str">
        <f ca="1">IFERROR(__xludf.DUMMYFUNCTION("""COMPUTED_VALUE"""),"Qtr 3")</f>
        <v>Qtr 3</v>
      </c>
      <c r="E168" s="1" t="str">
        <f ca="1">IFERROR(__xludf.DUMMYFUNCTION("""COMPUTED_VALUE"""),"10/6/2018")</f>
        <v>10/6/2018</v>
      </c>
      <c r="F168" s="1" t="str">
        <f ca="1">IFERROR(__xludf.DUMMYFUNCTION("""COMPUTED_VALUE"""),"Second Class")</f>
        <v>Second Class</v>
      </c>
      <c r="G168" s="1" t="str">
        <f ca="1">IFERROR(__xludf.DUMMYFUNCTION("""COMPUTED_VALUE"""),"TH-21235")</f>
        <v>TH-21235</v>
      </c>
      <c r="H168" s="1" t="str">
        <f ca="1">IFERROR(__xludf.DUMMYFUNCTION("""COMPUTED_VALUE"""),"Tiffany")</f>
        <v>Tiffany</v>
      </c>
      <c r="I168" s="1" t="str">
        <f ca="1">IFERROR(__xludf.DUMMYFUNCTION("""COMPUTED_VALUE"""),"House")</f>
        <v>House</v>
      </c>
      <c r="J168" s="1"/>
      <c r="K168" s="1" t="str">
        <f ca="1">IFERROR(__xludf.DUMMYFUNCTION("""COMPUTED_VALUE"""),"Corporate")</f>
        <v>Corporate</v>
      </c>
      <c r="L168" s="1" t="str">
        <f ca="1">IFERROR(__xludf.DUMMYFUNCTION("""COMPUTED_VALUE"""),"United States")</f>
        <v>United States</v>
      </c>
      <c r="M168" s="1" t="str">
        <f ca="1">IFERROR(__xludf.DUMMYFUNCTION("""COMPUTED_VALUE"""),"Dallas")</f>
        <v>Dallas</v>
      </c>
      <c r="N168" s="1" t="str">
        <f ca="1">IFERROR(__xludf.DUMMYFUNCTION("""COMPUTED_VALUE"""),"Texas")</f>
        <v>Texas</v>
      </c>
      <c r="O168" s="1">
        <f ca="1">IFERROR(__xludf.DUMMYFUNCTION("""COMPUTED_VALUE"""),75081)</f>
        <v>75081</v>
      </c>
      <c r="P168" s="1" t="str">
        <f ca="1">IFERROR(__xludf.DUMMYFUNCTION("""COMPUTED_VALUE"""),"Central")</f>
        <v>Central</v>
      </c>
      <c r="Q168" s="1" t="str">
        <f ca="1">IFERROR(__xludf.DUMMYFUNCTION("""COMPUTED_VALUE"""),"OFF-SU-10004231")</f>
        <v>OFF-SU-10004231</v>
      </c>
      <c r="R168" s="1" t="str">
        <f ca="1">IFERROR(__xludf.DUMMYFUNCTION("""COMPUTED_VALUE"""),"Office Supplies")</f>
        <v>Office Supplies</v>
      </c>
      <c r="S168" s="7">
        <f ca="1">IFERROR(__xludf.DUMMYFUNCTION("""COMPUTED_VALUE"""),23.76)</f>
        <v>23.76</v>
      </c>
      <c r="T168" s="1">
        <f ca="1">IFERROR(__xludf.DUMMYFUNCTION("""COMPUTED_VALUE"""),7)</f>
        <v>7</v>
      </c>
      <c r="U168" s="9">
        <f ca="1">IFERROR(__xludf.DUMMYFUNCTION("""COMPUTED_VALUE"""),166.32)</f>
        <v>166.32</v>
      </c>
      <c r="V168" s="9">
        <f ca="1">IFERROR(__xludf.DUMMYFUNCTION("""COMPUTED_VALUE"""),162.19)</f>
        <v>162.19</v>
      </c>
      <c r="W168" s="12">
        <f ca="1">IFERROR(__xludf.DUMMYFUNCTION("""COMPUTED_VALUE"""),4.13000000000002)</f>
        <v>4.1300000000000203</v>
      </c>
    </row>
    <row r="169" spans="1:23" ht="13.2">
      <c r="A169" s="1" t="str">
        <f ca="1">IFERROR(__xludf.DUMMYFUNCTION("""COMPUTED_VALUE"""),"CA-2018-132682")</f>
        <v>CA-2018-132682</v>
      </c>
      <c r="B169" s="8">
        <f ca="1">IFERROR(__xludf.DUMMYFUNCTION("""COMPUTED_VALUE"""),43318)</f>
        <v>43318</v>
      </c>
      <c r="C169" s="1" t="str">
        <f ca="1">IFERROR(__xludf.DUMMYFUNCTION("""COMPUTED_VALUE"""),"Aug")</f>
        <v>Aug</v>
      </c>
      <c r="D169" s="1" t="str">
        <f ca="1">IFERROR(__xludf.DUMMYFUNCTION("""COMPUTED_VALUE"""),"Qtr 3")</f>
        <v>Qtr 3</v>
      </c>
      <c r="E169" s="1" t="str">
        <f ca="1">IFERROR(__xludf.DUMMYFUNCTION("""COMPUTED_VALUE"""),"10/6/2018")</f>
        <v>10/6/2018</v>
      </c>
      <c r="F169" s="1" t="str">
        <f ca="1">IFERROR(__xludf.DUMMYFUNCTION("""COMPUTED_VALUE"""),"Second Class")</f>
        <v>Second Class</v>
      </c>
      <c r="G169" s="1" t="str">
        <f ca="1">IFERROR(__xludf.DUMMYFUNCTION("""COMPUTED_VALUE"""),"TH-21235")</f>
        <v>TH-21235</v>
      </c>
      <c r="H169" s="1" t="str">
        <f ca="1">IFERROR(__xludf.DUMMYFUNCTION("""COMPUTED_VALUE"""),"Tiffany")</f>
        <v>Tiffany</v>
      </c>
      <c r="I169" s="1" t="str">
        <f ca="1">IFERROR(__xludf.DUMMYFUNCTION("""COMPUTED_VALUE"""),"House")</f>
        <v>House</v>
      </c>
      <c r="J169" s="1"/>
      <c r="K169" s="1" t="str">
        <f ca="1">IFERROR(__xludf.DUMMYFUNCTION("""COMPUTED_VALUE"""),"Corporate")</f>
        <v>Corporate</v>
      </c>
      <c r="L169" s="1" t="str">
        <f ca="1">IFERROR(__xludf.DUMMYFUNCTION("""COMPUTED_VALUE"""),"United States")</f>
        <v>United States</v>
      </c>
      <c r="M169" s="1" t="str">
        <f ca="1">IFERROR(__xludf.DUMMYFUNCTION("""COMPUTED_VALUE"""),"Dallas")</f>
        <v>Dallas</v>
      </c>
      <c r="N169" s="1" t="str">
        <f ca="1">IFERROR(__xludf.DUMMYFUNCTION("""COMPUTED_VALUE"""),"Texas")</f>
        <v>Texas</v>
      </c>
      <c r="O169" s="1">
        <f ca="1">IFERROR(__xludf.DUMMYFUNCTION("""COMPUTED_VALUE"""),75081)</f>
        <v>75081</v>
      </c>
      <c r="P169" s="1" t="str">
        <f ca="1">IFERROR(__xludf.DUMMYFUNCTION("""COMPUTED_VALUE"""),"Central")</f>
        <v>Central</v>
      </c>
      <c r="Q169" s="1" t="str">
        <f ca="1">IFERROR(__xludf.DUMMYFUNCTION("""COMPUTED_VALUE"""),"OFF-PA-10000474")</f>
        <v>OFF-PA-10000474</v>
      </c>
      <c r="R169" s="1" t="str">
        <f ca="1">IFERROR(__xludf.DUMMYFUNCTION("""COMPUTED_VALUE"""),"Office Supplies")</f>
        <v>Office Supplies</v>
      </c>
      <c r="S169" s="7">
        <f ca="1">IFERROR(__xludf.DUMMYFUNCTION("""COMPUTED_VALUE"""),85.056)</f>
        <v>85.055999999999997</v>
      </c>
      <c r="T169" s="1">
        <f ca="1">IFERROR(__xludf.DUMMYFUNCTION("""COMPUTED_VALUE"""),7)</f>
        <v>7</v>
      </c>
      <c r="U169" s="9">
        <f ca="1">IFERROR(__xludf.DUMMYFUNCTION("""COMPUTED_VALUE"""),595.391999999999)</f>
        <v>595.39199999999903</v>
      </c>
      <c r="V169" s="9">
        <f ca="1">IFERROR(__xludf.DUMMYFUNCTION("""COMPUTED_VALUE"""),590.03)</f>
        <v>590.03</v>
      </c>
      <c r="W169" s="12">
        <f ca="1">IFERROR(__xludf.DUMMYFUNCTION("""COMPUTED_VALUE"""),5.36199999999985)</f>
        <v>5.36199999999985</v>
      </c>
    </row>
    <row r="170" spans="1:23" ht="13.2">
      <c r="A170" s="1" t="str">
        <f ca="1">IFERROR(__xludf.DUMMYFUNCTION("""COMPUTED_VALUE"""),"CA-2018-132682")</f>
        <v>CA-2018-132682</v>
      </c>
      <c r="B170" s="8">
        <f ca="1">IFERROR(__xludf.DUMMYFUNCTION("""COMPUTED_VALUE"""),43318)</f>
        <v>43318</v>
      </c>
      <c r="C170" s="1" t="str">
        <f ca="1">IFERROR(__xludf.DUMMYFUNCTION("""COMPUTED_VALUE"""),"Aug")</f>
        <v>Aug</v>
      </c>
      <c r="D170" s="1" t="str">
        <f ca="1">IFERROR(__xludf.DUMMYFUNCTION("""COMPUTED_VALUE"""),"Qtr 3")</f>
        <v>Qtr 3</v>
      </c>
      <c r="E170" s="1" t="str">
        <f ca="1">IFERROR(__xludf.DUMMYFUNCTION("""COMPUTED_VALUE"""),"10/6/2018")</f>
        <v>10/6/2018</v>
      </c>
      <c r="F170" s="1" t="str">
        <f ca="1">IFERROR(__xludf.DUMMYFUNCTION("""COMPUTED_VALUE"""),"Second Class")</f>
        <v>Second Class</v>
      </c>
      <c r="G170" s="1" t="str">
        <f ca="1">IFERROR(__xludf.DUMMYFUNCTION("""COMPUTED_VALUE"""),"TH-21235")</f>
        <v>TH-21235</v>
      </c>
      <c r="H170" s="1" t="str">
        <f ca="1">IFERROR(__xludf.DUMMYFUNCTION("""COMPUTED_VALUE"""),"Tiffany")</f>
        <v>Tiffany</v>
      </c>
      <c r="I170" s="1" t="str">
        <f ca="1">IFERROR(__xludf.DUMMYFUNCTION("""COMPUTED_VALUE"""),"House")</f>
        <v>House</v>
      </c>
      <c r="J170" s="1"/>
      <c r="K170" s="1" t="str">
        <f ca="1">IFERROR(__xludf.DUMMYFUNCTION("""COMPUTED_VALUE"""),"Corporate")</f>
        <v>Corporate</v>
      </c>
      <c r="L170" s="1" t="str">
        <f ca="1">IFERROR(__xludf.DUMMYFUNCTION("""COMPUTED_VALUE"""),"United States")</f>
        <v>United States</v>
      </c>
      <c r="M170" s="1" t="str">
        <f ca="1">IFERROR(__xludf.DUMMYFUNCTION("""COMPUTED_VALUE"""),"Dallas")</f>
        <v>Dallas</v>
      </c>
      <c r="N170" s="1" t="str">
        <f ca="1">IFERROR(__xludf.DUMMYFUNCTION("""COMPUTED_VALUE"""),"Texas")</f>
        <v>Texas</v>
      </c>
      <c r="O170" s="1">
        <f ca="1">IFERROR(__xludf.DUMMYFUNCTION("""COMPUTED_VALUE"""),75081)</f>
        <v>75081</v>
      </c>
      <c r="P170" s="1" t="str">
        <f ca="1">IFERROR(__xludf.DUMMYFUNCTION("""COMPUTED_VALUE"""),"Central")</f>
        <v>Central</v>
      </c>
      <c r="Q170" s="1" t="str">
        <f ca="1">IFERROR(__xludf.DUMMYFUNCTION("""COMPUTED_VALUE"""),"TEC-PH-10004042")</f>
        <v>TEC-PH-10004042</v>
      </c>
      <c r="R170" s="1" t="str">
        <f ca="1">IFERROR(__xludf.DUMMYFUNCTION("""COMPUTED_VALUE"""),"Technology")</f>
        <v>Technology</v>
      </c>
      <c r="S170" s="7">
        <f ca="1">IFERROR(__xludf.DUMMYFUNCTION("""COMPUTED_VALUE"""),381.576)</f>
        <v>381.57600000000002</v>
      </c>
      <c r="T170" s="1">
        <f ca="1">IFERROR(__xludf.DUMMYFUNCTION("""COMPUTED_VALUE"""),7)</f>
        <v>7</v>
      </c>
      <c r="U170" s="9">
        <f ca="1">IFERROR(__xludf.DUMMYFUNCTION("""COMPUTED_VALUE"""),2671.032)</f>
        <v>2671.0320000000002</v>
      </c>
      <c r="V170" s="9">
        <f ca="1">IFERROR(__xludf.DUMMYFUNCTION("""COMPUTED_VALUE"""),2665.46)</f>
        <v>2665.46</v>
      </c>
      <c r="W170" s="12">
        <f ca="1">IFERROR(__xludf.DUMMYFUNCTION("""COMPUTED_VALUE"""),5.57200000000011)</f>
        <v>5.5720000000001102</v>
      </c>
    </row>
    <row r="171" spans="1:23" ht="13.2">
      <c r="A171" s="1" t="str">
        <f ca="1">IFERROR(__xludf.DUMMYFUNCTION("""COMPUTED_VALUE"""),"US-2015-117135")</f>
        <v>US-2015-117135</v>
      </c>
      <c r="B171" s="8">
        <f ca="1">IFERROR(__xludf.DUMMYFUNCTION("""COMPUTED_VALUE"""),42176)</f>
        <v>42176</v>
      </c>
      <c r="C171" s="1" t="str">
        <f ca="1">IFERROR(__xludf.DUMMYFUNCTION("""COMPUTED_VALUE"""),"Jun")</f>
        <v>Jun</v>
      </c>
      <c r="D171" s="1" t="str">
        <f ca="1">IFERROR(__xludf.DUMMYFUNCTION("""COMPUTED_VALUE"""),"Qtr 2")</f>
        <v>Qtr 2</v>
      </c>
      <c r="E171" s="1" t="str">
        <f ca="1">IFERROR(__xludf.DUMMYFUNCTION("""COMPUTED_VALUE"""),"23/06/2015")</f>
        <v>23/06/2015</v>
      </c>
      <c r="F171" s="1" t="str">
        <f ca="1">IFERROR(__xludf.DUMMYFUNCTION("""COMPUTED_VALUE"""),"Second Class")</f>
        <v>Second Class</v>
      </c>
      <c r="G171" s="1" t="str">
        <f ca="1">IFERROR(__xludf.DUMMYFUNCTION("""COMPUTED_VALUE"""),"NP-18325")</f>
        <v>NP-18325</v>
      </c>
      <c r="H171" s="1" t="str">
        <f ca="1">IFERROR(__xludf.DUMMYFUNCTION("""COMPUTED_VALUE"""),"Naresj")</f>
        <v>Naresj</v>
      </c>
      <c r="I171" s="1" t="str">
        <f ca="1">IFERROR(__xludf.DUMMYFUNCTION("""COMPUTED_VALUE"""),"Patel")</f>
        <v>Patel</v>
      </c>
      <c r="J171" s="1"/>
      <c r="K171" s="1" t="str">
        <f ca="1">IFERROR(__xludf.DUMMYFUNCTION("""COMPUTED_VALUE"""),"Consumer")</f>
        <v>Consumer</v>
      </c>
      <c r="L171" s="1" t="str">
        <f ca="1">IFERROR(__xludf.DUMMYFUNCTION("""COMPUTED_VALUE"""),"United States")</f>
        <v>United States</v>
      </c>
      <c r="M171" s="1" t="str">
        <f ca="1">IFERROR(__xludf.DUMMYFUNCTION("""COMPUTED_VALUE"""),"Waynesboro")</f>
        <v>Waynesboro</v>
      </c>
      <c r="N171" s="1" t="str">
        <f ca="1">IFERROR(__xludf.DUMMYFUNCTION("""COMPUTED_VALUE"""),"Virginia")</f>
        <v>Virginia</v>
      </c>
      <c r="O171" s="1">
        <f ca="1">IFERROR(__xludf.DUMMYFUNCTION("""COMPUTED_VALUE"""),22980)</f>
        <v>22980</v>
      </c>
      <c r="P171" s="1" t="str">
        <f ca="1">IFERROR(__xludf.DUMMYFUNCTION("""COMPUTED_VALUE"""),"South")</f>
        <v>South</v>
      </c>
      <c r="Q171" s="1" t="str">
        <f ca="1">IFERROR(__xludf.DUMMYFUNCTION("""COMPUTED_VALUE"""),"FUR-FU-10004071")</f>
        <v>FUR-FU-10004071</v>
      </c>
      <c r="R171" s="1" t="str">
        <f ca="1">IFERROR(__xludf.DUMMYFUNCTION("""COMPUTED_VALUE"""),"Furniture")</f>
        <v>Furniture</v>
      </c>
      <c r="S171" s="7">
        <f ca="1">IFERROR(__xludf.DUMMYFUNCTION("""COMPUTED_VALUE"""),104.01)</f>
        <v>104.01</v>
      </c>
      <c r="T171" s="1">
        <f ca="1">IFERROR(__xludf.DUMMYFUNCTION("""COMPUTED_VALUE"""),2)</f>
        <v>2</v>
      </c>
      <c r="U171" s="9">
        <f ca="1">IFERROR(__xludf.DUMMYFUNCTION("""COMPUTED_VALUE"""),208.02)</f>
        <v>208.02</v>
      </c>
      <c r="V171" s="9">
        <f ca="1">IFERROR(__xludf.DUMMYFUNCTION("""COMPUTED_VALUE"""),206.46)</f>
        <v>206.46</v>
      </c>
      <c r="W171" s="12">
        <f ca="1">IFERROR(__xludf.DUMMYFUNCTION("""COMPUTED_VALUE"""),1.56)</f>
        <v>1.56</v>
      </c>
    </row>
    <row r="172" spans="1:23" ht="13.2">
      <c r="A172" s="1" t="str">
        <f ca="1">IFERROR(__xludf.DUMMYFUNCTION("""COMPUTED_VALUE"""),"US-2015-117135")</f>
        <v>US-2015-117135</v>
      </c>
      <c r="B172" s="8">
        <f ca="1">IFERROR(__xludf.DUMMYFUNCTION("""COMPUTED_VALUE"""),42176)</f>
        <v>42176</v>
      </c>
      <c r="C172" s="1" t="str">
        <f ca="1">IFERROR(__xludf.DUMMYFUNCTION("""COMPUTED_VALUE"""),"Jun")</f>
        <v>Jun</v>
      </c>
      <c r="D172" s="1" t="str">
        <f ca="1">IFERROR(__xludf.DUMMYFUNCTION("""COMPUTED_VALUE"""),"Qtr 2")</f>
        <v>Qtr 2</v>
      </c>
      <c r="E172" s="1" t="str">
        <f ca="1">IFERROR(__xludf.DUMMYFUNCTION("""COMPUTED_VALUE"""),"23/06/2015")</f>
        <v>23/06/2015</v>
      </c>
      <c r="F172" s="1" t="str">
        <f ca="1">IFERROR(__xludf.DUMMYFUNCTION("""COMPUTED_VALUE"""),"Second Class")</f>
        <v>Second Class</v>
      </c>
      <c r="G172" s="1" t="str">
        <f ca="1">IFERROR(__xludf.DUMMYFUNCTION("""COMPUTED_VALUE"""),"NP-18325")</f>
        <v>NP-18325</v>
      </c>
      <c r="H172" s="1" t="str">
        <f ca="1">IFERROR(__xludf.DUMMYFUNCTION("""COMPUTED_VALUE"""),"Naresj")</f>
        <v>Naresj</v>
      </c>
      <c r="I172" s="1" t="str">
        <f ca="1">IFERROR(__xludf.DUMMYFUNCTION("""COMPUTED_VALUE"""),"Patel")</f>
        <v>Patel</v>
      </c>
      <c r="J172" s="1"/>
      <c r="K172" s="1" t="str">
        <f ca="1">IFERROR(__xludf.DUMMYFUNCTION("""COMPUTED_VALUE"""),"Consumer")</f>
        <v>Consumer</v>
      </c>
      <c r="L172" s="1" t="str">
        <f ca="1">IFERROR(__xludf.DUMMYFUNCTION("""COMPUTED_VALUE"""),"United States")</f>
        <v>United States</v>
      </c>
      <c r="M172" s="1" t="str">
        <f ca="1">IFERROR(__xludf.DUMMYFUNCTION("""COMPUTED_VALUE"""),"Waynesboro")</f>
        <v>Waynesboro</v>
      </c>
      <c r="N172" s="1" t="str">
        <f ca="1">IFERROR(__xludf.DUMMYFUNCTION("""COMPUTED_VALUE"""),"Virginia")</f>
        <v>Virginia</v>
      </c>
      <c r="O172" s="1">
        <f ca="1">IFERROR(__xludf.DUMMYFUNCTION("""COMPUTED_VALUE"""),22980)</f>
        <v>22980</v>
      </c>
      <c r="P172" s="1" t="str">
        <f ca="1">IFERROR(__xludf.DUMMYFUNCTION("""COMPUTED_VALUE"""),"South")</f>
        <v>South</v>
      </c>
      <c r="Q172" s="1" t="str">
        <f ca="1">IFERROR(__xludf.DUMMYFUNCTION("""COMPUTED_VALUE"""),"TEC-PH-10002033")</f>
        <v>TEC-PH-10002033</v>
      </c>
      <c r="R172" s="1" t="str">
        <f ca="1">IFERROR(__xludf.DUMMYFUNCTION("""COMPUTED_VALUE"""),"Technology")</f>
        <v>Technology</v>
      </c>
      <c r="S172" s="7">
        <f ca="1">IFERROR(__xludf.DUMMYFUNCTION("""COMPUTED_VALUE"""),284.82)</f>
        <v>284.82</v>
      </c>
      <c r="T172" s="1">
        <f ca="1">IFERROR(__xludf.DUMMYFUNCTION("""COMPUTED_VALUE"""),2)</f>
        <v>2</v>
      </c>
      <c r="U172" s="9">
        <f ca="1">IFERROR(__xludf.DUMMYFUNCTION("""COMPUTED_VALUE"""),569.64)</f>
        <v>569.64</v>
      </c>
      <c r="V172" s="9">
        <f ca="1">IFERROR(__xludf.DUMMYFUNCTION("""COMPUTED_VALUE"""),568.6)</f>
        <v>568.6</v>
      </c>
      <c r="W172" s="12">
        <f ca="1">IFERROR(__xludf.DUMMYFUNCTION("""COMPUTED_VALUE"""),1.03999999999996)</f>
        <v>1.0399999999999601</v>
      </c>
    </row>
    <row r="173" spans="1:23" ht="13.2">
      <c r="A173" s="1" t="str">
        <f ca="1">IFERROR(__xludf.DUMMYFUNCTION("""COMPUTED_VALUE"""),"US-2015-117135")</f>
        <v>US-2015-117135</v>
      </c>
      <c r="B173" s="8">
        <f ca="1">IFERROR(__xludf.DUMMYFUNCTION("""COMPUTED_VALUE"""),42176)</f>
        <v>42176</v>
      </c>
      <c r="C173" s="1" t="str">
        <f ca="1">IFERROR(__xludf.DUMMYFUNCTION("""COMPUTED_VALUE"""),"Jun")</f>
        <v>Jun</v>
      </c>
      <c r="D173" s="1" t="str">
        <f ca="1">IFERROR(__xludf.DUMMYFUNCTION("""COMPUTED_VALUE"""),"Qtr 2")</f>
        <v>Qtr 2</v>
      </c>
      <c r="E173" s="1" t="str">
        <f ca="1">IFERROR(__xludf.DUMMYFUNCTION("""COMPUTED_VALUE"""),"23/06/2015")</f>
        <v>23/06/2015</v>
      </c>
      <c r="F173" s="1" t="str">
        <f ca="1">IFERROR(__xludf.DUMMYFUNCTION("""COMPUTED_VALUE"""),"Second Class")</f>
        <v>Second Class</v>
      </c>
      <c r="G173" s="1" t="str">
        <f ca="1">IFERROR(__xludf.DUMMYFUNCTION("""COMPUTED_VALUE"""),"NP-18325")</f>
        <v>NP-18325</v>
      </c>
      <c r="H173" s="1" t="str">
        <f ca="1">IFERROR(__xludf.DUMMYFUNCTION("""COMPUTED_VALUE"""),"Naresj")</f>
        <v>Naresj</v>
      </c>
      <c r="I173" s="1" t="str">
        <f ca="1">IFERROR(__xludf.DUMMYFUNCTION("""COMPUTED_VALUE"""),"Patel")</f>
        <v>Patel</v>
      </c>
      <c r="J173" s="1"/>
      <c r="K173" s="1" t="str">
        <f ca="1">IFERROR(__xludf.DUMMYFUNCTION("""COMPUTED_VALUE"""),"Consumer")</f>
        <v>Consumer</v>
      </c>
      <c r="L173" s="1" t="str">
        <f ca="1">IFERROR(__xludf.DUMMYFUNCTION("""COMPUTED_VALUE"""),"United States")</f>
        <v>United States</v>
      </c>
      <c r="M173" s="1" t="str">
        <f ca="1">IFERROR(__xludf.DUMMYFUNCTION("""COMPUTED_VALUE"""),"Waynesboro")</f>
        <v>Waynesboro</v>
      </c>
      <c r="N173" s="1" t="str">
        <f ca="1">IFERROR(__xludf.DUMMYFUNCTION("""COMPUTED_VALUE"""),"Virginia")</f>
        <v>Virginia</v>
      </c>
      <c r="O173" s="1">
        <f ca="1">IFERROR(__xludf.DUMMYFUNCTION("""COMPUTED_VALUE"""),22980)</f>
        <v>22980</v>
      </c>
      <c r="P173" s="1" t="str">
        <f ca="1">IFERROR(__xludf.DUMMYFUNCTION("""COMPUTED_VALUE"""),"South")</f>
        <v>South</v>
      </c>
      <c r="Q173" s="1" t="str">
        <f ca="1">IFERROR(__xludf.DUMMYFUNCTION("""COMPUTED_VALUE"""),"OFF-ST-10002444")</f>
        <v>OFF-ST-10002444</v>
      </c>
      <c r="R173" s="1" t="str">
        <f ca="1">IFERROR(__xludf.DUMMYFUNCTION("""COMPUTED_VALUE"""),"Office Supplies")</f>
        <v>Office Supplies</v>
      </c>
      <c r="S173" s="7">
        <f ca="1">IFERROR(__xludf.DUMMYFUNCTION("""COMPUTED_VALUE"""),36.84)</f>
        <v>36.840000000000003</v>
      </c>
      <c r="T173" s="1">
        <f ca="1">IFERROR(__xludf.DUMMYFUNCTION("""COMPUTED_VALUE"""),2)</f>
        <v>2</v>
      </c>
      <c r="U173" s="9">
        <f ca="1">IFERROR(__xludf.DUMMYFUNCTION("""COMPUTED_VALUE"""),73.68)</f>
        <v>73.680000000000007</v>
      </c>
      <c r="V173" s="9">
        <f ca="1">IFERROR(__xludf.DUMMYFUNCTION("""COMPUTED_VALUE"""),71.88)</f>
        <v>71.88</v>
      </c>
      <c r="W173" s="12">
        <f ca="1">IFERROR(__xludf.DUMMYFUNCTION("""COMPUTED_VALUE"""),1.80000000000001)</f>
        <v>1.80000000000001</v>
      </c>
    </row>
    <row r="174" spans="1:23" ht="13.2">
      <c r="A174" s="1" t="str">
        <f ca="1">IFERROR(__xludf.DUMMYFUNCTION("""COMPUTED_VALUE"""),"CA-2017-163755")</f>
        <v>CA-2017-163755</v>
      </c>
      <c r="B174" s="8">
        <f ca="1">IFERROR(__xludf.DUMMYFUNCTION("""COMPUTED_VALUE"""),42836)</f>
        <v>42836</v>
      </c>
      <c r="C174" s="1" t="str">
        <f ca="1">IFERROR(__xludf.DUMMYFUNCTION("""COMPUTED_VALUE"""),"Apr")</f>
        <v>Apr</v>
      </c>
      <c r="D174" s="1" t="str">
        <f ca="1">IFERROR(__xludf.DUMMYFUNCTION("""COMPUTED_VALUE"""),"Qtr 2")</f>
        <v>Qtr 2</v>
      </c>
      <c r="E174" s="1" t="str">
        <f ca="1">IFERROR(__xludf.DUMMYFUNCTION("""COMPUTED_VALUE"""),"8/11/2017")</f>
        <v>8/11/2017</v>
      </c>
      <c r="F174" s="1" t="str">
        <f ca="1">IFERROR(__xludf.DUMMYFUNCTION("""COMPUTED_VALUE"""),"Second Class")</f>
        <v>Second Class</v>
      </c>
      <c r="G174" s="1" t="str">
        <f ca="1">IFERROR(__xludf.DUMMYFUNCTION("""COMPUTED_VALUE"""),"AS-10285")</f>
        <v>AS-10285</v>
      </c>
      <c r="H174" s="1" t="str">
        <f ca="1">IFERROR(__xludf.DUMMYFUNCTION("""COMPUTED_VALUE"""),"Alejandro")</f>
        <v>Alejandro</v>
      </c>
      <c r="I174" s="1" t="str">
        <f ca="1">IFERROR(__xludf.DUMMYFUNCTION("""COMPUTED_VALUE"""),"Savely")</f>
        <v>Savely</v>
      </c>
      <c r="J174" s="1"/>
      <c r="K174" s="1" t="str">
        <f ca="1">IFERROR(__xludf.DUMMYFUNCTION("""COMPUTED_VALUE"""),"Corporate")</f>
        <v>Corporate</v>
      </c>
      <c r="L174" s="1" t="str">
        <f ca="1">IFERROR(__xludf.DUMMYFUNCTION("""COMPUTED_VALUE"""),"United States")</f>
        <v>United States</v>
      </c>
      <c r="M174" s="1" t="str">
        <f ca="1">IFERROR(__xludf.DUMMYFUNCTION("""COMPUTED_VALUE"""),"Seattle")</f>
        <v>Seattle</v>
      </c>
      <c r="N174" s="1" t="str">
        <f ca="1">IFERROR(__xludf.DUMMYFUNCTION("""COMPUTED_VALUE"""),"Washington")</f>
        <v>Washington</v>
      </c>
      <c r="O174" s="1">
        <f ca="1">IFERROR(__xludf.DUMMYFUNCTION("""COMPUTED_VALUE"""),98103)</f>
        <v>98103</v>
      </c>
      <c r="P174" s="1" t="str">
        <f ca="1">IFERROR(__xludf.DUMMYFUNCTION("""COMPUTED_VALUE"""),"West")</f>
        <v>West</v>
      </c>
      <c r="Q174" s="1" t="str">
        <f ca="1">IFERROR(__xludf.DUMMYFUNCTION("""COMPUTED_VALUE"""),"FUR-FU-10003394")</f>
        <v>FUR-FU-10003394</v>
      </c>
      <c r="R174" s="1" t="str">
        <f ca="1">IFERROR(__xludf.DUMMYFUNCTION("""COMPUTED_VALUE"""),"Furniture")</f>
        <v>Furniture</v>
      </c>
      <c r="S174" s="7">
        <f ca="1">IFERROR(__xludf.DUMMYFUNCTION("""COMPUTED_VALUE"""),209.88)</f>
        <v>209.88</v>
      </c>
      <c r="T174" s="1">
        <f ca="1">IFERROR(__xludf.DUMMYFUNCTION("""COMPUTED_VALUE"""),9)</f>
        <v>9</v>
      </c>
      <c r="U174" s="9">
        <f ca="1">IFERROR(__xludf.DUMMYFUNCTION("""COMPUTED_VALUE"""),1888.92)</f>
        <v>1888.92</v>
      </c>
      <c r="V174" s="9">
        <f ca="1">IFERROR(__xludf.DUMMYFUNCTION("""COMPUTED_VALUE"""),1887.03)</f>
        <v>1887.03</v>
      </c>
      <c r="W174" s="12">
        <f ca="1">IFERROR(__xludf.DUMMYFUNCTION("""COMPUTED_VALUE"""),1.8900000000001)</f>
        <v>1.8900000000001</v>
      </c>
    </row>
    <row r="175" spans="1:23" ht="13.2">
      <c r="A175" s="1" t="str">
        <f ca="1">IFERROR(__xludf.DUMMYFUNCTION("""COMPUTED_VALUE"""),"CA-2015-153150")</f>
        <v>CA-2015-153150</v>
      </c>
      <c r="B175" s="8">
        <f ca="1">IFERROR(__xludf.DUMMYFUNCTION("""COMPUTED_VALUE"""),42011)</f>
        <v>42011</v>
      </c>
      <c r="C175" s="1" t="str">
        <f ca="1">IFERROR(__xludf.DUMMYFUNCTION("""COMPUTED_VALUE"""),"Jan")</f>
        <v>Jan</v>
      </c>
      <c r="D175" s="1" t="str">
        <f ca="1">IFERROR(__xludf.DUMMYFUNCTION("""COMPUTED_VALUE"""),"Qtr 1")</f>
        <v>Qtr 1</v>
      </c>
      <c r="E175" s="1" t="str">
        <f ca="1">IFERROR(__xludf.DUMMYFUNCTION("""COMPUTED_VALUE"""),"6/7/2015")</f>
        <v>6/7/2015</v>
      </c>
      <c r="F175" s="1" t="str">
        <f ca="1">IFERROR(__xludf.DUMMYFUNCTION("""COMPUTED_VALUE"""),"Second Class")</f>
        <v>Second Class</v>
      </c>
      <c r="G175" s="1" t="str">
        <f ca="1">IFERROR(__xludf.DUMMYFUNCTION("""COMPUTED_VALUE"""),"Dl-13600")</f>
        <v>Dl-13600</v>
      </c>
      <c r="H175" s="1" t="str">
        <f ca="1">IFERROR(__xludf.DUMMYFUNCTION("""COMPUTED_VALUE"""),"Dorris")</f>
        <v>Dorris</v>
      </c>
      <c r="I175" s="1" t="str">
        <f ca="1">IFERROR(__xludf.DUMMYFUNCTION("""COMPUTED_VALUE"""),"liebe")</f>
        <v>liebe</v>
      </c>
      <c r="J175" s="1"/>
      <c r="K175" s="1" t="str">
        <f ca="1">IFERROR(__xludf.DUMMYFUNCTION("""COMPUTED_VALUE"""),"Corporate")</f>
        <v>Corporate</v>
      </c>
      <c r="L175" s="1" t="str">
        <f ca="1">IFERROR(__xludf.DUMMYFUNCTION("""COMPUTED_VALUE"""),"United States")</f>
        <v>United States</v>
      </c>
      <c r="M175" s="1" t="str">
        <f ca="1">IFERROR(__xludf.DUMMYFUNCTION("""COMPUTED_VALUE"""),"Seattle")</f>
        <v>Seattle</v>
      </c>
      <c r="N175" s="1" t="str">
        <f ca="1">IFERROR(__xludf.DUMMYFUNCTION("""COMPUTED_VALUE"""),"Washington")</f>
        <v>Washington</v>
      </c>
      <c r="O175" s="1">
        <f ca="1">IFERROR(__xludf.DUMMYFUNCTION("""COMPUTED_VALUE"""),98105)</f>
        <v>98105</v>
      </c>
      <c r="P175" s="1" t="str">
        <f ca="1">IFERROR(__xludf.DUMMYFUNCTION("""COMPUTED_VALUE"""),"West")</f>
        <v>West</v>
      </c>
      <c r="Q175" s="1" t="str">
        <f ca="1">IFERROR(__xludf.DUMMYFUNCTION("""COMPUTED_VALUE"""),"OFF-BI-10003355")</f>
        <v>OFF-BI-10003355</v>
      </c>
      <c r="R175" s="1" t="str">
        <f ca="1">IFERROR(__xludf.DUMMYFUNCTION("""COMPUTED_VALUE"""),"Office Supplies")</f>
        <v>Office Supplies</v>
      </c>
      <c r="S175" s="7">
        <f ca="1">IFERROR(__xludf.DUMMYFUNCTION("""COMPUTED_VALUE"""),19.92)</f>
        <v>19.920000000000002</v>
      </c>
      <c r="T175" s="1">
        <f ca="1">IFERROR(__xludf.DUMMYFUNCTION("""COMPUTED_VALUE"""),9)</f>
        <v>9</v>
      </c>
      <c r="U175" s="9">
        <f ca="1">IFERROR(__xludf.DUMMYFUNCTION("""COMPUTED_VALUE"""),179.28)</f>
        <v>179.28</v>
      </c>
      <c r="V175" s="9">
        <f ca="1">IFERROR(__xludf.DUMMYFUNCTION("""COMPUTED_VALUE"""),174.24)</f>
        <v>174.24</v>
      </c>
      <c r="W175" s="12">
        <f ca="1">IFERROR(__xludf.DUMMYFUNCTION("""COMPUTED_VALUE"""),5.04000000000002)</f>
        <v>5.0400000000000196</v>
      </c>
    </row>
    <row r="176" spans="1:23" ht="13.2">
      <c r="A176" s="1" t="str">
        <f ca="1">IFERROR(__xludf.DUMMYFUNCTION("""COMPUTED_VALUE"""),"CA-2017-150889")</f>
        <v>CA-2017-150889</v>
      </c>
      <c r="B176" s="8">
        <f ca="1">IFERROR(__xludf.DUMMYFUNCTION("""COMPUTED_VALUE"""),42814)</f>
        <v>42814</v>
      </c>
      <c r="C176" s="1" t="str">
        <f ca="1">IFERROR(__xludf.DUMMYFUNCTION("""COMPUTED_VALUE"""),"Mar")</f>
        <v>Mar</v>
      </c>
      <c r="D176" s="1" t="str">
        <f ca="1">IFERROR(__xludf.DUMMYFUNCTION("""COMPUTED_VALUE"""),"Qtr 1")</f>
        <v>Qtr 1</v>
      </c>
      <c r="E176" s="1" t="str">
        <f ca="1">IFERROR(__xludf.DUMMYFUNCTION("""COMPUTED_VALUE"""),"22/03/2017")</f>
        <v>22/03/2017</v>
      </c>
      <c r="F176" s="1" t="str">
        <f ca="1">IFERROR(__xludf.DUMMYFUNCTION("""COMPUTED_VALUE"""),"Second Class")</f>
        <v>Second Class</v>
      </c>
      <c r="G176" s="1" t="str">
        <f ca="1">IFERROR(__xludf.DUMMYFUNCTION("""COMPUTED_VALUE"""),"PB-19105")</f>
        <v>PB-19105</v>
      </c>
      <c r="H176" s="1" t="str">
        <f ca="1">IFERROR(__xludf.DUMMYFUNCTION("""COMPUTED_VALUE"""),"Peter")</f>
        <v>Peter</v>
      </c>
      <c r="I176" s="1" t="str">
        <f ca="1">IFERROR(__xludf.DUMMYFUNCTION("""COMPUTED_VALUE"""),"Bühler")</f>
        <v>Bühler</v>
      </c>
      <c r="J176" s="1"/>
      <c r="K176" s="1" t="str">
        <f ca="1">IFERROR(__xludf.DUMMYFUNCTION("""COMPUTED_VALUE"""),"Consumer")</f>
        <v>Consumer</v>
      </c>
      <c r="L176" s="1" t="str">
        <f ca="1">IFERROR(__xludf.DUMMYFUNCTION("""COMPUTED_VALUE"""),"United States")</f>
        <v>United States</v>
      </c>
      <c r="M176" s="1" t="str">
        <f ca="1">IFERROR(__xludf.DUMMYFUNCTION("""COMPUTED_VALUE"""),"Evanston")</f>
        <v>Evanston</v>
      </c>
      <c r="N176" s="1" t="str">
        <f ca="1">IFERROR(__xludf.DUMMYFUNCTION("""COMPUTED_VALUE"""),"Illinois")</f>
        <v>Illinois</v>
      </c>
      <c r="O176" s="1">
        <f ca="1">IFERROR(__xludf.DUMMYFUNCTION("""COMPUTED_VALUE"""),60201)</f>
        <v>60201</v>
      </c>
      <c r="P176" s="1" t="str">
        <f ca="1">IFERROR(__xludf.DUMMYFUNCTION("""COMPUTED_VALUE"""),"Central")</f>
        <v>Central</v>
      </c>
      <c r="Q176" s="1" t="str">
        <f ca="1">IFERROR(__xludf.DUMMYFUNCTION("""COMPUTED_VALUE"""),"TEC-PH-10000004")</f>
        <v>TEC-PH-10000004</v>
      </c>
      <c r="R176" s="1" t="str">
        <f ca="1">IFERROR(__xludf.DUMMYFUNCTION("""COMPUTED_VALUE"""),"Technology")</f>
        <v>Technology</v>
      </c>
      <c r="S176" s="7">
        <f ca="1">IFERROR(__xludf.DUMMYFUNCTION("""COMPUTED_VALUE"""),11.992)</f>
        <v>11.992000000000001</v>
      </c>
      <c r="T176" s="1">
        <f ca="1">IFERROR(__xludf.DUMMYFUNCTION("""COMPUTED_VALUE"""),6)</f>
        <v>6</v>
      </c>
      <c r="U176" s="9">
        <f ca="1">IFERROR(__xludf.DUMMYFUNCTION("""COMPUTED_VALUE"""),71.952)</f>
        <v>71.951999999999998</v>
      </c>
      <c r="V176" s="9">
        <f ca="1">IFERROR(__xludf.DUMMYFUNCTION("""COMPUTED_VALUE"""),71.58)</f>
        <v>71.58</v>
      </c>
      <c r="W176" s="12">
        <f ca="1">IFERROR(__xludf.DUMMYFUNCTION("""COMPUTED_VALUE"""),0.371999999999999)</f>
        <v>0.371999999999999</v>
      </c>
    </row>
    <row r="177" spans="1:23" ht="13.2">
      <c r="A177" s="1" t="str">
        <f ca="1">IFERROR(__xludf.DUMMYFUNCTION("""COMPUTED_VALUE"""),"CA-2015-162775")</f>
        <v>CA-2015-162775</v>
      </c>
      <c r="B177" s="8">
        <f ca="1">IFERROR(__xludf.DUMMYFUNCTION("""COMPUTED_VALUE"""),42017)</f>
        <v>42017</v>
      </c>
      <c r="C177" s="1" t="str">
        <f ca="1">IFERROR(__xludf.DUMMYFUNCTION("""COMPUTED_VALUE"""),"Jan")</f>
        <v>Jan</v>
      </c>
      <c r="D177" s="1" t="str">
        <f ca="1">IFERROR(__xludf.DUMMYFUNCTION("""COMPUTED_VALUE"""),"Qtr 1")</f>
        <v>Qtr 1</v>
      </c>
      <c r="E177" s="1" t="str">
        <f ca="1">IFERROR(__xludf.DUMMYFUNCTION("""COMPUTED_VALUE"""),"15/01/2015")</f>
        <v>15/01/2015</v>
      </c>
      <c r="F177" s="1" t="str">
        <f ca="1">IFERROR(__xludf.DUMMYFUNCTION("""COMPUTED_VALUE"""),"Second Class")</f>
        <v>Second Class</v>
      </c>
      <c r="G177" s="1" t="str">
        <f ca="1">IFERROR(__xludf.DUMMYFUNCTION("""COMPUTED_VALUE"""),"CS-12250")</f>
        <v>CS-12250</v>
      </c>
      <c r="H177" s="1" t="str">
        <f ca="1">IFERROR(__xludf.DUMMYFUNCTION("""COMPUTED_VALUE"""),"Chris")</f>
        <v>Chris</v>
      </c>
      <c r="I177" s="1" t="str">
        <f ca="1">IFERROR(__xludf.DUMMYFUNCTION("""COMPUTED_VALUE"""),"Selesnick")</f>
        <v>Selesnick</v>
      </c>
      <c r="J177" s="1"/>
      <c r="K177" s="1" t="str">
        <f ca="1">IFERROR(__xludf.DUMMYFUNCTION("""COMPUTED_VALUE"""),"Corporate")</f>
        <v>Corporate</v>
      </c>
      <c r="L177" s="1" t="str">
        <f ca="1">IFERROR(__xludf.DUMMYFUNCTION("""COMPUTED_VALUE"""),"United States")</f>
        <v>United States</v>
      </c>
      <c r="M177" s="1" t="str">
        <f ca="1">IFERROR(__xludf.DUMMYFUNCTION("""COMPUTED_VALUE"""),"Bossier City")</f>
        <v>Bossier City</v>
      </c>
      <c r="N177" s="1" t="str">
        <f ca="1">IFERROR(__xludf.DUMMYFUNCTION("""COMPUTED_VALUE"""),"Louisiana")</f>
        <v>Louisiana</v>
      </c>
      <c r="O177" s="1">
        <f ca="1">IFERROR(__xludf.DUMMYFUNCTION("""COMPUTED_VALUE"""),71111)</f>
        <v>71111</v>
      </c>
      <c r="P177" s="1" t="str">
        <f ca="1">IFERROR(__xludf.DUMMYFUNCTION("""COMPUTED_VALUE"""),"South")</f>
        <v>South</v>
      </c>
      <c r="Q177" s="1" t="str">
        <f ca="1">IFERROR(__xludf.DUMMYFUNCTION("""COMPUTED_VALUE"""),"OFF-EN-10001990")</f>
        <v>OFF-EN-10001990</v>
      </c>
      <c r="R177" s="1" t="str">
        <f ca="1">IFERROR(__xludf.DUMMYFUNCTION("""COMPUTED_VALUE"""),"Office Supplies")</f>
        <v>Office Supplies</v>
      </c>
      <c r="S177" s="7">
        <f ca="1">IFERROR(__xludf.DUMMYFUNCTION("""COMPUTED_VALUE"""),11.36)</f>
        <v>11.36</v>
      </c>
      <c r="T177" s="1">
        <f ca="1">IFERROR(__xludf.DUMMYFUNCTION("""COMPUTED_VALUE"""),7)</f>
        <v>7</v>
      </c>
      <c r="U177" s="9">
        <f ca="1">IFERROR(__xludf.DUMMYFUNCTION("""COMPUTED_VALUE"""),79.52)</f>
        <v>79.52</v>
      </c>
      <c r="V177" s="9">
        <f ca="1">IFERROR(__xludf.DUMMYFUNCTION("""COMPUTED_VALUE"""),73.22)</f>
        <v>73.22</v>
      </c>
      <c r="W177" s="12">
        <f ca="1">IFERROR(__xludf.DUMMYFUNCTION("""COMPUTED_VALUE"""),6.29999999999999)</f>
        <v>6.2999999999999901</v>
      </c>
    </row>
    <row r="178" spans="1:23" ht="13.2">
      <c r="A178" s="1" t="str">
        <f ca="1">IFERROR(__xludf.DUMMYFUNCTION("""COMPUTED_VALUE"""),"CA-2015-162775")</f>
        <v>CA-2015-162775</v>
      </c>
      <c r="B178" s="8">
        <f ca="1">IFERROR(__xludf.DUMMYFUNCTION("""COMPUTED_VALUE"""),42017)</f>
        <v>42017</v>
      </c>
      <c r="C178" s="1" t="str">
        <f ca="1">IFERROR(__xludf.DUMMYFUNCTION("""COMPUTED_VALUE"""),"Jan")</f>
        <v>Jan</v>
      </c>
      <c r="D178" s="1" t="str">
        <f ca="1">IFERROR(__xludf.DUMMYFUNCTION("""COMPUTED_VALUE"""),"Qtr 1")</f>
        <v>Qtr 1</v>
      </c>
      <c r="E178" s="1" t="str">
        <f ca="1">IFERROR(__xludf.DUMMYFUNCTION("""COMPUTED_VALUE"""),"15/01/2015")</f>
        <v>15/01/2015</v>
      </c>
      <c r="F178" s="1" t="str">
        <f ca="1">IFERROR(__xludf.DUMMYFUNCTION("""COMPUTED_VALUE"""),"Second Class")</f>
        <v>Second Class</v>
      </c>
      <c r="G178" s="1" t="str">
        <f ca="1">IFERROR(__xludf.DUMMYFUNCTION("""COMPUTED_VALUE"""),"CS-12250")</f>
        <v>CS-12250</v>
      </c>
      <c r="H178" s="1" t="str">
        <f ca="1">IFERROR(__xludf.DUMMYFUNCTION("""COMPUTED_VALUE"""),"Chris")</f>
        <v>Chris</v>
      </c>
      <c r="I178" s="1" t="str">
        <f ca="1">IFERROR(__xludf.DUMMYFUNCTION("""COMPUTED_VALUE"""),"Selesnick")</f>
        <v>Selesnick</v>
      </c>
      <c r="J178" s="1"/>
      <c r="K178" s="1" t="str">
        <f ca="1">IFERROR(__xludf.DUMMYFUNCTION("""COMPUTED_VALUE"""),"Corporate")</f>
        <v>Corporate</v>
      </c>
      <c r="L178" s="1" t="str">
        <f ca="1">IFERROR(__xludf.DUMMYFUNCTION("""COMPUTED_VALUE"""),"United States")</f>
        <v>United States</v>
      </c>
      <c r="M178" s="1" t="str">
        <f ca="1">IFERROR(__xludf.DUMMYFUNCTION("""COMPUTED_VALUE"""),"Bossier City")</f>
        <v>Bossier City</v>
      </c>
      <c r="N178" s="1" t="str">
        <f ca="1">IFERROR(__xludf.DUMMYFUNCTION("""COMPUTED_VALUE"""),"Louisiana")</f>
        <v>Louisiana</v>
      </c>
      <c r="O178" s="1">
        <f ca="1">IFERROR(__xludf.DUMMYFUNCTION("""COMPUTED_VALUE"""),71111)</f>
        <v>71111</v>
      </c>
      <c r="P178" s="1" t="str">
        <f ca="1">IFERROR(__xludf.DUMMYFUNCTION("""COMPUTED_VALUE"""),"South")</f>
        <v>South</v>
      </c>
      <c r="Q178" s="1" t="str">
        <f ca="1">IFERROR(__xludf.DUMMYFUNCTION("""COMPUTED_VALUE"""),"OFF-EN-10001532")</f>
        <v>OFF-EN-10001532</v>
      </c>
      <c r="R178" s="1" t="str">
        <f ca="1">IFERROR(__xludf.DUMMYFUNCTION("""COMPUTED_VALUE"""),"Office Supplies")</f>
        <v>Office Supplies</v>
      </c>
      <c r="S178" s="7">
        <f ca="1">IFERROR(__xludf.DUMMYFUNCTION("""COMPUTED_VALUE"""),50.94)</f>
        <v>50.94</v>
      </c>
      <c r="T178" s="1">
        <f ca="1">IFERROR(__xludf.DUMMYFUNCTION("""COMPUTED_VALUE"""),7)</f>
        <v>7</v>
      </c>
      <c r="U178" s="9">
        <f ca="1">IFERROR(__xludf.DUMMYFUNCTION("""COMPUTED_VALUE"""),356.58)</f>
        <v>356.58</v>
      </c>
      <c r="V178" s="9">
        <f ca="1">IFERROR(__xludf.DUMMYFUNCTION("""COMPUTED_VALUE"""),352.59)</f>
        <v>352.59</v>
      </c>
      <c r="W178" s="12">
        <f ca="1">IFERROR(__xludf.DUMMYFUNCTION("""COMPUTED_VALUE"""),3.99)</f>
        <v>3.99</v>
      </c>
    </row>
    <row r="179" spans="1:23" ht="13.2">
      <c r="A179" s="1" t="str">
        <f ca="1">IFERROR(__xludf.DUMMYFUNCTION("""COMPUTED_VALUE"""),"CA-2015-162775")</f>
        <v>CA-2015-162775</v>
      </c>
      <c r="B179" s="8">
        <f ca="1">IFERROR(__xludf.DUMMYFUNCTION("""COMPUTED_VALUE"""),42017)</f>
        <v>42017</v>
      </c>
      <c r="C179" s="1" t="str">
        <f ca="1">IFERROR(__xludf.DUMMYFUNCTION("""COMPUTED_VALUE"""),"Jan")</f>
        <v>Jan</v>
      </c>
      <c r="D179" s="1" t="str">
        <f ca="1">IFERROR(__xludf.DUMMYFUNCTION("""COMPUTED_VALUE"""),"Qtr 1")</f>
        <v>Qtr 1</v>
      </c>
      <c r="E179" s="1" t="str">
        <f ca="1">IFERROR(__xludf.DUMMYFUNCTION("""COMPUTED_VALUE"""),"15/01/2015")</f>
        <v>15/01/2015</v>
      </c>
      <c r="F179" s="1" t="str">
        <f ca="1">IFERROR(__xludf.DUMMYFUNCTION("""COMPUTED_VALUE"""),"Second Class")</f>
        <v>Second Class</v>
      </c>
      <c r="G179" s="1" t="str">
        <f ca="1">IFERROR(__xludf.DUMMYFUNCTION("""COMPUTED_VALUE"""),"CS-12250")</f>
        <v>CS-12250</v>
      </c>
      <c r="H179" s="1" t="str">
        <f ca="1">IFERROR(__xludf.DUMMYFUNCTION("""COMPUTED_VALUE"""),"Chris")</f>
        <v>Chris</v>
      </c>
      <c r="I179" s="1" t="str">
        <f ca="1">IFERROR(__xludf.DUMMYFUNCTION("""COMPUTED_VALUE"""),"Selesnick")</f>
        <v>Selesnick</v>
      </c>
      <c r="J179" s="1"/>
      <c r="K179" s="1" t="str">
        <f ca="1">IFERROR(__xludf.DUMMYFUNCTION("""COMPUTED_VALUE"""),"Corporate")</f>
        <v>Corporate</v>
      </c>
      <c r="L179" s="1" t="str">
        <f ca="1">IFERROR(__xludf.DUMMYFUNCTION("""COMPUTED_VALUE"""),"United States")</f>
        <v>United States</v>
      </c>
      <c r="M179" s="1" t="str">
        <f ca="1">IFERROR(__xludf.DUMMYFUNCTION("""COMPUTED_VALUE"""),"Bossier City")</f>
        <v>Bossier City</v>
      </c>
      <c r="N179" s="1" t="str">
        <f ca="1">IFERROR(__xludf.DUMMYFUNCTION("""COMPUTED_VALUE"""),"Louisiana")</f>
        <v>Louisiana</v>
      </c>
      <c r="O179" s="1">
        <f ca="1">IFERROR(__xludf.DUMMYFUNCTION("""COMPUTED_VALUE"""),71111)</f>
        <v>71111</v>
      </c>
      <c r="P179" s="1" t="str">
        <f ca="1">IFERROR(__xludf.DUMMYFUNCTION("""COMPUTED_VALUE"""),"South")</f>
        <v>South</v>
      </c>
      <c r="Q179" s="1" t="str">
        <f ca="1">IFERROR(__xludf.DUMMYFUNCTION("""COMPUTED_VALUE"""),"TEC-AC-10003174")</f>
        <v>TEC-AC-10003174</v>
      </c>
      <c r="R179" s="1" t="str">
        <f ca="1">IFERROR(__xludf.DUMMYFUNCTION("""COMPUTED_VALUE"""),"Technology")</f>
        <v>Technology</v>
      </c>
      <c r="S179" s="7">
        <f ca="1">IFERROR(__xludf.DUMMYFUNCTION("""COMPUTED_VALUE"""),646.74)</f>
        <v>646.74</v>
      </c>
      <c r="T179" s="1">
        <f ca="1">IFERROR(__xludf.DUMMYFUNCTION("""COMPUTED_VALUE"""),7)</f>
        <v>7</v>
      </c>
      <c r="U179" s="9">
        <f ca="1">IFERROR(__xludf.DUMMYFUNCTION("""COMPUTED_VALUE"""),4527.18)</f>
        <v>4527.18</v>
      </c>
      <c r="V179" s="9">
        <f ca="1">IFERROR(__xludf.DUMMYFUNCTION("""COMPUTED_VALUE"""),4524.66)</f>
        <v>4524.66</v>
      </c>
      <c r="W179" s="12">
        <f ca="1">IFERROR(__xludf.DUMMYFUNCTION("""COMPUTED_VALUE"""),2.52000000000043)</f>
        <v>2.5200000000004299</v>
      </c>
    </row>
    <row r="180" spans="1:23" ht="13.2">
      <c r="A180" s="1" t="str">
        <f ca="1">IFERROR(__xludf.DUMMYFUNCTION("""COMPUTED_VALUE"""),"CA-2015-162775")</f>
        <v>CA-2015-162775</v>
      </c>
      <c r="B180" s="8">
        <f ca="1">IFERROR(__xludf.DUMMYFUNCTION("""COMPUTED_VALUE"""),42017)</f>
        <v>42017</v>
      </c>
      <c r="C180" s="1" t="str">
        <f ca="1">IFERROR(__xludf.DUMMYFUNCTION("""COMPUTED_VALUE"""),"Jan")</f>
        <v>Jan</v>
      </c>
      <c r="D180" s="1" t="str">
        <f ca="1">IFERROR(__xludf.DUMMYFUNCTION("""COMPUTED_VALUE"""),"Qtr 1")</f>
        <v>Qtr 1</v>
      </c>
      <c r="E180" s="1" t="str">
        <f ca="1">IFERROR(__xludf.DUMMYFUNCTION("""COMPUTED_VALUE"""),"15/01/2015")</f>
        <v>15/01/2015</v>
      </c>
      <c r="F180" s="1" t="str">
        <f ca="1">IFERROR(__xludf.DUMMYFUNCTION("""COMPUTED_VALUE"""),"Second Class")</f>
        <v>Second Class</v>
      </c>
      <c r="G180" s="1" t="str">
        <f ca="1">IFERROR(__xludf.DUMMYFUNCTION("""COMPUTED_VALUE"""),"CS-12250")</f>
        <v>CS-12250</v>
      </c>
      <c r="H180" s="1" t="str">
        <f ca="1">IFERROR(__xludf.DUMMYFUNCTION("""COMPUTED_VALUE"""),"Chris")</f>
        <v>Chris</v>
      </c>
      <c r="I180" s="1" t="str">
        <f ca="1">IFERROR(__xludf.DUMMYFUNCTION("""COMPUTED_VALUE"""),"Selesnick")</f>
        <v>Selesnick</v>
      </c>
      <c r="J180" s="1"/>
      <c r="K180" s="1" t="str">
        <f ca="1">IFERROR(__xludf.DUMMYFUNCTION("""COMPUTED_VALUE"""),"Corporate")</f>
        <v>Corporate</v>
      </c>
      <c r="L180" s="1" t="str">
        <f ca="1">IFERROR(__xludf.DUMMYFUNCTION("""COMPUTED_VALUE"""),"United States")</f>
        <v>United States</v>
      </c>
      <c r="M180" s="1" t="str">
        <f ca="1">IFERROR(__xludf.DUMMYFUNCTION("""COMPUTED_VALUE"""),"Bossier City")</f>
        <v>Bossier City</v>
      </c>
      <c r="N180" s="1" t="str">
        <f ca="1">IFERROR(__xludf.DUMMYFUNCTION("""COMPUTED_VALUE"""),"Louisiana")</f>
        <v>Louisiana</v>
      </c>
      <c r="O180" s="1">
        <f ca="1">IFERROR(__xludf.DUMMYFUNCTION("""COMPUTED_VALUE"""),71111)</f>
        <v>71111</v>
      </c>
      <c r="P180" s="1" t="str">
        <f ca="1">IFERROR(__xludf.DUMMYFUNCTION("""COMPUTED_VALUE"""),"South")</f>
        <v>South</v>
      </c>
      <c r="Q180" s="1" t="str">
        <f ca="1">IFERROR(__xludf.DUMMYFUNCTION("""COMPUTED_VALUE"""),"OFF-BI-10004187")</f>
        <v>OFF-BI-10004187</v>
      </c>
      <c r="R180" s="1" t="str">
        <f ca="1">IFERROR(__xludf.DUMMYFUNCTION("""COMPUTED_VALUE"""),"Office Supplies")</f>
        <v>Office Supplies</v>
      </c>
      <c r="S180" s="7">
        <f ca="1">IFERROR(__xludf.DUMMYFUNCTION("""COMPUTED_VALUE"""),5.64)</f>
        <v>5.64</v>
      </c>
      <c r="T180" s="1">
        <f ca="1">IFERROR(__xludf.DUMMYFUNCTION("""COMPUTED_VALUE"""),7)</f>
        <v>7</v>
      </c>
      <c r="U180" s="9">
        <f ca="1">IFERROR(__xludf.DUMMYFUNCTION("""COMPUTED_VALUE"""),39.48)</f>
        <v>39.479999999999997</v>
      </c>
      <c r="V180" s="9">
        <f ca="1">IFERROR(__xludf.DUMMYFUNCTION("""COMPUTED_VALUE"""),34.86)</f>
        <v>34.86</v>
      </c>
      <c r="W180" s="12">
        <f ca="1">IFERROR(__xludf.DUMMYFUNCTION("""COMPUTED_VALUE"""),4.61999999999999)</f>
        <v>4.6199999999999903</v>
      </c>
    </row>
    <row r="181" spans="1:23" ht="13.2">
      <c r="A181" s="1" t="str">
        <f ca="1">IFERROR(__xludf.DUMMYFUNCTION("""COMPUTED_VALUE"""),"CA-2015-162775")</f>
        <v>CA-2015-162775</v>
      </c>
      <c r="B181" s="8">
        <f ca="1">IFERROR(__xludf.DUMMYFUNCTION("""COMPUTED_VALUE"""),42017)</f>
        <v>42017</v>
      </c>
      <c r="C181" s="1" t="str">
        <f ca="1">IFERROR(__xludf.DUMMYFUNCTION("""COMPUTED_VALUE"""),"Jan")</f>
        <v>Jan</v>
      </c>
      <c r="D181" s="1" t="str">
        <f ca="1">IFERROR(__xludf.DUMMYFUNCTION("""COMPUTED_VALUE"""),"Qtr 1")</f>
        <v>Qtr 1</v>
      </c>
      <c r="E181" s="1" t="str">
        <f ca="1">IFERROR(__xludf.DUMMYFUNCTION("""COMPUTED_VALUE"""),"15/01/2015")</f>
        <v>15/01/2015</v>
      </c>
      <c r="F181" s="1" t="str">
        <f ca="1">IFERROR(__xludf.DUMMYFUNCTION("""COMPUTED_VALUE"""),"Second Class")</f>
        <v>Second Class</v>
      </c>
      <c r="G181" s="1" t="str">
        <f ca="1">IFERROR(__xludf.DUMMYFUNCTION("""COMPUTED_VALUE"""),"CS-12250")</f>
        <v>CS-12250</v>
      </c>
      <c r="H181" s="1" t="str">
        <f ca="1">IFERROR(__xludf.DUMMYFUNCTION("""COMPUTED_VALUE"""),"Chris")</f>
        <v>Chris</v>
      </c>
      <c r="I181" s="1" t="str">
        <f ca="1">IFERROR(__xludf.DUMMYFUNCTION("""COMPUTED_VALUE"""),"Selesnick")</f>
        <v>Selesnick</v>
      </c>
      <c r="J181" s="1"/>
      <c r="K181" s="1" t="str">
        <f ca="1">IFERROR(__xludf.DUMMYFUNCTION("""COMPUTED_VALUE"""),"Corporate")</f>
        <v>Corporate</v>
      </c>
      <c r="L181" s="1" t="str">
        <f ca="1">IFERROR(__xludf.DUMMYFUNCTION("""COMPUTED_VALUE"""),"United States")</f>
        <v>United States</v>
      </c>
      <c r="M181" s="1" t="str">
        <f ca="1">IFERROR(__xludf.DUMMYFUNCTION("""COMPUTED_VALUE"""),"Bossier City")</f>
        <v>Bossier City</v>
      </c>
      <c r="N181" s="1" t="str">
        <f ca="1">IFERROR(__xludf.DUMMYFUNCTION("""COMPUTED_VALUE"""),"Louisiana")</f>
        <v>Louisiana</v>
      </c>
      <c r="O181" s="1">
        <f ca="1">IFERROR(__xludf.DUMMYFUNCTION("""COMPUTED_VALUE"""),71111)</f>
        <v>71111</v>
      </c>
      <c r="P181" s="1" t="str">
        <f ca="1">IFERROR(__xludf.DUMMYFUNCTION("""COMPUTED_VALUE"""),"South")</f>
        <v>South</v>
      </c>
      <c r="Q181" s="1" t="str">
        <f ca="1">IFERROR(__xludf.DUMMYFUNCTION("""COMPUTED_VALUE"""),"OFF-ST-10000025")</f>
        <v>OFF-ST-10000025</v>
      </c>
      <c r="R181" s="1" t="str">
        <f ca="1">IFERROR(__xludf.DUMMYFUNCTION("""COMPUTED_VALUE"""),"Office Supplies")</f>
        <v>Office Supplies</v>
      </c>
      <c r="S181" s="7">
        <f ca="1">IFERROR(__xludf.DUMMYFUNCTION("""COMPUTED_VALUE"""),572.58)</f>
        <v>572.58000000000004</v>
      </c>
      <c r="T181" s="1">
        <f ca="1">IFERROR(__xludf.DUMMYFUNCTION("""COMPUTED_VALUE"""),7)</f>
        <v>7</v>
      </c>
      <c r="U181" s="9">
        <f ca="1">IFERROR(__xludf.DUMMYFUNCTION("""COMPUTED_VALUE"""),4008.06)</f>
        <v>4008.06</v>
      </c>
      <c r="V181" s="9">
        <f ca="1">IFERROR(__xludf.DUMMYFUNCTION("""COMPUTED_VALUE"""),4006.59)</f>
        <v>4006.59</v>
      </c>
      <c r="W181" s="12">
        <f ca="1">IFERROR(__xludf.DUMMYFUNCTION("""COMPUTED_VALUE"""),1.47000000000025)</f>
        <v>1.47000000000025</v>
      </c>
    </row>
    <row r="182" spans="1:23" ht="13.2">
      <c r="A182" s="1" t="str">
        <f ca="1">IFERROR(__xludf.DUMMYFUNCTION("""COMPUTED_VALUE"""),"US-2016-157014")</f>
        <v>US-2016-157014</v>
      </c>
      <c r="B182" s="8">
        <f ca="1">IFERROR(__xludf.DUMMYFUNCTION("""COMPUTED_VALUE"""),42439)</f>
        <v>42439</v>
      </c>
      <c r="C182" s="1" t="str">
        <f ca="1">IFERROR(__xludf.DUMMYFUNCTION("""COMPUTED_VALUE"""),"Mar")</f>
        <v>Mar</v>
      </c>
      <c r="D182" s="1" t="str">
        <f ca="1">IFERROR(__xludf.DUMMYFUNCTION("""COMPUTED_VALUE"""),"Qtr 1")</f>
        <v>Qtr 1</v>
      </c>
      <c r="E182" s="1" t="str">
        <f ca="1">IFERROR(__xludf.DUMMYFUNCTION("""COMPUTED_VALUE"""),"6/10/2016")</f>
        <v>6/10/2016</v>
      </c>
      <c r="F182" s="1" t="str">
        <f ca="1">IFERROR(__xludf.DUMMYFUNCTION("""COMPUTED_VALUE"""),"Second Class")</f>
        <v>Second Class</v>
      </c>
      <c r="G182" s="1" t="str">
        <f ca="1">IFERROR(__xludf.DUMMYFUNCTION("""COMPUTED_VALUE"""),"BM-11785")</f>
        <v>BM-11785</v>
      </c>
      <c r="H182" s="1" t="str">
        <f ca="1">IFERROR(__xludf.DUMMYFUNCTION("""COMPUTED_VALUE"""),"Bryan")</f>
        <v>Bryan</v>
      </c>
      <c r="I182" s="1" t="str">
        <f ca="1">IFERROR(__xludf.DUMMYFUNCTION("""COMPUTED_VALUE"""),"Mills")</f>
        <v>Mills</v>
      </c>
      <c r="J182" s="1"/>
      <c r="K182" s="1" t="str">
        <f ca="1">IFERROR(__xludf.DUMMYFUNCTION("""COMPUTED_VALUE"""),"Consumer")</f>
        <v>Consumer</v>
      </c>
      <c r="L182" s="1" t="str">
        <f ca="1">IFERROR(__xludf.DUMMYFUNCTION("""COMPUTED_VALUE"""),"United States")</f>
        <v>United States</v>
      </c>
      <c r="M182" s="1" t="str">
        <f ca="1">IFERROR(__xludf.DUMMYFUNCTION("""COMPUTED_VALUE"""),"Columbus")</f>
        <v>Columbus</v>
      </c>
      <c r="N182" s="1" t="str">
        <f ca="1">IFERROR(__xludf.DUMMYFUNCTION("""COMPUTED_VALUE"""),"Ohio")</f>
        <v>Ohio</v>
      </c>
      <c r="O182" s="1">
        <f ca="1">IFERROR(__xludf.DUMMYFUNCTION("""COMPUTED_VALUE"""),43229)</f>
        <v>43229</v>
      </c>
      <c r="P182" s="1" t="str">
        <f ca="1">IFERROR(__xludf.DUMMYFUNCTION("""COMPUTED_VALUE"""),"East")</f>
        <v>East</v>
      </c>
      <c r="Q182" s="1" t="str">
        <f ca="1">IFERROR(__xludf.DUMMYFUNCTION("""COMPUTED_VALUE"""),"OFF-BI-10001098")</f>
        <v>OFF-BI-10001098</v>
      </c>
      <c r="R182" s="1" t="str">
        <f ca="1">IFERROR(__xludf.DUMMYFUNCTION("""COMPUTED_VALUE"""),"Office Supplies")</f>
        <v>Office Supplies</v>
      </c>
      <c r="S182" s="7">
        <f ca="1">IFERROR(__xludf.DUMMYFUNCTION("""COMPUTED_VALUE"""),32.07)</f>
        <v>32.07</v>
      </c>
      <c r="T182" s="1">
        <f ca="1">IFERROR(__xludf.DUMMYFUNCTION("""COMPUTED_VALUE"""),4)</f>
        <v>4</v>
      </c>
      <c r="U182" s="9">
        <f ca="1">IFERROR(__xludf.DUMMYFUNCTION("""COMPUTED_VALUE"""),128.28)</f>
        <v>128.28</v>
      </c>
      <c r="V182" s="9">
        <f ca="1">IFERROR(__xludf.DUMMYFUNCTION("""COMPUTED_VALUE"""),125.84)</f>
        <v>125.84</v>
      </c>
      <c r="W182" s="12">
        <f ca="1">IFERROR(__xludf.DUMMYFUNCTION("""COMPUTED_VALUE"""),2.43999999999999)</f>
        <v>2.4399999999999902</v>
      </c>
    </row>
    <row r="183" spans="1:23" ht="13.2">
      <c r="A183" s="1" t="str">
        <f ca="1">IFERROR(__xludf.DUMMYFUNCTION("""COMPUTED_VALUE"""),"US-2016-157014")</f>
        <v>US-2016-157014</v>
      </c>
      <c r="B183" s="8">
        <f ca="1">IFERROR(__xludf.DUMMYFUNCTION("""COMPUTED_VALUE"""),42439)</f>
        <v>42439</v>
      </c>
      <c r="C183" s="1" t="str">
        <f ca="1">IFERROR(__xludf.DUMMYFUNCTION("""COMPUTED_VALUE"""),"Mar")</f>
        <v>Mar</v>
      </c>
      <c r="D183" s="1" t="str">
        <f ca="1">IFERROR(__xludf.DUMMYFUNCTION("""COMPUTED_VALUE"""),"Qtr 1")</f>
        <v>Qtr 1</v>
      </c>
      <c r="E183" s="1" t="str">
        <f ca="1">IFERROR(__xludf.DUMMYFUNCTION("""COMPUTED_VALUE"""),"6/10/2016")</f>
        <v>6/10/2016</v>
      </c>
      <c r="F183" s="1" t="str">
        <f ca="1">IFERROR(__xludf.DUMMYFUNCTION("""COMPUTED_VALUE"""),"Second Class")</f>
        <v>Second Class</v>
      </c>
      <c r="G183" s="1" t="str">
        <f ca="1">IFERROR(__xludf.DUMMYFUNCTION("""COMPUTED_VALUE"""),"BM-11785")</f>
        <v>BM-11785</v>
      </c>
      <c r="H183" s="1" t="str">
        <f ca="1">IFERROR(__xludf.DUMMYFUNCTION("""COMPUTED_VALUE"""),"Bryan")</f>
        <v>Bryan</v>
      </c>
      <c r="I183" s="1" t="str">
        <f ca="1">IFERROR(__xludf.DUMMYFUNCTION("""COMPUTED_VALUE"""),"Mills")</f>
        <v>Mills</v>
      </c>
      <c r="J183" s="1"/>
      <c r="K183" s="1" t="str">
        <f ca="1">IFERROR(__xludf.DUMMYFUNCTION("""COMPUTED_VALUE"""),"Consumer")</f>
        <v>Consumer</v>
      </c>
      <c r="L183" s="1" t="str">
        <f ca="1">IFERROR(__xludf.DUMMYFUNCTION("""COMPUTED_VALUE"""),"United States")</f>
        <v>United States</v>
      </c>
      <c r="M183" s="1" t="str">
        <f ca="1">IFERROR(__xludf.DUMMYFUNCTION("""COMPUTED_VALUE"""),"Columbus")</f>
        <v>Columbus</v>
      </c>
      <c r="N183" s="1" t="str">
        <f ca="1">IFERROR(__xludf.DUMMYFUNCTION("""COMPUTED_VALUE"""),"Ohio")</f>
        <v>Ohio</v>
      </c>
      <c r="O183" s="1">
        <f ca="1">IFERROR(__xludf.DUMMYFUNCTION("""COMPUTED_VALUE"""),43229)</f>
        <v>43229</v>
      </c>
      <c r="P183" s="1" t="str">
        <f ca="1">IFERROR(__xludf.DUMMYFUNCTION("""COMPUTED_VALUE"""),"East")</f>
        <v>East</v>
      </c>
      <c r="Q183" s="1" t="str">
        <f ca="1">IFERROR(__xludf.DUMMYFUNCTION("""COMPUTED_VALUE"""),"TEC-AC-10002167")</f>
        <v>TEC-AC-10002167</v>
      </c>
      <c r="R183" s="1" t="str">
        <f ca="1">IFERROR(__xludf.DUMMYFUNCTION("""COMPUTED_VALUE"""),"Technology")</f>
        <v>Technology</v>
      </c>
      <c r="S183" s="7">
        <f ca="1">IFERROR(__xludf.DUMMYFUNCTION("""COMPUTED_VALUE"""),24)</f>
        <v>24</v>
      </c>
      <c r="T183" s="1">
        <f ca="1">IFERROR(__xludf.DUMMYFUNCTION("""COMPUTED_VALUE"""),4)</f>
        <v>4</v>
      </c>
      <c r="U183" s="9">
        <f ca="1">IFERROR(__xludf.DUMMYFUNCTION("""COMPUTED_VALUE"""),96)</f>
        <v>96</v>
      </c>
      <c r="V183" s="9">
        <f ca="1">IFERROR(__xludf.DUMMYFUNCTION("""COMPUTED_VALUE"""),93.12)</f>
        <v>93.12</v>
      </c>
      <c r="W183" s="12">
        <f ca="1">IFERROR(__xludf.DUMMYFUNCTION("""COMPUTED_VALUE"""),2.87999999999999)</f>
        <v>2.8799999999999901</v>
      </c>
    </row>
    <row r="184" spans="1:23" ht="13.2">
      <c r="A184" s="1" t="str">
        <f ca="1">IFERROR(__xludf.DUMMYFUNCTION("""COMPUTED_VALUE"""),"US-2016-157014")</f>
        <v>US-2016-157014</v>
      </c>
      <c r="B184" s="8">
        <f ca="1">IFERROR(__xludf.DUMMYFUNCTION("""COMPUTED_VALUE"""),42439)</f>
        <v>42439</v>
      </c>
      <c r="C184" s="1" t="str">
        <f ca="1">IFERROR(__xludf.DUMMYFUNCTION("""COMPUTED_VALUE"""),"Mar")</f>
        <v>Mar</v>
      </c>
      <c r="D184" s="1" t="str">
        <f ca="1">IFERROR(__xludf.DUMMYFUNCTION("""COMPUTED_VALUE"""),"Qtr 1")</f>
        <v>Qtr 1</v>
      </c>
      <c r="E184" s="1" t="str">
        <f ca="1">IFERROR(__xludf.DUMMYFUNCTION("""COMPUTED_VALUE"""),"6/10/2016")</f>
        <v>6/10/2016</v>
      </c>
      <c r="F184" s="1" t="str">
        <f ca="1">IFERROR(__xludf.DUMMYFUNCTION("""COMPUTED_VALUE"""),"Second Class")</f>
        <v>Second Class</v>
      </c>
      <c r="G184" s="1" t="str">
        <f ca="1">IFERROR(__xludf.DUMMYFUNCTION("""COMPUTED_VALUE"""),"BM-11785")</f>
        <v>BM-11785</v>
      </c>
      <c r="H184" s="1" t="str">
        <f ca="1">IFERROR(__xludf.DUMMYFUNCTION("""COMPUTED_VALUE"""),"Bryan")</f>
        <v>Bryan</v>
      </c>
      <c r="I184" s="1" t="str">
        <f ca="1">IFERROR(__xludf.DUMMYFUNCTION("""COMPUTED_VALUE"""),"Mills")</f>
        <v>Mills</v>
      </c>
      <c r="J184" s="1"/>
      <c r="K184" s="1" t="str">
        <f ca="1">IFERROR(__xludf.DUMMYFUNCTION("""COMPUTED_VALUE"""),"Consumer")</f>
        <v>Consumer</v>
      </c>
      <c r="L184" s="1" t="str">
        <f ca="1">IFERROR(__xludf.DUMMYFUNCTION("""COMPUTED_VALUE"""),"United States")</f>
        <v>United States</v>
      </c>
      <c r="M184" s="1" t="str">
        <f ca="1">IFERROR(__xludf.DUMMYFUNCTION("""COMPUTED_VALUE"""),"Columbus")</f>
        <v>Columbus</v>
      </c>
      <c r="N184" s="1" t="str">
        <f ca="1">IFERROR(__xludf.DUMMYFUNCTION("""COMPUTED_VALUE"""),"Ohio")</f>
        <v>Ohio</v>
      </c>
      <c r="O184" s="1">
        <f ca="1">IFERROR(__xludf.DUMMYFUNCTION("""COMPUTED_VALUE"""),43229)</f>
        <v>43229</v>
      </c>
      <c r="P184" s="1" t="str">
        <f ca="1">IFERROR(__xludf.DUMMYFUNCTION("""COMPUTED_VALUE"""),"East")</f>
        <v>East</v>
      </c>
      <c r="Q184" s="1" t="str">
        <f ca="1">IFERROR(__xludf.DUMMYFUNCTION("""COMPUTED_VALUE"""),"FUR-BO-10004409")</f>
        <v>FUR-BO-10004409</v>
      </c>
      <c r="R184" s="1" t="str">
        <f ca="1">IFERROR(__xludf.DUMMYFUNCTION("""COMPUTED_VALUE"""),"Furniture")</f>
        <v>Furniture</v>
      </c>
      <c r="S184" s="7">
        <f ca="1">IFERROR(__xludf.DUMMYFUNCTION("""COMPUTED_VALUE"""),35.49)</f>
        <v>35.49</v>
      </c>
      <c r="T184" s="1">
        <f ca="1">IFERROR(__xludf.DUMMYFUNCTION("""COMPUTED_VALUE"""),4)</f>
        <v>4</v>
      </c>
      <c r="U184" s="9">
        <f ca="1">IFERROR(__xludf.DUMMYFUNCTION("""COMPUTED_VALUE"""),141.96)</f>
        <v>141.96</v>
      </c>
      <c r="V184" s="9">
        <f ca="1">IFERROR(__xludf.DUMMYFUNCTION("""COMPUTED_VALUE"""),139.72)</f>
        <v>139.72</v>
      </c>
      <c r="W184" s="12">
        <f ca="1">IFERROR(__xludf.DUMMYFUNCTION("""COMPUTED_VALUE"""),2.24)</f>
        <v>2.2400000000000002</v>
      </c>
    </row>
    <row r="185" spans="1:23" ht="13.2">
      <c r="A185" s="1" t="str">
        <f ca="1">IFERROR(__xludf.DUMMYFUNCTION("""COMPUTED_VALUE"""),"US-2016-157014")</f>
        <v>US-2016-157014</v>
      </c>
      <c r="B185" s="8">
        <f ca="1">IFERROR(__xludf.DUMMYFUNCTION("""COMPUTED_VALUE"""),42439)</f>
        <v>42439</v>
      </c>
      <c r="C185" s="1" t="str">
        <f ca="1">IFERROR(__xludf.DUMMYFUNCTION("""COMPUTED_VALUE"""),"Mar")</f>
        <v>Mar</v>
      </c>
      <c r="D185" s="1" t="str">
        <f ca="1">IFERROR(__xludf.DUMMYFUNCTION("""COMPUTED_VALUE"""),"Qtr 1")</f>
        <v>Qtr 1</v>
      </c>
      <c r="E185" s="1" t="str">
        <f ca="1">IFERROR(__xludf.DUMMYFUNCTION("""COMPUTED_VALUE"""),"6/10/2016")</f>
        <v>6/10/2016</v>
      </c>
      <c r="F185" s="1" t="str">
        <f ca="1">IFERROR(__xludf.DUMMYFUNCTION("""COMPUTED_VALUE"""),"Second Class")</f>
        <v>Second Class</v>
      </c>
      <c r="G185" s="1" t="str">
        <f ca="1">IFERROR(__xludf.DUMMYFUNCTION("""COMPUTED_VALUE"""),"BM-11785")</f>
        <v>BM-11785</v>
      </c>
      <c r="H185" s="1" t="str">
        <f ca="1">IFERROR(__xludf.DUMMYFUNCTION("""COMPUTED_VALUE"""),"Bryan")</f>
        <v>Bryan</v>
      </c>
      <c r="I185" s="1" t="str">
        <f ca="1">IFERROR(__xludf.DUMMYFUNCTION("""COMPUTED_VALUE"""),"Mills")</f>
        <v>Mills</v>
      </c>
      <c r="J185" s="1"/>
      <c r="K185" s="1" t="str">
        <f ca="1">IFERROR(__xludf.DUMMYFUNCTION("""COMPUTED_VALUE"""),"Consumer")</f>
        <v>Consumer</v>
      </c>
      <c r="L185" s="1" t="str">
        <f ca="1">IFERROR(__xludf.DUMMYFUNCTION("""COMPUTED_VALUE"""),"United States")</f>
        <v>United States</v>
      </c>
      <c r="M185" s="1" t="str">
        <f ca="1">IFERROR(__xludf.DUMMYFUNCTION("""COMPUTED_VALUE"""),"Columbus")</f>
        <v>Columbus</v>
      </c>
      <c r="N185" s="1" t="str">
        <f ca="1">IFERROR(__xludf.DUMMYFUNCTION("""COMPUTED_VALUE"""),"Ohio")</f>
        <v>Ohio</v>
      </c>
      <c r="O185" s="1">
        <f ca="1">IFERROR(__xludf.DUMMYFUNCTION("""COMPUTED_VALUE"""),43229)</f>
        <v>43229</v>
      </c>
      <c r="P185" s="1" t="str">
        <f ca="1">IFERROR(__xludf.DUMMYFUNCTION("""COMPUTED_VALUE"""),"East")</f>
        <v>East</v>
      </c>
      <c r="Q185" s="1" t="str">
        <f ca="1">IFERROR(__xludf.DUMMYFUNCTION("""COMPUTED_VALUE"""),"TEC-AC-10000057")</f>
        <v>TEC-AC-10000057</v>
      </c>
      <c r="R185" s="1" t="str">
        <f ca="1">IFERROR(__xludf.DUMMYFUNCTION("""COMPUTED_VALUE"""),"Technology")</f>
        <v>Technology</v>
      </c>
      <c r="S185" s="7">
        <f ca="1">IFERROR(__xludf.DUMMYFUNCTION("""COMPUTED_VALUE"""),47.984)</f>
        <v>47.984000000000002</v>
      </c>
      <c r="T185" s="1">
        <f ca="1">IFERROR(__xludf.DUMMYFUNCTION("""COMPUTED_VALUE"""),4)</f>
        <v>4</v>
      </c>
      <c r="U185" s="9">
        <f ca="1">IFERROR(__xludf.DUMMYFUNCTION("""COMPUTED_VALUE"""),191.936)</f>
        <v>191.93600000000001</v>
      </c>
      <c r="V185" s="9">
        <f ca="1">IFERROR(__xludf.DUMMYFUNCTION("""COMPUTED_VALUE"""),187.96)</f>
        <v>187.96</v>
      </c>
      <c r="W185" s="12">
        <f ca="1">IFERROR(__xludf.DUMMYFUNCTION("""COMPUTED_VALUE"""),3.97599999999999)</f>
        <v>3.9759999999999902</v>
      </c>
    </row>
    <row r="186" spans="1:23" ht="13.2">
      <c r="A186" s="1" t="str">
        <f ca="1">IFERROR(__xludf.DUMMYFUNCTION("""COMPUTED_VALUE"""),"CA-2018-129567")</f>
        <v>CA-2018-129567</v>
      </c>
      <c r="B186" s="8">
        <f ca="1">IFERROR(__xludf.DUMMYFUNCTION("""COMPUTED_VALUE"""),43176)</f>
        <v>43176</v>
      </c>
      <c r="C186" s="1" t="str">
        <f ca="1">IFERROR(__xludf.DUMMYFUNCTION("""COMPUTED_VALUE"""),"Mar")</f>
        <v>Mar</v>
      </c>
      <c r="D186" s="1" t="str">
        <f ca="1">IFERROR(__xludf.DUMMYFUNCTION("""COMPUTED_VALUE"""),"Qtr 1")</f>
        <v>Qtr 1</v>
      </c>
      <c r="E186" s="1" t="str">
        <f ca="1">IFERROR(__xludf.DUMMYFUNCTION("""COMPUTED_VALUE"""),"21/03/2018")</f>
        <v>21/03/2018</v>
      </c>
      <c r="F186" s="1" t="str">
        <f ca="1">IFERROR(__xludf.DUMMYFUNCTION("""COMPUTED_VALUE"""),"Second Class")</f>
        <v>Second Class</v>
      </c>
      <c r="G186" s="1" t="str">
        <f ca="1">IFERROR(__xludf.DUMMYFUNCTION("""COMPUTED_VALUE"""),"CL-12565")</f>
        <v>CL-12565</v>
      </c>
      <c r="H186" s="1" t="str">
        <f ca="1">IFERROR(__xludf.DUMMYFUNCTION("""COMPUTED_VALUE"""),"Clay")</f>
        <v>Clay</v>
      </c>
      <c r="I186" s="1" t="str">
        <f ca="1">IFERROR(__xludf.DUMMYFUNCTION("""COMPUTED_VALUE"""),"Ludtke")</f>
        <v>Ludtke</v>
      </c>
      <c r="J186" s="1"/>
      <c r="K186" s="1" t="str">
        <f ca="1">IFERROR(__xludf.DUMMYFUNCTION("""COMPUTED_VALUE"""),"Consumer")</f>
        <v>Consumer</v>
      </c>
      <c r="L186" s="1" t="str">
        <f ca="1">IFERROR(__xludf.DUMMYFUNCTION("""COMPUTED_VALUE"""),"United States")</f>
        <v>United States</v>
      </c>
      <c r="M186" s="1" t="str">
        <f ca="1">IFERROR(__xludf.DUMMYFUNCTION("""COMPUTED_VALUE"""),"Lancaster")</f>
        <v>Lancaster</v>
      </c>
      <c r="N186" s="1" t="str">
        <f ca="1">IFERROR(__xludf.DUMMYFUNCTION("""COMPUTED_VALUE"""),"California")</f>
        <v>California</v>
      </c>
      <c r="O186" s="1">
        <f ca="1">IFERROR(__xludf.DUMMYFUNCTION("""COMPUTED_VALUE"""),93534)</f>
        <v>93534</v>
      </c>
      <c r="P186" s="1" t="str">
        <f ca="1">IFERROR(__xludf.DUMMYFUNCTION("""COMPUTED_VALUE"""),"West")</f>
        <v>West</v>
      </c>
      <c r="Q186" s="1" t="str">
        <f ca="1">IFERROR(__xludf.DUMMYFUNCTION("""COMPUTED_VALUE"""),"OFF-BI-10000014")</f>
        <v>OFF-BI-10000014</v>
      </c>
      <c r="R186" s="1" t="str">
        <f ca="1">IFERROR(__xludf.DUMMYFUNCTION("""COMPUTED_VALUE"""),"Office Supplies")</f>
        <v>Office Supplies</v>
      </c>
      <c r="S186" s="7">
        <f ca="1">IFERROR(__xludf.DUMMYFUNCTION("""COMPUTED_VALUE"""),17.456)</f>
        <v>17.456</v>
      </c>
      <c r="T186" s="1">
        <f ca="1">IFERROR(__xludf.DUMMYFUNCTION("""COMPUTED_VALUE"""),9)</f>
        <v>9</v>
      </c>
      <c r="U186" s="9">
        <f ca="1">IFERROR(__xludf.DUMMYFUNCTION("""COMPUTED_VALUE"""),157.103999999999)</f>
        <v>157.10399999999899</v>
      </c>
      <c r="V186" s="9">
        <f ca="1">IFERROR(__xludf.DUMMYFUNCTION("""COMPUTED_VALUE"""),152.64)</f>
        <v>152.63999999999999</v>
      </c>
      <c r="W186" s="12">
        <f ca="1">IFERROR(__xludf.DUMMYFUNCTION("""COMPUTED_VALUE"""),4.46399999999997)</f>
        <v>4.4639999999999702</v>
      </c>
    </row>
    <row r="187" spans="1:23" ht="13.2">
      <c r="A187" s="1" t="str">
        <f ca="1">IFERROR(__xludf.DUMMYFUNCTION("""COMPUTED_VALUE"""),"CA-2017-136133")</f>
        <v>CA-2017-136133</v>
      </c>
      <c r="B187" s="8">
        <f ca="1">IFERROR(__xludf.DUMMYFUNCTION("""COMPUTED_VALUE"""),42965)</f>
        <v>42965</v>
      </c>
      <c r="C187" s="1" t="str">
        <f ca="1">IFERROR(__xludf.DUMMYFUNCTION("""COMPUTED_VALUE"""),"Aug")</f>
        <v>Aug</v>
      </c>
      <c r="D187" s="1" t="str">
        <f ca="1">IFERROR(__xludf.DUMMYFUNCTION("""COMPUTED_VALUE"""),"Qtr 3")</f>
        <v>Qtr 3</v>
      </c>
      <c r="E187" s="1" t="str">
        <f ca="1">IFERROR(__xludf.DUMMYFUNCTION("""COMPUTED_VALUE"""),"23/08/2017")</f>
        <v>23/08/2017</v>
      </c>
      <c r="F187" s="1" t="str">
        <f ca="1">IFERROR(__xludf.DUMMYFUNCTION("""COMPUTED_VALUE"""),"Second Class")</f>
        <v>Second Class</v>
      </c>
      <c r="G187" s="1" t="str">
        <f ca="1">IFERROR(__xludf.DUMMYFUNCTION("""COMPUTED_VALUE"""),"HW-14935")</f>
        <v>HW-14935</v>
      </c>
      <c r="H187" s="1" t="str">
        <f ca="1">IFERROR(__xludf.DUMMYFUNCTION("""COMPUTED_VALUE"""),"Helen")</f>
        <v>Helen</v>
      </c>
      <c r="I187" s="1" t="str">
        <f ca="1">IFERROR(__xludf.DUMMYFUNCTION("""COMPUTED_VALUE"""),"Wasserman")</f>
        <v>Wasserman</v>
      </c>
      <c r="J187" s="1"/>
      <c r="K187" s="1" t="str">
        <f ca="1">IFERROR(__xludf.DUMMYFUNCTION("""COMPUTED_VALUE"""),"Corporate")</f>
        <v>Corporate</v>
      </c>
      <c r="L187" s="1" t="str">
        <f ca="1">IFERROR(__xludf.DUMMYFUNCTION("""COMPUTED_VALUE"""),"United States")</f>
        <v>United States</v>
      </c>
      <c r="M187" s="1" t="str">
        <f ca="1">IFERROR(__xludf.DUMMYFUNCTION("""COMPUTED_VALUE"""),"New York City")</f>
        <v>New York City</v>
      </c>
      <c r="N187" s="1" t="str">
        <f ca="1">IFERROR(__xludf.DUMMYFUNCTION("""COMPUTED_VALUE"""),"New York")</f>
        <v>New York</v>
      </c>
      <c r="O187" s="1">
        <f ca="1">IFERROR(__xludf.DUMMYFUNCTION("""COMPUTED_VALUE"""),10024)</f>
        <v>10024</v>
      </c>
      <c r="P187" s="1" t="str">
        <f ca="1">IFERROR(__xludf.DUMMYFUNCTION("""COMPUTED_VALUE"""),"East")</f>
        <v>East</v>
      </c>
      <c r="Q187" s="1" t="str">
        <f ca="1">IFERROR(__xludf.DUMMYFUNCTION("""COMPUTED_VALUE"""),"OFF-AP-10000576")</f>
        <v>OFF-AP-10000576</v>
      </c>
      <c r="R187" s="1" t="str">
        <f ca="1">IFERROR(__xludf.DUMMYFUNCTION("""COMPUTED_VALUE"""),"Office Supplies")</f>
        <v>Office Supplies</v>
      </c>
      <c r="S187" s="7">
        <f ca="1">IFERROR(__xludf.DUMMYFUNCTION("""COMPUTED_VALUE"""),355.32)</f>
        <v>355.32</v>
      </c>
      <c r="T187" s="1">
        <f ca="1">IFERROR(__xludf.DUMMYFUNCTION("""COMPUTED_VALUE"""),1)</f>
        <v>1</v>
      </c>
      <c r="U187" s="9">
        <f ca="1">IFERROR(__xludf.DUMMYFUNCTION("""COMPUTED_VALUE"""),355.32)</f>
        <v>355.32</v>
      </c>
      <c r="V187" s="9">
        <f ca="1">IFERROR(__xludf.DUMMYFUNCTION("""COMPUTED_VALUE"""),354.85)</f>
        <v>354.85</v>
      </c>
      <c r="W187" s="12">
        <f ca="1">IFERROR(__xludf.DUMMYFUNCTION("""COMPUTED_VALUE"""),0.46999999999997)</f>
        <v>0.46999999999997</v>
      </c>
    </row>
    <row r="188" spans="1:23" ht="13.2">
      <c r="A188" s="1" t="str">
        <f ca="1">IFERROR(__xludf.DUMMYFUNCTION("""COMPUTED_VALUE"""),"CA-2018-129462")</f>
        <v>CA-2018-129462</v>
      </c>
      <c r="B188" s="8">
        <f ca="1">IFERROR(__xludf.DUMMYFUNCTION("""COMPUTED_VALUE"""),43267)</f>
        <v>43267</v>
      </c>
      <c r="C188" s="1" t="str">
        <f ca="1">IFERROR(__xludf.DUMMYFUNCTION("""COMPUTED_VALUE"""),"Jun")</f>
        <v>Jun</v>
      </c>
      <c r="D188" s="1" t="str">
        <f ca="1">IFERROR(__xludf.DUMMYFUNCTION("""COMPUTED_VALUE"""),"Qtr 2")</f>
        <v>Qtr 2</v>
      </c>
      <c r="E188" s="1" t="str">
        <f ca="1">IFERROR(__xludf.DUMMYFUNCTION("""COMPUTED_VALUE"""),"21/06/2018")</f>
        <v>21/06/2018</v>
      </c>
      <c r="F188" s="1" t="str">
        <f ca="1">IFERROR(__xludf.DUMMYFUNCTION("""COMPUTED_VALUE"""),"Second Class")</f>
        <v>Second Class</v>
      </c>
      <c r="G188" s="1" t="str">
        <f ca="1">IFERROR(__xludf.DUMMYFUNCTION("""COMPUTED_VALUE"""),"JE-15745")</f>
        <v>JE-15745</v>
      </c>
      <c r="H188" s="1" t="str">
        <f ca="1">IFERROR(__xludf.DUMMYFUNCTION("""COMPUTED_VALUE"""),"Joel")</f>
        <v>Joel</v>
      </c>
      <c r="I188" s="1" t="str">
        <f ca="1">IFERROR(__xludf.DUMMYFUNCTION("""COMPUTED_VALUE"""),"Eaton")</f>
        <v>Eaton</v>
      </c>
      <c r="J188" s="1"/>
      <c r="K188" s="1" t="str">
        <f ca="1">IFERROR(__xludf.DUMMYFUNCTION("""COMPUTED_VALUE"""),"Consumer")</f>
        <v>Consumer</v>
      </c>
      <c r="L188" s="1" t="str">
        <f ca="1">IFERROR(__xludf.DUMMYFUNCTION("""COMPUTED_VALUE"""),"United States")</f>
        <v>United States</v>
      </c>
      <c r="M188" s="1" t="str">
        <f ca="1">IFERROR(__xludf.DUMMYFUNCTION("""COMPUTED_VALUE"""),"Florence")</f>
        <v>Florence</v>
      </c>
      <c r="N188" s="1" t="str">
        <f ca="1">IFERROR(__xludf.DUMMYFUNCTION("""COMPUTED_VALUE"""),"Kentucky")</f>
        <v>Kentucky</v>
      </c>
      <c r="O188" s="1">
        <f ca="1">IFERROR(__xludf.DUMMYFUNCTION("""COMPUTED_VALUE"""),41042)</f>
        <v>41042</v>
      </c>
      <c r="P188" s="1" t="str">
        <f ca="1">IFERROR(__xludf.DUMMYFUNCTION("""COMPUTED_VALUE"""),"South")</f>
        <v>South</v>
      </c>
      <c r="Q188" s="1" t="str">
        <f ca="1">IFERROR(__xludf.DUMMYFUNCTION("""COMPUTED_VALUE"""),"FUR-CH-10000665")</f>
        <v>FUR-CH-10000665</v>
      </c>
      <c r="R188" s="1" t="str">
        <f ca="1">IFERROR(__xludf.DUMMYFUNCTION("""COMPUTED_VALUE"""),"Furniture")</f>
        <v>Furniture</v>
      </c>
      <c r="S188" s="7">
        <f ca="1">IFERROR(__xludf.DUMMYFUNCTION("""COMPUTED_VALUE"""),301.96)</f>
        <v>301.95999999999998</v>
      </c>
      <c r="T188" s="1">
        <f ca="1">IFERROR(__xludf.DUMMYFUNCTION("""COMPUTED_VALUE"""),4)</f>
        <v>4</v>
      </c>
      <c r="U188" s="9">
        <f ca="1">IFERROR(__xludf.DUMMYFUNCTION("""COMPUTED_VALUE"""),1207.84)</f>
        <v>1207.8399999999999</v>
      </c>
      <c r="V188" s="9">
        <f ca="1">IFERROR(__xludf.DUMMYFUNCTION("""COMPUTED_VALUE"""),1206.52)</f>
        <v>1206.52</v>
      </c>
      <c r="W188" s="12">
        <f ca="1">IFERROR(__xludf.DUMMYFUNCTION("""COMPUTED_VALUE"""),1.31999999999993)</f>
        <v>1.3199999999999299</v>
      </c>
    </row>
    <row r="189" spans="1:23" ht="13.2">
      <c r="A189" s="1" t="str">
        <f ca="1">IFERROR(__xludf.DUMMYFUNCTION("""COMPUTED_VALUE"""),"CA-2018-129462")</f>
        <v>CA-2018-129462</v>
      </c>
      <c r="B189" s="8">
        <f ca="1">IFERROR(__xludf.DUMMYFUNCTION("""COMPUTED_VALUE"""),43267)</f>
        <v>43267</v>
      </c>
      <c r="C189" s="1" t="str">
        <f ca="1">IFERROR(__xludf.DUMMYFUNCTION("""COMPUTED_VALUE"""),"Jun")</f>
        <v>Jun</v>
      </c>
      <c r="D189" s="1" t="str">
        <f ca="1">IFERROR(__xludf.DUMMYFUNCTION("""COMPUTED_VALUE"""),"Qtr 2")</f>
        <v>Qtr 2</v>
      </c>
      <c r="E189" s="1" t="str">
        <f ca="1">IFERROR(__xludf.DUMMYFUNCTION("""COMPUTED_VALUE"""),"21/06/2018")</f>
        <v>21/06/2018</v>
      </c>
      <c r="F189" s="1" t="str">
        <f ca="1">IFERROR(__xludf.DUMMYFUNCTION("""COMPUTED_VALUE"""),"Second Class")</f>
        <v>Second Class</v>
      </c>
      <c r="G189" s="1" t="str">
        <f ca="1">IFERROR(__xludf.DUMMYFUNCTION("""COMPUTED_VALUE"""),"JE-15745")</f>
        <v>JE-15745</v>
      </c>
      <c r="H189" s="1" t="str">
        <f ca="1">IFERROR(__xludf.DUMMYFUNCTION("""COMPUTED_VALUE"""),"Joel")</f>
        <v>Joel</v>
      </c>
      <c r="I189" s="1" t="str">
        <f ca="1">IFERROR(__xludf.DUMMYFUNCTION("""COMPUTED_VALUE"""),"Eaton")</f>
        <v>Eaton</v>
      </c>
      <c r="J189" s="1"/>
      <c r="K189" s="1" t="str">
        <f ca="1">IFERROR(__xludf.DUMMYFUNCTION("""COMPUTED_VALUE"""),"Consumer")</f>
        <v>Consumer</v>
      </c>
      <c r="L189" s="1" t="str">
        <f ca="1">IFERROR(__xludf.DUMMYFUNCTION("""COMPUTED_VALUE"""),"United States")</f>
        <v>United States</v>
      </c>
      <c r="M189" s="1" t="str">
        <f ca="1">IFERROR(__xludf.DUMMYFUNCTION("""COMPUTED_VALUE"""),"Florence")</f>
        <v>Florence</v>
      </c>
      <c r="N189" s="1" t="str">
        <f ca="1">IFERROR(__xludf.DUMMYFUNCTION("""COMPUTED_VALUE"""),"Kentucky")</f>
        <v>Kentucky</v>
      </c>
      <c r="O189" s="1">
        <f ca="1">IFERROR(__xludf.DUMMYFUNCTION("""COMPUTED_VALUE"""),41042)</f>
        <v>41042</v>
      </c>
      <c r="P189" s="1" t="str">
        <f ca="1">IFERROR(__xludf.DUMMYFUNCTION("""COMPUTED_VALUE"""),"South")</f>
        <v>South</v>
      </c>
      <c r="Q189" s="1" t="str">
        <f ca="1">IFERROR(__xludf.DUMMYFUNCTION("""COMPUTED_VALUE"""),"OFF-AP-10003884")</f>
        <v>OFF-AP-10003884</v>
      </c>
      <c r="R189" s="1" t="str">
        <f ca="1">IFERROR(__xludf.DUMMYFUNCTION("""COMPUTED_VALUE"""),"Office Supplies")</f>
        <v>Office Supplies</v>
      </c>
      <c r="S189" s="7">
        <f ca="1">IFERROR(__xludf.DUMMYFUNCTION("""COMPUTED_VALUE"""),180.66)</f>
        <v>180.66</v>
      </c>
      <c r="T189" s="1">
        <f ca="1">IFERROR(__xludf.DUMMYFUNCTION("""COMPUTED_VALUE"""),4)</f>
        <v>4</v>
      </c>
      <c r="U189" s="9">
        <f ca="1">IFERROR(__xludf.DUMMYFUNCTION("""COMPUTED_VALUE"""),722.64)</f>
        <v>722.64</v>
      </c>
      <c r="V189" s="9">
        <f ca="1">IFERROR(__xludf.DUMMYFUNCTION("""COMPUTED_VALUE"""),721.4)</f>
        <v>721.4</v>
      </c>
      <c r="W189" s="12">
        <f ca="1">IFERROR(__xludf.DUMMYFUNCTION("""COMPUTED_VALUE"""),1.24)</f>
        <v>1.24</v>
      </c>
    </row>
    <row r="190" spans="1:23" ht="13.2">
      <c r="A190" s="1" t="str">
        <f ca="1">IFERROR(__xludf.DUMMYFUNCTION("""COMPUTED_VALUE"""),"CA-2018-129462")</f>
        <v>CA-2018-129462</v>
      </c>
      <c r="B190" s="8">
        <f ca="1">IFERROR(__xludf.DUMMYFUNCTION("""COMPUTED_VALUE"""),43267)</f>
        <v>43267</v>
      </c>
      <c r="C190" s="1" t="str">
        <f ca="1">IFERROR(__xludf.DUMMYFUNCTION("""COMPUTED_VALUE"""),"Jun")</f>
        <v>Jun</v>
      </c>
      <c r="D190" s="1" t="str">
        <f ca="1">IFERROR(__xludf.DUMMYFUNCTION("""COMPUTED_VALUE"""),"Qtr 2")</f>
        <v>Qtr 2</v>
      </c>
      <c r="E190" s="1" t="str">
        <f ca="1">IFERROR(__xludf.DUMMYFUNCTION("""COMPUTED_VALUE"""),"21/06/2018")</f>
        <v>21/06/2018</v>
      </c>
      <c r="F190" s="1" t="str">
        <f ca="1">IFERROR(__xludf.DUMMYFUNCTION("""COMPUTED_VALUE"""),"Second Class")</f>
        <v>Second Class</v>
      </c>
      <c r="G190" s="1" t="str">
        <f ca="1">IFERROR(__xludf.DUMMYFUNCTION("""COMPUTED_VALUE"""),"JE-15745")</f>
        <v>JE-15745</v>
      </c>
      <c r="H190" s="1" t="str">
        <f ca="1">IFERROR(__xludf.DUMMYFUNCTION("""COMPUTED_VALUE"""),"Joel")</f>
        <v>Joel</v>
      </c>
      <c r="I190" s="1" t="str">
        <f ca="1">IFERROR(__xludf.DUMMYFUNCTION("""COMPUTED_VALUE"""),"Eaton")</f>
        <v>Eaton</v>
      </c>
      <c r="J190" s="1"/>
      <c r="K190" s="1" t="str">
        <f ca="1">IFERROR(__xludf.DUMMYFUNCTION("""COMPUTED_VALUE"""),"Consumer")</f>
        <v>Consumer</v>
      </c>
      <c r="L190" s="1" t="str">
        <f ca="1">IFERROR(__xludf.DUMMYFUNCTION("""COMPUTED_VALUE"""),"United States")</f>
        <v>United States</v>
      </c>
      <c r="M190" s="1" t="str">
        <f ca="1">IFERROR(__xludf.DUMMYFUNCTION("""COMPUTED_VALUE"""),"Florence")</f>
        <v>Florence</v>
      </c>
      <c r="N190" s="1" t="str">
        <f ca="1">IFERROR(__xludf.DUMMYFUNCTION("""COMPUTED_VALUE"""),"Kentucky")</f>
        <v>Kentucky</v>
      </c>
      <c r="O190" s="1">
        <f ca="1">IFERROR(__xludf.DUMMYFUNCTION("""COMPUTED_VALUE"""),41042)</f>
        <v>41042</v>
      </c>
      <c r="P190" s="1" t="str">
        <f ca="1">IFERROR(__xludf.DUMMYFUNCTION("""COMPUTED_VALUE"""),"South")</f>
        <v>South</v>
      </c>
      <c r="Q190" s="1" t="str">
        <f ca="1">IFERROR(__xludf.DUMMYFUNCTION("""COMPUTED_VALUE"""),"TEC-PH-10001557")</f>
        <v>TEC-PH-10001557</v>
      </c>
      <c r="R190" s="1" t="str">
        <f ca="1">IFERROR(__xludf.DUMMYFUNCTION("""COMPUTED_VALUE"""),"Technology")</f>
        <v>Technology</v>
      </c>
      <c r="S190" s="7">
        <f ca="1">IFERROR(__xludf.DUMMYFUNCTION("""COMPUTED_VALUE"""),191.98)</f>
        <v>191.98</v>
      </c>
      <c r="T190" s="1">
        <f ca="1">IFERROR(__xludf.DUMMYFUNCTION("""COMPUTED_VALUE"""),4)</f>
        <v>4</v>
      </c>
      <c r="U190" s="9">
        <f ca="1">IFERROR(__xludf.DUMMYFUNCTION("""COMPUTED_VALUE"""),767.92)</f>
        <v>767.92</v>
      </c>
      <c r="V190" s="9">
        <f ca="1">IFERROR(__xludf.DUMMYFUNCTION("""COMPUTED_VALUE"""),767.88)</f>
        <v>767.88</v>
      </c>
      <c r="W190" s="12">
        <f ca="1">IFERROR(__xludf.DUMMYFUNCTION("""COMPUTED_VALUE"""),0.0399999999999636)</f>
        <v>3.9999999999963599E-2</v>
      </c>
    </row>
    <row r="191" spans="1:23" ht="13.2">
      <c r="A191" s="1" t="str">
        <f ca="1">IFERROR(__xludf.DUMMYFUNCTION("""COMPUTED_VALUE"""),"CA-2018-129462")</f>
        <v>CA-2018-129462</v>
      </c>
      <c r="B191" s="8">
        <f ca="1">IFERROR(__xludf.DUMMYFUNCTION("""COMPUTED_VALUE"""),43267)</f>
        <v>43267</v>
      </c>
      <c r="C191" s="1" t="str">
        <f ca="1">IFERROR(__xludf.DUMMYFUNCTION("""COMPUTED_VALUE"""),"Jun")</f>
        <v>Jun</v>
      </c>
      <c r="D191" s="1" t="str">
        <f ca="1">IFERROR(__xludf.DUMMYFUNCTION("""COMPUTED_VALUE"""),"Qtr 2")</f>
        <v>Qtr 2</v>
      </c>
      <c r="E191" s="1" t="str">
        <f ca="1">IFERROR(__xludf.DUMMYFUNCTION("""COMPUTED_VALUE"""),"21/06/2018")</f>
        <v>21/06/2018</v>
      </c>
      <c r="F191" s="1" t="str">
        <f ca="1">IFERROR(__xludf.DUMMYFUNCTION("""COMPUTED_VALUE"""),"Second Class")</f>
        <v>Second Class</v>
      </c>
      <c r="G191" s="1" t="str">
        <f ca="1">IFERROR(__xludf.DUMMYFUNCTION("""COMPUTED_VALUE"""),"JE-15745")</f>
        <v>JE-15745</v>
      </c>
      <c r="H191" s="1" t="str">
        <f ca="1">IFERROR(__xludf.DUMMYFUNCTION("""COMPUTED_VALUE"""),"Joel")</f>
        <v>Joel</v>
      </c>
      <c r="I191" s="1" t="str">
        <f ca="1">IFERROR(__xludf.DUMMYFUNCTION("""COMPUTED_VALUE"""),"Eaton")</f>
        <v>Eaton</v>
      </c>
      <c r="J191" s="1"/>
      <c r="K191" s="1" t="str">
        <f ca="1">IFERROR(__xludf.DUMMYFUNCTION("""COMPUTED_VALUE"""),"Consumer")</f>
        <v>Consumer</v>
      </c>
      <c r="L191" s="1" t="str">
        <f ca="1">IFERROR(__xludf.DUMMYFUNCTION("""COMPUTED_VALUE"""),"United States")</f>
        <v>United States</v>
      </c>
      <c r="M191" s="1" t="str">
        <f ca="1">IFERROR(__xludf.DUMMYFUNCTION("""COMPUTED_VALUE"""),"Florence")</f>
        <v>Florence</v>
      </c>
      <c r="N191" s="1" t="str">
        <f ca="1">IFERROR(__xludf.DUMMYFUNCTION("""COMPUTED_VALUE"""),"Kentucky")</f>
        <v>Kentucky</v>
      </c>
      <c r="O191" s="1">
        <f ca="1">IFERROR(__xludf.DUMMYFUNCTION("""COMPUTED_VALUE"""),41042)</f>
        <v>41042</v>
      </c>
      <c r="P191" s="1" t="str">
        <f ca="1">IFERROR(__xludf.DUMMYFUNCTION("""COMPUTED_VALUE"""),"South")</f>
        <v>South</v>
      </c>
      <c r="Q191" s="1" t="str">
        <f ca="1">IFERROR(__xludf.DUMMYFUNCTION("""COMPUTED_VALUE"""),"TEC-PH-10002085")</f>
        <v>TEC-PH-10002085</v>
      </c>
      <c r="R191" s="1" t="str">
        <f ca="1">IFERROR(__xludf.DUMMYFUNCTION("""COMPUTED_VALUE"""),"Technology")</f>
        <v>Technology</v>
      </c>
      <c r="S191" s="7">
        <f ca="1">IFERROR(__xludf.DUMMYFUNCTION("""COMPUTED_VALUE"""),65.99)</f>
        <v>65.989999999999995</v>
      </c>
      <c r="T191" s="1">
        <f ca="1">IFERROR(__xludf.DUMMYFUNCTION("""COMPUTED_VALUE"""),4)</f>
        <v>4</v>
      </c>
      <c r="U191" s="9">
        <f ca="1">IFERROR(__xludf.DUMMYFUNCTION("""COMPUTED_VALUE"""),263.96)</f>
        <v>263.95999999999998</v>
      </c>
      <c r="V191" s="9">
        <f ca="1">IFERROR(__xludf.DUMMYFUNCTION("""COMPUTED_VALUE"""),263.92)</f>
        <v>263.92</v>
      </c>
      <c r="W191" s="12">
        <f ca="1">IFERROR(__xludf.DUMMYFUNCTION("""COMPUTED_VALUE"""),0.0399999999999636)</f>
        <v>3.9999999999963599E-2</v>
      </c>
    </row>
    <row r="192" spans="1:23" ht="13.2">
      <c r="A192" s="1" t="str">
        <f ca="1">IFERROR(__xludf.DUMMYFUNCTION("""COMPUTED_VALUE"""),"US-2015-115987")</f>
        <v>US-2015-115987</v>
      </c>
      <c r="B192" s="8">
        <f ca="1">IFERROR(__xludf.DUMMYFUNCTION("""COMPUTED_VALUE"""),42225)</f>
        <v>42225</v>
      </c>
      <c r="C192" s="1" t="str">
        <f ca="1">IFERROR(__xludf.DUMMYFUNCTION("""COMPUTED_VALUE"""),"Aug")</f>
        <v>Aug</v>
      </c>
      <c r="D192" s="1" t="str">
        <f ca="1">IFERROR(__xludf.DUMMYFUNCTION("""COMPUTED_VALUE"""),"Qtr 3")</f>
        <v>Qtr 3</v>
      </c>
      <c r="E192" s="1" t="str">
        <f ca="1">IFERROR(__xludf.DUMMYFUNCTION("""COMPUTED_VALUE"""),"13/09/2015")</f>
        <v>13/09/2015</v>
      </c>
      <c r="F192" s="1" t="str">
        <f ca="1">IFERROR(__xludf.DUMMYFUNCTION("""COMPUTED_VALUE"""),"Second Class")</f>
        <v>Second Class</v>
      </c>
      <c r="G192" s="1" t="str">
        <f ca="1">IFERROR(__xludf.DUMMYFUNCTION("""COMPUTED_VALUE"""),"LH-17020")</f>
        <v>LH-17020</v>
      </c>
      <c r="H192" s="1" t="str">
        <f ca="1">IFERROR(__xludf.DUMMYFUNCTION("""COMPUTED_VALUE"""),"Lisa")</f>
        <v>Lisa</v>
      </c>
      <c r="I192" s="1" t="str">
        <f ca="1">IFERROR(__xludf.DUMMYFUNCTION("""COMPUTED_VALUE"""),"Hazard")</f>
        <v>Hazard</v>
      </c>
      <c r="J192" s="1"/>
      <c r="K192" s="1" t="str">
        <f ca="1">IFERROR(__xludf.DUMMYFUNCTION("""COMPUTED_VALUE"""),"Consumer")</f>
        <v>Consumer</v>
      </c>
      <c r="L192" s="1" t="str">
        <f ca="1">IFERROR(__xludf.DUMMYFUNCTION("""COMPUTED_VALUE"""),"United States")</f>
        <v>United States</v>
      </c>
      <c r="M192" s="1" t="str">
        <f ca="1">IFERROR(__xludf.DUMMYFUNCTION("""COMPUTED_VALUE"""),"Tyler")</f>
        <v>Tyler</v>
      </c>
      <c r="N192" s="1" t="str">
        <f ca="1">IFERROR(__xludf.DUMMYFUNCTION("""COMPUTED_VALUE"""),"Texas")</f>
        <v>Texas</v>
      </c>
      <c r="O192" s="1">
        <f ca="1">IFERROR(__xludf.DUMMYFUNCTION("""COMPUTED_VALUE"""),75701)</f>
        <v>75701</v>
      </c>
      <c r="P192" s="1" t="str">
        <f ca="1">IFERROR(__xludf.DUMMYFUNCTION("""COMPUTED_VALUE"""),"Central")</f>
        <v>Central</v>
      </c>
      <c r="Q192" s="1" t="str">
        <f ca="1">IFERROR(__xludf.DUMMYFUNCTION("""COMPUTED_VALUE"""),"OFF-BI-10001071")</f>
        <v>OFF-BI-10001071</v>
      </c>
      <c r="R192" s="1" t="str">
        <f ca="1">IFERROR(__xludf.DUMMYFUNCTION("""COMPUTED_VALUE"""),"Office Supplies")</f>
        <v>Office Supplies</v>
      </c>
      <c r="S192" s="7">
        <f ca="1">IFERROR(__xludf.DUMMYFUNCTION("""COMPUTED_VALUE"""),51.184)</f>
        <v>51.183999999999997</v>
      </c>
      <c r="T192" s="1">
        <f ca="1">IFERROR(__xludf.DUMMYFUNCTION("""COMPUTED_VALUE"""),7)</f>
        <v>7</v>
      </c>
      <c r="U192" s="9">
        <f ca="1">IFERROR(__xludf.DUMMYFUNCTION("""COMPUTED_VALUE"""),358.288)</f>
        <v>358.28800000000001</v>
      </c>
      <c r="V192" s="9">
        <f ca="1">IFERROR(__xludf.DUMMYFUNCTION("""COMPUTED_VALUE"""),357.14)</f>
        <v>357.14</v>
      </c>
      <c r="W192" s="12">
        <f ca="1">IFERROR(__xludf.DUMMYFUNCTION("""COMPUTED_VALUE"""),1.14799999999996)</f>
        <v>1.1479999999999599</v>
      </c>
    </row>
    <row r="193" spans="1:23" ht="13.2">
      <c r="A193" s="1" t="str">
        <f ca="1">IFERROR(__xludf.DUMMYFUNCTION("""COMPUTED_VALUE"""),"CA-2017-152534")</f>
        <v>CA-2017-152534</v>
      </c>
      <c r="B193" s="8">
        <f ca="1">IFERROR(__xludf.DUMMYFUNCTION("""COMPUTED_VALUE"""),42906)</f>
        <v>42906</v>
      </c>
      <c r="C193" s="1" t="str">
        <f ca="1">IFERROR(__xludf.DUMMYFUNCTION("""COMPUTED_VALUE"""),"Jun")</f>
        <v>Jun</v>
      </c>
      <c r="D193" s="1" t="str">
        <f ca="1">IFERROR(__xludf.DUMMYFUNCTION("""COMPUTED_VALUE"""),"Qtr 2")</f>
        <v>Qtr 2</v>
      </c>
      <c r="E193" s="1" t="str">
        <f ca="1">IFERROR(__xludf.DUMMYFUNCTION("""COMPUTED_VALUE"""),"25/06/2017")</f>
        <v>25/06/2017</v>
      </c>
      <c r="F193" s="1" t="str">
        <f ca="1">IFERROR(__xludf.DUMMYFUNCTION("""COMPUTED_VALUE"""),"Second Class")</f>
        <v>Second Class</v>
      </c>
      <c r="G193" s="1" t="str">
        <f ca="1">IFERROR(__xludf.DUMMYFUNCTION("""COMPUTED_VALUE"""),"DP-13105")</f>
        <v>DP-13105</v>
      </c>
      <c r="H193" s="1" t="str">
        <f ca="1">IFERROR(__xludf.DUMMYFUNCTION("""COMPUTED_VALUE"""),"Dave")</f>
        <v>Dave</v>
      </c>
      <c r="I193" s="1" t="str">
        <f ca="1">IFERROR(__xludf.DUMMYFUNCTION("""COMPUTED_VALUE"""),"Poirier")</f>
        <v>Poirier</v>
      </c>
      <c r="J193" s="1"/>
      <c r="K193" s="1" t="str">
        <f ca="1">IFERROR(__xludf.DUMMYFUNCTION("""COMPUTED_VALUE"""),"Corporate")</f>
        <v>Corporate</v>
      </c>
      <c r="L193" s="1" t="str">
        <f ca="1">IFERROR(__xludf.DUMMYFUNCTION("""COMPUTED_VALUE"""),"United States")</f>
        <v>United States</v>
      </c>
      <c r="M193" s="1" t="str">
        <f ca="1">IFERROR(__xludf.DUMMYFUNCTION("""COMPUTED_VALUE"""),"Salinas")</f>
        <v>Salinas</v>
      </c>
      <c r="N193" s="1" t="str">
        <f ca="1">IFERROR(__xludf.DUMMYFUNCTION("""COMPUTED_VALUE"""),"California")</f>
        <v>California</v>
      </c>
      <c r="O193" s="1">
        <f ca="1">IFERROR(__xludf.DUMMYFUNCTION("""COMPUTED_VALUE"""),93905)</f>
        <v>93905</v>
      </c>
      <c r="P193" s="1" t="str">
        <f ca="1">IFERROR(__xludf.DUMMYFUNCTION("""COMPUTED_VALUE"""),"West")</f>
        <v>West</v>
      </c>
      <c r="Q193" s="1" t="str">
        <f ca="1">IFERROR(__xludf.DUMMYFUNCTION("""COMPUTED_VALUE"""),"OFF-AR-10002335")</f>
        <v>OFF-AR-10002335</v>
      </c>
      <c r="R193" s="1" t="str">
        <f ca="1">IFERROR(__xludf.DUMMYFUNCTION("""COMPUTED_VALUE"""),"Office Supplies")</f>
        <v>Office Supplies</v>
      </c>
      <c r="S193" s="7">
        <f ca="1">IFERROR(__xludf.DUMMYFUNCTION("""COMPUTED_VALUE"""),5.16)</f>
        <v>5.16</v>
      </c>
      <c r="T193" s="1">
        <f ca="1">IFERROR(__xludf.DUMMYFUNCTION("""COMPUTED_VALUE"""),9)</f>
        <v>9</v>
      </c>
      <c r="U193" s="9">
        <f ca="1">IFERROR(__xludf.DUMMYFUNCTION("""COMPUTED_VALUE"""),46.44)</f>
        <v>46.44</v>
      </c>
      <c r="V193" s="9">
        <f ca="1">IFERROR(__xludf.DUMMYFUNCTION("""COMPUTED_VALUE"""),45.1799999999999)</f>
        <v>45.1799999999999</v>
      </c>
      <c r="W193" s="12">
        <f ca="1">IFERROR(__xludf.DUMMYFUNCTION("""COMPUTED_VALUE"""),1.26)</f>
        <v>1.26</v>
      </c>
    </row>
    <row r="194" spans="1:23" ht="13.2">
      <c r="A194" s="1" t="str">
        <f ca="1">IFERROR(__xludf.DUMMYFUNCTION("""COMPUTED_VALUE"""),"CA-2017-152534")</f>
        <v>CA-2017-152534</v>
      </c>
      <c r="B194" s="8">
        <f ca="1">IFERROR(__xludf.DUMMYFUNCTION("""COMPUTED_VALUE"""),42906)</f>
        <v>42906</v>
      </c>
      <c r="C194" s="1" t="str">
        <f ca="1">IFERROR(__xludf.DUMMYFUNCTION("""COMPUTED_VALUE"""),"Jun")</f>
        <v>Jun</v>
      </c>
      <c r="D194" s="1" t="str">
        <f ca="1">IFERROR(__xludf.DUMMYFUNCTION("""COMPUTED_VALUE"""),"Qtr 2")</f>
        <v>Qtr 2</v>
      </c>
      <c r="E194" s="1" t="str">
        <f ca="1">IFERROR(__xludf.DUMMYFUNCTION("""COMPUTED_VALUE"""),"25/06/2017")</f>
        <v>25/06/2017</v>
      </c>
      <c r="F194" s="1" t="str">
        <f ca="1">IFERROR(__xludf.DUMMYFUNCTION("""COMPUTED_VALUE"""),"Second Class")</f>
        <v>Second Class</v>
      </c>
      <c r="G194" s="1" t="str">
        <f ca="1">IFERROR(__xludf.DUMMYFUNCTION("""COMPUTED_VALUE"""),"DP-13105")</f>
        <v>DP-13105</v>
      </c>
      <c r="H194" s="1" t="str">
        <f ca="1">IFERROR(__xludf.DUMMYFUNCTION("""COMPUTED_VALUE"""),"Dave")</f>
        <v>Dave</v>
      </c>
      <c r="I194" s="1" t="str">
        <f ca="1">IFERROR(__xludf.DUMMYFUNCTION("""COMPUTED_VALUE"""),"Poirier")</f>
        <v>Poirier</v>
      </c>
      <c r="J194" s="1"/>
      <c r="K194" s="1" t="str">
        <f ca="1">IFERROR(__xludf.DUMMYFUNCTION("""COMPUTED_VALUE"""),"Corporate")</f>
        <v>Corporate</v>
      </c>
      <c r="L194" s="1" t="str">
        <f ca="1">IFERROR(__xludf.DUMMYFUNCTION("""COMPUTED_VALUE"""),"United States")</f>
        <v>United States</v>
      </c>
      <c r="M194" s="1" t="str">
        <f ca="1">IFERROR(__xludf.DUMMYFUNCTION("""COMPUTED_VALUE"""),"Salinas")</f>
        <v>Salinas</v>
      </c>
      <c r="N194" s="1" t="str">
        <f ca="1">IFERROR(__xludf.DUMMYFUNCTION("""COMPUTED_VALUE"""),"California")</f>
        <v>California</v>
      </c>
      <c r="O194" s="1">
        <f ca="1">IFERROR(__xludf.DUMMYFUNCTION("""COMPUTED_VALUE"""),93905)</f>
        <v>93905</v>
      </c>
      <c r="P194" s="1" t="str">
        <f ca="1">IFERROR(__xludf.DUMMYFUNCTION("""COMPUTED_VALUE"""),"West")</f>
        <v>West</v>
      </c>
      <c r="Q194" s="1" t="str">
        <f ca="1">IFERROR(__xludf.DUMMYFUNCTION("""COMPUTED_VALUE"""),"OFF-PA-10001870")</f>
        <v>OFF-PA-10001870</v>
      </c>
      <c r="R194" s="1" t="str">
        <f ca="1">IFERROR(__xludf.DUMMYFUNCTION("""COMPUTED_VALUE"""),"Office Supplies")</f>
        <v>Office Supplies</v>
      </c>
      <c r="S194" s="7">
        <f ca="1">IFERROR(__xludf.DUMMYFUNCTION("""COMPUTED_VALUE"""),38.88)</f>
        <v>38.880000000000003</v>
      </c>
      <c r="T194" s="1">
        <f ca="1">IFERROR(__xludf.DUMMYFUNCTION("""COMPUTED_VALUE"""),9)</f>
        <v>9</v>
      </c>
      <c r="U194" s="9">
        <f ca="1">IFERROR(__xludf.DUMMYFUNCTION("""COMPUTED_VALUE"""),349.92)</f>
        <v>349.92</v>
      </c>
      <c r="V194" s="9">
        <f ca="1">IFERROR(__xludf.DUMMYFUNCTION("""COMPUTED_VALUE"""),349.74)</f>
        <v>349.74</v>
      </c>
      <c r="W194" s="12">
        <f ca="1">IFERROR(__xludf.DUMMYFUNCTION("""COMPUTED_VALUE"""),0.180000000000006)</f>
        <v>0.18000000000000599</v>
      </c>
    </row>
    <row r="195" spans="1:23" ht="13.2">
      <c r="A195" s="1" t="str">
        <f ca="1">IFERROR(__xludf.DUMMYFUNCTION("""COMPUTED_VALUE"""),"CA-2017-134474")</f>
        <v>CA-2017-134474</v>
      </c>
      <c r="B195" s="8">
        <f ca="1">IFERROR(__xludf.DUMMYFUNCTION("""COMPUTED_VALUE"""),42856)</f>
        <v>42856</v>
      </c>
      <c r="C195" s="1" t="str">
        <f ca="1">IFERROR(__xludf.DUMMYFUNCTION("""COMPUTED_VALUE"""),"May")</f>
        <v>May</v>
      </c>
      <c r="D195" s="1" t="str">
        <f ca="1">IFERROR(__xludf.DUMMYFUNCTION("""COMPUTED_VALUE"""),"Qtr 2")</f>
        <v>Qtr 2</v>
      </c>
      <c r="E195" s="1" t="str">
        <f ca="1">IFERROR(__xludf.DUMMYFUNCTION("""COMPUTED_VALUE"""),"7/1/2017")</f>
        <v>7/1/2017</v>
      </c>
      <c r="F195" s="1" t="str">
        <f ca="1">IFERROR(__xludf.DUMMYFUNCTION("""COMPUTED_VALUE"""),"Second Class")</f>
        <v>Second Class</v>
      </c>
      <c r="G195" s="1" t="str">
        <f ca="1">IFERROR(__xludf.DUMMYFUNCTION("""COMPUTED_VALUE"""),"AJ-10795")</f>
        <v>AJ-10795</v>
      </c>
      <c r="H195" s="1" t="str">
        <f ca="1">IFERROR(__xludf.DUMMYFUNCTION("""COMPUTED_VALUE"""),"Anthony")</f>
        <v>Anthony</v>
      </c>
      <c r="I195" s="1" t="str">
        <f ca="1">IFERROR(__xludf.DUMMYFUNCTION("""COMPUTED_VALUE"""),"Johnson")</f>
        <v>Johnson</v>
      </c>
      <c r="J195" s="1"/>
      <c r="K195" s="1" t="str">
        <f ca="1">IFERROR(__xludf.DUMMYFUNCTION("""COMPUTED_VALUE"""),"Corporate")</f>
        <v>Corporate</v>
      </c>
      <c r="L195" s="1" t="str">
        <f ca="1">IFERROR(__xludf.DUMMYFUNCTION("""COMPUTED_VALUE"""),"United States")</f>
        <v>United States</v>
      </c>
      <c r="M195" s="1" t="str">
        <f ca="1">IFERROR(__xludf.DUMMYFUNCTION("""COMPUTED_VALUE"""),"Jacksonville")</f>
        <v>Jacksonville</v>
      </c>
      <c r="N195" s="1" t="str">
        <f ca="1">IFERROR(__xludf.DUMMYFUNCTION("""COMPUTED_VALUE"""),"Florida")</f>
        <v>Florida</v>
      </c>
      <c r="O195" s="1">
        <f ca="1">IFERROR(__xludf.DUMMYFUNCTION("""COMPUTED_VALUE"""),32216)</f>
        <v>32216</v>
      </c>
      <c r="P195" s="1" t="str">
        <f ca="1">IFERROR(__xludf.DUMMYFUNCTION("""COMPUTED_VALUE"""),"South")</f>
        <v>South</v>
      </c>
      <c r="Q195" s="1" t="str">
        <f ca="1">IFERROR(__xludf.DUMMYFUNCTION("""COMPUTED_VALUE"""),"TEC-AC-10001714")</f>
        <v>TEC-AC-10001714</v>
      </c>
      <c r="R195" s="1" t="str">
        <f ca="1">IFERROR(__xludf.DUMMYFUNCTION("""COMPUTED_VALUE"""),"Technology")</f>
        <v>Technology</v>
      </c>
      <c r="S195" s="7">
        <f ca="1">IFERROR(__xludf.DUMMYFUNCTION("""COMPUTED_VALUE"""),191.472)</f>
        <v>191.47200000000001</v>
      </c>
      <c r="T195" s="1">
        <f ca="1">IFERROR(__xludf.DUMMYFUNCTION("""COMPUTED_VALUE"""),3)</f>
        <v>3</v>
      </c>
      <c r="U195" s="9">
        <f ca="1">IFERROR(__xludf.DUMMYFUNCTION("""COMPUTED_VALUE"""),574.416)</f>
        <v>574.41600000000005</v>
      </c>
      <c r="V195" s="9">
        <f ca="1">IFERROR(__xludf.DUMMYFUNCTION("""COMPUTED_VALUE"""),571.98)</f>
        <v>571.98</v>
      </c>
      <c r="W195" s="12">
        <f ca="1">IFERROR(__xludf.DUMMYFUNCTION("""COMPUTED_VALUE"""),2.43600000000003)</f>
        <v>2.4360000000000301</v>
      </c>
    </row>
    <row r="196" spans="1:23" ht="13.2">
      <c r="A196" s="1" t="str">
        <f ca="1">IFERROR(__xludf.DUMMYFUNCTION("""COMPUTED_VALUE"""),"CA-2017-134474")</f>
        <v>CA-2017-134474</v>
      </c>
      <c r="B196" s="8">
        <f ca="1">IFERROR(__xludf.DUMMYFUNCTION("""COMPUTED_VALUE"""),42856)</f>
        <v>42856</v>
      </c>
      <c r="C196" s="1" t="str">
        <f ca="1">IFERROR(__xludf.DUMMYFUNCTION("""COMPUTED_VALUE"""),"May")</f>
        <v>May</v>
      </c>
      <c r="D196" s="1" t="str">
        <f ca="1">IFERROR(__xludf.DUMMYFUNCTION("""COMPUTED_VALUE"""),"Qtr 2")</f>
        <v>Qtr 2</v>
      </c>
      <c r="E196" s="1" t="str">
        <f ca="1">IFERROR(__xludf.DUMMYFUNCTION("""COMPUTED_VALUE"""),"7/1/2017")</f>
        <v>7/1/2017</v>
      </c>
      <c r="F196" s="1" t="str">
        <f ca="1">IFERROR(__xludf.DUMMYFUNCTION("""COMPUTED_VALUE"""),"Second Class")</f>
        <v>Second Class</v>
      </c>
      <c r="G196" s="1" t="str">
        <f ca="1">IFERROR(__xludf.DUMMYFUNCTION("""COMPUTED_VALUE"""),"AJ-10795")</f>
        <v>AJ-10795</v>
      </c>
      <c r="H196" s="1" t="str">
        <f ca="1">IFERROR(__xludf.DUMMYFUNCTION("""COMPUTED_VALUE"""),"Anthony")</f>
        <v>Anthony</v>
      </c>
      <c r="I196" s="1" t="str">
        <f ca="1">IFERROR(__xludf.DUMMYFUNCTION("""COMPUTED_VALUE"""),"Johnson")</f>
        <v>Johnson</v>
      </c>
      <c r="J196" s="1"/>
      <c r="K196" s="1" t="str">
        <f ca="1">IFERROR(__xludf.DUMMYFUNCTION("""COMPUTED_VALUE"""),"Corporate")</f>
        <v>Corporate</v>
      </c>
      <c r="L196" s="1" t="str">
        <f ca="1">IFERROR(__xludf.DUMMYFUNCTION("""COMPUTED_VALUE"""),"United States")</f>
        <v>United States</v>
      </c>
      <c r="M196" s="1" t="str">
        <f ca="1">IFERROR(__xludf.DUMMYFUNCTION("""COMPUTED_VALUE"""),"Jacksonville")</f>
        <v>Jacksonville</v>
      </c>
      <c r="N196" s="1" t="str">
        <f ca="1">IFERROR(__xludf.DUMMYFUNCTION("""COMPUTED_VALUE"""),"Florida")</f>
        <v>Florida</v>
      </c>
      <c r="O196" s="1">
        <f ca="1">IFERROR(__xludf.DUMMYFUNCTION("""COMPUTED_VALUE"""),32216)</f>
        <v>32216</v>
      </c>
      <c r="P196" s="1" t="str">
        <f ca="1">IFERROR(__xludf.DUMMYFUNCTION("""COMPUTED_VALUE"""),"South")</f>
        <v>South</v>
      </c>
      <c r="Q196" s="1" t="str">
        <f ca="1">IFERROR(__xludf.DUMMYFUNCTION("""COMPUTED_VALUE"""),"OFF-AR-10003958")</f>
        <v>OFF-AR-10003958</v>
      </c>
      <c r="R196" s="1" t="str">
        <f ca="1">IFERROR(__xludf.DUMMYFUNCTION("""COMPUTED_VALUE"""),"Office Supplies")</f>
        <v>Office Supplies</v>
      </c>
      <c r="S196" s="7">
        <f ca="1">IFERROR(__xludf.DUMMYFUNCTION("""COMPUTED_VALUE"""),5.248)</f>
        <v>5.2480000000000002</v>
      </c>
      <c r="T196" s="1">
        <f ca="1">IFERROR(__xludf.DUMMYFUNCTION("""COMPUTED_VALUE"""),3)</f>
        <v>3</v>
      </c>
      <c r="U196" s="9">
        <f ca="1">IFERROR(__xludf.DUMMYFUNCTION("""COMPUTED_VALUE"""),15.744)</f>
        <v>15.744</v>
      </c>
      <c r="V196" s="9">
        <f ca="1">IFERROR(__xludf.DUMMYFUNCTION("""COMPUTED_VALUE"""),13.41)</f>
        <v>13.41</v>
      </c>
      <c r="W196" s="12">
        <f ca="1">IFERROR(__xludf.DUMMYFUNCTION("""COMPUTED_VALUE"""),2.33399999999999)</f>
        <v>2.3339999999999899</v>
      </c>
    </row>
    <row r="197" spans="1:23" ht="13.2">
      <c r="A197" s="1" t="str">
        <f ca="1">IFERROR(__xludf.DUMMYFUNCTION("""COMPUTED_VALUE"""),"CA-2017-134474")</f>
        <v>CA-2017-134474</v>
      </c>
      <c r="B197" s="8">
        <f ca="1">IFERROR(__xludf.DUMMYFUNCTION("""COMPUTED_VALUE"""),42856)</f>
        <v>42856</v>
      </c>
      <c r="C197" s="1" t="str">
        <f ca="1">IFERROR(__xludf.DUMMYFUNCTION("""COMPUTED_VALUE"""),"May")</f>
        <v>May</v>
      </c>
      <c r="D197" s="1" t="str">
        <f ca="1">IFERROR(__xludf.DUMMYFUNCTION("""COMPUTED_VALUE"""),"Qtr 2")</f>
        <v>Qtr 2</v>
      </c>
      <c r="E197" s="1" t="str">
        <f ca="1">IFERROR(__xludf.DUMMYFUNCTION("""COMPUTED_VALUE"""),"7/1/2017")</f>
        <v>7/1/2017</v>
      </c>
      <c r="F197" s="1" t="str">
        <f ca="1">IFERROR(__xludf.DUMMYFUNCTION("""COMPUTED_VALUE"""),"Second Class")</f>
        <v>Second Class</v>
      </c>
      <c r="G197" s="1" t="str">
        <f ca="1">IFERROR(__xludf.DUMMYFUNCTION("""COMPUTED_VALUE"""),"AJ-10795")</f>
        <v>AJ-10795</v>
      </c>
      <c r="H197" s="1" t="str">
        <f ca="1">IFERROR(__xludf.DUMMYFUNCTION("""COMPUTED_VALUE"""),"Anthony")</f>
        <v>Anthony</v>
      </c>
      <c r="I197" s="1" t="str">
        <f ca="1">IFERROR(__xludf.DUMMYFUNCTION("""COMPUTED_VALUE"""),"Johnson")</f>
        <v>Johnson</v>
      </c>
      <c r="J197" s="1"/>
      <c r="K197" s="1" t="str">
        <f ca="1">IFERROR(__xludf.DUMMYFUNCTION("""COMPUTED_VALUE"""),"Corporate")</f>
        <v>Corporate</v>
      </c>
      <c r="L197" s="1" t="str">
        <f ca="1">IFERROR(__xludf.DUMMYFUNCTION("""COMPUTED_VALUE"""),"United States")</f>
        <v>United States</v>
      </c>
      <c r="M197" s="1" t="str">
        <f ca="1">IFERROR(__xludf.DUMMYFUNCTION("""COMPUTED_VALUE"""),"Jacksonville")</f>
        <v>Jacksonville</v>
      </c>
      <c r="N197" s="1" t="str">
        <f ca="1">IFERROR(__xludf.DUMMYFUNCTION("""COMPUTED_VALUE"""),"Florida")</f>
        <v>Florida</v>
      </c>
      <c r="O197" s="1">
        <f ca="1">IFERROR(__xludf.DUMMYFUNCTION("""COMPUTED_VALUE"""),32216)</f>
        <v>32216</v>
      </c>
      <c r="P197" s="1" t="str">
        <f ca="1">IFERROR(__xludf.DUMMYFUNCTION("""COMPUTED_VALUE"""),"South")</f>
        <v>South</v>
      </c>
      <c r="Q197" s="1" t="str">
        <f ca="1">IFERROR(__xludf.DUMMYFUNCTION("""COMPUTED_VALUE"""),"TEC-PH-10002923")</f>
        <v>TEC-PH-10002923</v>
      </c>
      <c r="R197" s="1" t="str">
        <f ca="1">IFERROR(__xludf.DUMMYFUNCTION("""COMPUTED_VALUE"""),"Technology")</f>
        <v>Technology</v>
      </c>
      <c r="S197" s="7">
        <f ca="1">IFERROR(__xludf.DUMMYFUNCTION("""COMPUTED_VALUE"""),59.184)</f>
        <v>59.183999999999997</v>
      </c>
      <c r="T197" s="1">
        <f ca="1">IFERROR(__xludf.DUMMYFUNCTION("""COMPUTED_VALUE"""),3)</f>
        <v>3</v>
      </c>
      <c r="U197" s="9">
        <f ca="1">IFERROR(__xludf.DUMMYFUNCTION("""COMPUTED_VALUE"""),177.552)</f>
        <v>177.55199999999999</v>
      </c>
      <c r="V197" s="9">
        <f ca="1">IFERROR(__xludf.DUMMYFUNCTION("""COMPUTED_VALUE"""),177.27)</f>
        <v>177.27</v>
      </c>
      <c r="W197" s="12">
        <f ca="1">IFERROR(__xludf.DUMMYFUNCTION("""COMPUTED_VALUE"""),0.281999999999982)</f>
        <v>0.28199999999998199</v>
      </c>
    </row>
    <row r="198" spans="1:23" ht="13.2">
      <c r="A198" s="1" t="str">
        <f ca="1">IFERROR(__xludf.DUMMYFUNCTION("""COMPUTED_VALUE"""),"CA-2018-111689")</f>
        <v>CA-2018-111689</v>
      </c>
      <c r="B198" s="8">
        <f ca="1">IFERROR(__xludf.DUMMYFUNCTION("""COMPUTED_VALUE"""),43434)</f>
        <v>43434</v>
      </c>
      <c r="C198" s="1" t="str">
        <f ca="1">IFERROR(__xludf.DUMMYFUNCTION("""COMPUTED_VALUE"""),"Nov")</f>
        <v>Nov</v>
      </c>
      <c r="D198" s="1" t="str">
        <f ca="1">IFERROR(__xludf.DUMMYFUNCTION("""COMPUTED_VALUE"""),"Qtr 4")</f>
        <v>Qtr 4</v>
      </c>
      <c r="E198" s="1" t="str">
        <f ca="1">IFERROR(__xludf.DUMMYFUNCTION("""COMPUTED_VALUE"""),"2/12/2018")</f>
        <v>2/12/2018</v>
      </c>
      <c r="F198" s="1" t="str">
        <f ca="1">IFERROR(__xludf.DUMMYFUNCTION("""COMPUTED_VALUE"""),"Second Class")</f>
        <v>Second Class</v>
      </c>
      <c r="G198" s="1" t="str">
        <f ca="1">IFERROR(__xludf.DUMMYFUNCTION("""COMPUTED_VALUE"""),"HP-14815")</f>
        <v>HP-14815</v>
      </c>
      <c r="H198" s="1" t="str">
        <f ca="1">IFERROR(__xludf.DUMMYFUNCTION("""COMPUTED_VALUE"""),"Harold")</f>
        <v>Harold</v>
      </c>
      <c r="I198" s="1" t="str">
        <f ca="1">IFERROR(__xludf.DUMMYFUNCTION("""COMPUTED_VALUE"""),"Pawlan")</f>
        <v>Pawlan</v>
      </c>
      <c r="J198" s="1"/>
      <c r="K198" s="1" t="str">
        <f ca="1">IFERROR(__xludf.DUMMYFUNCTION("""COMPUTED_VALUE"""),"Home Office")</f>
        <v>Home Office</v>
      </c>
      <c r="L198" s="1" t="str">
        <f ca="1">IFERROR(__xludf.DUMMYFUNCTION("""COMPUTED_VALUE"""),"United States")</f>
        <v>United States</v>
      </c>
      <c r="M198" s="1" t="str">
        <f ca="1">IFERROR(__xludf.DUMMYFUNCTION("""COMPUTED_VALUE"""),"New York City")</f>
        <v>New York City</v>
      </c>
      <c r="N198" s="1" t="str">
        <f ca="1">IFERROR(__xludf.DUMMYFUNCTION("""COMPUTED_VALUE"""),"New York")</f>
        <v>New York</v>
      </c>
      <c r="O198" s="1">
        <f ca="1">IFERROR(__xludf.DUMMYFUNCTION("""COMPUTED_VALUE"""),10024)</f>
        <v>10024</v>
      </c>
      <c r="P198" s="1" t="str">
        <f ca="1">IFERROR(__xludf.DUMMYFUNCTION("""COMPUTED_VALUE"""),"East")</f>
        <v>East</v>
      </c>
      <c r="Q198" s="1" t="str">
        <f ca="1">IFERROR(__xludf.DUMMYFUNCTION("""COMPUTED_VALUE"""),"OFF-BI-10003984")</f>
        <v>OFF-BI-10003984</v>
      </c>
      <c r="R198" s="1" t="str">
        <f ca="1">IFERROR(__xludf.DUMMYFUNCTION("""COMPUTED_VALUE"""),"Office Supplies")</f>
        <v>Office Supplies</v>
      </c>
      <c r="S198" s="7">
        <f ca="1">IFERROR(__xludf.DUMMYFUNCTION("""COMPUTED_VALUE"""),68.472)</f>
        <v>68.471999999999994</v>
      </c>
      <c r="T198" s="1">
        <f ca="1">IFERROR(__xludf.DUMMYFUNCTION("""COMPUTED_VALUE"""),1)</f>
        <v>1</v>
      </c>
      <c r="U198" s="9">
        <f ca="1">IFERROR(__xludf.DUMMYFUNCTION("""COMPUTED_VALUE"""),68.472)</f>
        <v>68.471999999999994</v>
      </c>
      <c r="V198" s="9">
        <f ca="1">IFERROR(__xludf.DUMMYFUNCTION("""COMPUTED_VALUE"""),68.14)</f>
        <v>68.14</v>
      </c>
      <c r="W198" s="12">
        <f ca="1">IFERROR(__xludf.DUMMYFUNCTION("""COMPUTED_VALUE"""),0.331999999999993)</f>
        <v>0.33199999999999302</v>
      </c>
    </row>
    <row r="199" spans="1:23" ht="13.2">
      <c r="A199" s="1" t="str">
        <f ca="1">IFERROR(__xludf.DUMMYFUNCTION("""COMPUTED_VALUE"""),"CA-2018-111689")</f>
        <v>CA-2018-111689</v>
      </c>
      <c r="B199" s="8">
        <f ca="1">IFERROR(__xludf.DUMMYFUNCTION("""COMPUTED_VALUE"""),43434)</f>
        <v>43434</v>
      </c>
      <c r="C199" s="1" t="str">
        <f ca="1">IFERROR(__xludf.DUMMYFUNCTION("""COMPUTED_VALUE"""),"Nov")</f>
        <v>Nov</v>
      </c>
      <c r="D199" s="1" t="str">
        <f ca="1">IFERROR(__xludf.DUMMYFUNCTION("""COMPUTED_VALUE"""),"Qtr 4")</f>
        <v>Qtr 4</v>
      </c>
      <c r="E199" s="1" t="str">
        <f ca="1">IFERROR(__xludf.DUMMYFUNCTION("""COMPUTED_VALUE"""),"2/12/2018")</f>
        <v>2/12/2018</v>
      </c>
      <c r="F199" s="1" t="str">
        <f ca="1">IFERROR(__xludf.DUMMYFUNCTION("""COMPUTED_VALUE"""),"Second Class")</f>
        <v>Second Class</v>
      </c>
      <c r="G199" s="1" t="str">
        <f ca="1">IFERROR(__xludf.DUMMYFUNCTION("""COMPUTED_VALUE"""),"HP-14815")</f>
        <v>HP-14815</v>
      </c>
      <c r="H199" s="1" t="str">
        <f ca="1">IFERROR(__xludf.DUMMYFUNCTION("""COMPUTED_VALUE"""),"Harold")</f>
        <v>Harold</v>
      </c>
      <c r="I199" s="1" t="str">
        <f ca="1">IFERROR(__xludf.DUMMYFUNCTION("""COMPUTED_VALUE"""),"Pawlan")</f>
        <v>Pawlan</v>
      </c>
      <c r="J199" s="1"/>
      <c r="K199" s="1" t="str">
        <f ca="1">IFERROR(__xludf.DUMMYFUNCTION("""COMPUTED_VALUE"""),"Home Office")</f>
        <v>Home Office</v>
      </c>
      <c r="L199" s="1" t="str">
        <f ca="1">IFERROR(__xludf.DUMMYFUNCTION("""COMPUTED_VALUE"""),"United States")</f>
        <v>United States</v>
      </c>
      <c r="M199" s="1" t="str">
        <f ca="1">IFERROR(__xludf.DUMMYFUNCTION("""COMPUTED_VALUE"""),"New York City")</f>
        <v>New York City</v>
      </c>
      <c r="N199" s="1" t="str">
        <f ca="1">IFERROR(__xludf.DUMMYFUNCTION("""COMPUTED_VALUE"""),"New York")</f>
        <v>New York</v>
      </c>
      <c r="O199" s="1">
        <f ca="1">IFERROR(__xludf.DUMMYFUNCTION("""COMPUTED_VALUE"""),10024)</f>
        <v>10024</v>
      </c>
      <c r="P199" s="1" t="str">
        <f ca="1">IFERROR(__xludf.DUMMYFUNCTION("""COMPUTED_VALUE"""),"East")</f>
        <v>East</v>
      </c>
      <c r="Q199" s="1" t="str">
        <f ca="1">IFERROR(__xludf.DUMMYFUNCTION("""COMPUTED_VALUE"""),"FUR-CH-10004287")</f>
        <v>FUR-CH-10004287</v>
      </c>
      <c r="R199" s="1" t="str">
        <f ca="1">IFERROR(__xludf.DUMMYFUNCTION("""COMPUTED_VALUE"""),"Furniture")</f>
        <v>Furniture</v>
      </c>
      <c r="S199" s="7">
        <f ca="1">IFERROR(__xludf.DUMMYFUNCTION("""COMPUTED_VALUE"""),1242.9)</f>
        <v>1242.9000000000001</v>
      </c>
      <c r="T199" s="1">
        <f ca="1">IFERROR(__xludf.DUMMYFUNCTION("""COMPUTED_VALUE"""),1)</f>
        <v>1</v>
      </c>
      <c r="U199" s="9">
        <f ca="1">IFERROR(__xludf.DUMMYFUNCTION("""COMPUTED_VALUE"""),1242.9)</f>
        <v>1242.9000000000001</v>
      </c>
      <c r="V199" s="9">
        <f ca="1">IFERROR(__xludf.DUMMYFUNCTION("""COMPUTED_VALUE"""),1242.58)</f>
        <v>1242.58</v>
      </c>
      <c r="W199" s="12">
        <f ca="1">IFERROR(__xludf.DUMMYFUNCTION("""COMPUTED_VALUE"""),0.320000000000163)</f>
        <v>0.32000000000016299</v>
      </c>
    </row>
    <row r="200" spans="1:23" ht="13.2">
      <c r="A200" s="1" t="str">
        <f ca="1">IFERROR(__xludf.DUMMYFUNCTION("""COMPUTED_VALUE"""),"CA-2016-143602")</f>
        <v>CA-2016-143602</v>
      </c>
      <c r="B200" s="8">
        <f ca="1">IFERROR(__xludf.DUMMYFUNCTION("""COMPUTED_VALUE"""),42485)</f>
        <v>42485</v>
      </c>
      <c r="C200" s="1" t="str">
        <f ca="1">IFERROR(__xludf.DUMMYFUNCTION("""COMPUTED_VALUE"""),"Apr")</f>
        <v>Apr</v>
      </c>
      <c r="D200" s="1" t="str">
        <f ca="1">IFERROR(__xludf.DUMMYFUNCTION("""COMPUTED_VALUE"""),"Qtr 2")</f>
        <v>Qtr 2</v>
      </c>
      <c r="E200" s="1" t="str">
        <f ca="1">IFERROR(__xludf.DUMMYFUNCTION("""COMPUTED_VALUE"""),"28/04/2016")</f>
        <v>28/04/2016</v>
      </c>
      <c r="F200" s="1" t="str">
        <f ca="1">IFERROR(__xludf.DUMMYFUNCTION("""COMPUTED_VALUE"""),"Second Class")</f>
        <v>Second Class</v>
      </c>
      <c r="G200" s="1" t="str">
        <f ca="1">IFERROR(__xludf.DUMMYFUNCTION("""COMPUTED_VALUE"""),"JS-15595")</f>
        <v>JS-15595</v>
      </c>
      <c r="H200" s="1" t="str">
        <f ca="1">IFERROR(__xludf.DUMMYFUNCTION("""COMPUTED_VALUE"""),"Jill")</f>
        <v>Jill</v>
      </c>
      <c r="I200" s="1" t="str">
        <f ca="1">IFERROR(__xludf.DUMMYFUNCTION("""COMPUTED_VALUE"""),"Stevenson")</f>
        <v>Stevenson</v>
      </c>
      <c r="J200" s="1"/>
      <c r="K200" s="1" t="str">
        <f ca="1">IFERROR(__xludf.DUMMYFUNCTION("""COMPUTED_VALUE"""),"Corporate")</f>
        <v>Corporate</v>
      </c>
      <c r="L200" s="1" t="str">
        <f ca="1">IFERROR(__xludf.DUMMYFUNCTION("""COMPUTED_VALUE"""),"United States")</f>
        <v>United States</v>
      </c>
      <c r="M200" s="1" t="str">
        <f ca="1">IFERROR(__xludf.DUMMYFUNCTION("""COMPUTED_VALUE"""),"Los Angeles")</f>
        <v>Los Angeles</v>
      </c>
      <c r="N200" s="1" t="str">
        <f ca="1">IFERROR(__xludf.DUMMYFUNCTION("""COMPUTED_VALUE"""),"California")</f>
        <v>California</v>
      </c>
      <c r="O200" s="1">
        <f ca="1">IFERROR(__xludf.DUMMYFUNCTION("""COMPUTED_VALUE"""),90045)</f>
        <v>90045</v>
      </c>
      <c r="P200" s="1" t="str">
        <f ca="1">IFERROR(__xludf.DUMMYFUNCTION("""COMPUTED_VALUE"""),"West")</f>
        <v>West</v>
      </c>
      <c r="Q200" s="1" t="str">
        <f ca="1">IFERROR(__xludf.DUMMYFUNCTION("""COMPUTED_VALUE"""),"OFF-BI-10002071")</f>
        <v>OFF-BI-10002071</v>
      </c>
      <c r="R200" s="1" t="str">
        <f ca="1">IFERROR(__xludf.DUMMYFUNCTION("""COMPUTED_VALUE"""),"Office Supplies")</f>
        <v>Office Supplies</v>
      </c>
      <c r="S200" s="7">
        <f ca="1">IFERROR(__xludf.DUMMYFUNCTION("""COMPUTED_VALUE"""),13.944)</f>
        <v>13.944000000000001</v>
      </c>
      <c r="T200" s="1">
        <f ca="1">IFERROR(__xludf.DUMMYFUNCTION("""COMPUTED_VALUE"""),9)</f>
        <v>9</v>
      </c>
      <c r="U200" s="9">
        <f ca="1">IFERROR(__xludf.DUMMYFUNCTION("""COMPUTED_VALUE"""),125.496)</f>
        <v>125.496</v>
      </c>
      <c r="V200" s="9">
        <f ca="1">IFERROR(__xludf.DUMMYFUNCTION("""COMPUTED_VALUE"""),122.67)</f>
        <v>122.67</v>
      </c>
      <c r="W200" s="12">
        <f ca="1">IFERROR(__xludf.DUMMYFUNCTION("""COMPUTED_VALUE"""),2.826)</f>
        <v>2.8260000000000001</v>
      </c>
    </row>
    <row r="201" spans="1:23" ht="13.2">
      <c r="A201" s="1" t="str">
        <f ca="1">IFERROR(__xludf.DUMMYFUNCTION("""COMPUTED_VALUE"""),"CA-2017-140634")</f>
        <v>CA-2017-140634</v>
      </c>
      <c r="B201" s="8">
        <f ca="1">IFERROR(__xludf.DUMMYFUNCTION("""COMPUTED_VALUE"""),42804)</f>
        <v>42804</v>
      </c>
      <c r="C201" s="1" t="str">
        <f ca="1">IFERROR(__xludf.DUMMYFUNCTION("""COMPUTED_VALUE"""),"Mar")</f>
        <v>Mar</v>
      </c>
      <c r="D201" s="1" t="str">
        <f ca="1">IFERROR(__xludf.DUMMYFUNCTION("""COMPUTED_VALUE"""),"Qtr 1")</f>
        <v>Qtr 1</v>
      </c>
      <c r="E201" s="1" t="str">
        <f ca="1">IFERROR(__xludf.DUMMYFUNCTION("""COMPUTED_VALUE"""),"6/10/2017")</f>
        <v>6/10/2017</v>
      </c>
      <c r="F201" s="1" t="str">
        <f ca="1">IFERROR(__xludf.DUMMYFUNCTION("""COMPUTED_VALUE"""),"Second Class")</f>
        <v>Second Class</v>
      </c>
      <c r="G201" s="1" t="str">
        <f ca="1">IFERROR(__xludf.DUMMYFUNCTION("""COMPUTED_VALUE"""),"HL-15040")</f>
        <v>HL-15040</v>
      </c>
      <c r="H201" s="1" t="str">
        <f ca="1">IFERROR(__xludf.DUMMYFUNCTION("""COMPUTED_VALUE"""),"Hunter")</f>
        <v>Hunter</v>
      </c>
      <c r="I201" s="1" t="str">
        <f ca="1">IFERROR(__xludf.DUMMYFUNCTION("""COMPUTED_VALUE"""),"Lopez")</f>
        <v>Lopez</v>
      </c>
      <c r="J201" s="1"/>
      <c r="K201" s="1" t="str">
        <f ca="1">IFERROR(__xludf.DUMMYFUNCTION("""COMPUTED_VALUE"""),"Consumer")</f>
        <v>Consumer</v>
      </c>
      <c r="L201" s="1" t="str">
        <f ca="1">IFERROR(__xludf.DUMMYFUNCTION("""COMPUTED_VALUE"""),"United States")</f>
        <v>United States</v>
      </c>
      <c r="M201" s="1" t="str">
        <f ca="1">IFERROR(__xludf.DUMMYFUNCTION("""COMPUTED_VALUE"""),"Houston")</f>
        <v>Houston</v>
      </c>
      <c r="N201" s="1" t="str">
        <f ca="1">IFERROR(__xludf.DUMMYFUNCTION("""COMPUTED_VALUE"""),"Texas")</f>
        <v>Texas</v>
      </c>
      <c r="O201" s="1">
        <f ca="1">IFERROR(__xludf.DUMMYFUNCTION("""COMPUTED_VALUE"""),77095)</f>
        <v>77095</v>
      </c>
      <c r="P201" s="1" t="str">
        <f ca="1">IFERROR(__xludf.DUMMYFUNCTION("""COMPUTED_VALUE"""),"Central")</f>
        <v>Central</v>
      </c>
      <c r="Q201" s="1" t="str">
        <f ca="1">IFERROR(__xludf.DUMMYFUNCTION("""COMPUTED_VALUE"""),"OFF-EN-10001099")</f>
        <v>OFF-EN-10001099</v>
      </c>
      <c r="R201" s="1" t="str">
        <f ca="1">IFERROR(__xludf.DUMMYFUNCTION("""COMPUTED_VALUE"""),"Office Supplies")</f>
        <v>Office Supplies</v>
      </c>
      <c r="S201" s="7">
        <f ca="1">IFERROR(__xludf.DUMMYFUNCTION("""COMPUTED_VALUE"""),15.648)</f>
        <v>15.648</v>
      </c>
      <c r="T201" s="1">
        <f ca="1">IFERROR(__xludf.DUMMYFUNCTION("""COMPUTED_VALUE"""),7)</f>
        <v>7</v>
      </c>
      <c r="U201" s="9">
        <f ca="1">IFERROR(__xludf.DUMMYFUNCTION("""COMPUTED_VALUE"""),109.536)</f>
        <v>109.536</v>
      </c>
      <c r="V201" s="9">
        <f ca="1">IFERROR(__xludf.DUMMYFUNCTION("""COMPUTED_VALUE"""),102.83)</f>
        <v>102.83</v>
      </c>
      <c r="W201" s="12">
        <f ca="1">IFERROR(__xludf.DUMMYFUNCTION("""COMPUTED_VALUE"""),6.706)</f>
        <v>6.7060000000000004</v>
      </c>
    </row>
    <row r="202" spans="1:23" ht="13.2">
      <c r="A202" s="1" t="str">
        <f ca="1">IFERROR(__xludf.DUMMYFUNCTION("""COMPUTED_VALUE"""),"CA-2018-160983")</f>
        <v>CA-2018-160983</v>
      </c>
      <c r="B202" s="8">
        <f ca="1">IFERROR(__xludf.DUMMYFUNCTION("""COMPUTED_VALUE"""),43402)</f>
        <v>43402</v>
      </c>
      <c r="C202" s="1" t="str">
        <f ca="1">IFERROR(__xludf.DUMMYFUNCTION("""COMPUTED_VALUE"""),"Oct")</f>
        <v>Oct</v>
      </c>
      <c r="D202" s="1" t="str">
        <f ca="1">IFERROR(__xludf.DUMMYFUNCTION("""COMPUTED_VALUE"""),"Qtr 4")</f>
        <v>Qtr 4</v>
      </c>
      <c r="E202" s="1" t="str">
        <f ca="1">IFERROR(__xludf.DUMMYFUNCTION("""COMPUTED_VALUE"""),"31/10/2018")</f>
        <v>31/10/2018</v>
      </c>
      <c r="F202" s="1" t="str">
        <f ca="1">IFERROR(__xludf.DUMMYFUNCTION("""COMPUTED_VALUE"""),"Second Class")</f>
        <v>Second Class</v>
      </c>
      <c r="G202" s="1" t="str">
        <f ca="1">IFERROR(__xludf.DUMMYFUNCTION("""COMPUTED_VALUE"""),"GB-14530")</f>
        <v>GB-14530</v>
      </c>
      <c r="H202" s="1" t="str">
        <f ca="1">IFERROR(__xludf.DUMMYFUNCTION("""COMPUTED_VALUE"""),"George")</f>
        <v>George</v>
      </c>
      <c r="I202" s="1" t="str">
        <f ca="1">IFERROR(__xludf.DUMMYFUNCTION("""COMPUTED_VALUE"""),"Bell")</f>
        <v>Bell</v>
      </c>
      <c r="J202" s="1"/>
      <c r="K202" s="1" t="str">
        <f ca="1">IFERROR(__xludf.DUMMYFUNCTION("""COMPUTED_VALUE"""),"Corporate")</f>
        <v>Corporate</v>
      </c>
      <c r="L202" s="1" t="str">
        <f ca="1">IFERROR(__xludf.DUMMYFUNCTION("""COMPUTED_VALUE"""),"United States")</f>
        <v>United States</v>
      </c>
      <c r="M202" s="1" t="str">
        <f ca="1">IFERROR(__xludf.DUMMYFUNCTION("""COMPUTED_VALUE"""),"Auburn")</f>
        <v>Auburn</v>
      </c>
      <c r="N202" s="1" t="str">
        <f ca="1">IFERROR(__xludf.DUMMYFUNCTION("""COMPUTED_VALUE"""),"New York")</f>
        <v>New York</v>
      </c>
      <c r="O202" s="1">
        <f ca="1">IFERROR(__xludf.DUMMYFUNCTION("""COMPUTED_VALUE"""),13021)</f>
        <v>13021</v>
      </c>
      <c r="P202" s="1" t="str">
        <f ca="1">IFERROR(__xludf.DUMMYFUNCTION("""COMPUTED_VALUE"""),"East")</f>
        <v>East</v>
      </c>
      <c r="Q202" s="1" t="str">
        <f ca="1">IFERROR(__xludf.DUMMYFUNCTION("""COMPUTED_VALUE"""),"OFF-PA-10002250")</f>
        <v>OFF-PA-10002250</v>
      </c>
      <c r="R202" s="1" t="str">
        <f ca="1">IFERROR(__xludf.DUMMYFUNCTION("""COMPUTED_VALUE"""),"Office Supplies")</f>
        <v>Office Supplies</v>
      </c>
      <c r="S202" s="7">
        <f ca="1">IFERROR(__xludf.DUMMYFUNCTION("""COMPUTED_VALUE"""),46.96)</f>
        <v>46.96</v>
      </c>
      <c r="T202" s="1">
        <f ca="1">IFERROR(__xludf.DUMMYFUNCTION("""COMPUTED_VALUE"""),1)</f>
        <v>1</v>
      </c>
      <c r="U202" s="9">
        <f ca="1">IFERROR(__xludf.DUMMYFUNCTION("""COMPUTED_VALUE"""),46.96)</f>
        <v>46.96</v>
      </c>
      <c r="V202" s="9">
        <f ca="1">IFERROR(__xludf.DUMMYFUNCTION("""COMPUTED_VALUE"""),46.9)</f>
        <v>46.9</v>
      </c>
      <c r="W202" s="12">
        <f ca="1">IFERROR(__xludf.DUMMYFUNCTION("""COMPUTED_VALUE"""),0.0600000000000022)</f>
        <v>6.0000000000002197E-2</v>
      </c>
    </row>
    <row r="203" spans="1:23" ht="13.2">
      <c r="A203" s="1" t="str">
        <f ca="1">IFERROR(__xludf.DUMMYFUNCTION("""COMPUTED_VALUE"""),"CA-2018-102414")</f>
        <v>CA-2018-102414</v>
      </c>
      <c r="B203" s="8">
        <f ca="1">IFERROR(__xludf.DUMMYFUNCTION("""COMPUTED_VALUE"""),43235)</f>
        <v>43235</v>
      </c>
      <c r="C203" s="1" t="str">
        <f ca="1">IFERROR(__xludf.DUMMYFUNCTION("""COMPUTED_VALUE"""),"May")</f>
        <v>May</v>
      </c>
      <c r="D203" s="1" t="str">
        <f ca="1">IFERROR(__xludf.DUMMYFUNCTION("""COMPUTED_VALUE"""),"Qtr 2")</f>
        <v>Qtr 2</v>
      </c>
      <c r="E203" s="1" t="str">
        <f ca="1">IFERROR(__xludf.DUMMYFUNCTION("""COMPUTED_VALUE"""),"18/05/2018")</f>
        <v>18/05/2018</v>
      </c>
      <c r="F203" s="1" t="str">
        <f ca="1">IFERROR(__xludf.DUMMYFUNCTION("""COMPUTED_VALUE"""),"Second Class")</f>
        <v>Second Class</v>
      </c>
      <c r="G203" s="1" t="str">
        <f ca="1">IFERROR(__xludf.DUMMYFUNCTION("""COMPUTED_VALUE"""),"JA-15970")</f>
        <v>JA-15970</v>
      </c>
      <c r="H203" s="1" t="str">
        <f ca="1">IFERROR(__xludf.DUMMYFUNCTION("""COMPUTED_VALUE"""),"Joseph")</f>
        <v>Joseph</v>
      </c>
      <c r="I203" s="1" t="str">
        <f ca="1">IFERROR(__xludf.DUMMYFUNCTION("""COMPUTED_VALUE"""),"Airdo")</f>
        <v>Airdo</v>
      </c>
      <c r="J203" s="1"/>
      <c r="K203" s="1" t="str">
        <f ca="1">IFERROR(__xludf.DUMMYFUNCTION("""COMPUTED_VALUE"""),"Consumer")</f>
        <v>Consumer</v>
      </c>
      <c r="L203" s="1" t="str">
        <f ca="1">IFERROR(__xludf.DUMMYFUNCTION("""COMPUTED_VALUE"""),"United States")</f>
        <v>United States</v>
      </c>
      <c r="M203" s="1" t="str">
        <f ca="1">IFERROR(__xludf.DUMMYFUNCTION("""COMPUTED_VALUE"""),"Phoenix")</f>
        <v>Phoenix</v>
      </c>
      <c r="N203" s="1" t="str">
        <f ca="1">IFERROR(__xludf.DUMMYFUNCTION("""COMPUTED_VALUE"""),"Arizona")</f>
        <v>Arizona</v>
      </c>
      <c r="O203" s="1">
        <f ca="1">IFERROR(__xludf.DUMMYFUNCTION("""COMPUTED_VALUE"""),85023)</f>
        <v>85023</v>
      </c>
      <c r="P203" s="1" t="str">
        <f ca="1">IFERROR(__xludf.DUMMYFUNCTION("""COMPUTED_VALUE"""),"West")</f>
        <v>West</v>
      </c>
      <c r="Q203" s="1" t="str">
        <f ca="1">IFERROR(__xludf.DUMMYFUNCTION("""COMPUTED_VALUE"""),"TEC-PH-10002923")</f>
        <v>TEC-PH-10002923</v>
      </c>
      <c r="R203" s="1" t="str">
        <f ca="1">IFERROR(__xludf.DUMMYFUNCTION("""COMPUTED_VALUE"""),"Technology")</f>
        <v>Technology</v>
      </c>
      <c r="S203" s="7">
        <f ca="1">IFERROR(__xludf.DUMMYFUNCTION("""COMPUTED_VALUE"""),29.592)</f>
        <v>29.591999999999999</v>
      </c>
      <c r="T203" s="1">
        <f ca="1">IFERROR(__xludf.DUMMYFUNCTION("""COMPUTED_VALUE"""),8)</f>
        <v>8</v>
      </c>
      <c r="U203" s="9">
        <f ca="1">IFERROR(__xludf.DUMMYFUNCTION("""COMPUTED_VALUE"""),236.736)</f>
        <v>236.73599999999999</v>
      </c>
      <c r="V203" s="9">
        <f ca="1">IFERROR(__xludf.DUMMYFUNCTION("""COMPUTED_VALUE"""),231.12)</f>
        <v>231.12</v>
      </c>
      <c r="W203" s="12">
        <f ca="1">IFERROR(__xludf.DUMMYFUNCTION("""COMPUTED_VALUE"""),5.61599999999998)</f>
        <v>5.6159999999999801</v>
      </c>
    </row>
    <row r="204" spans="1:23" ht="13.2">
      <c r="A204" s="1" t="str">
        <f ca="1">IFERROR(__xludf.DUMMYFUNCTION("""COMPUTED_VALUE"""),"CA-2018-102414")</f>
        <v>CA-2018-102414</v>
      </c>
      <c r="B204" s="8">
        <f ca="1">IFERROR(__xludf.DUMMYFUNCTION("""COMPUTED_VALUE"""),43235)</f>
        <v>43235</v>
      </c>
      <c r="C204" s="1" t="str">
        <f ca="1">IFERROR(__xludf.DUMMYFUNCTION("""COMPUTED_VALUE"""),"May")</f>
        <v>May</v>
      </c>
      <c r="D204" s="1" t="str">
        <f ca="1">IFERROR(__xludf.DUMMYFUNCTION("""COMPUTED_VALUE"""),"Qtr 2")</f>
        <v>Qtr 2</v>
      </c>
      <c r="E204" s="1" t="str">
        <f ca="1">IFERROR(__xludf.DUMMYFUNCTION("""COMPUTED_VALUE"""),"18/05/2018")</f>
        <v>18/05/2018</v>
      </c>
      <c r="F204" s="1" t="str">
        <f ca="1">IFERROR(__xludf.DUMMYFUNCTION("""COMPUTED_VALUE"""),"Second Class")</f>
        <v>Second Class</v>
      </c>
      <c r="G204" s="1" t="str">
        <f ca="1">IFERROR(__xludf.DUMMYFUNCTION("""COMPUTED_VALUE"""),"JA-15970")</f>
        <v>JA-15970</v>
      </c>
      <c r="H204" s="1" t="str">
        <f ca="1">IFERROR(__xludf.DUMMYFUNCTION("""COMPUTED_VALUE"""),"Joseph")</f>
        <v>Joseph</v>
      </c>
      <c r="I204" s="1" t="str">
        <f ca="1">IFERROR(__xludf.DUMMYFUNCTION("""COMPUTED_VALUE"""),"Airdo")</f>
        <v>Airdo</v>
      </c>
      <c r="J204" s="1"/>
      <c r="K204" s="1" t="str">
        <f ca="1">IFERROR(__xludf.DUMMYFUNCTION("""COMPUTED_VALUE"""),"Consumer")</f>
        <v>Consumer</v>
      </c>
      <c r="L204" s="1" t="str">
        <f ca="1">IFERROR(__xludf.DUMMYFUNCTION("""COMPUTED_VALUE"""),"United States")</f>
        <v>United States</v>
      </c>
      <c r="M204" s="1" t="str">
        <f ca="1">IFERROR(__xludf.DUMMYFUNCTION("""COMPUTED_VALUE"""),"Phoenix")</f>
        <v>Phoenix</v>
      </c>
      <c r="N204" s="1" t="str">
        <f ca="1">IFERROR(__xludf.DUMMYFUNCTION("""COMPUTED_VALUE"""),"Arizona")</f>
        <v>Arizona</v>
      </c>
      <c r="O204" s="1">
        <f ca="1">IFERROR(__xludf.DUMMYFUNCTION("""COMPUTED_VALUE"""),85023)</f>
        <v>85023</v>
      </c>
      <c r="P204" s="1" t="str">
        <f ca="1">IFERROR(__xludf.DUMMYFUNCTION("""COMPUTED_VALUE"""),"West")</f>
        <v>West</v>
      </c>
      <c r="Q204" s="1" t="str">
        <f ca="1">IFERROR(__xludf.DUMMYFUNCTION("""COMPUTED_VALUE"""),"OFF-BI-10004465")</f>
        <v>OFF-BI-10004465</v>
      </c>
      <c r="R204" s="1" t="str">
        <f ca="1">IFERROR(__xludf.DUMMYFUNCTION("""COMPUTED_VALUE"""),"Office Supplies")</f>
        <v>Office Supplies</v>
      </c>
      <c r="S204" s="7">
        <f ca="1">IFERROR(__xludf.DUMMYFUNCTION("""COMPUTED_VALUE"""),4.752)</f>
        <v>4.7519999999999998</v>
      </c>
      <c r="T204" s="1">
        <f ca="1">IFERROR(__xludf.DUMMYFUNCTION("""COMPUTED_VALUE"""),8)</f>
        <v>8</v>
      </c>
      <c r="U204" s="9">
        <f ca="1">IFERROR(__xludf.DUMMYFUNCTION("""COMPUTED_VALUE"""),38.016)</f>
        <v>38.015999999999998</v>
      </c>
      <c r="V204" s="9">
        <f ca="1">IFERROR(__xludf.DUMMYFUNCTION("""COMPUTED_VALUE"""),30.4)</f>
        <v>30.4</v>
      </c>
      <c r="W204" s="12">
        <f ca="1">IFERROR(__xludf.DUMMYFUNCTION("""COMPUTED_VALUE"""),7.616)</f>
        <v>7.6159999999999997</v>
      </c>
    </row>
    <row r="205" spans="1:23" ht="13.2">
      <c r="A205" s="1" t="str">
        <f ca="1">IFERROR(__xludf.DUMMYFUNCTION("""COMPUTED_VALUE"""),"CA-2018-102414")</f>
        <v>CA-2018-102414</v>
      </c>
      <c r="B205" s="8">
        <f ca="1">IFERROR(__xludf.DUMMYFUNCTION("""COMPUTED_VALUE"""),43235)</f>
        <v>43235</v>
      </c>
      <c r="C205" s="1" t="str">
        <f ca="1">IFERROR(__xludf.DUMMYFUNCTION("""COMPUTED_VALUE"""),"May")</f>
        <v>May</v>
      </c>
      <c r="D205" s="1" t="str">
        <f ca="1">IFERROR(__xludf.DUMMYFUNCTION("""COMPUTED_VALUE"""),"Qtr 2")</f>
        <v>Qtr 2</v>
      </c>
      <c r="E205" s="1" t="str">
        <f ca="1">IFERROR(__xludf.DUMMYFUNCTION("""COMPUTED_VALUE"""),"18/05/2018")</f>
        <v>18/05/2018</v>
      </c>
      <c r="F205" s="1" t="str">
        <f ca="1">IFERROR(__xludf.DUMMYFUNCTION("""COMPUTED_VALUE"""),"Second Class")</f>
        <v>Second Class</v>
      </c>
      <c r="G205" s="1" t="str">
        <f ca="1">IFERROR(__xludf.DUMMYFUNCTION("""COMPUTED_VALUE"""),"JA-15970")</f>
        <v>JA-15970</v>
      </c>
      <c r="H205" s="1" t="str">
        <f ca="1">IFERROR(__xludf.DUMMYFUNCTION("""COMPUTED_VALUE"""),"Joseph")</f>
        <v>Joseph</v>
      </c>
      <c r="I205" s="1" t="str">
        <f ca="1">IFERROR(__xludf.DUMMYFUNCTION("""COMPUTED_VALUE"""),"Airdo")</f>
        <v>Airdo</v>
      </c>
      <c r="J205" s="1"/>
      <c r="K205" s="1" t="str">
        <f ca="1">IFERROR(__xludf.DUMMYFUNCTION("""COMPUTED_VALUE"""),"Consumer")</f>
        <v>Consumer</v>
      </c>
      <c r="L205" s="1" t="str">
        <f ca="1">IFERROR(__xludf.DUMMYFUNCTION("""COMPUTED_VALUE"""),"United States")</f>
        <v>United States</v>
      </c>
      <c r="M205" s="1" t="str">
        <f ca="1">IFERROR(__xludf.DUMMYFUNCTION("""COMPUTED_VALUE"""),"Phoenix")</f>
        <v>Phoenix</v>
      </c>
      <c r="N205" s="1" t="str">
        <f ca="1">IFERROR(__xludf.DUMMYFUNCTION("""COMPUTED_VALUE"""),"Arizona")</f>
        <v>Arizona</v>
      </c>
      <c r="O205" s="1">
        <f ca="1">IFERROR(__xludf.DUMMYFUNCTION("""COMPUTED_VALUE"""),85023)</f>
        <v>85023</v>
      </c>
      <c r="P205" s="1" t="str">
        <f ca="1">IFERROR(__xludf.DUMMYFUNCTION("""COMPUTED_VALUE"""),"West")</f>
        <v>West</v>
      </c>
      <c r="Q205" s="1" t="str">
        <f ca="1">IFERROR(__xludf.DUMMYFUNCTION("""COMPUTED_VALUE"""),"OFF-PA-10002333")</f>
        <v>OFF-PA-10002333</v>
      </c>
      <c r="R205" s="1" t="str">
        <f ca="1">IFERROR(__xludf.DUMMYFUNCTION("""COMPUTED_VALUE"""),"Office Supplies")</f>
        <v>Office Supplies</v>
      </c>
      <c r="S205" s="7">
        <f ca="1">IFERROR(__xludf.DUMMYFUNCTION("""COMPUTED_VALUE"""),15.552)</f>
        <v>15.552</v>
      </c>
      <c r="T205" s="1">
        <f ca="1">IFERROR(__xludf.DUMMYFUNCTION("""COMPUTED_VALUE"""),8)</f>
        <v>8</v>
      </c>
      <c r="U205" s="9">
        <f ca="1">IFERROR(__xludf.DUMMYFUNCTION("""COMPUTED_VALUE"""),124.416)</f>
        <v>124.416</v>
      </c>
      <c r="V205" s="9">
        <f ca="1">IFERROR(__xludf.DUMMYFUNCTION("""COMPUTED_VALUE"""),124.4)</f>
        <v>124.4</v>
      </c>
      <c r="W205" s="12">
        <f ca="1">IFERROR(__xludf.DUMMYFUNCTION("""COMPUTED_VALUE"""),0.0159999999999911)</f>
        <v>1.5999999999991101E-2</v>
      </c>
    </row>
    <row r="206" spans="1:23" ht="13.2">
      <c r="A206" s="1" t="str">
        <f ca="1">IFERROR(__xludf.DUMMYFUNCTION("""COMPUTED_VALUE"""),"CA-2015-127488")</f>
        <v>CA-2015-127488</v>
      </c>
      <c r="B206" s="8">
        <f ca="1">IFERROR(__xludf.DUMMYFUNCTION("""COMPUTED_VALUE"""),42269)</f>
        <v>42269</v>
      </c>
      <c r="C206" s="1" t="str">
        <f ca="1">IFERROR(__xludf.DUMMYFUNCTION("""COMPUTED_VALUE"""),"Sep")</f>
        <v>Sep</v>
      </c>
      <c r="D206" s="1" t="str">
        <f ca="1">IFERROR(__xludf.DUMMYFUNCTION("""COMPUTED_VALUE"""),"Qtr 3")</f>
        <v>Qtr 3</v>
      </c>
      <c r="E206" s="1" t="str">
        <f ca="1">IFERROR(__xludf.DUMMYFUNCTION("""COMPUTED_VALUE"""),"24/09/2015")</f>
        <v>24/09/2015</v>
      </c>
      <c r="F206" s="1" t="str">
        <f ca="1">IFERROR(__xludf.DUMMYFUNCTION("""COMPUTED_VALUE"""),"Second Class")</f>
        <v>Second Class</v>
      </c>
      <c r="G206" s="1" t="str">
        <f ca="1">IFERROR(__xludf.DUMMYFUNCTION("""COMPUTED_VALUE"""),"MS-17365")</f>
        <v>MS-17365</v>
      </c>
      <c r="H206" s="1" t="str">
        <f ca="1">IFERROR(__xludf.DUMMYFUNCTION("""COMPUTED_VALUE"""),"Maribeth")</f>
        <v>Maribeth</v>
      </c>
      <c r="I206" s="1" t="str">
        <f ca="1">IFERROR(__xludf.DUMMYFUNCTION("""COMPUTED_VALUE"""),"Schnelling")</f>
        <v>Schnelling</v>
      </c>
      <c r="J206" s="1"/>
      <c r="K206" s="1" t="str">
        <f ca="1">IFERROR(__xludf.DUMMYFUNCTION("""COMPUTED_VALUE"""),"Consumer")</f>
        <v>Consumer</v>
      </c>
      <c r="L206" s="1" t="str">
        <f ca="1">IFERROR(__xludf.DUMMYFUNCTION("""COMPUTED_VALUE"""),"United States")</f>
        <v>United States</v>
      </c>
      <c r="M206" s="1" t="str">
        <f ca="1">IFERROR(__xludf.DUMMYFUNCTION("""COMPUTED_VALUE"""),"Boca Raton")</f>
        <v>Boca Raton</v>
      </c>
      <c r="N206" s="1" t="str">
        <f ca="1">IFERROR(__xludf.DUMMYFUNCTION("""COMPUTED_VALUE"""),"Florida")</f>
        <v>Florida</v>
      </c>
      <c r="O206" s="1">
        <f ca="1">IFERROR(__xludf.DUMMYFUNCTION("""COMPUTED_VALUE"""),33433)</f>
        <v>33433</v>
      </c>
      <c r="P206" s="1" t="str">
        <f ca="1">IFERROR(__xludf.DUMMYFUNCTION("""COMPUTED_VALUE"""),"South")</f>
        <v>South</v>
      </c>
      <c r="Q206" s="1" t="str">
        <f ca="1">IFERROR(__xludf.DUMMYFUNCTION("""COMPUTED_VALUE"""),"OFF-LA-10001613")</f>
        <v>OFF-LA-10001613</v>
      </c>
      <c r="R206" s="1" t="str">
        <f ca="1">IFERROR(__xludf.DUMMYFUNCTION("""COMPUTED_VALUE"""),"Office Supplies")</f>
        <v>Office Supplies</v>
      </c>
      <c r="S206" s="7">
        <f ca="1">IFERROR(__xludf.DUMMYFUNCTION("""COMPUTED_VALUE"""),4.608)</f>
        <v>4.6079999999999997</v>
      </c>
      <c r="T206" s="1">
        <f ca="1">IFERROR(__xludf.DUMMYFUNCTION("""COMPUTED_VALUE"""),3)</f>
        <v>3</v>
      </c>
      <c r="U206" s="9">
        <f ca="1">IFERROR(__xludf.DUMMYFUNCTION("""COMPUTED_VALUE"""),13.8239999999999)</f>
        <v>13.8239999999999</v>
      </c>
      <c r="V206" s="9">
        <f ca="1">IFERROR(__xludf.DUMMYFUNCTION("""COMPUTED_VALUE"""),11.1)</f>
        <v>11.1</v>
      </c>
      <c r="W206" s="12">
        <f ca="1">IFERROR(__xludf.DUMMYFUNCTION("""COMPUTED_VALUE"""),2.72399999999999)</f>
        <v>2.72399999999999</v>
      </c>
    </row>
    <row r="207" spans="1:23" ht="13.2">
      <c r="A207" s="1" t="str">
        <f ca="1">IFERROR(__xludf.DUMMYFUNCTION("""COMPUTED_VALUE"""),"CA-2015-115791")</f>
        <v>CA-2015-115791</v>
      </c>
      <c r="B207" s="8">
        <f ca="1">IFERROR(__xludf.DUMMYFUNCTION("""COMPUTED_VALUE"""),42020)</f>
        <v>42020</v>
      </c>
      <c r="C207" s="1" t="str">
        <f ca="1">IFERROR(__xludf.DUMMYFUNCTION("""COMPUTED_VALUE"""),"Jan")</f>
        <v>Jan</v>
      </c>
      <c r="D207" s="1" t="str">
        <f ca="1">IFERROR(__xludf.DUMMYFUNCTION("""COMPUTED_VALUE"""),"Qtr 1")</f>
        <v>Qtr 1</v>
      </c>
      <c r="E207" s="1" t="str">
        <f ca="1">IFERROR(__xludf.DUMMYFUNCTION("""COMPUTED_VALUE"""),"18/01/2015")</f>
        <v>18/01/2015</v>
      </c>
      <c r="F207" s="1" t="str">
        <f ca="1">IFERROR(__xludf.DUMMYFUNCTION("""COMPUTED_VALUE"""),"Second Class")</f>
        <v>Second Class</v>
      </c>
      <c r="G207" s="1" t="str">
        <f ca="1">IFERROR(__xludf.DUMMYFUNCTION("""COMPUTED_VALUE"""),"DL-13315")</f>
        <v>DL-13315</v>
      </c>
      <c r="H207" s="1" t="str">
        <f ca="1">IFERROR(__xludf.DUMMYFUNCTION("""COMPUTED_VALUE"""),"Delfina")</f>
        <v>Delfina</v>
      </c>
      <c r="I207" s="1" t="str">
        <f ca="1">IFERROR(__xludf.DUMMYFUNCTION("""COMPUTED_VALUE"""),"Latchford")</f>
        <v>Latchford</v>
      </c>
      <c r="J207" s="1"/>
      <c r="K207" s="1" t="str">
        <f ca="1">IFERROR(__xludf.DUMMYFUNCTION("""COMPUTED_VALUE"""),"Consumer")</f>
        <v>Consumer</v>
      </c>
      <c r="L207" s="1" t="str">
        <f ca="1">IFERROR(__xludf.DUMMYFUNCTION("""COMPUTED_VALUE"""),"United States")</f>
        <v>United States</v>
      </c>
      <c r="M207" s="1" t="str">
        <f ca="1">IFERROR(__xludf.DUMMYFUNCTION("""COMPUTED_VALUE"""),"Philadelphia")</f>
        <v>Philadelphia</v>
      </c>
      <c r="N207" s="1" t="str">
        <f ca="1">IFERROR(__xludf.DUMMYFUNCTION("""COMPUTED_VALUE"""),"Pennsylvania")</f>
        <v>Pennsylvania</v>
      </c>
      <c r="O207" s="1">
        <f ca="1">IFERROR(__xludf.DUMMYFUNCTION("""COMPUTED_VALUE"""),19134)</f>
        <v>19134</v>
      </c>
      <c r="P207" s="1" t="str">
        <f ca="1">IFERROR(__xludf.DUMMYFUNCTION("""COMPUTED_VALUE"""),"East")</f>
        <v>East</v>
      </c>
      <c r="Q207" s="1" t="str">
        <f ca="1">IFERROR(__xludf.DUMMYFUNCTION("""COMPUTED_VALUE"""),"FUR-FU-10001095")</f>
        <v>FUR-FU-10001095</v>
      </c>
      <c r="R207" s="1" t="str">
        <f ca="1">IFERROR(__xludf.DUMMYFUNCTION("""COMPUTED_VALUE"""),"Furniture")</f>
        <v>Furniture</v>
      </c>
      <c r="S207" s="7">
        <f ca="1">IFERROR(__xludf.DUMMYFUNCTION("""COMPUTED_VALUE"""),127.104)</f>
        <v>127.104</v>
      </c>
      <c r="T207" s="1">
        <f ca="1">IFERROR(__xludf.DUMMYFUNCTION("""COMPUTED_VALUE"""),1)</f>
        <v>1</v>
      </c>
      <c r="U207" s="9">
        <f ca="1">IFERROR(__xludf.DUMMYFUNCTION("""COMPUTED_VALUE"""),127.104)</f>
        <v>127.104</v>
      </c>
      <c r="V207" s="9">
        <f ca="1">IFERROR(__xludf.DUMMYFUNCTION("""COMPUTED_VALUE"""),126.74)</f>
        <v>126.74</v>
      </c>
      <c r="W207" s="12">
        <f ca="1">IFERROR(__xludf.DUMMYFUNCTION("""COMPUTED_VALUE"""),0.364000000000004)</f>
        <v>0.36400000000000399</v>
      </c>
    </row>
    <row r="208" spans="1:23" ht="13.2">
      <c r="A208" s="1" t="str">
        <f ca="1">IFERROR(__xludf.DUMMYFUNCTION("""COMPUTED_VALUE"""),"CA-2015-115791")</f>
        <v>CA-2015-115791</v>
      </c>
      <c r="B208" s="8">
        <f ca="1">IFERROR(__xludf.DUMMYFUNCTION("""COMPUTED_VALUE"""),42020)</f>
        <v>42020</v>
      </c>
      <c r="C208" s="1" t="str">
        <f ca="1">IFERROR(__xludf.DUMMYFUNCTION("""COMPUTED_VALUE"""),"Jan")</f>
        <v>Jan</v>
      </c>
      <c r="D208" s="1" t="str">
        <f ca="1">IFERROR(__xludf.DUMMYFUNCTION("""COMPUTED_VALUE"""),"Qtr 1")</f>
        <v>Qtr 1</v>
      </c>
      <c r="E208" s="1" t="str">
        <f ca="1">IFERROR(__xludf.DUMMYFUNCTION("""COMPUTED_VALUE"""),"18/01/2015")</f>
        <v>18/01/2015</v>
      </c>
      <c r="F208" s="1" t="str">
        <f ca="1">IFERROR(__xludf.DUMMYFUNCTION("""COMPUTED_VALUE"""),"Second Class")</f>
        <v>Second Class</v>
      </c>
      <c r="G208" s="1" t="str">
        <f ca="1">IFERROR(__xludf.DUMMYFUNCTION("""COMPUTED_VALUE"""),"DL-13315")</f>
        <v>DL-13315</v>
      </c>
      <c r="H208" s="1" t="str">
        <f ca="1">IFERROR(__xludf.DUMMYFUNCTION("""COMPUTED_VALUE"""),"Delfina")</f>
        <v>Delfina</v>
      </c>
      <c r="I208" s="1" t="str">
        <f ca="1">IFERROR(__xludf.DUMMYFUNCTION("""COMPUTED_VALUE"""),"Latchford")</f>
        <v>Latchford</v>
      </c>
      <c r="J208" s="1"/>
      <c r="K208" s="1" t="str">
        <f ca="1">IFERROR(__xludf.DUMMYFUNCTION("""COMPUTED_VALUE"""),"Consumer")</f>
        <v>Consumer</v>
      </c>
      <c r="L208" s="1" t="str">
        <f ca="1">IFERROR(__xludf.DUMMYFUNCTION("""COMPUTED_VALUE"""),"United States")</f>
        <v>United States</v>
      </c>
      <c r="M208" s="1" t="str">
        <f ca="1">IFERROR(__xludf.DUMMYFUNCTION("""COMPUTED_VALUE"""),"Philadelphia")</f>
        <v>Philadelphia</v>
      </c>
      <c r="N208" s="1" t="str">
        <f ca="1">IFERROR(__xludf.DUMMYFUNCTION("""COMPUTED_VALUE"""),"Pennsylvania")</f>
        <v>Pennsylvania</v>
      </c>
      <c r="O208" s="1">
        <f ca="1">IFERROR(__xludf.DUMMYFUNCTION("""COMPUTED_VALUE"""),19134)</f>
        <v>19134</v>
      </c>
      <c r="P208" s="1" t="str">
        <f ca="1">IFERROR(__xludf.DUMMYFUNCTION("""COMPUTED_VALUE"""),"East")</f>
        <v>East</v>
      </c>
      <c r="Q208" s="1" t="str">
        <f ca="1">IFERROR(__xludf.DUMMYFUNCTION("""COMPUTED_VALUE"""),"TEC-PH-10004614")</f>
        <v>TEC-PH-10004614</v>
      </c>
      <c r="R208" s="1" t="str">
        <f ca="1">IFERROR(__xludf.DUMMYFUNCTION("""COMPUTED_VALUE"""),"Technology")</f>
        <v>Technology</v>
      </c>
      <c r="S208" s="7">
        <f ca="1">IFERROR(__xludf.DUMMYFUNCTION("""COMPUTED_VALUE"""),124.2)</f>
        <v>124.2</v>
      </c>
      <c r="T208" s="1">
        <f ca="1">IFERROR(__xludf.DUMMYFUNCTION("""COMPUTED_VALUE"""),1)</f>
        <v>1</v>
      </c>
      <c r="U208" s="9">
        <f ca="1">IFERROR(__xludf.DUMMYFUNCTION("""COMPUTED_VALUE"""),124.2)</f>
        <v>124.2</v>
      </c>
      <c r="V208" s="9">
        <f ca="1">IFERROR(__xludf.DUMMYFUNCTION("""COMPUTED_VALUE"""),123.49)</f>
        <v>123.49</v>
      </c>
      <c r="W208" s="12">
        <f ca="1">IFERROR(__xludf.DUMMYFUNCTION("""COMPUTED_VALUE"""),0.710000000000008)</f>
        <v>0.71000000000000796</v>
      </c>
    </row>
    <row r="209" spans="1:23" ht="13.2">
      <c r="A209" s="1" t="str">
        <f ca="1">IFERROR(__xludf.DUMMYFUNCTION("""COMPUTED_VALUE"""),"CA-2015-115791")</f>
        <v>CA-2015-115791</v>
      </c>
      <c r="B209" s="8">
        <f ca="1">IFERROR(__xludf.DUMMYFUNCTION("""COMPUTED_VALUE"""),42020)</f>
        <v>42020</v>
      </c>
      <c r="C209" s="1" t="str">
        <f ca="1">IFERROR(__xludf.DUMMYFUNCTION("""COMPUTED_VALUE"""),"Jan")</f>
        <v>Jan</v>
      </c>
      <c r="D209" s="1" t="str">
        <f ca="1">IFERROR(__xludf.DUMMYFUNCTION("""COMPUTED_VALUE"""),"Qtr 1")</f>
        <v>Qtr 1</v>
      </c>
      <c r="E209" s="1" t="str">
        <f ca="1">IFERROR(__xludf.DUMMYFUNCTION("""COMPUTED_VALUE"""),"18/01/2015")</f>
        <v>18/01/2015</v>
      </c>
      <c r="F209" s="1" t="str">
        <f ca="1">IFERROR(__xludf.DUMMYFUNCTION("""COMPUTED_VALUE"""),"Second Class")</f>
        <v>Second Class</v>
      </c>
      <c r="G209" s="1" t="str">
        <f ca="1">IFERROR(__xludf.DUMMYFUNCTION("""COMPUTED_VALUE"""),"DL-13315")</f>
        <v>DL-13315</v>
      </c>
      <c r="H209" s="1" t="str">
        <f ca="1">IFERROR(__xludf.DUMMYFUNCTION("""COMPUTED_VALUE"""),"Delfina")</f>
        <v>Delfina</v>
      </c>
      <c r="I209" s="1" t="str">
        <f ca="1">IFERROR(__xludf.DUMMYFUNCTION("""COMPUTED_VALUE"""),"Latchford")</f>
        <v>Latchford</v>
      </c>
      <c r="J209" s="1"/>
      <c r="K209" s="1" t="str">
        <f ca="1">IFERROR(__xludf.DUMMYFUNCTION("""COMPUTED_VALUE"""),"Consumer")</f>
        <v>Consumer</v>
      </c>
      <c r="L209" s="1" t="str">
        <f ca="1">IFERROR(__xludf.DUMMYFUNCTION("""COMPUTED_VALUE"""),"United States")</f>
        <v>United States</v>
      </c>
      <c r="M209" s="1" t="str">
        <f ca="1">IFERROR(__xludf.DUMMYFUNCTION("""COMPUTED_VALUE"""),"Philadelphia")</f>
        <v>Philadelphia</v>
      </c>
      <c r="N209" s="1" t="str">
        <f ca="1">IFERROR(__xludf.DUMMYFUNCTION("""COMPUTED_VALUE"""),"Pennsylvania")</f>
        <v>Pennsylvania</v>
      </c>
      <c r="O209" s="1">
        <f ca="1">IFERROR(__xludf.DUMMYFUNCTION("""COMPUTED_VALUE"""),19134)</f>
        <v>19134</v>
      </c>
      <c r="P209" s="1" t="str">
        <f ca="1">IFERROR(__xludf.DUMMYFUNCTION("""COMPUTED_VALUE"""),"East")</f>
        <v>East</v>
      </c>
      <c r="Q209" s="1" t="str">
        <f ca="1">IFERROR(__xludf.DUMMYFUNCTION("""COMPUTED_VALUE"""),"OFF-BI-10001575")</f>
        <v>OFF-BI-10001575</v>
      </c>
      <c r="R209" s="1" t="str">
        <f ca="1">IFERROR(__xludf.DUMMYFUNCTION("""COMPUTED_VALUE"""),"Office Supplies")</f>
        <v>Office Supplies</v>
      </c>
      <c r="S209" s="7">
        <f ca="1">IFERROR(__xludf.DUMMYFUNCTION("""COMPUTED_VALUE"""),18.588)</f>
        <v>18.588000000000001</v>
      </c>
      <c r="T209" s="1">
        <f ca="1">IFERROR(__xludf.DUMMYFUNCTION("""COMPUTED_VALUE"""),1)</f>
        <v>1</v>
      </c>
      <c r="U209" s="9">
        <f ca="1">IFERROR(__xludf.DUMMYFUNCTION("""COMPUTED_VALUE"""),18.588)</f>
        <v>18.588000000000001</v>
      </c>
      <c r="V209" s="9">
        <f ca="1">IFERROR(__xludf.DUMMYFUNCTION("""COMPUTED_VALUE"""),18.21)</f>
        <v>18.21</v>
      </c>
      <c r="W209" s="12">
        <f ca="1">IFERROR(__xludf.DUMMYFUNCTION("""COMPUTED_VALUE"""),0.378)</f>
        <v>0.378</v>
      </c>
    </row>
    <row r="210" spans="1:23" ht="13.2">
      <c r="A210" s="1" t="str">
        <f ca="1">IFERROR(__xludf.DUMMYFUNCTION("""COMPUTED_VALUE"""),"CA-2015-115791")</f>
        <v>CA-2015-115791</v>
      </c>
      <c r="B210" s="8">
        <f ca="1">IFERROR(__xludf.DUMMYFUNCTION("""COMPUTED_VALUE"""),42020)</f>
        <v>42020</v>
      </c>
      <c r="C210" s="1" t="str">
        <f ca="1">IFERROR(__xludf.DUMMYFUNCTION("""COMPUTED_VALUE"""),"Jan")</f>
        <v>Jan</v>
      </c>
      <c r="D210" s="1" t="str">
        <f ca="1">IFERROR(__xludf.DUMMYFUNCTION("""COMPUTED_VALUE"""),"Qtr 1")</f>
        <v>Qtr 1</v>
      </c>
      <c r="E210" s="1" t="str">
        <f ca="1">IFERROR(__xludf.DUMMYFUNCTION("""COMPUTED_VALUE"""),"18/01/2015")</f>
        <v>18/01/2015</v>
      </c>
      <c r="F210" s="1" t="str">
        <f ca="1">IFERROR(__xludf.DUMMYFUNCTION("""COMPUTED_VALUE"""),"Second Class")</f>
        <v>Second Class</v>
      </c>
      <c r="G210" s="1" t="str">
        <f ca="1">IFERROR(__xludf.DUMMYFUNCTION("""COMPUTED_VALUE"""),"DL-13315")</f>
        <v>DL-13315</v>
      </c>
      <c r="H210" s="1" t="str">
        <f ca="1">IFERROR(__xludf.DUMMYFUNCTION("""COMPUTED_VALUE"""),"Delfina")</f>
        <v>Delfina</v>
      </c>
      <c r="I210" s="1" t="str">
        <f ca="1">IFERROR(__xludf.DUMMYFUNCTION("""COMPUTED_VALUE"""),"Latchford")</f>
        <v>Latchford</v>
      </c>
      <c r="J210" s="1"/>
      <c r="K210" s="1" t="str">
        <f ca="1">IFERROR(__xludf.DUMMYFUNCTION("""COMPUTED_VALUE"""),"Consumer")</f>
        <v>Consumer</v>
      </c>
      <c r="L210" s="1" t="str">
        <f ca="1">IFERROR(__xludf.DUMMYFUNCTION("""COMPUTED_VALUE"""),"United States")</f>
        <v>United States</v>
      </c>
      <c r="M210" s="1" t="str">
        <f ca="1">IFERROR(__xludf.DUMMYFUNCTION("""COMPUTED_VALUE"""),"Philadelphia")</f>
        <v>Philadelphia</v>
      </c>
      <c r="N210" s="1" t="str">
        <f ca="1">IFERROR(__xludf.DUMMYFUNCTION("""COMPUTED_VALUE"""),"Pennsylvania")</f>
        <v>Pennsylvania</v>
      </c>
      <c r="O210" s="1">
        <f ca="1">IFERROR(__xludf.DUMMYFUNCTION("""COMPUTED_VALUE"""),19134)</f>
        <v>19134</v>
      </c>
      <c r="P210" s="1" t="str">
        <f ca="1">IFERROR(__xludf.DUMMYFUNCTION("""COMPUTED_VALUE"""),"East")</f>
        <v>East</v>
      </c>
      <c r="Q210" s="1" t="str">
        <f ca="1">IFERROR(__xludf.DUMMYFUNCTION("""COMPUTED_VALUE"""),"OFF-LA-10001074")</f>
        <v>OFF-LA-10001074</v>
      </c>
      <c r="R210" s="1" t="str">
        <f ca="1">IFERROR(__xludf.DUMMYFUNCTION("""COMPUTED_VALUE"""),"Office Supplies")</f>
        <v>Office Supplies</v>
      </c>
      <c r="S210" s="7">
        <f ca="1">IFERROR(__xludf.DUMMYFUNCTION("""COMPUTED_VALUE"""),30.072)</f>
        <v>30.071999999999999</v>
      </c>
      <c r="T210" s="1">
        <f ca="1">IFERROR(__xludf.DUMMYFUNCTION("""COMPUTED_VALUE"""),1)</f>
        <v>1</v>
      </c>
      <c r="U210" s="9">
        <f ca="1">IFERROR(__xludf.DUMMYFUNCTION("""COMPUTED_VALUE"""),30.072)</f>
        <v>30.071999999999999</v>
      </c>
      <c r="V210" s="9">
        <f ca="1">IFERROR(__xludf.DUMMYFUNCTION("""COMPUTED_VALUE"""),29.51)</f>
        <v>29.51</v>
      </c>
      <c r="W210" s="12">
        <f ca="1">IFERROR(__xludf.DUMMYFUNCTION("""COMPUTED_VALUE"""),0.561999999999997)</f>
        <v>0.56199999999999695</v>
      </c>
    </row>
    <row r="211" spans="1:23" ht="13.2">
      <c r="A211" s="1" t="str">
        <f ca="1">IFERROR(__xludf.DUMMYFUNCTION("""COMPUTED_VALUE"""),"US-2018-103247")</f>
        <v>US-2018-103247</v>
      </c>
      <c r="B211" s="8">
        <f ca="1">IFERROR(__xludf.DUMMYFUNCTION("""COMPUTED_VALUE"""),43230)</f>
        <v>43230</v>
      </c>
      <c r="C211" s="1" t="str">
        <f ca="1">IFERROR(__xludf.DUMMYFUNCTION("""COMPUTED_VALUE"""),"May")</f>
        <v>May</v>
      </c>
      <c r="D211" s="1" t="str">
        <f ca="1">IFERROR(__xludf.DUMMYFUNCTION("""COMPUTED_VALUE"""),"Qtr 2")</f>
        <v>Qtr 2</v>
      </c>
      <c r="E211" s="1" t="str">
        <f ca="1">IFERROR(__xludf.DUMMYFUNCTION("""COMPUTED_VALUE"""),"8/10/2018")</f>
        <v>8/10/2018</v>
      </c>
      <c r="F211" s="1" t="str">
        <f ca="1">IFERROR(__xludf.DUMMYFUNCTION("""COMPUTED_VALUE"""),"Second Class")</f>
        <v>Second Class</v>
      </c>
      <c r="G211" s="1" t="str">
        <f ca="1">IFERROR(__xludf.DUMMYFUNCTION("""COMPUTED_VALUE"""),"PO-19195")</f>
        <v>PO-19195</v>
      </c>
      <c r="H211" s="1" t="str">
        <f ca="1">IFERROR(__xludf.DUMMYFUNCTION("""COMPUTED_VALUE"""),"Phillina")</f>
        <v>Phillina</v>
      </c>
      <c r="I211" s="1" t="str">
        <f ca="1">IFERROR(__xludf.DUMMYFUNCTION("""COMPUTED_VALUE"""),"Ober")</f>
        <v>Ober</v>
      </c>
      <c r="J211" s="1"/>
      <c r="K211" s="1" t="str">
        <f ca="1">IFERROR(__xludf.DUMMYFUNCTION("""COMPUTED_VALUE"""),"Home Office")</f>
        <v>Home Office</v>
      </c>
      <c r="L211" s="1" t="str">
        <f ca="1">IFERROR(__xludf.DUMMYFUNCTION("""COMPUTED_VALUE"""),"United States")</f>
        <v>United States</v>
      </c>
      <c r="M211" s="1" t="str">
        <f ca="1">IFERROR(__xludf.DUMMYFUNCTION("""COMPUTED_VALUE"""),"New York City")</f>
        <v>New York City</v>
      </c>
      <c r="N211" s="1" t="str">
        <f ca="1">IFERROR(__xludf.DUMMYFUNCTION("""COMPUTED_VALUE"""),"New York")</f>
        <v>New York</v>
      </c>
      <c r="O211" s="1">
        <f ca="1">IFERROR(__xludf.DUMMYFUNCTION("""COMPUTED_VALUE"""),10011)</f>
        <v>10011</v>
      </c>
      <c r="P211" s="1" t="str">
        <f ca="1">IFERROR(__xludf.DUMMYFUNCTION("""COMPUTED_VALUE"""),"East")</f>
        <v>East</v>
      </c>
      <c r="Q211" s="1" t="str">
        <f ca="1">IFERROR(__xludf.DUMMYFUNCTION("""COMPUTED_VALUE"""),"TEC-PH-10003555")</f>
        <v>TEC-PH-10003555</v>
      </c>
      <c r="R211" s="1" t="str">
        <f ca="1">IFERROR(__xludf.DUMMYFUNCTION("""COMPUTED_VALUE"""),"Technology")</f>
        <v>Technology</v>
      </c>
      <c r="S211" s="7">
        <f ca="1">IFERROR(__xludf.DUMMYFUNCTION("""COMPUTED_VALUE"""),160.93)</f>
        <v>160.93</v>
      </c>
      <c r="T211" s="1">
        <f ca="1">IFERROR(__xludf.DUMMYFUNCTION("""COMPUTED_VALUE"""),1)</f>
        <v>1</v>
      </c>
      <c r="U211" s="9">
        <f ca="1">IFERROR(__xludf.DUMMYFUNCTION("""COMPUTED_VALUE"""),160.93)</f>
        <v>160.93</v>
      </c>
      <c r="V211" s="9">
        <f ca="1">IFERROR(__xludf.DUMMYFUNCTION("""COMPUTED_VALUE"""),160.25)</f>
        <v>160.25</v>
      </c>
      <c r="W211" s="12">
        <f ca="1">IFERROR(__xludf.DUMMYFUNCTION("""COMPUTED_VALUE"""),0.680000000000006)</f>
        <v>0.68000000000000604</v>
      </c>
    </row>
    <row r="212" spans="1:23" ht="13.2">
      <c r="A212" s="1" t="str">
        <f ca="1">IFERROR(__xludf.DUMMYFUNCTION("""COMPUTED_VALUE"""),"US-2018-103247")</f>
        <v>US-2018-103247</v>
      </c>
      <c r="B212" s="8">
        <f ca="1">IFERROR(__xludf.DUMMYFUNCTION("""COMPUTED_VALUE"""),43230)</f>
        <v>43230</v>
      </c>
      <c r="C212" s="1" t="str">
        <f ca="1">IFERROR(__xludf.DUMMYFUNCTION("""COMPUTED_VALUE"""),"May")</f>
        <v>May</v>
      </c>
      <c r="D212" s="1" t="str">
        <f ca="1">IFERROR(__xludf.DUMMYFUNCTION("""COMPUTED_VALUE"""),"Qtr 2")</f>
        <v>Qtr 2</v>
      </c>
      <c r="E212" s="1" t="str">
        <f ca="1">IFERROR(__xludf.DUMMYFUNCTION("""COMPUTED_VALUE"""),"8/10/2018")</f>
        <v>8/10/2018</v>
      </c>
      <c r="F212" s="1" t="str">
        <f ca="1">IFERROR(__xludf.DUMMYFUNCTION("""COMPUTED_VALUE"""),"Second Class")</f>
        <v>Second Class</v>
      </c>
      <c r="G212" s="1" t="str">
        <f ca="1">IFERROR(__xludf.DUMMYFUNCTION("""COMPUTED_VALUE"""),"PO-19195")</f>
        <v>PO-19195</v>
      </c>
      <c r="H212" s="1" t="str">
        <f ca="1">IFERROR(__xludf.DUMMYFUNCTION("""COMPUTED_VALUE"""),"Phillina")</f>
        <v>Phillina</v>
      </c>
      <c r="I212" s="1" t="str">
        <f ca="1">IFERROR(__xludf.DUMMYFUNCTION("""COMPUTED_VALUE"""),"Ober")</f>
        <v>Ober</v>
      </c>
      <c r="J212" s="1"/>
      <c r="K212" s="1" t="str">
        <f ca="1">IFERROR(__xludf.DUMMYFUNCTION("""COMPUTED_VALUE"""),"Home Office")</f>
        <v>Home Office</v>
      </c>
      <c r="L212" s="1" t="str">
        <f ca="1">IFERROR(__xludf.DUMMYFUNCTION("""COMPUTED_VALUE"""),"United States")</f>
        <v>United States</v>
      </c>
      <c r="M212" s="1" t="str">
        <f ca="1">IFERROR(__xludf.DUMMYFUNCTION("""COMPUTED_VALUE"""),"New York City")</f>
        <v>New York City</v>
      </c>
      <c r="N212" s="1" t="str">
        <f ca="1">IFERROR(__xludf.DUMMYFUNCTION("""COMPUTED_VALUE"""),"New York")</f>
        <v>New York</v>
      </c>
      <c r="O212" s="1">
        <f ca="1">IFERROR(__xludf.DUMMYFUNCTION("""COMPUTED_VALUE"""),10011)</f>
        <v>10011</v>
      </c>
      <c r="P212" s="1" t="str">
        <f ca="1">IFERROR(__xludf.DUMMYFUNCTION("""COMPUTED_VALUE"""),"East")</f>
        <v>East</v>
      </c>
      <c r="Q212" s="1" t="str">
        <f ca="1">IFERROR(__xludf.DUMMYFUNCTION("""COMPUTED_VALUE"""),"OFF-BI-10004492")</f>
        <v>OFF-BI-10004492</v>
      </c>
      <c r="R212" s="1" t="str">
        <f ca="1">IFERROR(__xludf.DUMMYFUNCTION("""COMPUTED_VALUE"""),"Office Supplies")</f>
        <v>Office Supplies</v>
      </c>
      <c r="S212" s="7">
        <f ca="1">IFERROR(__xludf.DUMMYFUNCTION("""COMPUTED_VALUE"""),75.792)</f>
        <v>75.792000000000002</v>
      </c>
      <c r="T212" s="1">
        <f ca="1">IFERROR(__xludf.DUMMYFUNCTION("""COMPUTED_VALUE"""),1)</f>
        <v>1</v>
      </c>
      <c r="U212" s="9">
        <f ca="1">IFERROR(__xludf.DUMMYFUNCTION("""COMPUTED_VALUE"""),75.792)</f>
        <v>75.792000000000002</v>
      </c>
      <c r="V212" s="9">
        <f ca="1">IFERROR(__xludf.DUMMYFUNCTION("""COMPUTED_VALUE"""),75.6)</f>
        <v>75.599999999999994</v>
      </c>
      <c r="W212" s="12">
        <f ca="1">IFERROR(__xludf.DUMMYFUNCTION("""COMPUTED_VALUE"""),0.192000000000007)</f>
        <v>0.192000000000007</v>
      </c>
    </row>
    <row r="213" spans="1:23" ht="13.2">
      <c r="A213" s="1" t="str">
        <f ca="1">IFERROR(__xludf.DUMMYFUNCTION("""COMPUTED_VALUE"""),"CA-2015-163419")</f>
        <v>CA-2015-163419</v>
      </c>
      <c r="B213" s="8">
        <f ca="1">IFERROR(__xludf.DUMMYFUNCTION("""COMPUTED_VALUE"""),42319)</f>
        <v>42319</v>
      </c>
      <c r="C213" s="1" t="str">
        <f ca="1">IFERROR(__xludf.DUMMYFUNCTION("""COMPUTED_VALUE"""),"Nov")</f>
        <v>Nov</v>
      </c>
      <c r="D213" s="1" t="str">
        <f ca="1">IFERROR(__xludf.DUMMYFUNCTION("""COMPUTED_VALUE"""),"Qtr 4")</f>
        <v>Qtr 4</v>
      </c>
      <c r="E213" s="1" t="str">
        <f ca="1">IFERROR(__xludf.DUMMYFUNCTION("""COMPUTED_VALUE"""),"14/11/2015")</f>
        <v>14/11/2015</v>
      </c>
      <c r="F213" s="1" t="str">
        <f ca="1">IFERROR(__xludf.DUMMYFUNCTION("""COMPUTED_VALUE"""),"Second Class")</f>
        <v>Second Class</v>
      </c>
      <c r="G213" s="1" t="str">
        <f ca="1">IFERROR(__xludf.DUMMYFUNCTION("""COMPUTED_VALUE"""),"TZ-21580")</f>
        <v>TZ-21580</v>
      </c>
      <c r="H213" s="1" t="str">
        <f ca="1">IFERROR(__xludf.DUMMYFUNCTION("""COMPUTED_VALUE"""),"Tracy")</f>
        <v>Tracy</v>
      </c>
      <c r="I213" s="1" t="str">
        <f ca="1">IFERROR(__xludf.DUMMYFUNCTION("""COMPUTED_VALUE"""),"Zic")</f>
        <v>Zic</v>
      </c>
      <c r="J213" s="1"/>
      <c r="K213" s="1" t="str">
        <f ca="1">IFERROR(__xludf.DUMMYFUNCTION("""COMPUTED_VALUE"""),"Consumer")</f>
        <v>Consumer</v>
      </c>
      <c r="L213" s="1" t="str">
        <f ca="1">IFERROR(__xludf.DUMMYFUNCTION("""COMPUTED_VALUE"""),"United States")</f>
        <v>United States</v>
      </c>
      <c r="M213" s="1" t="str">
        <f ca="1">IFERROR(__xludf.DUMMYFUNCTION("""COMPUTED_VALUE"""),"Louisville")</f>
        <v>Louisville</v>
      </c>
      <c r="N213" s="1" t="str">
        <f ca="1">IFERROR(__xludf.DUMMYFUNCTION("""COMPUTED_VALUE"""),"Colorado")</f>
        <v>Colorado</v>
      </c>
      <c r="O213" s="1">
        <f ca="1">IFERROR(__xludf.DUMMYFUNCTION("""COMPUTED_VALUE"""),80027)</f>
        <v>80027</v>
      </c>
      <c r="P213" s="1" t="str">
        <f ca="1">IFERROR(__xludf.DUMMYFUNCTION("""COMPUTED_VALUE"""),"West")</f>
        <v>West</v>
      </c>
      <c r="Q213" s="1" t="str">
        <f ca="1">IFERROR(__xludf.DUMMYFUNCTION("""COMPUTED_VALUE"""),"OFF-AR-10000034")</f>
        <v>OFF-AR-10000034</v>
      </c>
      <c r="R213" s="1" t="str">
        <f ca="1">IFERROR(__xludf.DUMMYFUNCTION("""COMPUTED_VALUE"""),"Office Supplies")</f>
        <v>Office Supplies</v>
      </c>
      <c r="S213" s="7">
        <f ca="1">IFERROR(__xludf.DUMMYFUNCTION("""COMPUTED_VALUE"""),3.392)</f>
        <v>3.3919999999999999</v>
      </c>
      <c r="T213" s="1">
        <f ca="1">IFERROR(__xludf.DUMMYFUNCTION("""COMPUTED_VALUE"""),8)</f>
        <v>8</v>
      </c>
      <c r="U213" s="9">
        <f ca="1">IFERROR(__xludf.DUMMYFUNCTION("""COMPUTED_VALUE"""),27.136)</f>
        <v>27.135999999999999</v>
      </c>
      <c r="V213" s="9">
        <f ca="1">IFERROR(__xludf.DUMMYFUNCTION("""COMPUTED_VALUE"""),25.68)</f>
        <v>25.68</v>
      </c>
      <c r="W213" s="12">
        <f ca="1">IFERROR(__xludf.DUMMYFUNCTION("""COMPUTED_VALUE"""),1.45599999999999)</f>
        <v>1.45599999999999</v>
      </c>
    </row>
    <row r="214" spans="1:23" ht="13.2">
      <c r="A214" s="1" t="str">
        <f ca="1">IFERROR(__xludf.DUMMYFUNCTION("""COMPUTED_VALUE"""),"CA-2015-163419")</f>
        <v>CA-2015-163419</v>
      </c>
      <c r="B214" s="8">
        <f ca="1">IFERROR(__xludf.DUMMYFUNCTION("""COMPUTED_VALUE"""),42319)</f>
        <v>42319</v>
      </c>
      <c r="C214" s="1" t="str">
        <f ca="1">IFERROR(__xludf.DUMMYFUNCTION("""COMPUTED_VALUE"""),"Nov")</f>
        <v>Nov</v>
      </c>
      <c r="D214" s="1" t="str">
        <f ca="1">IFERROR(__xludf.DUMMYFUNCTION("""COMPUTED_VALUE"""),"Qtr 4")</f>
        <v>Qtr 4</v>
      </c>
      <c r="E214" s="1" t="str">
        <f ca="1">IFERROR(__xludf.DUMMYFUNCTION("""COMPUTED_VALUE"""),"14/11/2015")</f>
        <v>14/11/2015</v>
      </c>
      <c r="F214" s="1" t="str">
        <f ca="1">IFERROR(__xludf.DUMMYFUNCTION("""COMPUTED_VALUE"""),"Second Class")</f>
        <v>Second Class</v>
      </c>
      <c r="G214" s="1" t="str">
        <f ca="1">IFERROR(__xludf.DUMMYFUNCTION("""COMPUTED_VALUE"""),"TZ-21580")</f>
        <v>TZ-21580</v>
      </c>
      <c r="H214" s="1" t="str">
        <f ca="1">IFERROR(__xludf.DUMMYFUNCTION("""COMPUTED_VALUE"""),"Tracy")</f>
        <v>Tracy</v>
      </c>
      <c r="I214" s="1" t="str">
        <f ca="1">IFERROR(__xludf.DUMMYFUNCTION("""COMPUTED_VALUE"""),"Zic")</f>
        <v>Zic</v>
      </c>
      <c r="J214" s="1"/>
      <c r="K214" s="1" t="str">
        <f ca="1">IFERROR(__xludf.DUMMYFUNCTION("""COMPUTED_VALUE"""),"Consumer")</f>
        <v>Consumer</v>
      </c>
      <c r="L214" s="1" t="str">
        <f ca="1">IFERROR(__xludf.DUMMYFUNCTION("""COMPUTED_VALUE"""),"United States")</f>
        <v>United States</v>
      </c>
      <c r="M214" s="1" t="str">
        <f ca="1">IFERROR(__xludf.DUMMYFUNCTION("""COMPUTED_VALUE"""),"Louisville")</f>
        <v>Louisville</v>
      </c>
      <c r="N214" s="1" t="str">
        <f ca="1">IFERROR(__xludf.DUMMYFUNCTION("""COMPUTED_VALUE"""),"Colorado")</f>
        <v>Colorado</v>
      </c>
      <c r="O214" s="1">
        <f ca="1">IFERROR(__xludf.DUMMYFUNCTION("""COMPUTED_VALUE"""),80027)</f>
        <v>80027</v>
      </c>
      <c r="P214" s="1" t="str">
        <f ca="1">IFERROR(__xludf.DUMMYFUNCTION("""COMPUTED_VALUE"""),"West")</f>
        <v>West</v>
      </c>
      <c r="Q214" s="1" t="str">
        <f ca="1">IFERROR(__xludf.DUMMYFUNCTION("""COMPUTED_VALUE"""),"TEC-PH-10000560")</f>
        <v>TEC-PH-10000560</v>
      </c>
      <c r="R214" s="1" t="str">
        <f ca="1">IFERROR(__xludf.DUMMYFUNCTION("""COMPUTED_VALUE"""),"Technology")</f>
        <v>Technology</v>
      </c>
      <c r="S214" s="7">
        <f ca="1">IFERROR(__xludf.DUMMYFUNCTION("""COMPUTED_VALUE"""),559.984)</f>
        <v>559.98400000000004</v>
      </c>
      <c r="T214" s="1">
        <f ca="1">IFERROR(__xludf.DUMMYFUNCTION("""COMPUTED_VALUE"""),8)</f>
        <v>8</v>
      </c>
      <c r="U214" s="9">
        <f ca="1">IFERROR(__xludf.DUMMYFUNCTION("""COMPUTED_VALUE"""),4479.872)</f>
        <v>4479.8720000000003</v>
      </c>
      <c r="V214" s="9">
        <f ca="1">IFERROR(__xludf.DUMMYFUNCTION("""COMPUTED_VALUE"""),4476)</f>
        <v>4476</v>
      </c>
      <c r="W214" s="12">
        <f ca="1">IFERROR(__xludf.DUMMYFUNCTION("""COMPUTED_VALUE"""),3.87200000000029)</f>
        <v>3.8720000000002899</v>
      </c>
    </row>
    <row r="215" spans="1:23" ht="13.2">
      <c r="A215" s="1" t="str">
        <f ca="1">IFERROR(__xludf.DUMMYFUNCTION("""COMPUTED_VALUE"""),"CA-2015-163419")</f>
        <v>CA-2015-163419</v>
      </c>
      <c r="B215" s="8">
        <f ca="1">IFERROR(__xludf.DUMMYFUNCTION("""COMPUTED_VALUE"""),42319)</f>
        <v>42319</v>
      </c>
      <c r="C215" s="1" t="str">
        <f ca="1">IFERROR(__xludf.DUMMYFUNCTION("""COMPUTED_VALUE"""),"Nov")</f>
        <v>Nov</v>
      </c>
      <c r="D215" s="1" t="str">
        <f ca="1">IFERROR(__xludf.DUMMYFUNCTION("""COMPUTED_VALUE"""),"Qtr 4")</f>
        <v>Qtr 4</v>
      </c>
      <c r="E215" s="1" t="str">
        <f ca="1">IFERROR(__xludf.DUMMYFUNCTION("""COMPUTED_VALUE"""),"14/11/2015")</f>
        <v>14/11/2015</v>
      </c>
      <c r="F215" s="1" t="str">
        <f ca="1">IFERROR(__xludf.DUMMYFUNCTION("""COMPUTED_VALUE"""),"Second Class")</f>
        <v>Second Class</v>
      </c>
      <c r="G215" s="1" t="str">
        <f ca="1">IFERROR(__xludf.DUMMYFUNCTION("""COMPUTED_VALUE"""),"TZ-21580")</f>
        <v>TZ-21580</v>
      </c>
      <c r="H215" s="1" t="str">
        <f ca="1">IFERROR(__xludf.DUMMYFUNCTION("""COMPUTED_VALUE"""),"Tracy")</f>
        <v>Tracy</v>
      </c>
      <c r="I215" s="1" t="str">
        <f ca="1">IFERROR(__xludf.DUMMYFUNCTION("""COMPUTED_VALUE"""),"Zic")</f>
        <v>Zic</v>
      </c>
      <c r="J215" s="1"/>
      <c r="K215" s="1" t="str">
        <f ca="1">IFERROR(__xludf.DUMMYFUNCTION("""COMPUTED_VALUE"""),"Consumer")</f>
        <v>Consumer</v>
      </c>
      <c r="L215" s="1" t="str">
        <f ca="1">IFERROR(__xludf.DUMMYFUNCTION("""COMPUTED_VALUE"""),"United States")</f>
        <v>United States</v>
      </c>
      <c r="M215" s="1" t="str">
        <f ca="1">IFERROR(__xludf.DUMMYFUNCTION("""COMPUTED_VALUE"""),"Louisville")</f>
        <v>Louisville</v>
      </c>
      <c r="N215" s="1" t="str">
        <f ca="1">IFERROR(__xludf.DUMMYFUNCTION("""COMPUTED_VALUE"""),"Colorado")</f>
        <v>Colorado</v>
      </c>
      <c r="O215" s="1">
        <f ca="1">IFERROR(__xludf.DUMMYFUNCTION("""COMPUTED_VALUE"""),80027)</f>
        <v>80027</v>
      </c>
      <c r="P215" s="1" t="str">
        <f ca="1">IFERROR(__xludf.DUMMYFUNCTION("""COMPUTED_VALUE"""),"West")</f>
        <v>West</v>
      </c>
      <c r="Q215" s="1" t="str">
        <f ca="1">IFERROR(__xludf.DUMMYFUNCTION("""COMPUTED_VALUE"""),"FUR-CH-10000665")</f>
        <v>FUR-CH-10000665</v>
      </c>
      <c r="R215" s="1" t="str">
        <f ca="1">IFERROR(__xludf.DUMMYFUNCTION("""COMPUTED_VALUE"""),"Furniture")</f>
        <v>Furniture</v>
      </c>
      <c r="S215" s="7">
        <f ca="1">IFERROR(__xludf.DUMMYFUNCTION("""COMPUTED_VALUE"""),603.92)</f>
        <v>603.91999999999996</v>
      </c>
      <c r="T215" s="1">
        <f ca="1">IFERROR(__xludf.DUMMYFUNCTION("""COMPUTED_VALUE"""),8)</f>
        <v>8</v>
      </c>
      <c r="U215" s="9">
        <f ca="1">IFERROR(__xludf.DUMMYFUNCTION("""COMPUTED_VALUE"""),4831.36)</f>
        <v>4831.3599999999997</v>
      </c>
      <c r="V215" s="9">
        <f ca="1">IFERROR(__xludf.DUMMYFUNCTION("""COMPUTED_VALUE"""),4828.72)</f>
        <v>4828.72</v>
      </c>
      <c r="W215" s="12">
        <f ca="1">IFERROR(__xludf.DUMMYFUNCTION("""COMPUTED_VALUE"""),2.63999999999941)</f>
        <v>2.6399999999994099</v>
      </c>
    </row>
    <row r="216" spans="1:23" ht="13.2">
      <c r="A216" s="1" t="str">
        <f ca="1">IFERROR(__xludf.DUMMYFUNCTION("""COMPUTED_VALUE"""),"CA-2016-153549")</f>
        <v>CA-2016-153549</v>
      </c>
      <c r="B216" s="8">
        <f ca="1">IFERROR(__xludf.DUMMYFUNCTION("""COMPUTED_VALUE"""),42458)</f>
        <v>42458</v>
      </c>
      <c r="C216" s="1" t="str">
        <f ca="1">IFERROR(__xludf.DUMMYFUNCTION("""COMPUTED_VALUE"""),"Mar")</f>
        <v>Mar</v>
      </c>
      <c r="D216" s="1" t="str">
        <f ca="1">IFERROR(__xludf.DUMMYFUNCTION("""COMPUTED_VALUE"""),"Qtr 1")</f>
        <v>Qtr 1</v>
      </c>
      <c r="E216" s="1" t="str">
        <f ca="1">IFERROR(__xludf.DUMMYFUNCTION("""COMPUTED_VALUE"""),"31/03/2016")</f>
        <v>31/03/2016</v>
      </c>
      <c r="F216" s="1" t="str">
        <f ca="1">IFERROR(__xludf.DUMMYFUNCTION("""COMPUTED_VALUE"""),"Second Class")</f>
        <v>Second Class</v>
      </c>
      <c r="G216" s="1" t="str">
        <f ca="1">IFERROR(__xludf.DUMMYFUNCTION("""COMPUTED_VALUE"""),"SL-20155")</f>
        <v>SL-20155</v>
      </c>
      <c r="H216" s="1" t="str">
        <f ca="1">IFERROR(__xludf.DUMMYFUNCTION("""COMPUTED_VALUE"""),"Sara")</f>
        <v>Sara</v>
      </c>
      <c r="I216" s="1" t="str">
        <f ca="1">IFERROR(__xludf.DUMMYFUNCTION("""COMPUTED_VALUE"""),"Luxemburg")</f>
        <v>Luxemburg</v>
      </c>
      <c r="J216" s="1"/>
      <c r="K216" s="1" t="str">
        <f ca="1">IFERROR(__xludf.DUMMYFUNCTION("""COMPUTED_VALUE"""),"Home Office")</f>
        <v>Home Office</v>
      </c>
      <c r="L216" s="1" t="str">
        <f ca="1">IFERROR(__xludf.DUMMYFUNCTION("""COMPUTED_VALUE"""),"United States")</f>
        <v>United States</v>
      </c>
      <c r="M216" s="1" t="str">
        <f ca="1">IFERROR(__xludf.DUMMYFUNCTION("""COMPUTED_VALUE"""),"Jacksonville")</f>
        <v>Jacksonville</v>
      </c>
      <c r="N216" s="1" t="str">
        <f ca="1">IFERROR(__xludf.DUMMYFUNCTION("""COMPUTED_VALUE"""),"Florida")</f>
        <v>Florida</v>
      </c>
      <c r="O216" s="1">
        <f ca="1">IFERROR(__xludf.DUMMYFUNCTION("""COMPUTED_VALUE"""),32216)</f>
        <v>32216</v>
      </c>
      <c r="P216" s="1" t="str">
        <f ca="1">IFERROR(__xludf.DUMMYFUNCTION("""COMPUTED_VALUE"""),"South")</f>
        <v>South</v>
      </c>
      <c r="Q216" s="1" t="str">
        <f ca="1">IFERROR(__xludf.DUMMYFUNCTION("""COMPUTED_VALUE"""),"FUR-CH-10004086")</f>
        <v>FUR-CH-10004086</v>
      </c>
      <c r="R216" s="1" t="str">
        <f ca="1">IFERROR(__xludf.DUMMYFUNCTION("""COMPUTED_VALUE"""),"Furniture")</f>
        <v>Furniture</v>
      </c>
      <c r="S216" s="7">
        <f ca="1">IFERROR(__xludf.DUMMYFUNCTION("""COMPUTED_VALUE"""),1166.92)</f>
        <v>1166.92</v>
      </c>
      <c r="T216" s="1">
        <f ca="1">IFERROR(__xludf.DUMMYFUNCTION("""COMPUTED_VALUE"""),3)</f>
        <v>3</v>
      </c>
      <c r="U216" s="9">
        <f ca="1">IFERROR(__xludf.DUMMYFUNCTION("""COMPUTED_VALUE"""),3500.76)</f>
        <v>3500.76</v>
      </c>
      <c r="V216" s="9">
        <f ca="1">IFERROR(__xludf.DUMMYFUNCTION("""COMPUTED_VALUE"""),3499.56)</f>
        <v>3499.56</v>
      </c>
      <c r="W216" s="12">
        <f ca="1">IFERROR(__xludf.DUMMYFUNCTION("""COMPUTED_VALUE"""),1.20000000000027)</f>
        <v>1.20000000000027</v>
      </c>
    </row>
    <row r="217" spans="1:23" ht="13.2">
      <c r="A217" s="1" t="str">
        <f ca="1">IFERROR(__xludf.DUMMYFUNCTION("""COMPUTED_VALUE"""),"CA-2018-118437")</f>
        <v>CA-2018-118437</v>
      </c>
      <c r="B217" s="8">
        <f ca="1">IFERROR(__xludf.DUMMYFUNCTION("""COMPUTED_VALUE"""),43268)</f>
        <v>43268</v>
      </c>
      <c r="C217" s="1" t="str">
        <f ca="1">IFERROR(__xludf.DUMMYFUNCTION("""COMPUTED_VALUE"""),"Jun")</f>
        <v>Jun</v>
      </c>
      <c r="D217" s="1" t="str">
        <f ca="1">IFERROR(__xludf.DUMMYFUNCTION("""COMPUTED_VALUE"""),"Qtr 2")</f>
        <v>Qtr 2</v>
      </c>
      <c r="E217" s="1" t="str">
        <f ca="1">IFERROR(__xludf.DUMMYFUNCTION("""COMPUTED_VALUE"""),"21/06/2018")</f>
        <v>21/06/2018</v>
      </c>
      <c r="F217" s="1" t="str">
        <f ca="1">IFERROR(__xludf.DUMMYFUNCTION("""COMPUTED_VALUE"""),"Second Class")</f>
        <v>Second Class</v>
      </c>
      <c r="G217" s="1" t="str">
        <f ca="1">IFERROR(__xludf.DUMMYFUNCTION("""COMPUTED_VALUE"""),"PF-19165")</f>
        <v>PF-19165</v>
      </c>
      <c r="H217" s="1" t="str">
        <f ca="1">IFERROR(__xludf.DUMMYFUNCTION("""COMPUTED_VALUE"""),"Philip")</f>
        <v>Philip</v>
      </c>
      <c r="I217" s="1" t="str">
        <f ca="1">IFERROR(__xludf.DUMMYFUNCTION("""COMPUTED_VALUE"""),"Fox")</f>
        <v>Fox</v>
      </c>
      <c r="J217" s="1"/>
      <c r="K217" s="1" t="str">
        <f ca="1">IFERROR(__xludf.DUMMYFUNCTION("""COMPUTED_VALUE"""),"Consumer")</f>
        <v>Consumer</v>
      </c>
      <c r="L217" s="1" t="str">
        <f ca="1">IFERROR(__xludf.DUMMYFUNCTION("""COMPUTED_VALUE"""),"United States")</f>
        <v>United States</v>
      </c>
      <c r="M217" s="1" t="str">
        <f ca="1">IFERROR(__xludf.DUMMYFUNCTION("""COMPUTED_VALUE"""),"Olympia")</f>
        <v>Olympia</v>
      </c>
      <c r="N217" s="1" t="str">
        <f ca="1">IFERROR(__xludf.DUMMYFUNCTION("""COMPUTED_VALUE"""),"Washington")</f>
        <v>Washington</v>
      </c>
      <c r="O217" s="1">
        <f ca="1">IFERROR(__xludf.DUMMYFUNCTION("""COMPUTED_VALUE"""),98502)</f>
        <v>98502</v>
      </c>
      <c r="P217" s="1" t="str">
        <f ca="1">IFERROR(__xludf.DUMMYFUNCTION("""COMPUTED_VALUE"""),"West")</f>
        <v>West</v>
      </c>
      <c r="Q217" s="1" t="str">
        <f ca="1">IFERROR(__xludf.DUMMYFUNCTION("""COMPUTED_VALUE"""),"FUR-FU-10004848")</f>
        <v>FUR-FU-10004848</v>
      </c>
      <c r="R217" s="1" t="str">
        <f ca="1">IFERROR(__xludf.DUMMYFUNCTION("""COMPUTED_VALUE"""),"Furniture")</f>
        <v>Furniture</v>
      </c>
      <c r="S217" s="7">
        <f ca="1">IFERROR(__xludf.DUMMYFUNCTION("""COMPUTED_VALUE"""),155.25)</f>
        <v>155.25</v>
      </c>
      <c r="T217" s="1">
        <f ca="1">IFERROR(__xludf.DUMMYFUNCTION("""COMPUTED_VALUE"""),9)</f>
        <v>9</v>
      </c>
      <c r="U217" s="9">
        <f ca="1">IFERROR(__xludf.DUMMYFUNCTION("""COMPUTED_VALUE"""),1397.25)</f>
        <v>1397.25</v>
      </c>
      <c r="V217" s="9">
        <f ca="1">IFERROR(__xludf.DUMMYFUNCTION("""COMPUTED_VALUE"""),1396.25999999999)</f>
        <v>1396.25999999999</v>
      </c>
      <c r="W217" s="12">
        <f ca="1">IFERROR(__xludf.DUMMYFUNCTION("""COMPUTED_VALUE"""),0.990000000000236)</f>
        <v>0.99000000000023602</v>
      </c>
    </row>
    <row r="218" spans="1:23" ht="13.2">
      <c r="A218" s="1" t="str">
        <f ca="1">IFERROR(__xludf.DUMMYFUNCTION("""COMPUTED_VALUE"""),"CA-2018-118437")</f>
        <v>CA-2018-118437</v>
      </c>
      <c r="B218" s="8">
        <f ca="1">IFERROR(__xludf.DUMMYFUNCTION("""COMPUTED_VALUE"""),43268)</f>
        <v>43268</v>
      </c>
      <c r="C218" s="1" t="str">
        <f ca="1">IFERROR(__xludf.DUMMYFUNCTION("""COMPUTED_VALUE"""),"Jun")</f>
        <v>Jun</v>
      </c>
      <c r="D218" s="1" t="str">
        <f ca="1">IFERROR(__xludf.DUMMYFUNCTION("""COMPUTED_VALUE"""),"Qtr 2")</f>
        <v>Qtr 2</v>
      </c>
      <c r="E218" s="1" t="str">
        <f ca="1">IFERROR(__xludf.DUMMYFUNCTION("""COMPUTED_VALUE"""),"21/06/2018")</f>
        <v>21/06/2018</v>
      </c>
      <c r="F218" s="1" t="str">
        <f ca="1">IFERROR(__xludf.DUMMYFUNCTION("""COMPUTED_VALUE"""),"Second Class")</f>
        <v>Second Class</v>
      </c>
      <c r="G218" s="1" t="str">
        <f ca="1">IFERROR(__xludf.DUMMYFUNCTION("""COMPUTED_VALUE"""),"PF-19165")</f>
        <v>PF-19165</v>
      </c>
      <c r="H218" s="1" t="str">
        <f ca="1">IFERROR(__xludf.DUMMYFUNCTION("""COMPUTED_VALUE"""),"Philip")</f>
        <v>Philip</v>
      </c>
      <c r="I218" s="1" t="str">
        <f ca="1">IFERROR(__xludf.DUMMYFUNCTION("""COMPUTED_VALUE"""),"Fox")</f>
        <v>Fox</v>
      </c>
      <c r="J218" s="1"/>
      <c r="K218" s="1" t="str">
        <f ca="1">IFERROR(__xludf.DUMMYFUNCTION("""COMPUTED_VALUE"""),"Consumer")</f>
        <v>Consumer</v>
      </c>
      <c r="L218" s="1" t="str">
        <f ca="1">IFERROR(__xludf.DUMMYFUNCTION("""COMPUTED_VALUE"""),"United States")</f>
        <v>United States</v>
      </c>
      <c r="M218" s="1" t="str">
        <f ca="1">IFERROR(__xludf.DUMMYFUNCTION("""COMPUTED_VALUE"""),"Olympia")</f>
        <v>Olympia</v>
      </c>
      <c r="N218" s="1" t="str">
        <f ca="1">IFERROR(__xludf.DUMMYFUNCTION("""COMPUTED_VALUE"""),"Washington")</f>
        <v>Washington</v>
      </c>
      <c r="O218" s="1">
        <f ca="1">IFERROR(__xludf.DUMMYFUNCTION("""COMPUTED_VALUE"""),98502)</f>
        <v>98502</v>
      </c>
      <c r="P218" s="1" t="str">
        <f ca="1">IFERROR(__xludf.DUMMYFUNCTION("""COMPUTED_VALUE"""),"West")</f>
        <v>West</v>
      </c>
      <c r="Q218" s="1" t="str">
        <f ca="1">IFERROR(__xludf.DUMMYFUNCTION("""COMPUTED_VALUE"""),"OFF-ST-10003722")</f>
        <v>OFF-ST-10003722</v>
      </c>
      <c r="R218" s="1" t="str">
        <f ca="1">IFERROR(__xludf.DUMMYFUNCTION("""COMPUTED_VALUE"""),"Office Supplies")</f>
        <v>Office Supplies</v>
      </c>
      <c r="S218" s="7">
        <f ca="1">IFERROR(__xludf.DUMMYFUNCTION("""COMPUTED_VALUE"""),14.03)</f>
        <v>14.03</v>
      </c>
      <c r="T218" s="1">
        <f ca="1">IFERROR(__xludf.DUMMYFUNCTION("""COMPUTED_VALUE"""),9)</f>
        <v>9</v>
      </c>
      <c r="U218" s="9">
        <f ca="1">IFERROR(__xludf.DUMMYFUNCTION("""COMPUTED_VALUE"""),126.27)</f>
        <v>126.27</v>
      </c>
      <c r="V218" s="9">
        <f ca="1">IFERROR(__xludf.DUMMYFUNCTION("""COMPUTED_VALUE"""),119.25)</f>
        <v>119.25</v>
      </c>
      <c r="W218" s="12">
        <f ca="1">IFERROR(__xludf.DUMMYFUNCTION("""COMPUTED_VALUE"""),7.01999999999999)</f>
        <v>7.0199999999999898</v>
      </c>
    </row>
    <row r="219" spans="1:23" ht="13.2">
      <c r="A219" s="1" t="str">
        <f ca="1">IFERROR(__xludf.DUMMYFUNCTION("""COMPUTED_VALUE"""),"US-2016-126214")</f>
        <v>US-2016-126214</v>
      </c>
      <c r="B219" s="8">
        <f ca="1">IFERROR(__xludf.DUMMYFUNCTION("""COMPUTED_VALUE"""),42725)</f>
        <v>42725</v>
      </c>
      <c r="C219" s="1" t="str">
        <f ca="1">IFERROR(__xludf.DUMMYFUNCTION("""COMPUTED_VALUE"""),"Dec")</f>
        <v>Dec</v>
      </c>
      <c r="D219" s="1" t="str">
        <f ca="1">IFERROR(__xludf.DUMMYFUNCTION("""COMPUTED_VALUE"""),"Qtr 4")</f>
        <v>Qtr 4</v>
      </c>
      <c r="E219" s="1" t="str">
        <f ca="1">IFERROR(__xludf.DUMMYFUNCTION("""COMPUTED_VALUE"""),"24/12/2016")</f>
        <v>24/12/2016</v>
      </c>
      <c r="F219" s="1" t="str">
        <f ca="1">IFERROR(__xludf.DUMMYFUNCTION("""COMPUTED_VALUE"""),"Second Class")</f>
        <v>Second Class</v>
      </c>
      <c r="G219" s="1" t="str">
        <f ca="1">IFERROR(__xludf.DUMMYFUNCTION("""COMPUTED_VALUE"""),"JS-15880")</f>
        <v>JS-15880</v>
      </c>
      <c r="H219" s="1" t="str">
        <f ca="1">IFERROR(__xludf.DUMMYFUNCTION("""COMPUTED_VALUE"""),"John")</f>
        <v>John</v>
      </c>
      <c r="I219" s="1" t="str">
        <f ca="1">IFERROR(__xludf.DUMMYFUNCTION("""COMPUTED_VALUE"""),"Stevenson")</f>
        <v>Stevenson</v>
      </c>
      <c r="J219" s="1"/>
      <c r="K219" s="1" t="str">
        <f ca="1">IFERROR(__xludf.DUMMYFUNCTION("""COMPUTED_VALUE"""),"Consumer")</f>
        <v>Consumer</v>
      </c>
      <c r="L219" s="1" t="str">
        <f ca="1">IFERROR(__xludf.DUMMYFUNCTION("""COMPUTED_VALUE"""),"United States")</f>
        <v>United States</v>
      </c>
      <c r="M219" s="1" t="str">
        <f ca="1">IFERROR(__xludf.DUMMYFUNCTION("""COMPUTED_VALUE"""),"Seattle")</f>
        <v>Seattle</v>
      </c>
      <c r="N219" s="1" t="str">
        <f ca="1">IFERROR(__xludf.DUMMYFUNCTION("""COMPUTED_VALUE"""),"Washington")</f>
        <v>Washington</v>
      </c>
      <c r="O219" s="1">
        <f ca="1">IFERROR(__xludf.DUMMYFUNCTION("""COMPUTED_VALUE"""),98103)</f>
        <v>98103</v>
      </c>
      <c r="P219" s="1" t="str">
        <f ca="1">IFERROR(__xludf.DUMMYFUNCTION("""COMPUTED_VALUE"""),"West")</f>
        <v>West</v>
      </c>
      <c r="Q219" s="1" t="str">
        <f ca="1">IFERROR(__xludf.DUMMYFUNCTION("""COMPUTED_VALUE"""),"FUR-TA-10003748")</f>
        <v>FUR-TA-10003748</v>
      </c>
      <c r="R219" s="1" t="str">
        <f ca="1">IFERROR(__xludf.DUMMYFUNCTION("""COMPUTED_VALUE"""),"Furniture")</f>
        <v>Furniture</v>
      </c>
      <c r="S219" s="7">
        <f ca="1">IFERROR(__xludf.DUMMYFUNCTION("""COMPUTED_VALUE"""),1618.37)</f>
        <v>1618.37</v>
      </c>
      <c r="T219" s="1">
        <f ca="1">IFERROR(__xludf.DUMMYFUNCTION("""COMPUTED_VALUE"""),9)</f>
        <v>9</v>
      </c>
      <c r="U219" s="9">
        <f ca="1">IFERROR(__xludf.DUMMYFUNCTION("""COMPUTED_VALUE"""),14565.3299999999)</f>
        <v>14565.3299999999</v>
      </c>
      <c r="V219" s="9">
        <f ca="1">IFERROR(__xludf.DUMMYFUNCTION("""COMPUTED_VALUE"""),14563.62)</f>
        <v>14563.62</v>
      </c>
      <c r="W219" s="12">
        <f ca="1">IFERROR(__xludf.DUMMYFUNCTION("""COMPUTED_VALUE"""),1.7099999999973)</f>
        <v>1.7099999999972999</v>
      </c>
    </row>
    <row r="220" spans="1:23" ht="13.2">
      <c r="A220" s="1" t="str">
        <f ca="1">IFERROR(__xludf.DUMMYFUNCTION("""COMPUTED_VALUE"""),"US-2016-126214")</f>
        <v>US-2016-126214</v>
      </c>
      <c r="B220" s="8">
        <f ca="1">IFERROR(__xludf.DUMMYFUNCTION("""COMPUTED_VALUE"""),42725)</f>
        <v>42725</v>
      </c>
      <c r="C220" s="1" t="str">
        <f ca="1">IFERROR(__xludf.DUMMYFUNCTION("""COMPUTED_VALUE"""),"Dec")</f>
        <v>Dec</v>
      </c>
      <c r="D220" s="1" t="str">
        <f ca="1">IFERROR(__xludf.DUMMYFUNCTION("""COMPUTED_VALUE"""),"Qtr 4")</f>
        <v>Qtr 4</v>
      </c>
      <c r="E220" s="1" t="str">
        <f ca="1">IFERROR(__xludf.DUMMYFUNCTION("""COMPUTED_VALUE"""),"24/12/2016")</f>
        <v>24/12/2016</v>
      </c>
      <c r="F220" s="1" t="str">
        <f ca="1">IFERROR(__xludf.DUMMYFUNCTION("""COMPUTED_VALUE"""),"Second Class")</f>
        <v>Second Class</v>
      </c>
      <c r="G220" s="1" t="str">
        <f ca="1">IFERROR(__xludf.DUMMYFUNCTION("""COMPUTED_VALUE"""),"JS-15880")</f>
        <v>JS-15880</v>
      </c>
      <c r="H220" s="1" t="str">
        <f ca="1">IFERROR(__xludf.DUMMYFUNCTION("""COMPUTED_VALUE"""),"John")</f>
        <v>John</v>
      </c>
      <c r="I220" s="1" t="str">
        <f ca="1">IFERROR(__xludf.DUMMYFUNCTION("""COMPUTED_VALUE"""),"Stevenson")</f>
        <v>Stevenson</v>
      </c>
      <c r="J220" s="1"/>
      <c r="K220" s="1" t="str">
        <f ca="1">IFERROR(__xludf.DUMMYFUNCTION("""COMPUTED_VALUE"""),"Consumer")</f>
        <v>Consumer</v>
      </c>
      <c r="L220" s="1" t="str">
        <f ca="1">IFERROR(__xludf.DUMMYFUNCTION("""COMPUTED_VALUE"""),"United States")</f>
        <v>United States</v>
      </c>
      <c r="M220" s="1" t="str">
        <f ca="1">IFERROR(__xludf.DUMMYFUNCTION("""COMPUTED_VALUE"""),"Seattle")</f>
        <v>Seattle</v>
      </c>
      <c r="N220" s="1" t="str">
        <f ca="1">IFERROR(__xludf.DUMMYFUNCTION("""COMPUTED_VALUE"""),"Washington")</f>
        <v>Washington</v>
      </c>
      <c r="O220" s="1">
        <f ca="1">IFERROR(__xludf.DUMMYFUNCTION("""COMPUTED_VALUE"""),98103)</f>
        <v>98103</v>
      </c>
      <c r="P220" s="1" t="str">
        <f ca="1">IFERROR(__xludf.DUMMYFUNCTION("""COMPUTED_VALUE"""),"West")</f>
        <v>West</v>
      </c>
      <c r="Q220" s="1" t="str">
        <f ca="1">IFERROR(__xludf.DUMMYFUNCTION("""COMPUTED_VALUE"""),"TEC-AC-10003198")</f>
        <v>TEC-AC-10003198</v>
      </c>
      <c r="R220" s="1" t="str">
        <f ca="1">IFERROR(__xludf.DUMMYFUNCTION("""COMPUTED_VALUE"""),"Technology")</f>
        <v>Technology</v>
      </c>
      <c r="S220" s="7">
        <f ca="1">IFERROR(__xludf.DUMMYFUNCTION("""COMPUTED_VALUE"""),99.6)</f>
        <v>99.6</v>
      </c>
      <c r="T220" s="1">
        <f ca="1">IFERROR(__xludf.DUMMYFUNCTION("""COMPUTED_VALUE"""),9)</f>
        <v>9</v>
      </c>
      <c r="U220" s="9">
        <f ca="1">IFERROR(__xludf.DUMMYFUNCTION("""COMPUTED_VALUE"""),896.4)</f>
        <v>896.4</v>
      </c>
      <c r="V220" s="9">
        <f ca="1">IFERROR(__xludf.DUMMYFUNCTION("""COMPUTED_VALUE"""),887.67)</f>
        <v>887.67</v>
      </c>
      <c r="W220" s="12">
        <f ca="1">IFERROR(__xludf.DUMMYFUNCTION("""COMPUTED_VALUE"""),8.73000000000001)</f>
        <v>8.7300000000000093</v>
      </c>
    </row>
    <row r="221" spans="1:23" ht="13.2">
      <c r="A221" s="1" t="str">
        <f ca="1">IFERROR(__xludf.DUMMYFUNCTION("""COMPUTED_VALUE"""),"CA-2016-133025")</f>
        <v>CA-2016-133025</v>
      </c>
      <c r="B221" s="8">
        <f ca="1">IFERROR(__xludf.DUMMYFUNCTION("""COMPUTED_VALUE"""),42630)</f>
        <v>42630</v>
      </c>
      <c r="C221" s="1" t="str">
        <f ca="1">IFERROR(__xludf.DUMMYFUNCTION("""COMPUTED_VALUE"""),"Sep")</f>
        <v>Sep</v>
      </c>
      <c r="D221" s="1" t="str">
        <f ca="1">IFERROR(__xludf.DUMMYFUNCTION("""COMPUTED_VALUE"""),"Qtr 3")</f>
        <v>Qtr 3</v>
      </c>
      <c r="E221" s="1" t="str">
        <f ca="1">IFERROR(__xludf.DUMMYFUNCTION("""COMPUTED_VALUE"""),"19/09/2016")</f>
        <v>19/09/2016</v>
      </c>
      <c r="F221" s="1" t="str">
        <f ca="1">IFERROR(__xludf.DUMMYFUNCTION("""COMPUTED_VALUE"""),"Second Class")</f>
        <v>Second Class</v>
      </c>
      <c r="G221" s="1" t="str">
        <f ca="1">IFERROR(__xludf.DUMMYFUNCTION("""COMPUTED_VALUE"""),"MO-17800")</f>
        <v>MO-17800</v>
      </c>
      <c r="H221" s="1" t="str">
        <f ca="1">IFERROR(__xludf.DUMMYFUNCTION("""COMPUTED_VALUE"""),"Meg")</f>
        <v>Meg</v>
      </c>
      <c r="I221" s="1" t="str">
        <f ca="1">IFERROR(__xludf.DUMMYFUNCTION("""COMPUTED_VALUE"""),"O'Connel")</f>
        <v>O'Connel</v>
      </c>
      <c r="J221" s="1"/>
      <c r="K221" s="1" t="str">
        <f ca="1">IFERROR(__xludf.DUMMYFUNCTION("""COMPUTED_VALUE"""),"Home Office")</f>
        <v>Home Office</v>
      </c>
      <c r="L221" s="1" t="str">
        <f ca="1">IFERROR(__xludf.DUMMYFUNCTION("""COMPUTED_VALUE"""),"United States")</f>
        <v>United States</v>
      </c>
      <c r="M221" s="1" t="str">
        <f ca="1">IFERROR(__xludf.DUMMYFUNCTION("""COMPUTED_VALUE"""),"Los Angeles")</f>
        <v>Los Angeles</v>
      </c>
      <c r="N221" s="1" t="str">
        <f ca="1">IFERROR(__xludf.DUMMYFUNCTION("""COMPUTED_VALUE"""),"California")</f>
        <v>California</v>
      </c>
      <c r="O221" s="1">
        <f ca="1">IFERROR(__xludf.DUMMYFUNCTION("""COMPUTED_VALUE"""),90036)</f>
        <v>90036</v>
      </c>
      <c r="P221" s="1" t="str">
        <f ca="1">IFERROR(__xludf.DUMMYFUNCTION("""COMPUTED_VALUE"""),"West")</f>
        <v>West</v>
      </c>
      <c r="Q221" s="1" t="str">
        <f ca="1">IFERROR(__xludf.DUMMYFUNCTION("""COMPUTED_VALUE"""),"OFF-PA-10004100")</f>
        <v>OFF-PA-10004100</v>
      </c>
      <c r="R221" s="1" t="str">
        <f ca="1">IFERROR(__xludf.DUMMYFUNCTION("""COMPUTED_VALUE"""),"Office Supplies")</f>
        <v>Office Supplies</v>
      </c>
      <c r="S221" s="7">
        <f ca="1">IFERROR(__xludf.DUMMYFUNCTION("""COMPUTED_VALUE"""),32.4)</f>
        <v>32.4</v>
      </c>
      <c r="T221" s="1">
        <f ca="1">IFERROR(__xludf.DUMMYFUNCTION("""COMPUTED_VALUE"""),9)</f>
        <v>9</v>
      </c>
      <c r="U221" s="9">
        <f ca="1">IFERROR(__xludf.DUMMYFUNCTION("""COMPUTED_VALUE"""),291.599999999999)</f>
        <v>291.599999999999</v>
      </c>
      <c r="V221" s="9">
        <f ca="1">IFERROR(__xludf.DUMMYFUNCTION("""COMPUTED_VALUE"""),287.28)</f>
        <v>287.27999999999997</v>
      </c>
      <c r="W221" s="12">
        <f ca="1">IFERROR(__xludf.DUMMYFUNCTION("""COMPUTED_VALUE"""),4.31999999999993)</f>
        <v>4.3199999999999301</v>
      </c>
    </row>
    <row r="222" spans="1:23" ht="13.2">
      <c r="A222" s="1" t="str">
        <f ca="1">IFERROR(__xludf.DUMMYFUNCTION("""COMPUTED_VALUE"""),"CA-2017-126529")</f>
        <v>CA-2017-126529</v>
      </c>
      <c r="B222" s="8">
        <f ca="1">IFERROR(__xludf.DUMMYFUNCTION("""COMPUTED_VALUE"""),43040)</f>
        <v>43040</v>
      </c>
      <c r="C222" s="1" t="str">
        <f ca="1">IFERROR(__xludf.DUMMYFUNCTION("""COMPUTED_VALUE"""),"Nov")</f>
        <v>Nov</v>
      </c>
      <c r="D222" s="1" t="str">
        <f ca="1">IFERROR(__xludf.DUMMYFUNCTION("""COMPUTED_VALUE"""),"Qtr 4")</f>
        <v>Qtr 4</v>
      </c>
      <c r="E222" s="1" t="str">
        <f ca="1">IFERROR(__xludf.DUMMYFUNCTION("""COMPUTED_VALUE"""),"13/01/2017")</f>
        <v>13/01/2017</v>
      </c>
      <c r="F222" s="1" t="str">
        <f ca="1">IFERROR(__xludf.DUMMYFUNCTION("""COMPUTED_VALUE"""),"Second Class")</f>
        <v>Second Class</v>
      </c>
      <c r="G222" s="1" t="str">
        <f ca="1">IFERROR(__xludf.DUMMYFUNCTION("""COMPUTED_VALUE"""),"DE-13255")</f>
        <v>DE-13255</v>
      </c>
      <c r="H222" s="1" t="str">
        <f ca="1">IFERROR(__xludf.DUMMYFUNCTION("""COMPUTED_VALUE"""),"Deanra")</f>
        <v>Deanra</v>
      </c>
      <c r="I222" s="1" t="str">
        <f ca="1">IFERROR(__xludf.DUMMYFUNCTION("""COMPUTED_VALUE"""),"Eno")</f>
        <v>Eno</v>
      </c>
      <c r="J222" s="1"/>
      <c r="K222" s="1" t="str">
        <f ca="1">IFERROR(__xludf.DUMMYFUNCTION("""COMPUTED_VALUE"""),"Home Office")</f>
        <v>Home Office</v>
      </c>
      <c r="L222" s="1" t="str">
        <f ca="1">IFERROR(__xludf.DUMMYFUNCTION("""COMPUTED_VALUE"""),"United States")</f>
        <v>United States</v>
      </c>
      <c r="M222" s="1" t="str">
        <f ca="1">IFERROR(__xludf.DUMMYFUNCTION("""COMPUTED_VALUE"""),"Springfield")</f>
        <v>Springfield</v>
      </c>
      <c r="N222" s="1" t="str">
        <f ca="1">IFERROR(__xludf.DUMMYFUNCTION("""COMPUTED_VALUE"""),"Ohio")</f>
        <v>Ohio</v>
      </c>
      <c r="O222" s="1">
        <f ca="1">IFERROR(__xludf.DUMMYFUNCTION("""COMPUTED_VALUE"""),45503)</f>
        <v>45503</v>
      </c>
      <c r="P222" s="1" t="str">
        <f ca="1">IFERROR(__xludf.DUMMYFUNCTION("""COMPUTED_VALUE"""),"East")</f>
        <v>East</v>
      </c>
      <c r="Q222" s="1" t="str">
        <f ca="1">IFERROR(__xludf.DUMMYFUNCTION("""COMPUTED_VALUE"""),"OFF-PA-10001166")</f>
        <v>OFF-PA-10001166</v>
      </c>
      <c r="R222" s="1" t="str">
        <f ca="1">IFERROR(__xludf.DUMMYFUNCTION("""COMPUTED_VALUE"""),"Office Supplies")</f>
        <v>Office Supplies</v>
      </c>
      <c r="S222" s="7">
        <f ca="1">IFERROR(__xludf.DUMMYFUNCTION("""COMPUTED_VALUE"""),15.552)</f>
        <v>15.552</v>
      </c>
      <c r="T222" s="1">
        <f ca="1">IFERROR(__xludf.DUMMYFUNCTION("""COMPUTED_VALUE"""),4)</f>
        <v>4</v>
      </c>
      <c r="U222" s="9">
        <f ca="1">IFERROR(__xludf.DUMMYFUNCTION("""COMPUTED_VALUE"""),62.208)</f>
        <v>62.207999999999998</v>
      </c>
      <c r="V222" s="9">
        <f ca="1">IFERROR(__xludf.DUMMYFUNCTION("""COMPUTED_VALUE"""),60.16)</f>
        <v>60.16</v>
      </c>
      <c r="W222" s="12">
        <f ca="1">IFERROR(__xludf.DUMMYFUNCTION("""COMPUTED_VALUE"""),2.048)</f>
        <v>2.048</v>
      </c>
    </row>
    <row r="223" spans="1:23" ht="13.2">
      <c r="A223" s="1" t="str">
        <f ca="1">IFERROR(__xludf.DUMMYFUNCTION("""COMPUTED_VALUE"""),"CA-2017-126529")</f>
        <v>CA-2017-126529</v>
      </c>
      <c r="B223" s="8">
        <f ca="1">IFERROR(__xludf.DUMMYFUNCTION("""COMPUTED_VALUE"""),43040)</f>
        <v>43040</v>
      </c>
      <c r="C223" s="1" t="str">
        <f ca="1">IFERROR(__xludf.DUMMYFUNCTION("""COMPUTED_VALUE"""),"Nov")</f>
        <v>Nov</v>
      </c>
      <c r="D223" s="1" t="str">
        <f ca="1">IFERROR(__xludf.DUMMYFUNCTION("""COMPUTED_VALUE"""),"Qtr 4")</f>
        <v>Qtr 4</v>
      </c>
      <c r="E223" s="1" t="str">
        <f ca="1">IFERROR(__xludf.DUMMYFUNCTION("""COMPUTED_VALUE"""),"13/01/2017")</f>
        <v>13/01/2017</v>
      </c>
      <c r="F223" s="1" t="str">
        <f ca="1">IFERROR(__xludf.DUMMYFUNCTION("""COMPUTED_VALUE"""),"Second Class")</f>
        <v>Second Class</v>
      </c>
      <c r="G223" s="1" t="str">
        <f ca="1">IFERROR(__xludf.DUMMYFUNCTION("""COMPUTED_VALUE"""),"DE-13255")</f>
        <v>DE-13255</v>
      </c>
      <c r="H223" s="1" t="str">
        <f ca="1">IFERROR(__xludf.DUMMYFUNCTION("""COMPUTED_VALUE"""),"Deanra")</f>
        <v>Deanra</v>
      </c>
      <c r="I223" s="1" t="str">
        <f ca="1">IFERROR(__xludf.DUMMYFUNCTION("""COMPUTED_VALUE"""),"Eno")</f>
        <v>Eno</v>
      </c>
      <c r="J223" s="1"/>
      <c r="K223" s="1" t="str">
        <f ca="1">IFERROR(__xludf.DUMMYFUNCTION("""COMPUTED_VALUE"""),"Home Office")</f>
        <v>Home Office</v>
      </c>
      <c r="L223" s="1" t="str">
        <f ca="1">IFERROR(__xludf.DUMMYFUNCTION("""COMPUTED_VALUE"""),"United States")</f>
        <v>United States</v>
      </c>
      <c r="M223" s="1" t="str">
        <f ca="1">IFERROR(__xludf.DUMMYFUNCTION("""COMPUTED_VALUE"""),"Springfield")</f>
        <v>Springfield</v>
      </c>
      <c r="N223" s="1" t="str">
        <f ca="1">IFERROR(__xludf.DUMMYFUNCTION("""COMPUTED_VALUE"""),"Ohio")</f>
        <v>Ohio</v>
      </c>
      <c r="O223" s="1">
        <f ca="1">IFERROR(__xludf.DUMMYFUNCTION("""COMPUTED_VALUE"""),45503)</f>
        <v>45503</v>
      </c>
      <c r="P223" s="1" t="str">
        <f ca="1">IFERROR(__xludf.DUMMYFUNCTION("""COMPUTED_VALUE"""),"East")</f>
        <v>East</v>
      </c>
      <c r="Q223" s="1" t="str">
        <f ca="1">IFERROR(__xludf.DUMMYFUNCTION("""COMPUTED_VALUE"""),"OFF-PA-10003656")</f>
        <v>OFF-PA-10003656</v>
      </c>
      <c r="R223" s="1" t="str">
        <f ca="1">IFERROR(__xludf.DUMMYFUNCTION("""COMPUTED_VALUE"""),"Office Supplies")</f>
        <v>Office Supplies</v>
      </c>
      <c r="S223" s="7">
        <f ca="1">IFERROR(__xludf.DUMMYFUNCTION("""COMPUTED_VALUE"""),63.312)</f>
        <v>63.311999999999998</v>
      </c>
      <c r="T223" s="1">
        <f ca="1">IFERROR(__xludf.DUMMYFUNCTION("""COMPUTED_VALUE"""),4)</f>
        <v>4</v>
      </c>
      <c r="U223" s="9">
        <f ca="1">IFERROR(__xludf.DUMMYFUNCTION("""COMPUTED_VALUE"""),253.248)</f>
        <v>253.24799999999999</v>
      </c>
      <c r="V223" s="9">
        <f ca="1">IFERROR(__xludf.DUMMYFUNCTION("""COMPUTED_VALUE"""),252.92)</f>
        <v>252.92</v>
      </c>
      <c r="W223" s="12">
        <f ca="1">IFERROR(__xludf.DUMMYFUNCTION("""COMPUTED_VALUE"""),0.328000000000002)</f>
        <v>0.32800000000000201</v>
      </c>
    </row>
    <row r="224" spans="1:23" ht="13.2">
      <c r="A224" s="1" t="str">
        <f ca="1">IFERROR(__xludf.DUMMYFUNCTION("""COMPUTED_VALUE"""),"CA-2017-126529")</f>
        <v>CA-2017-126529</v>
      </c>
      <c r="B224" s="8">
        <f ca="1">IFERROR(__xludf.DUMMYFUNCTION("""COMPUTED_VALUE"""),43040)</f>
        <v>43040</v>
      </c>
      <c r="C224" s="1" t="str">
        <f ca="1">IFERROR(__xludf.DUMMYFUNCTION("""COMPUTED_VALUE"""),"Nov")</f>
        <v>Nov</v>
      </c>
      <c r="D224" s="1" t="str">
        <f ca="1">IFERROR(__xludf.DUMMYFUNCTION("""COMPUTED_VALUE"""),"Qtr 4")</f>
        <v>Qtr 4</v>
      </c>
      <c r="E224" s="1" t="str">
        <f ca="1">IFERROR(__xludf.DUMMYFUNCTION("""COMPUTED_VALUE"""),"13/01/2017")</f>
        <v>13/01/2017</v>
      </c>
      <c r="F224" s="1" t="str">
        <f ca="1">IFERROR(__xludf.DUMMYFUNCTION("""COMPUTED_VALUE"""),"Second Class")</f>
        <v>Second Class</v>
      </c>
      <c r="G224" s="1" t="str">
        <f ca="1">IFERROR(__xludf.DUMMYFUNCTION("""COMPUTED_VALUE"""),"DE-13255")</f>
        <v>DE-13255</v>
      </c>
      <c r="H224" s="1" t="str">
        <f ca="1">IFERROR(__xludf.DUMMYFUNCTION("""COMPUTED_VALUE"""),"Deanra")</f>
        <v>Deanra</v>
      </c>
      <c r="I224" s="1" t="str">
        <f ca="1">IFERROR(__xludf.DUMMYFUNCTION("""COMPUTED_VALUE"""),"Eno")</f>
        <v>Eno</v>
      </c>
      <c r="J224" s="1"/>
      <c r="K224" s="1" t="str">
        <f ca="1">IFERROR(__xludf.DUMMYFUNCTION("""COMPUTED_VALUE"""),"Home Office")</f>
        <v>Home Office</v>
      </c>
      <c r="L224" s="1" t="str">
        <f ca="1">IFERROR(__xludf.DUMMYFUNCTION("""COMPUTED_VALUE"""),"United States")</f>
        <v>United States</v>
      </c>
      <c r="M224" s="1" t="str">
        <f ca="1">IFERROR(__xludf.DUMMYFUNCTION("""COMPUTED_VALUE"""),"Springfield")</f>
        <v>Springfield</v>
      </c>
      <c r="N224" s="1" t="str">
        <f ca="1">IFERROR(__xludf.DUMMYFUNCTION("""COMPUTED_VALUE"""),"Ohio")</f>
        <v>Ohio</v>
      </c>
      <c r="O224" s="1">
        <f ca="1">IFERROR(__xludf.DUMMYFUNCTION("""COMPUTED_VALUE"""),45503)</f>
        <v>45503</v>
      </c>
      <c r="P224" s="1" t="str">
        <f ca="1">IFERROR(__xludf.DUMMYFUNCTION("""COMPUTED_VALUE"""),"East")</f>
        <v>East</v>
      </c>
      <c r="Q224" s="1" t="str">
        <f ca="1">IFERROR(__xludf.DUMMYFUNCTION("""COMPUTED_VALUE"""),"TEC-PH-10000148")</f>
        <v>TEC-PH-10000148</v>
      </c>
      <c r="R224" s="1" t="str">
        <f ca="1">IFERROR(__xludf.DUMMYFUNCTION("""COMPUTED_VALUE"""),"Technology")</f>
        <v>Technology</v>
      </c>
      <c r="S224" s="7">
        <f ca="1">IFERROR(__xludf.DUMMYFUNCTION("""COMPUTED_VALUE"""),15.588)</f>
        <v>15.587999999999999</v>
      </c>
      <c r="T224" s="1">
        <f ca="1">IFERROR(__xludf.DUMMYFUNCTION("""COMPUTED_VALUE"""),4)</f>
        <v>4</v>
      </c>
      <c r="U224" s="9">
        <f ca="1">IFERROR(__xludf.DUMMYFUNCTION("""COMPUTED_VALUE"""),62.352)</f>
        <v>62.351999999999997</v>
      </c>
      <c r="V224" s="9">
        <f ca="1">IFERROR(__xludf.DUMMYFUNCTION("""COMPUTED_VALUE"""),62)</f>
        <v>62</v>
      </c>
      <c r="W224" s="12">
        <f ca="1">IFERROR(__xludf.DUMMYFUNCTION("""COMPUTED_VALUE"""),0.351999999999996)</f>
        <v>0.35199999999999598</v>
      </c>
    </row>
    <row r="225" spans="1:23" ht="13.2">
      <c r="A225" s="1" t="str">
        <f ca="1">IFERROR(__xludf.DUMMYFUNCTION("""COMPUTED_VALUE"""),"CA-2017-102981")</f>
        <v>CA-2017-102981</v>
      </c>
      <c r="B225" s="8">
        <f ca="1">IFERROR(__xludf.DUMMYFUNCTION("""COMPUTED_VALUE"""),42895)</f>
        <v>42895</v>
      </c>
      <c r="C225" s="1" t="str">
        <f ca="1">IFERROR(__xludf.DUMMYFUNCTION("""COMPUTED_VALUE"""),"Jun")</f>
        <v>Jun</v>
      </c>
      <c r="D225" s="1" t="str">
        <f ca="1">IFERROR(__xludf.DUMMYFUNCTION("""COMPUTED_VALUE"""),"Qtr 2")</f>
        <v>Qtr 2</v>
      </c>
      <c r="E225" s="1" t="str">
        <f ca="1">IFERROR(__xludf.DUMMYFUNCTION("""COMPUTED_VALUE"""),"9/9/2017")</f>
        <v>9/9/2017</v>
      </c>
      <c r="F225" s="1" t="str">
        <f ca="1">IFERROR(__xludf.DUMMYFUNCTION("""COMPUTED_VALUE"""),"Second Class")</f>
        <v>Second Class</v>
      </c>
      <c r="G225" s="1" t="str">
        <f ca="1">IFERROR(__xludf.DUMMYFUNCTION("""COMPUTED_VALUE"""),"MO-17500")</f>
        <v>MO-17500</v>
      </c>
      <c r="H225" s="1" t="str">
        <f ca="1">IFERROR(__xludf.DUMMYFUNCTION("""COMPUTED_VALUE"""),"Mary")</f>
        <v>Mary</v>
      </c>
      <c r="I225" s="1" t="str">
        <f ca="1">IFERROR(__xludf.DUMMYFUNCTION("""COMPUTED_VALUE"""),"O'Rourke")</f>
        <v>O'Rourke</v>
      </c>
      <c r="J225" s="1"/>
      <c r="K225" s="1" t="str">
        <f ca="1">IFERROR(__xludf.DUMMYFUNCTION("""COMPUTED_VALUE"""),"Consumer")</f>
        <v>Consumer</v>
      </c>
      <c r="L225" s="1" t="str">
        <f ca="1">IFERROR(__xludf.DUMMYFUNCTION("""COMPUTED_VALUE"""),"United States")</f>
        <v>United States</v>
      </c>
      <c r="M225" s="1" t="str">
        <f ca="1">IFERROR(__xludf.DUMMYFUNCTION("""COMPUTED_VALUE"""),"New York City")</f>
        <v>New York City</v>
      </c>
      <c r="N225" s="1" t="str">
        <f ca="1">IFERROR(__xludf.DUMMYFUNCTION("""COMPUTED_VALUE"""),"New York")</f>
        <v>New York</v>
      </c>
      <c r="O225" s="1">
        <f ca="1">IFERROR(__xludf.DUMMYFUNCTION("""COMPUTED_VALUE"""),10035)</f>
        <v>10035</v>
      </c>
      <c r="P225" s="1" t="str">
        <f ca="1">IFERROR(__xludf.DUMMYFUNCTION("""COMPUTED_VALUE"""),"East")</f>
        <v>East</v>
      </c>
      <c r="Q225" s="1" t="str">
        <f ca="1">IFERROR(__xludf.DUMMYFUNCTION("""COMPUTED_VALUE"""),"TEC-AC-10004761")</f>
        <v>TEC-AC-10004761</v>
      </c>
      <c r="R225" s="1" t="str">
        <f ca="1">IFERROR(__xludf.DUMMYFUNCTION("""COMPUTED_VALUE"""),"Technology")</f>
        <v>Technology</v>
      </c>
      <c r="S225" s="7">
        <f ca="1">IFERROR(__xludf.DUMMYFUNCTION("""COMPUTED_VALUE"""),31.86)</f>
        <v>31.86</v>
      </c>
      <c r="T225" s="1">
        <f ca="1">IFERROR(__xludf.DUMMYFUNCTION("""COMPUTED_VALUE"""),1)</f>
        <v>1</v>
      </c>
      <c r="U225" s="9">
        <f ca="1">IFERROR(__xludf.DUMMYFUNCTION("""COMPUTED_VALUE"""),31.86)</f>
        <v>31.86</v>
      </c>
      <c r="V225" s="9">
        <f ca="1">IFERROR(__xludf.DUMMYFUNCTION("""COMPUTED_VALUE"""),31.06)</f>
        <v>31.06</v>
      </c>
      <c r="W225" s="12">
        <f ca="1">IFERROR(__xludf.DUMMYFUNCTION("""COMPUTED_VALUE"""),0.8)</f>
        <v>0.8</v>
      </c>
    </row>
    <row r="226" spans="1:23" ht="13.2">
      <c r="A226" s="1" t="str">
        <f ca="1">IFERROR(__xludf.DUMMYFUNCTION("""COMPUTED_VALUE"""),"CA-2017-102981")</f>
        <v>CA-2017-102981</v>
      </c>
      <c r="B226" s="8">
        <f ca="1">IFERROR(__xludf.DUMMYFUNCTION("""COMPUTED_VALUE"""),42895)</f>
        <v>42895</v>
      </c>
      <c r="C226" s="1" t="str">
        <f ca="1">IFERROR(__xludf.DUMMYFUNCTION("""COMPUTED_VALUE"""),"Jun")</f>
        <v>Jun</v>
      </c>
      <c r="D226" s="1" t="str">
        <f ca="1">IFERROR(__xludf.DUMMYFUNCTION("""COMPUTED_VALUE"""),"Qtr 2")</f>
        <v>Qtr 2</v>
      </c>
      <c r="E226" s="1" t="str">
        <f ca="1">IFERROR(__xludf.DUMMYFUNCTION("""COMPUTED_VALUE"""),"9/9/2017")</f>
        <v>9/9/2017</v>
      </c>
      <c r="F226" s="1" t="str">
        <f ca="1">IFERROR(__xludf.DUMMYFUNCTION("""COMPUTED_VALUE"""),"Second Class")</f>
        <v>Second Class</v>
      </c>
      <c r="G226" s="1" t="str">
        <f ca="1">IFERROR(__xludf.DUMMYFUNCTION("""COMPUTED_VALUE"""),"MO-17500")</f>
        <v>MO-17500</v>
      </c>
      <c r="H226" s="1" t="str">
        <f ca="1">IFERROR(__xludf.DUMMYFUNCTION("""COMPUTED_VALUE"""),"Mary")</f>
        <v>Mary</v>
      </c>
      <c r="I226" s="1" t="str">
        <f ca="1">IFERROR(__xludf.DUMMYFUNCTION("""COMPUTED_VALUE"""),"O'Rourke")</f>
        <v>O'Rourke</v>
      </c>
      <c r="J226" s="1"/>
      <c r="K226" s="1" t="str">
        <f ca="1">IFERROR(__xludf.DUMMYFUNCTION("""COMPUTED_VALUE"""),"Consumer")</f>
        <v>Consumer</v>
      </c>
      <c r="L226" s="1" t="str">
        <f ca="1">IFERROR(__xludf.DUMMYFUNCTION("""COMPUTED_VALUE"""),"United States")</f>
        <v>United States</v>
      </c>
      <c r="M226" s="1" t="str">
        <f ca="1">IFERROR(__xludf.DUMMYFUNCTION("""COMPUTED_VALUE"""),"New York City")</f>
        <v>New York City</v>
      </c>
      <c r="N226" s="1" t="str">
        <f ca="1">IFERROR(__xludf.DUMMYFUNCTION("""COMPUTED_VALUE"""),"New York")</f>
        <v>New York</v>
      </c>
      <c r="O226" s="1">
        <f ca="1">IFERROR(__xludf.DUMMYFUNCTION("""COMPUTED_VALUE"""),10035)</f>
        <v>10035</v>
      </c>
      <c r="P226" s="1" t="str">
        <f ca="1">IFERROR(__xludf.DUMMYFUNCTION("""COMPUTED_VALUE"""),"East")</f>
        <v>East</v>
      </c>
      <c r="Q226" s="1" t="str">
        <f ca="1">IFERROR(__xludf.DUMMYFUNCTION("""COMPUTED_VALUE"""),"FUR-BO-10001811")</f>
        <v>FUR-BO-10001811</v>
      </c>
      <c r="R226" s="1" t="str">
        <f ca="1">IFERROR(__xludf.DUMMYFUNCTION("""COMPUTED_VALUE"""),"Furniture")</f>
        <v>Furniture</v>
      </c>
      <c r="S226" s="7">
        <f ca="1">IFERROR(__xludf.DUMMYFUNCTION("""COMPUTED_VALUE"""),722.352)</f>
        <v>722.35199999999998</v>
      </c>
      <c r="T226" s="1">
        <f ca="1">IFERROR(__xludf.DUMMYFUNCTION("""COMPUTED_VALUE"""),1)</f>
        <v>1</v>
      </c>
      <c r="U226" s="9">
        <f ca="1">IFERROR(__xludf.DUMMYFUNCTION("""COMPUTED_VALUE"""),722.352)</f>
        <v>722.35199999999998</v>
      </c>
      <c r="V226" s="9">
        <f ca="1">IFERROR(__xludf.DUMMYFUNCTION("""COMPUTED_VALUE"""),721.86)</f>
        <v>721.86</v>
      </c>
      <c r="W226" s="12">
        <f ca="1">IFERROR(__xludf.DUMMYFUNCTION("""COMPUTED_VALUE"""),0.491999999999961)</f>
        <v>0.49199999999996102</v>
      </c>
    </row>
    <row r="227" spans="1:23" ht="13.2">
      <c r="A227" s="1" t="str">
        <f ca="1">IFERROR(__xludf.DUMMYFUNCTION("""COMPUTED_VALUE"""),"CA-2015-139192")</f>
        <v>CA-2015-139192</v>
      </c>
      <c r="B227" s="8">
        <f ca="1">IFERROR(__xludf.DUMMYFUNCTION("""COMPUTED_VALUE"""),42151)</f>
        <v>42151</v>
      </c>
      <c r="C227" s="1" t="str">
        <f ca="1">IFERROR(__xludf.DUMMYFUNCTION("""COMPUTED_VALUE"""),"May")</f>
        <v>May</v>
      </c>
      <c r="D227" s="1" t="str">
        <f ca="1">IFERROR(__xludf.DUMMYFUNCTION("""COMPUTED_VALUE"""),"Qtr 2")</f>
        <v>Qtr 2</v>
      </c>
      <c r="E227" s="1" t="str">
        <f ca="1">IFERROR(__xludf.DUMMYFUNCTION("""COMPUTED_VALUE"""),"1/6/2015")</f>
        <v>1/6/2015</v>
      </c>
      <c r="F227" s="1" t="str">
        <f ca="1">IFERROR(__xludf.DUMMYFUNCTION("""COMPUTED_VALUE"""),"Second Class")</f>
        <v>Second Class</v>
      </c>
      <c r="G227" s="1" t="str">
        <f ca="1">IFERROR(__xludf.DUMMYFUNCTION("""COMPUTED_VALUE"""),"LC-16885")</f>
        <v>LC-16885</v>
      </c>
      <c r="H227" s="1" t="str">
        <f ca="1">IFERROR(__xludf.DUMMYFUNCTION("""COMPUTED_VALUE"""),"Lena")</f>
        <v>Lena</v>
      </c>
      <c r="I227" s="1" t="str">
        <f ca="1">IFERROR(__xludf.DUMMYFUNCTION("""COMPUTED_VALUE"""),"Creighton")</f>
        <v>Creighton</v>
      </c>
      <c r="J227" s="1"/>
      <c r="K227" s="1" t="str">
        <f ca="1">IFERROR(__xludf.DUMMYFUNCTION("""COMPUTED_VALUE"""),"Consumer")</f>
        <v>Consumer</v>
      </c>
      <c r="L227" s="1" t="str">
        <f ca="1">IFERROR(__xludf.DUMMYFUNCTION("""COMPUTED_VALUE"""),"United States")</f>
        <v>United States</v>
      </c>
      <c r="M227" s="1" t="str">
        <f ca="1">IFERROR(__xludf.DUMMYFUNCTION("""COMPUTED_VALUE"""),"San Francisco")</f>
        <v>San Francisco</v>
      </c>
      <c r="N227" s="1" t="str">
        <f ca="1">IFERROR(__xludf.DUMMYFUNCTION("""COMPUTED_VALUE"""),"California")</f>
        <v>California</v>
      </c>
      <c r="O227" s="1">
        <f ca="1">IFERROR(__xludf.DUMMYFUNCTION("""COMPUTED_VALUE"""),94109)</f>
        <v>94109</v>
      </c>
      <c r="P227" s="1" t="str">
        <f ca="1">IFERROR(__xludf.DUMMYFUNCTION("""COMPUTED_VALUE"""),"West")</f>
        <v>West</v>
      </c>
      <c r="Q227" s="1" t="str">
        <f ca="1">IFERROR(__xludf.DUMMYFUNCTION("""COMPUTED_VALUE"""),"TEC-PH-10000486")</f>
        <v>TEC-PH-10000486</v>
      </c>
      <c r="R227" s="1" t="str">
        <f ca="1">IFERROR(__xludf.DUMMYFUNCTION("""COMPUTED_VALUE"""),"Technology")</f>
        <v>Technology</v>
      </c>
      <c r="S227" s="7">
        <f ca="1">IFERROR(__xludf.DUMMYFUNCTION("""COMPUTED_VALUE"""),1113.504)</f>
        <v>1113.5039999999999</v>
      </c>
      <c r="T227" s="1">
        <f ca="1">IFERROR(__xludf.DUMMYFUNCTION("""COMPUTED_VALUE"""),9)</f>
        <v>9</v>
      </c>
      <c r="U227" s="9">
        <f ca="1">IFERROR(__xludf.DUMMYFUNCTION("""COMPUTED_VALUE"""),10021.536)</f>
        <v>10021.536</v>
      </c>
      <c r="V227" s="9">
        <f ca="1">IFERROR(__xludf.DUMMYFUNCTION("""COMPUTED_VALUE"""),10021.05)</f>
        <v>10021.049999999999</v>
      </c>
      <c r="W227" s="12">
        <f ca="1">IFERROR(__xludf.DUMMYFUNCTION("""COMPUTED_VALUE"""),0.485999999998966)</f>
        <v>0.48599999999896598</v>
      </c>
    </row>
    <row r="228" spans="1:23" ht="13.2">
      <c r="A228" s="1" t="str">
        <f ca="1">IFERROR(__xludf.DUMMYFUNCTION("""COMPUTED_VALUE"""),"CA-2015-139192")</f>
        <v>CA-2015-139192</v>
      </c>
      <c r="B228" s="8">
        <f ca="1">IFERROR(__xludf.DUMMYFUNCTION("""COMPUTED_VALUE"""),42151)</f>
        <v>42151</v>
      </c>
      <c r="C228" s="1" t="str">
        <f ca="1">IFERROR(__xludf.DUMMYFUNCTION("""COMPUTED_VALUE"""),"May")</f>
        <v>May</v>
      </c>
      <c r="D228" s="1" t="str">
        <f ca="1">IFERROR(__xludf.DUMMYFUNCTION("""COMPUTED_VALUE"""),"Qtr 2")</f>
        <v>Qtr 2</v>
      </c>
      <c r="E228" s="1" t="str">
        <f ca="1">IFERROR(__xludf.DUMMYFUNCTION("""COMPUTED_VALUE"""),"1/6/2015")</f>
        <v>1/6/2015</v>
      </c>
      <c r="F228" s="1" t="str">
        <f ca="1">IFERROR(__xludf.DUMMYFUNCTION("""COMPUTED_VALUE"""),"Second Class")</f>
        <v>Second Class</v>
      </c>
      <c r="G228" s="1" t="str">
        <f ca="1">IFERROR(__xludf.DUMMYFUNCTION("""COMPUTED_VALUE"""),"LC-16885")</f>
        <v>LC-16885</v>
      </c>
      <c r="H228" s="1" t="str">
        <f ca="1">IFERROR(__xludf.DUMMYFUNCTION("""COMPUTED_VALUE"""),"Lena")</f>
        <v>Lena</v>
      </c>
      <c r="I228" s="1" t="str">
        <f ca="1">IFERROR(__xludf.DUMMYFUNCTION("""COMPUTED_VALUE"""),"Creighton")</f>
        <v>Creighton</v>
      </c>
      <c r="J228" s="1"/>
      <c r="K228" s="1" t="str">
        <f ca="1">IFERROR(__xludf.DUMMYFUNCTION("""COMPUTED_VALUE"""),"Consumer")</f>
        <v>Consumer</v>
      </c>
      <c r="L228" s="1" t="str">
        <f ca="1">IFERROR(__xludf.DUMMYFUNCTION("""COMPUTED_VALUE"""),"United States")</f>
        <v>United States</v>
      </c>
      <c r="M228" s="1" t="str">
        <f ca="1">IFERROR(__xludf.DUMMYFUNCTION("""COMPUTED_VALUE"""),"San Francisco")</f>
        <v>San Francisco</v>
      </c>
      <c r="N228" s="1" t="str">
        <f ca="1">IFERROR(__xludf.DUMMYFUNCTION("""COMPUTED_VALUE"""),"California")</f>
        <v>California</v>
      </c>
      <c r="O228" s="1">
        <f ca="1">IFERROR(__xludf.DUMMYFUNCTION("""COMPUTED_VALUE"""),94109)</f>
        <v>94109</v>
      </c>
      <c r="P228" s="1" t="str">
        <f ca="1">IFERROR(__xludf.DUMMYFUNCTION("""COMPUTED_VALUE"""),"West")</f>
        <v>West</v>
      </c>
      <c r="Q228" s="1" t="str">
        <f ca="1">IFERROR(__xludf.DUMMYFUNCTION("""COMPUTED_VALUE"""),"TEC-AC-10001606")</f>
        <v>TEC-AC-10001606</v>
      </c>
      <c r="R228" s="1" t="str">
        <f ca="1">IFERROR(__xludf.DUMMYFUNCTION("""COMPUTED_VALUE"""),"Technology")</f>
        <v>Technology</v>
      </c>
      <c r="S228" s="7">
        <f ca="1">IFERROR(__xludf.DUMMYFUNCTION("""COMPUTED_VALUE"""),99.99)</f>
        <v>99.99</v>
      </c>
      <c r="T228" s="1">
        <f ca="1">IFERROR(__xludf.DUMMYFUNCTION("""COMPUTED_VALUE"""),9)</f>
        <v>9</v>
      </c>
      <c r="U228" s="9">
        <f ca="1">IFERROR(__xludf.DUMMYFUNCTION("""COMPUTED_VALUE"""),899.91)</f>
        <v>899.91</v>
      </c>
      <c r="V228" s="9">
        <f ca="1">IFERROR(__xludf.DUMMYFUNCTION("""COMPUTED_VALUE"""),894.42)</f>
        <v>894.42</v>
      </c>
      <c r="W228" s="12">
        <f ca="1">IFERROR(__xludf.DUMMYFUNCTION("""COMPUTED_VALUE"""),5.49)</f>
        <v>5.49</v>
      </c>
    </row>
    <row r="229" spans="1:23" ht="13.2">
      <c r="A229" s="1" t="str">
        <f ca="1">IFERROR(__xludf.DUMMYFUNCTION("""COMPUTED_VALUE"""),"US-2018-139955")</f>
        <v>US-2018-139955</v>
      </c>
      <c r="B229" s="8">
        <f ca="1">IFERROR(__xludf.DUMMYFUNCTION("""COMPUTED_VALUE"""),43371)</f>
        <v>43371</v>
      </c>
      <c r="C229" s="1" t="str">
        <f ca="1">IFERROR(__xludf.DUMMYFUNCTION("""COMPUTED_VALUE"""),"Sep")</f>
        <v>Sep</v>
      </c>
      <c r="D229" s="1" t="str">
        <f ca="1">IFERROR(__xludf.DUMMYFUNCTION("""COMPUTED_VALUE"""),"Qtr 3")</f>
        <v>Qtr 3</v>
      </c>
      <c r="E229" s="1" t="str">
        <f ca="1">IFERROR(__xludf.DUMMYFUNCTION("""COMPUTED_VALUE"""),"30/09/2018")</f>
        <v>30/09/2018</v>
      </c>
      <c r="F229" s="1" t="str">
        <f ca="1">IFERROR(__xludf.DUMMYFUNCTION("""COMPUTED_VALUE"""),"Second Class")</f>
        <v>Second Class</v>
      </c>
      <c r="G229" s="1" t="str">
        <f ca="1">IFERROR(__xludf.DUMMYFUNCTION("""COMPUTED_VALUE"""),"CM-12160")</f>
        <v>CM-12160</v>
      </c>
      <c r="H229" s="1" t="str">
        <f ca="1">IFERROR(__xludf.DUMMYFUNCTION("""COMPUTED_VALUE"""),"Charles")</f>
        <v>Charles</v>
      </c>
      <c r="I229" s="1" t="str">
        <f ca="1">IFERROR(__xludf.DUMMYFUNCTION("""COMPUTED_VALUE"""),"McCrossin")</f>
        <v>McCrossin</v>
      </c>
      <c r="J229" s="1"/>
      <c r="K229" s="1" t="str">
        <f ca="1">IFERROR(__xludf.DUMMYFUNCTION("""COMPUTED_VALUE"""),"Consumer")</f>
        <v>Consumer</v>
      </c>
      <c r="L229" s="1" t="str">
        <f ca="1">IFERROR(__xludf.DUMMYFUNCTION("""COMPUTED_VALUE"""),"United States")</f>
        <v>United States</v>
      </c>
      <c r="M229" s="1" t="str">
        <f ca="1">IFERROR(__xludf.DUMMYFUNCTION("""COMPUTED_VALUE"""),"Brownsville")</f>
        <v>Brownsville</v>
      </c>
      <c r="N229" s="1" t="str">
        <f ca="1">IFERROR(__xludf.DUMMYFUNCTION("""COMPUTED_VALUE"""),"Texas")</f>
        <v>Texas</v>
      </c>
      <c r="O229" s="1">
        <f ca="1">IFERROR(__xludf.DUMMYFUNCTION("""COMPUTED_VALUE"""),78521)</f>
        <v>78521</v>
      </c>
      <c r="P229" s="1" t="str">
        <f ca="1">IFERROR(__xludf.DUMMYFUNCTION("""COMPUTED_VALUE"""),"Central")</f>
        <v>Central</v>
      </c>
      <c r="Q229" s="1" t="str">
        <f ca="1">IFERROR(__xludf.DUMMYFUNCTION("""COMPUTED_VALUE"""),"OFF-SU-10001935")</f>
        <v>OFF-SU-10001935</v>
      </c>
      <c r="R229" s="1" t="str">
        <f ca="1">IFERROR(__xludf.DUMMYFUNCTION("""COMPUTED_VALUE"""),"Office Supplies")</f>
        <v>Office Supplies</v>
      </c>
      <c r="S229" s="7">
        <f ca="1">IFERROR(__xludf.DUMMYFUNCTION("""COMPUTED_VALUE"""),1.744)</f>
        <v>1.744</v>
      </c>
      <c r="T229" s="1">
        <f ca="1">IFERROR(__xludf.DUMMYFUNCTION("""COMPUTED_VALUE"""),7)</f>
        <v>7</v>
      </c>
      <c r="U229" s="9">
        <f ca="1">IFERROR(__xludf.DUMMYFUNCTION("""COMPUTED_VALUE"""),12.208)</f>
        <v>12.208</v>
      </c>
      <c r="V229" s="9">
        <f ca="1">IFERROR(__xludf.DUMMYFUNCTION("""COMPUTED_VALUE"""),5.95)</f>
        <v>5.95</v>
      </c>
      <c r="W229" s="12">
        <f ca="1">IFERROR(__xludf.DUMMYFUNCTION("""COMPUTED_VALUE"""),6.258)</f>
        <v>6.258</v>
      </c>
    </row>
    <row r="230" spans="1:23" ht="13.2">
      <c r="A230" s="1" t="str">
        <f ca="1">IFERROR(__xludf.DUMMYFUNCTION("""COMPUTED_VALUE"""),"CA-2018-132521")</f>
        <v>CA-2018-132521</v>
      </c>
      <c r="B230" s="8">
        <f ca="1">IFERROR(__xludf.DUMMYFUNCTION("""COMPUTED_VALUE"""),43366)</f>
        <v>43366</v>
      </c>
      <c r="C230" s="1" t="str">
        <f ca="1">IFERROR(__xludf.DUMMYFUNCTION("""COMPUTED_VALUE"""),"Sep")</f>
        <v>Sep</v>
      </c>
      <c r="D230" s="1" t="str">
        <f ca="1">IFERROR(__xludf.DUMMYFUNCTION("""COMPUTED_VALUE"""),"Qtr 3")</f>
        <v>Qtr 3</v>
      </c>
      <c r="E230" s="1" t="str">
        <f ca="1">IFERROR(__xludf.DUMMYFUNCTION("""COMPUTED_VALUE"""),"25/09/2018")</f>
        <v>25/09/2018</v>
      </c>
      <c r="F230" s="1" t="str">
        <f ca="1">IFERROR(__xludf.DUMMYFUNCTION("""COMPUTED_VALUE"""),"Second Class")</f>
        <v>Second Class</v>
      </c>
      <c r="G230" s="1" t="str">
        <f ca="1">IFERROR(__xludf.DUMMYFUNCTION("""COMPUTED_VALUE"""),"DW-13540")</f>
        <v>DW-13540</v>
      </c>
      <c r="H230" s="1" t="str">
        <f ca="1">IFERROR(__xludf.DUMMYFUNCTION("""COMPUTED_VALUE"""),"Don")</f>
        <v>Don</v>
      </c>
      <c r="I230" s="1" t="str">
        <f ca="1">IFERROR(__xludf.DUMMYFUNCTION("""COMPUTED_VALUE"""),"Weiss")</f>
        <v>Weiss</v>
      </c>
      <c r="J230" s="1"/>
      <c r="K230" s="1" t="str">
        <f ca="1">IFERROR(__xludf.DUMMYFUNCTION("""COMPUTED_VALUE"""),"Consumer")</f>
        <v>Consumer</v>
      </c>
      <c r="L230" s="1" t="str">
        <f ca="1">IFERROR(__xludf.DUMMYFUNCTION("""COMPUTED_VALUE"""),"United States")</f>
        <v>United States</v>
      </c>
      <c r="M230" s="1" t="str">
        <f ca="1">IFERROR(__xludf.DUMMYFUNCTION("""COMPUTED_VALUE"""),"Seattle")</f>
        <v>Seattle</v>
      </c>
      <c r="N230" s="1" t="str">
        <f ca="1">IFERROR(__xludf.DUMMYFUNCTION("""COMPUTED_VALUE"""),"Washington")</f>
        <v>Washington</v>
      </c>
      <c r="O230" s="1">
        <f ca="1">IFERROR(__xludf.DUMMYFUNCTION("""COMPUTED_VALUE"""),98105)</f>
        <v>98105</v>
      </c>
      <c r="P230" s="1" t="str">
        <f ca="1">IFERROR(__xludf.DUMMYFUNCTION("""COMPUTED_VALUE"""),"West")</f>
        <v>West</v>
      </c>
      <c r="Q230" s="1" t="str">
        <f ca="1">IFERROR(__xludf.DUMMYFUNCTION("""COMPUTED_VALUE"""),"OFF-AP-10002191")</f>
        <v>OFF-AP-10002191</v>
      </c>
      <c r="R230" s="1" t="str">
        <f ca="1">IFERROR(__xludf.DUMMYFUNCTION("""COMPUTED_VALUE"""),"Office Supplies")</f>
        <v>Office Supplies</v>
      </c>
      <c r="S230" s="7">
        <f ca="1">IFERROR(__xludf.DUMMYFUNCTION("""COMPUTED_VALUE"""),119.96)</f>
        <v>119.96</v>
      </c>
      <c r="T230" s="1">
        <f ca="1">IFERROR(__xludf.DUMMYFUNCTION("""COMPUTED_VALUE"""),9)</f>
        <v>9</v>
      </c>
      <c r="U230" s="9">
        <f ca="1">IFERROR(__xludf.DUMMYFUNCTION("""COMPUTED_VALUE"""),1079.63999999999)</f>
        <v>1079.6399999999901</v>
      </c>
      <c r="V230" s="9">
        <f ca="1">IFERROR(__xludf.DUMMYFUNCTION("""COMPUTED_VALUE"""),1078.74)</f>
        <v>1078.74</v>
      </c>
      <c r="W230" s="12">
        <f ca="1">IFERROR(__xludf.DUMMYFUNCTION("""COMPUTED_VALUE"""),0.899999999999863)</f>
        <v>0.89999999999986302</v>
      </c>
    </row>
    <row r="231" spans="1:23" ht="13.2">
      <c r="A231" s="1" t="str">
        <f ca="1">IFERROR(__xludf.DUMMYFUNCTION("""COMPUTED_VALUE"""),"CA-2018-132521")</f>
        <v>CA-2018-132521</v>
      </c>
      <c r="B231" s="8">
        <f ca="1">IFERROR(__xludf.DUMMYFUNCTION("""COMPUTED_VALUE"""),43366)</f>
        <v>43366</v>
      </c>
      <c r="C231" s="1" t="str">
        <f ca="1">IFERROR(__xludf.DUMMYFUNCTION("""COMPUTED_VALUE"""),"Sep")</f>
        <v>Sep</v>
      </c>
      <c r="D231" s="1" t="str">
        <f ca="1">IFERROR(__xludf.DUMMYFUNCTION("""COMPUTED_VALUE"""),"Qtr 3")</f>
        <v>Qtr 3</v>
      </c>
      <c r="E231" s="1" t="str">
        <f ca="1">IFERROR(__xludf.DUMMYFUNCTION("""COMPUTED_VALUE"""),"25/09/2018")</f>
        <v>25/09/2018</v>
      </c>
      <c r="F231" s="1" t="str">
        <f ca="1">IFERROR(__xludf.DUMMYFUNCTION("""COMPUTED_VALUE"""),"Second Class")</f>
        <v>Second Class</v>
      </c>
      <c r="G231" s="1" t="str">
        <f ca="1">IFERROR(__xludf.DUMMYFUNCTION("""COMPUTED_VALUE"""),"DW-13540")</f>
        <v>DW-13540</v>
      </c>
      <c r="H231" s="1" t="str">
        <f ca="1">IFERROR(__xludf.DUMMYFUNCTION("""COMPUTED_VALUE"""),"Don")</f>
        <v>Don</v>
      </c>
      <c r="I231" s="1" t="str">
        <f ca="1">IFERROR(__xludf.DUMMYFUNCTION("""COMPUTED_VALUE"""),"Weiss")</f>
        <v>Weiss</v>
      </c>
      <c r="J231" s="1"/>
      <c r="K231" s="1" t="str">
        <f ca="1">IFERROR(__xludf.DUMMYFUNCTION("""COMPUTED_VALUE"""),"Consumer")</f>
        <v>Consumer</v>
      </c>
      <c r="L231" s="1" t="str">
        <f ca="1">IFERROR(__xludf.DUMMYFUNCTION("""COMPUTED_VALUE"""),"United States")</f>
        <v>United States</v>
      </c>
      <c r="M231" s="1" t="str">
        <f ca="1">IFERROR(__xludf.DUMMYFUNCTION("""COMPUTED_VALUE"""),"Seattle")</f>
        <v>Seattle</v>
      </c>
      <c r="N231" s="1" t="str">
        <f ca="1">IFERROR(__xludf.DUMMYFUNCTION("""COMPUTED_VALUE"""),"Washington")</f>
        <v>Washington</v>
      </c>
      <c r="O231" s="1">
        <f ca="1">IFERROR(__xludf.DUMMYFUNCTION("""COMPUTED_VALUE"""),98105)</f>
        <v>98105</v>
      </c>
      <c r="P231" s="1" t="str">
        <f ca="1">IFERROR(__xludf.DUMMYFUNCTION("""COMPUTED_VALUE"""),"West")</f>
        <v>West</v>
      </c>
      <c r="Q231" s="1" t="str">
        <f ca="1">IFERROR(__xludf.DUMMYFUNCTION("""COMPUTED_VALUE"""),"OFF-ST-10001325")</f>
        <v>OFF-ST-10001325</v>
      </c>
      <c r="R231" s="1" t="str">
        <f ca="1">IFERROR(__xludf.DUMMYFUNCTION("""COMPUTED_VALUE"""),"Office Supplies")</f>
        <v>Office Supplies</v>
      </c>
      <c r="S231" s="7">
        <f ca="1">IFERROR(__xludf.DUMMYFUNCTION("""COMPUTED_VALUE"""),31.44)</f>
        <v>31.44</v>
      </c>
      <c r="T231" s="1">
        <f ca="1">IFERROR(__xludf.DUMMYFUNCTION("""COMPUTED_VALUE"""),9)</f>
        <v>9</v>
      </c>
      <c r="U231" s="9">
        <f ca="1">IFERROR(__xludf.DUMMYFUNCTION("""COMPUTED_VALUE"""),282.96)</f>
        <v>282.95999999999998</v>
      </c>
      <c r="V231" s="9">
        <f ca="1">IFERROR(__xludf.DUMMYFUNCTION("""COMPUTED_VALUE"""),275.13)</f>
        <v>275.13</v>
      </c>
      <c r="W231" s="12">
        <f ca="1">IFERROR(__xludf.DUMMYFUNCTION("""COMPUTED_VALUE"""),7.83000000000004)</f>
        <v>7.83000000000004</v>
      </c>
    </row>
    <row r="232" spans="1:23" ht="13.2">
      <c r="A232" s="1" t="str">
        <f ca="1">IFERROR(__xludf.DUMMYFUNCTION("""COMPUTED_VALUE"""),"CA-2018-132521")</f>
        <v>CA-2018-132521</v>
      </c>
      <c r="B232" s="8">
        <f ca="1">IFERROR(__xludf.DUMMYFUNCTION("""COMPUTED_VALUE"""),43366)</f>
        <v>43366</v>
      </c>
      <c r="C232" s="1" t="str">
        <f ca="1">IFERROR(__xludf.DUMMYFUNCTION("""COMPUTED_VALUE"""),"Sep")</f>
        <v>Sep</v>
      </c>
      <c r="D232" s="1" t="str">
        <f ca="1">IFERROR(__xludf.DUMMYFUNCTION("""COMPUTED_VALUE"""),"Qtr 3")</f>
        <v>Qtr 3</v>
      </c>
      <c r="E232" s="1" t="str">
        <f ca="1">IFERROR(__xludf.DUMMYFUNCTION("""COMPUTED_VALUE"""),"25/09/2018")</f>
        <v>25/09/2018</v>
      </c>
      <c r="F232" s="1" t="str">
        <f ca="1">IFERROR(__xludf.DUMMYFUNCTION("""COMPUTED_VALUE"""),"Second Class")</f>
        <v>Second Class</v>
      </c>
      <c r="G232" s="1" t="str">
        <f ca="1">IFERROR(__xludf.DUMMYFUNCTION("""COMPUTED_VALUE"""),"DW-13540")</f>
        <v>DW-13540</v>
      </c>
      <c r="H232" s="1" t="str">
        <f ca="1">IFERROR(__xludf.DUMMYFUNCTION("""COMPUTED_VALUE"""),"Don")</f>
        <v>Don</v>
      </c>
      <c r="I232" s="1" t="str">
        <f ca="1">IFERROR(__xludf.DUMMYFUNCTION("""COMPUTED_VALUE"""),"Weiss")</f>
        <v>Weiss</v>
      </c>
      <c r="J232" s="1"/>
      <c r="K232" s="1" t="str">
        <f ca="1">IFERROR(__xludf.DUMMYFUNCTION("""COMPUTED_VALUE"""),"Consumer")</f>
        <v>Consumer</v>
      </c>
      <c r="L232" s="1" t="str">
        <f ca="1">IFERROR(__xludf.DUMMYFUNCTION("""COMPUTED_VALUE"""),"United States")</f>
        <v>United States</v>
      </c>
      <c r="M232" s="1" t="str">
        <f ca="1">IFERROR(__xludf.DUMMYFUNCTION("""COMPUTED_VALUE"""),"Seattle")</f>
        <v>Seattle</v>
      </c>
      <c r="N232" s="1" t="str">
        <f ca="1">IFERROR(__xludf.DUMMYFUNCTION("""COMPUTED_VALUE"""),"Washington")</f>
        <v>Washington</v>
      </c>
      <c r="O232" s="1">
        <f ca="1">IFERROR(__xludf.DUMMYFUNCTION("""COMPUTED_VALUE"""),98105)</f>
        <v>98105</v>
      </c>
      <c r="P232" s="1" t="str">
        <f ca="1">IFERROR(__xludf.DUMMYFUNCTION("""COMPUTED_VALUE"""),"West")</f>
        <v>West</v>
      </c>
      <c r="Q232" s="1" t="str">
        <f ca="1">IFERROR(__xludf.DUMMYFUNCTION("""COMPUTED_VALUE"""),"OFF-BI-10000404")</f>
        <v>OFF-BI-10000404</v>
      </c>
      <c r="R232" s="1" t="str">
        <f ca="1">IFERROR(__xludf.DUMMYFUNCTION("""COMPUTED_VALUE"""),"Office Supplies")</f>
        <v>Office Supplies</v>
      </c>
      <c r="S232" s="7">
        <f ca="1">IFERROR(__xludf.DUMMYFUNCTION("""COMPUTED_VALUE"""),6.88)</f>
        <v>6.88</v>
      </c>
      <c r="T232" s="1">
        <f ca="1">IFERROR(__xludf.DUMMYFUNCTION("""COMPUTED_VALUE"""),9)</f>
        <v>9</v>
      </c>
      <c r="U232" s="9">
        <f ca="1">IFERROR(__xludf.DUMMYFUNCTION("""COMPUTED_VALUE"""),61.92)</f>
        <v>61.92</v>
      </c>
      <c r="V232" s="9">
        <f ca="1">IFERROR(__xludf.DUMMYFUNCTION("""COMPUTED_VALUE"""),57.78)</f>
        <v>57.78</v>
      </c>
      <c r="W232" s="12">
        <f ca="1">IFERROR(__xludf.DUMMYFUNCTION("""COMPUTED_VALUE"""),4.14)</f>
        <v>4.1399999999999997</v>
      </c>
    </row>
    <row r="233" spans="1:23" ht="13.2">
      <c r="A233" s="1" t="str">
        <f ca="1">IFERROR(__xludf.DUMMYFUNCTION("""COMPUTED_VALUE"""),"CA-2017-166163")</f>
        <v>CA-2017-166163</v>
      </c>
      <c r="B233" s="8">
        <f ca="1">IFERROR(__xludf.DUMMYFUNCTION("""COMPUTED_VALUE"""),42962)</f>
        <v>42962</v>
      </c>
      <c r="C233" s="1" t="str">
        <f ca="1">IFERROR(__xludf.DUMMYFUNCTION("""COMPUTED_VALUE"""),"Aug")</f>
        <v>Aug</v>
      </c>
      <c r="D233" s="1" t="str">
        <f ca="1">IFERROR(__xludf.DUMMYFUNCTION("""COMPUTED_VALUE"""),"Qtr 3")</f>
        <v>Qtr 3</v>
      </c>
      <c r="E233" s="1" t="str">
        <f ca="1">IFERROR(__xludf.DUMMYFUNCTION("""COMPUTED_VALUE"""),"20/08/2017")</f>
        <v>20/08/2017</v>
      </c>
      <c r="F233" s="1" t="str">
        <f ca="1">IFERROR(__xludf.DUMMYFUNCTION("""COMPUTED_VALUE"""),"Second Class")</f>
        <v>Second Class</v>
      </c>
      <c r="G233" s="1" t="str">
        <f ca="1">IFERROR(__xludf.DUMMYFUNCTION("""COMPUTED_VALUE"""),"CY-12745")</f>
        <v>CY-12745</v>
      </c>
      <c r="H233" s="1" t="str">
        <f ca="1">IFERROR(__xludf.DUMMYFUNCTION("""COMPUTED_VALUE"""),"Craig")</f>
        <v>Craig</v>
      </c>
      <c r="I233" s="1" t="str">
        <f ca="1">IFERROR(__xludf.DUMMYFUNCTION("""COMPUTED_VALUE"""),"Yedwab")</f>
        <v>Yedwab</v>
      </c>
      <c r="J233" s="1"/>
      <c r="K233" s="1" t="str">
        <f ca="1">IFERROR(__xludf.DUMMYFUNCTION("""COMPUTED_VALUE"""),"Corporate")</f>
        <v>Corporate</v>
      </c>
      <c r="L233" s="1" t="str">
        <f ca="1">IFERROR(__xludf.DUMMYFUNCTION("""COMPUTED_VALUE"""),"United States")</f>
        <v>United States</v>
      </c>
      <c r="M233" s="1" t="str">
        <f ca="1">IFERROR(__xludf.DUMMYFUNCTION("""COMPUTED_VALUE"""),"Oakland")</f>
        <v>Oakland</v>
      </c>
      <c r="N233" s="1" t="str">
        <f ca="1">IFERROR(__xludf.DUMMYFUNCTION("""COMPUTED_VALUE"""),"California")</f>
        <v>California</v>
      </c>
      <c r="O233" s="1">
        <f ca="1">IFERROR(__xludf.DUMMYFUNCTION("""COMPUTED_VALUE"""),94601)</f>
        <v>94601</v>
      </c>
      <c r="P233" s="1" t="str">
        <f ca="1">IFERROR(__xludf.DUMMYFUNCTION("""COMPUTED_VALUE"""),"West")</f>
        <v>West</v>
      </c>
      <c r="Q233" s="1" t="str">
        <f ca="1">IFERROR(__xludf.DUMMYFUNCTION("""COMPUTED_VALUE"""),"TEC-PH-10004896")</f>
        <v>TEC-PH-10004896</v>
      </c>
      <c r="R233" s="1" t="str">
        <f ca="1">IFERROR(__xludf.DUMMYFUNCTION("""COMPUTED_VALUE"""),"Technology")</f>
        <v>Technology</v>
      </c>
      <c r="S233" s="7">
        <f ca="1">IFERROR(__xludf.DUMMYFUNCTION("""COMPUTED_VALUE"""),71.976)</f>
        <v>71.975999999999999</v>
      </c>
      <c r="T233" s="1">
        <f ca="1">IFERROR(__xludf.DUMMYFUNCTION("""COMPUTED_VALUE"""),9)</f>
        <v>9</v>
      </c>
      <c r="U233" s="9">
        <f ca="1">IFERROR(__xludf.DUMMYFUNCTION("""COMPUTED_VALUE"""),647.784)</f>
        <v>647.78399999999999</v>
      </c>
      <c r="V233" s="9">
        <f ca="1">IFERROR(__xludf.DUMMYFUNCTION("""COMPUTED_VALUE"""),640.53)</f>
        <v>640.53</v>
      </c>
      <c r="W233" s="12">
        <f ca="1">IFERROR(__xludf.DUMMYFUNCTION("""COMPUTED_VALUE"""),7.25400000000001)</f>
        <v>7.2540000000000102</v>
      </c>
    </row>
    <row r="234" spans="1:23" ht="13.2">
      <c r="A234" s="1" t="str">
        <f ca="1">IFERROR(__xludf.DUMMYFUNCTION("""COMPUTED_VALUE"""),"CA-2017-166163")</f>
        <v>CA-2017-166163</v>
      </c>
      <c r="B234" s="8">
        <f ca="1">IFERROR(__xludf.DUMMYFUNCTION("""COMPUTED_VALUE"""),42962)</f>
        <v>42962</v>
      </c>
      <c r="C234" s="1" t="str">
        <f ca="1">IFERROR(__xludf.DUMMYFUNCTION("""COMPUTED_VALUE"""),"Aug")</f>
        <v>Aug</v>
      </c>
      <c r="D234" s="1" t="str">
        <f ca="1">IFERROR(__xludf.DUMMYFUNCTION("""COMPUTED_VALUE"""),"Qtr 3")</f>
        <v>Qtr 3</v>
      </c>
      <c r="E234" s="1" t="str">
        <f ca="1">IFERROR(__xludf.DUMMYFUNCTION("""COMPUTED_VALUE"""),"20/08/2017")</f>
        <v>20/08/2017</v>
      </c>
      <c r="F234" s="1" t="str">
        <f ca="1">IFERROR(__xludf.DUMMYFUNCTION("""COMPUTED_VALUE"""),"Second Class")</f>
        <v>Second Class</v>
      </c>
      <c r="G234" s="1" t="str">
        <f ca="1">IFERROR(__xludf.DUMMYFUNCTION("""COMPUTED_VALUE"""),"CY-12745")</f>
        <v>CY-12745</v>
      </c>
      <c r="H234" s="1" t="str">
        <f ca="1">IFERROR(__xludf.DUMMYFUNCTION("""COMPUTED_VALUE"""),"Craig")</f>
        <v>Craig</v>
      </c>
      <c r="I234" s="1" t="str">
        <f ca="1">IFERROR(__xludf.DUMMYFUNCTION("""COMPUTED_VALUE"""),"Yedwab")</f>
        <v>Yedwab</v>
      </c>
      <c r="J234" s="1"/>
      <c r="K234" s="1" t="str">
        <f ca="1">IFERROR(__xludf.DUMMYFUNCTION("""COMPUTED_VALUE"""),"Corporate")</f>
        <v>Corporate</v>
      </c>
      <c r="L234" s="1" t="str">
        <f ca="1">IFERROR(__xludf.DUMMYFUNCTION("""COMPUTED_VALUE"""),"United States")</f>
        <v>United States</v>
      </c>
      <c r="M234" s="1" t="str">
        <f ca="1">IFERROR(__xludf.DUMMYFUNCTION("""COMPUTED_VALUE"""),"Oakland")</f>
        <v>Oakland</v>
      </c>
      <c r="N234" s="1" t="str">
        <f ca="1">IFERROR(__xludf.DUMMYFUNCTION("""COMPUTED_VALUE"""),"California")</f>
        <v>California</v>
      </c>
      <c r="O234" s="1">
        <f ca="1">IFERROR(__xludf.DUMMYFUNCTION("""COMPUTED_VALUE"""),94601)</f>
        <v>94601</v>
      </c>
      <c r="P234" s="1" t="str">
        <f ca="1">IFERROR(__xludf.DUMMYFUNCTION("""COMPUTED_VALUE"""),"West")</f>
        <v>West</v>
      </c>
      <c r="Q234" s="1" t="str">
        <f ca="1">IFERROR(__xludf.DUMMYFUNCTION("""COMPUTED_VALUE"""),"OFF-LA-10000452")</f>
        <v>OFF-LA-10000452</v>
      </c>
      <c r="R234" s="1" t="str">
        <f ca="1">IFERROR(__xludf.DUMMYFUNCTION("""COMPUTED_VALUE"""),"Office Supplies")</f>
        <v>Office Supplies</v>
      </c>
      <c r="S234" s="7">
        <f ca="1">IFERROR(__xludf.DUMMYFUNCTION("""COMPUTED_VALUE"""),3.15)</f>
        <v>3.15</v>
      </c>
      <c r="T234" s="1">
        <f ca="1">IFERROR(__xludf.DUMMYFUNCTION("""COMPUTED_VALUE"""),9)</f>
        <v>9</v>
      </c>
      <c r="U234" s="9">
        <f ca="1">IFERROR(__xludf.DUMMYFUNCTION("""COMPUTED_VALUE"""),28.3499999999999)</f>
        <v>28.349999999999898</v>
      </c>
      <c r="V234" s="9">
        <f ca="1">IFERROR(__xludf.DUMMYFUNCTION("""COMPUTED_VALUE"""),19.44)</f>
        <v>19.440000000000001</v>
      </c>
      <c r="W234" s="12">
        <f ca="1">IFERROR(__xludf.DUMMYFUNCTION("""COMPUTED_VALUE"""),8.90999999999999)</f>
        <v>8.9099999999999895</v>
      </c>
    </row>
    <row r="235" spans="1:23" ht="13.2">
      <c r="A235" s="1" t="str">
        <f ca="1">IFERROR(__xludf.DUMMYFUNCTION("""COMPUTED_VALUE"""),"CA-2018-140585")</f>
        <v>CA-2018-140585</v>
      </c>
      <c r="B235" s="8">
        <f ca="1">IFERROR(__xludf.DUMMYFUNCTION("""COMPUTED_VALUE"""),43452)</f>
        <v>43452</v>
      </c>
      <c r="C235" s="1" t="str">
        <f ca="1">IFERROR(__xludf.DUMMYFUNCTION("""COMPUTED_VALUE"""),"Dec")</f>
        <v>Dec</v>
      </c>
      <c r="D235" s="1" t="str">
        <f ca="1">IFERROR(__xludf.DUMMYFUNCTION("""COMPUTED_VALUE"""),"Qtr 4")</f>
        <v>Qtr 4</v>
      </c>
      <c r="E235" s="1" t="str">
        <f ca="1">IFERROR(__xludf.DUMMYFUNCTION("""COMPUTED_VALUE"""),"23/12/2018")</f>
        <v>23/12/2018</v>
      </c>
      <c r="F235" s="1" t="str">
        <f ca="1">IFERROR(__xludf.DUMMYFUNCTION("""COMPUTED_VALUE"""),"Second Class")</f>
        <v>Second Class</v>
      </c>
      <c r="G235" s="1" t="str">
        <f ca="1">IFERROR(__xludf.DUMMYFUNCTION("""COMPUTED_VALUE"""),"RA-19915")</f>
        <v>RA-19915</v>
      </c>
      <c r="H235" s="1" t="str">
        <f ca="1">IFERROR(__xludf.DUMMYFUNCTION("""COMPUTED_VALUE"""),"Russell")</f>
        <v>Russell</v>
      </c>
      <c r="I235" s="1" t="str">
        <f ca="1">IFERROR(__xludf.DUMMYFUNCTION("""COMPUTED_VALUE"""),"Applegate")</f>
        <v>Applegate</v>
      </c>
      <c r="J235" s="1"/>
      <c r="K235" s="1" t="str">
        <f ca="1">IFERROR(__xludf.DUMMYFUNCTION("""COMPUTED_VALUE"""),"Consumer")</f>
        <v>Consumer</v>
      </c>
      <c r="L235" s="1" t="str">
        <f ca="1">IFERROR(__xludf.DUMMYFUNCTION("""COMPUTED_VALUE"""),"United States")</f>
        <v>United States</v>
      </c>
      <c r="M235" s="1" t="str">
        <f ca="1">IFERROR(__xludf.DUMMYFUNCTION("""COMPUTED_VALUE"""),"Encinitas")</f>
        <v>Encinitas</v>
      </c>
      <c r="N235" s="1" t="str">
        <f ca="1">IFERROR(__xludf.DUMMYFUNCTION("""COMPUTED_VALUE"""),"California")</f>
        <v>California</v>
      </c>
      <c r="O235" s="1">
        <f ca="1">IFERROR(__xludf.DUMMYFUNCTION("""COMPUTED_VALUE"""),92024)</f>
        <v>92024</v>
      </c>
      <c r="P235" s="1" t="str">
        <f ca="1">IFERROR(__xludf.DUMMYFUNCTION("""COMPUTED_VALUE"""),"West")</f>
        <v>West</v>
      </c>
      <c r="Q235" s="1" t="str">
        <f ca="1">IFERROR(__xludf.DUMMYFUNCTION("""COMPUTED_VALUE"""),"OFF-BI-10003364")</f>
        <v>OFF-BI-10003364</v>
      </c>
      <c r="R235" s="1" t="str">
        <f ca="1">IFERROR(__xludf.DUMMYFUNCTION("""COMPUTED_VALUE"""),"Office Supplies")</f>
        <v>Office Supplies</v>
      </c>
      <c r="S235" s="7">
        <f ca="1">IFERROR(__xludf.DUMMYFUNCTION("""COMPUTED_VALUE"""),46.672)</f>
        <v>46.671999999999997</v>
      </c>
      <c r="T235" s="1">
        <f ca="1">IFERROR(__xludf.DUMMYFUNCTION("""COMPUTED_VALUE"""),9)</f>
        <v>9</v>
      </c>
      <c r="U235" s="9">
        <f ca="1">IFERROR(__xludf.DUMMYFUNCTION("""COMPUTED_VALUE"""),420.048)</f>
        <v>420.048</v>
      </c>
      <c r="V235" s="9">
        <f ca="1">IFERROR(__xludf.DUMMYFUNCTION("""COMPUTED_VALUE"""),414.09)</f>
        <v>414.09</v>
      </c>
      <c r="W235" s="12">
        <f ca="1">IFERROR(__xludf.DUMMYFUNCTION("""COMPUTED_VALUE"""),5.95800000000002)</f>
        <v>5.9580000000000197</v>
      </c>
    </row>
    <row r="236" spans="1:23" ht="13.2">
      <c r="A236" s="1" t="str">
        <f ca="1">IFERROR(__xludf.DUMMYFUNCTION("""COMPUTED_VALUE"""),"CA-2018-140585")</f>
        <v>CA-2018-140585</v>
      </c>
      <c r="B236" s="8">
        <f ca="1">IFERROR(__xludf.DUMMYFUNCTION("""COMPUTED_VALUE"""),43452)</f>
        <v>43452</v>
      </c>
      <c r="C236" s="1" t="str">
        <f ca="1">IFERROR(__xludf.DUMMYFUNCTION("""COMPUTED_VALUE"""),"Dec")</f>
        <v>Dec</v>
      </c>
      <c r="D236" s="1" t="str">
        <f ca="1">IFERROR(__xludf.DUMMYFUNCTION("""COMPUTED_VALUE"""),"Qtr 4")</f>
        <v>Qtr 4</v>
      </c>
      <c r="E236" s="1" t="str">
        <f ca="1">IFERROR(__xludf.DUMMYFUNCTION("""COMPUTED_VALUE"""),"23/12/2018")</f>
        <v>23/12/2018</v>
      </c>
      <c r="F236" s="1" t="str">
        <f ca="1">IFERROR(__xludf.DUMMYFUNCTION("""COMPUTED_VALUE"""),"Second Class")</f>
        <v>Second Class</v>
      </c>
      <c r="G236" s="1" t="str">
        <f ca="1">IFERROR(__xludf.DUMMYFUNCTION("""COMPUTED_VALUE"""),"RA-19915")</f>
        <v>RA-19915</v>
      </c>
      <c r="H236" s="1" t="str">
        <f ca="1">IFERROR(__xludf.DUMMYFUNCTION("""COMPUTED_VALUE"""),"Russell")</f>
        <v>Russell</v>
      </c>
      <c r="I236" s="1" t="str">
        <f ca="1">IFERROR(__xludf.DUMMYFUNCTION("""COMPUTED_VALUE"""),"Applegate")</f>
        <v>Applegate</v>
      </c>
      <c r="J236" s="1"/>
      <c r="K236" s="1" t="str">
        <f ca="1">IFERROR(__xludf.DUMMYFUNCTION("""COMPUTED_VALUE"""),"Consumer")</f>
        <v>Consumer</v>
      </c>
      <c r="L236" s="1" t="str">
        <f ca="1">IFERROR(__xludf.DUMMYFUNCTION("""COMPUTED_VALUE"""),"United States")</f>
        <v>United States</v>
      </c>
      <c r="M236" s="1" t="str">
        <f ca="1">IFERROR(__xludf.DUMMYFUNCTION("""COMPUTED_VALUE"""),"Encinitas")</f>
        <v>Encinitas</v>
      </c>
      <c r="N236" s="1" t="str">
        <f ca="1">IFERROR(__xludf.DUMMYFUNCTION("""COMPUTED_VALUE"""),"California")</f>
        <v>California</v>
      </c>
      <c r="O236" s="1">
        <f ca="1">IFERROR(__xludf.DUMMYFUNCTION("""COMPUTED_VALUE"""),92024)</f>
        <v>92024</v>
      </c>
      <c r="P236" s="1" t="str">
        <f ca="1">IFERROR(__xludf.DUMMYFUNCTION("""COMPUTED_VALUE"""),"West")</f>
        <v>West</v>
      </c>
      <c r="Q236" s="1" t="str">
        <f ca="1">IFERROR(__xludf.DUMMYFUNCTION("""COMPUTED_VALUE"""),"FUR-BO-10002206")</f>
        <v>FUR-BO-10002206</v>
      </c>
      <c r="R236" s="1" t="str">
        <f ca="1">IFERROR(__xludf.DUMMYFUNCTION("""COMPUTED_VALUE"""),"Furniture")</f>
        <v>Furniture</v>
      </c>
      <c r="S236" s="7">
        <f ca="1">IFERROR(__xludf.DUMMYFUNCTION("""COMPUTED_VALUE"""),119.833)</f>
        <v>119.833</v>
      </c>
      <c r="T236" s="1">
        <f ca="1">IFERROR(__xludf.DUMMYFUNCTION("""COMPUTED_VALUE"""),9)</f>
        <v>9</v>
      </c>
      <c r="U236" s="9">
        <f ca="1">IFERROR(__xludf.DUMMYFUNCTION("""COMPUTED_VALUE"""),1078.497)</f>
        <v>1078.4970000000001</v>
      </c>
      <c r="V236" s="9">
        <f ca="1">IFERROR(__xludf.DUMMYFUNCTION("""COMPUTED_VALUE"""),1075.40999999999)</f>
        <v>1075.4099999999901</v>
      </c>
      <c r="W236" s="12">
        <f ca="1">IFERROR(__xludf.DUMMYFUNCTION("""COMPUTED_VALUE"""),3.08700000000021)</f>
        <v>3.0870000000002098</v>
      </c>
    </row>
    <row r="237" spans="1:23" ht="13.2">
      <c r="A237" s="1" t="str">
        <f ca="1">IFERROR(__xludf.DUMMYFUNCTION("""COMPUTED_VALUE"""),"CA-2018-140585")</f>
        <v>CA-2018-140585</v>
      </c>
      <c r="B237" s="8">
        <f ca="1">IFERROR(__xludf.DUMMYFUNCTION("""COMPUTED_VALUE"""),43452)</f>
        <v>43452</v>
      </c>
      <c r="C237" s="1" t="str">
        <f ca="1">IFERROR(__xludf.DUMMYFUNCTION("""COMPUTED_VALUE"""),"Dec")</f>
        <v>Dec</v>
      </c>
      <c r="D237" s="1" t="str">
        <f ca="1">IFERROR(__xludf.DUMMYFUNCTION("""COMPUTED_VALUE"""),"Qtr 4")</f>
        <v>Qtr 4</v>
      </c>
      <c r="E237" s="1" t="str">
        <f ca="1">IFERROR(__xludf.DUMMYFUNCTION("""COMPUTED_VALUE"""),"23/12/2018")</f>
        <v>23/12/2018</v>
      </c>
      <c r="F237" s="1" t="str">
        <f ca="1">IFERROR(__xludf.DUMMYFUNCTION("""COMPUTED_VALUE"""),"Second Class")</f>
        <v>Second Class</v>
      </c>
      <c r="G237" s="1" t="str">
        <f ca="1">IFERROR(__xludf.DUMMYFUNCTION("""COMPUTED_VALUE"""),"RA-19915")</f>
        <v>RA-19915</v>
      </c>
      <c r="H237" s="1" t="str">
        <f ca="1">IFERROR(__xludf.DUMMYFUNCTION("""COMPUTED_VALUE"""),"Russell")</f>
        <v>Russell</v>
      </c>
      <c r="I237" s="1" t="str">
        <f ca="1">IFERROR(__xludf.DUMMYFUNCTION("""COMPUTED_VALUE"""),"Applegate")</f>
        <v>Applegate</v>
      </c>
      <c r="J237" s="1"/>
      <c r="K237" s="1" t="str">
        <f ca="1">IFERROR(__xludf.DUMMYFUNCTION("""COMPUTED_VALUE"""),"Consumer")</f>
        <v>Consumer</v>
      </c>
      <c r="L237" s="1" t="str">
        <f ca="1">IFERROR(__xludf.DUMMYFUNCTION("""COMPUTED_VALUE"""),"United States")</f>
        <v>United States</v>
      </c>
      <c r="M237" s="1" t="str">
        <f ca="1">IFERROR(__xludf.DUMMYFUNCTION("""COMPUTED_VALUE"""),"Encinitas")</f>
        <v>Encinitas</v>
      </c>
      <c r="N237" s="1" t="str">
        <f ca="1">IFERROR(__xludf.DUMMYFUNCTION("""COMPUTED_VALUE"""),"California")</f>
        <v>California</v>
      </c>
      <c r="O237" s="1">
        <f ca="1">IFERROR(__xludf.DUMMYFUNCTION("""COMPUTED_VALUE"""),92024)</f>
        <v>92024</v>
      </c>
      <c r="P237" s="1" t="str">
        <f ca="1">IFERROR(__xludf.DUMMYFUNCTION("""COMPUTED_VALUE"""),"West")</f>
        <v>West</v>
      </c>
      <c r="Q237" s="1" t="str">
        <f ca="1">IFERROR(__xludf.DUMMYFUNCTION("""COMPUTED_VALUE"""),"TEC-AC-10003610")</f>
        <v>TEC-AC-10003610</v>
      </c>
      <c r="R237" s="1" t="str">
        <f ca="1">IFERROR(__xludf.DUMMYFUNCTION("""COMPUTED_VALUE"""),"Technology")</f>
        <v>Technology</v>
      </c>
      <c r="S237" s="7">
        <f ca="1">IFERROR(__xludf.DUMMYFUNCTION("""COMPUTED_VALUE"""),119.98)</f>
        <v>119.98</v>
      </c>
      <c r="T237" s="1">
        <f ca="1">IFERROR(__xludf.DUMMYFUNCTION("""COMPUTED_VALUE"""),9)</f>
        <v>9</v>
      </c>
      <c r="U237" s="9">
        <f ca="1">IFERROR(__xludf.DUMMYFUNCTION("""COMPUTED_VALUE"""),1079.82)</f>
        <v>1079.82</v>
      </c>
      <c r="V237" s="9">
        <f ca="1">IFERROR(__xludf.DUMMYFUNCTION("""COMPUTED_VALUE"""),1077.93)</f>
        <v>1077.93</v>
      </c>
      <c r="W237" s="12">
        <f ca="1">IFERROR(__xludf.DUMMYFUNCTION("""COMPUTED_VALUE"""),1.88999999999987)</f>
        <v>1.88999999999987</v>
      </c>
    </row>
    <row r="238" spans="1:23" ht="13.2">
      <c r="A238" s="1" t="str">
        <f ca="1">IFERROR(__xludf.DUMMYFUNCTION("""COMPUTED_VALUE"""),"CA-2017-144855")</f>
        <v>CA-2017-144855</v>
      </c>
      <c r="B238" s="8">
        <f ca="1">IFERROR(__xludf.DUMMYFUNCTION("""COMPUTED_VALUE"""),42938)</f>
        <v>42938</v>
      </c>
      <c r="C238" s="1" t="str">
        <f ca="1">IFERROR(__xludf.DUMMYFUNCTION("""COMPUTED_VALUE"""),"Jul")</f>
        <v>Jul</v>
      </c>
      <c r="D238" s="1" t="str">
        <f ca="1">IFERROR(__xludf.DUMMYFUNCTION("""COMPUTED_VALUE"""),"Qtr 3")</f>
        <v>Qtr 3</v>
      </c>
      <c r="E238" s="1" t="str">
        <f ca="1">IFERROR(__xludf.DUMMYFUNCTION("""COMPUTED_VALUE"""),"24/07/2017")</f>
        <v>24/07/2017</v>
      </c>
      <c r="F238" s="1" t="str">
        <f ca="1">IFERROR(__xludf.DUMMYFUNCTION("""COMPUTED_VALUE"""),"Second Class")</f>
        <v>Second Class</v>
      </c>
      <c r="G238" s="1" t="str">
        <f ca="1">IFERROR(__xludf.DUMMYFUNCTION("""COMPUTED_VALUE"""),"DL-13495")</f>
        <v>DL-13495</v>
      </c>
      <c r="H238" s="1" t="str">
        <f ca="1">IFERROR(__xludf.DUMMYFUNCTION("""COMPUTED_VALUE"""),"Dionis")</f>
        <v>Dionis</v>
      </c>
      <c r="I238" s="1" t="str">
        <f ca="1">IFERROR(__xludf.DUMMYFUNCTION("""COMPUTED_VALUE"""),"Lloyd")</f>
        <v>Lloyd</v>
      </c>
      <c r="J238" s="1"/>
      <c r="K238" s="1" t="str">
        <f ca="1">IFERROR(__xludf.DUMMYFUNCTION("""COMPUTED_VALUE"""),"Corporate")</f>
        <v>Corporate</v>
      </c>
      <c r="L238" s="1" t="str">
        <f ca="1">IFERROR(__xludf.DUMMYFUNCTION("""COMPUTED_VALUE"""),"United States")</f>
        <v>United States</v>
      </c>
      <c r="M238" s="1" t="str">
        <f ca="1">IFERROR(__xludf.DUMMYFUNCTION("""COMPUTED_VALUE"""),"San Francisco")</f>
        <v>San Francisco</v>
      </c>
      <c r="N238" s="1" t="str">
        <f ca="1">IFERROR(__xludf.DUMMYFUNCTION("""COMPUTED_VALUE"""),"California")</f>
        <v>California</v>
      </c>
      <c r="O238" s="1">
        <f ca="1">IFERROR(__xludf.DUMMYFUNCTION("""COMPUTED_VALUE"""),94110)</f>
        <v>94110</v>
      </c>
      <c r="P238" s="1" t="str">
        <f ca="1">IFERROR(__xludf.DUMMYFUNCTION("""COMPUTED_VALUE"""),"West")</f>
        <v>West</v>
      </c>
      <c r="Q238" s="1" t="str">
        <f ca="1">IFERROR(__xludf.DUMMYFUNCTION("""COMPUTED_VALUE"""),"OFF-LA-10003766")</f>
        <v>OFF-LA-10003766</v>
      </c>
      <c r="R238" s="1" t="str">
        <f ca="1">IFERROR(__xludf.DUMMYFUNCTION("""COMPUTED_VALUE"""),"Office Supplies")</f>
        <v>Office Supplies</v>
      </c>
      <c r="S238" s="7">
        <f ca="1">IFERROR(__xludf.DUMMYFUNCTION("""COMPUTED_VALUE"""),6.3)</f>
        <v>6.3</v>
      </c>
      <c r="T238" s="1">
        <f ca="1">IFERROR(__xludf.DUMMYFUNCTION("""COMPUTED_VALUE"""),9)</f>
        <v>9</v>
      </c>
      <c r="U238" s="9">
        <f ca="1">IFERROR(__xludf.DUMMYFUNCTION("""COMPUTED_VALUE"""),56.6999999999999)</f>
        <v>56.699999999999903</v>
      </c>
      <c r="V238" s="9">
        <f ca="1">IFERROR(__xludf.DUMMYFUNCTION("""COMPUTED_VALUE"""),55.26)</f>
        <v>55.26</v>
      </c>
      <c r="W238" s="12">
        <f ca="1">IFERROR(__xludf.DUMMYFUNCTION("""COMPUTED_VALUE"""),1.43999999999999)</f>
        <v>1.43999999999999</v>
      </c>
    </row>
    <row r="239" spans="1:23" ht="13.2">
      <c r="A239" s="1" t="str">
        <f ca="1">IFERROR(__xludf.DUMMYFUNCTION("""COMPUTED_VALUE"""),"CA-2017-152170")</f>
        <v>CA-2017-152170</v>
      </c>
      <c r="B239" s="8">
        <f ca="1">IFERROR(__xludf.DUMMYFUNCTION("""COMPUTED_VALUE"""),43080)</f>
        <v>43080</v>
      </c>
      <c r="C239" s="1" t="str">
        <f ca="1">IFERROR(__xludf.DUMMYFUNCTION("""COMPUTED_VALUE"""),"Dec")</f>
        <v>Dec</v>
      </c>
      <c r="D239" s="1" t="str">
        <f ca="1">IFERROR(__xludf.DUMMYFUNCTION("""COMPUTED_VALUE"""),"Qtr 4")</f>
        <v>Qtr 4</v>
      </c>
      <c r="E239" s="1" t="str">
        <f ca="1">IFERROR(__xludf.DUMMYFUNCTION("""COMPUTED_VALUE"""),"15/11/2017")</f>
        <v>15/11/2017</v>
      </c>
      <c r="F239" s="1" t="str">
        <f ca="1">IFERROR(__xludf.DUMMYFUNCTION("""COMPUTED_VALUE"""),"Second Class")</f>
        <v>Second Class</v>
      </c>
      <c r="G239" s="1" t="str">
        <f ca="1">IFERROR(__xludf.DUMMYFUNCTION("""COMPUTED_VALUE"""),"FH-14275")</f>
        <v>FH-14275</v>
      </c>
      <c r="H239" s="1" t="str">
        <f ca="1">IFERROR(__xludf.DUMMYFUNCTION("""COMPUTED_VALUE"""),"Frank")</f>
        <v>Frank</v>
      </c>
      <c r="I239" s="1" t="str">
        <f ca="1">IFERROR(__xludf.DUMMYFUNCTION("""COMPUTED_VALUE"""),"Hawley")</f>
        <v>Hawley</v>
      </c>
      <c r="J239" s="1"/>
      <c r="K239" s="1" t="str">
        <f ca="1">IFERROR(__xludf.DUMMYFUNCTION("""COMPUTED_VALUE"""),"Corporate")</f>
        <v>Corporate</v>
      </c>
      <c r="L239" s="1" t="str">
        <f ca="1">IFERROR(__xludf.DUMMYFUNCTION("""COMPUTED_VALUE"""),"United States")</f>
        <v>United States</v>
      </c>
      <c r="M239" s="1" t="str">
        <f ca="1">IFERROR(__xludf.DUMMYFUNCTION("""COMPUTED_VALUE"""),"La Porte")</f>
        <v>La Porte</v>
      </c>
      <c r="N239" s="1" t="str">
        <f ca="1">IFERROR(__xludf.DUMMYFUNCTION("""COMPUTED_VALUE"""),"Indiana")</f>
        <v>Indiana</v>
      </c>
      <c r="O239" s="1">
        <f ca="1">IFERROR(__xludf.DUMMYFUNCTION("""COMPUTED_VALUE"""),46350)</f>
        <v>46350</v>
      </c>
      <c r="P239" s="1" t="str">
        <f ca="1">IFERROR(__xludf.DUMMYFUNCTION("""COMPUTED_VALUE"""),"Central")</f>
        <v>Central</v>
      </c>
      <c r="Q239" s="1" t="str">
        <f ca="1">IFERROR(__xludf.DUMMYFUNCTION("""COMPUTED_VALUE"""),"OFF-EN-10002831")</f>
        <v>OFF-EN-10002831</v>
      </c>
      <c r="R239" s="1" t="str">
        <f ca="1">IFERROR(__xludf.DUMMYFUNCTION("""COMPUTED_VALUE"""),"Office Supplies")</f>
        <v>Office Supplies</v>
      </c>
      <c r="S239" s="7">
        <f ca="1">IFERROR(__xludf.DUMMYFUNCTION("""COMPUTED_VALUE"""),287.52)</f>
        <v>287.52</v>
      </c>
      <c r="T239" s="1">
        <f ca="1">IFERROR(__xludf.DUMMYFUNCTION("""COMPUTED_VALUE"""),4)</f>
        <v>4</v>
      </c>
      <c r="U239" s="9">
        <f ca="1">IFERROR(__xludf.DUMMYFUNCTION("""COMPUTED_VALUE"""),1150.08)</f>
        <v>1150.08</v>
      </c>
      <c r="V239" s="9">
        <f ca="1">IFERROR(__xludf.DUMMYFUNCTION("""COMPUTED_VALUE"""),1149.92)</f>
        <v>1149.92</v>
      </c>
      <c r="W239" s="12">
        <f ca="1">IFERROR(__xludf.DUMMYFUNCTION("""COMPUTED_VALUE"""),0.159999999999854)</f>
        <v>0.15999999999985401</v>
      </c>
    </row>
    <row r="240" spans="1:23" ht="13.2">
      <c r="A240" s="1" t="str">
        <f ca="1">IFERROR(__xludf.DUMMYFUNCTION("""COMPUTED_VALUE"""),"CA-2017-152170")</f>
        <v>CA-2017-152170</v>
      </c>
      <c r="B240" s="8">
        <f ca="1">IFERROR(__xludf.DUMMYFUNCTION("""COMPUTED_VALUE"""),43080)</f>
        <v>43080</v>
      </c>
      <c r="C240" s="1" t="str">
        <f ca="1">IFERROR(__xludf.DUMMYFUNCTION("""COMPUTED_VALUE"""),"Dec")</f>
        <v>Dec</v>
      </c>
      <c r="D240" s="1" t="str">
        <f ca="1">IFERROR(__xludf.DUMMYFUNCTION("""COMPUTED_VALUE"""),"Qtr 4")</f>
        <v>Qtr 4</v>
      </c>
      <c r="E240" s="1" t="str">
        <f ca="1">IFERROR(__xludf.DUMMYFUNCTION("""COMPUTED_VALUE"""),"15/11/2017")</f>
        <v>15/11/2017</v>
      </c>
      <c r="F240" s="1" t="str">
        <f ca="1">IFERROR(__xludf.DUMMYFUNCTION("""COMPUTED_VALUE"""),"Second Class")</f>
        <v>Second Class</v>
      </c>
      <c r="G240" s="1" t="str">
        <f ca="1">IFERROR(__xludf.DUMMYFUNCTION("""COMPUTED_VALUE"""),"FH-14275")</f>
        <v>FH-14275</v>
      </c>
      <c r="H240" s="1" t="str">
        <f ca="1">IFERROR(__xludf.DUMMYFUNCTION("""COMPUTED_VALUE"""),"Frank")</f>
        <v>Frank</v>
      </c>
      <c r="I240" s="1" t="str">
        <f ca="1">IFERROR(__xludf.DUMMYFUNCTION("""COMPUTED_VALUE"""),"Hawley")</f>
        <v>Hawley</v>
      </c>
      <c r="J240" s="1"/>
      <c r="K240" s="1" t="str">
        <f ca="1">IFERROR(__xludf.DUMMYFUNCTION("""COMPUTED_VALUE"""),"Corporate")</f>
        <v>Corporate</v>
      </c>
      <c r="L240" s="1" t="str">
        <f ca="1">IFERROR(__xludf.DUMMYFUNCTION("""COMPUTED_VALUE"""),"United States")</f>
        <v>United States</v>
      </c>
      <c r="M240" s="1" t="str">
        <f ca="1">IFERROR(__xludf.DUMMYFUNCTION("""COMPUTED_VALUE"""),"La Porte")</f>
        <v>La Porte</v>
      </c>
      <c r="N240" s="1" t="str">
        <f ca="1">IFERROR(__xludf.DUMMYFUNCTION("""COMPUTED_VALUE"""),"Indiana")</f>
        <v>Indiana</v>
      </c>
      <c r="O240" s="1">
        <f ca="1">IFERROR(__xludf.DUMMYFUNCTION("""COMPUTED_VALUE"""),46350)</f>
        <v>46350</v>
      </c>
      <c r="P240" s="1" t="str">
        <f ca="1">IFERROR(__xludf.DUMMYFUNCTION("""COMPUTED_VALUE"""),"Central")</f>
        <v>Central</v>
      </c>
      <c r="Q240" s="1" t="str">
        <f ca="1">IFERROR(__xludf.DUMMYFUNCTION("""COMPUTED_VALUE"""),"OFF-AP-10002350")</f>
        <v>OFF-AP-10002350</v>
      </c>
      <c r="R240" s="1" t="str">
        <f ca="1">IFERROR(__xludf.DUMMYFUNCTION("""COMPUTED_VALUE"""),"Office Supplies")</f>
        <v>Office Supplies</v>
      </c>
      <c r="S240" s="7">
        <f ca="1">IFERROR(__xludf.DUMMYFUNCTION("""COMPUTED_VALUE"""),37.68)</f>
        <v>37.68</v>
      </c>
      <c r="T240" s="1">
        <f ca="1">IFERROR(__xludf.DUMMYFUNCTION("""COMPUTED_VALUE"""),4)</f>
        <v>4</v>
      </c>
      <c r="U240" s="9">
        <f ca="1">IFERROR(__xludf.DUMMYFUNCTION("""COMPUTED_VALUE"""),150.72)</f>
        <v>150.72</v>
      </c>
      <c r="V240" s="9">
        <f ca="1">IFERROR(__xludf.DUMMYFUNCTION("""COMPUTED_VALUE"""),150.72)</f>
        <v>150.72</v>
      </c>
      <c r="W240" s="12">
        <f ca="1">IFERROR(__xludf.DUMMYFUNCTION("""COMPUTED_VALUE"""),0)</f>
        <v>0</v>
      </c>
    </row>
    <row r="241" spans="1:23" ht="13.2">
      <c r="A241" s="1" t="str">
        <f ca="1">IFERROR(__xludf.DUMMYFUNCTION("""COMPUTED_VALUE"""),"CA-2017-152170")</f>
        <v>CA-2017-152170</v>
      </c>
      <c r="B241" s="8">
        <f ca="1">IFERROR(__xludf.DUMMYFUNCTION("""COMPUTED_VALUE"""),43080)</f>
        <v>43080</v>
      </c>
      <c r="C241" s="1" t="str">
        <f ca="1">IFERROR(__xludf.DUMMYFUNCTION("""COMPUTED_VALUE"""),"Dec")</f>
        <v>Dec</v>
      </c>
      <c r="D241" s="1" t="str">
        <f ca="1">IFERROR(__xludf.DUMMYFUNCTION("""COMPUTED_VALUE"""),"Qtr 4")</f>
        <v>Qtr 4</v>
      </c>
      <c r="E241" s="1" t="str">
        <f ca="1">IFERROR(__xludf.DUMMYFUNCTION("""COMPUTED_VALUE"""),"15/11/2017")</f>
        <v>15/11/2017</v>
      </c>
      <c r="F241" s="1" t="str">
        <f ca="1">IFERROR(__xludf.DUMMYFUNCTION("""COMPUTED_VALUE"""),"Second Class")</f>
        <v>Second Class</v>
      </c>
      <c r="G241" s="1" t="str">
        <f ca="1">IFERROR(__xludf.DUMMYFUNCTION("""COMPUTED_VALUE"""),"FH-14275")</f>
        <v>FH-14275</v>
      </c>
      <c r="H241" s="1" t="str">
        <f ca="1">IFERROR(__xludf.DUMMYFUNCTION("""COMPUTED_VALUE"""),"Frank")</f>
        <v>Frank</v>
      </c>
      <c r="I241" s="1" t="str">
        <f ca="1">IFERROR(__xludf.DUMMYFUNCTION("""COMPUTED_VALUE"""),"Hawley")</f>
        <v>Hawley</v>
      </c>
      <c r="J241" s="1"/>
      <c r="K241" s="1" t="str">
        <f ca="1">IFERROR(__xludf.DUMMYFUNCTION("""COMPUTED_VALUE"""),"Corporate")</f>
        <v>Corporate</v>
      </c>
      <c r="L241" s="1" t="str">
        <f ca="1">IFERROR(__xludf.DUMMYFUNCTION("""COMPUTED_VALUE"""),"United States")</f>
        <v>United States</v>
      </c>
      <c r="M241" s="1" t="str">
        <f ca="1">IFERROR(__xludf.DUMMYFUNCTION("""COMPUTED_VALUE"""),"La Porte")</f>
        <v>La Porte</v>
      </c>
      <c r="N241" s="1" t="str">
        <f ca="1">IFERROR(__xludf.DUMMYFUNCTION("""COMPUTED_VALUE"""),"Indiana")</f>
        <v>Indiana</v>
      </c>
      <c r="O241" s="1">
        <f ca="1">IFERROR(__xludf.DUMMYFUNCTION("""COMPUTED_VALUE"""),46350)</f>
        <v>46350</v>
      </c>
      <c r="P241" s="1" t="str">
        <f ca="1">IFERROR(__xludf.DUMMYFUNCTION("""COMPUTED_VALUE"""),"Central")</f>
        <v>Central</v>
      </c>
      <c r="Q241" s="1" t="str">
        <f ca="1">IFERROR(__xludf.DUMMYFUNCTION("""COMPUTED_VALUE"""),"OFF-PA-10001763")</f>
        <v>OFF-PA-10001763</v>
      </c>
      <c r="R241" s="1" t="str">
        <f ca="1">IFERROR(__xludf.DUMMYFUNCTION("""COMPUTED_VALUE"""),"Office Supplies")</f>
        <v>Office Supplies</v>
      </c>
      <c r="S241" s="7">
        <f ca="1">IFERROR(__xludf.DUMMYFUNCTION("""COMPUTED_VALUE"""),19.98)</f>
        <v>19.98</v>
      </c>
      <c r="T241" s="1">
        <f ca="1">IFERROR(__xludf.DUMMYFUNCTION("""COMPUTED_VALUE"""),4)</f>
        <v>4</v>
      </c>
      <c r="U241" s="9">
        <f ca="1">IFERROR(__xludf.DUMMYFUNCTION("""COMPUTED_VALUE"""),79.92)</f>
        <v>79.92</v>
      </c>
      <c r="V241" s="9">
        <f ca="1">IFERROR(__xludf.DUMMYFUNCTION("""COMPUTED_VALUE"""),76.04)</f>
        <v>76.040000000000006</v>
      </c>
      <c r="W241" s="12">
        <f ca="1">IFERROR(__xludf.DUMMYFUNCTION("""COMPUTED_VALUE"""),3.87999999999999)</f>
        <v>3.8799999999999901</v>
      </c>
    </row>
    <row r="242" spans="1:23" ht="13.2">
      <c r="A242" s="1" t="str">
        <f ca="1">IFERROR(__xludf.DUMMYFUNCTION("""COMPUTED_VALUE"""),"CA-2017-152170")</f>
        <v>CA-2017-152170</v>
      </c>
      <c r="B242" s="8">
        <f ca="1">IFERROR(__xludf.DUMMYFUNCTION("""COMPUTED_VALUE"""),43080)</f>
        <v>43080</v>
      </c>
      <c r="C242" s="1" t="str">
        <f ca="1">IFERROR(__xludf.DUMMYFUNCTION("""COMPUTED_VALUE"""),"Dec")</f>
        <v>Dec</v>
      </c>
      <c r="D242" s="1" t="str">
        <f ca="1">IFERROR(__xludf.DUMMYFUNCTION("""COMPUTED_VALUE"""),"Qtr 4")</f>
        <v>Qtr 4</v>
      </c>
      <c r="E242" s="1" t="str">
        <f ca="1">IFERROR(__xludf.DUMMYFUNCTION("""COMPUTED_VALUE"""),"15/11/2017")</f>
        <v>15/11/2017</v>
      </c>
      <c r="F242" s="1" t="str">
        <f ca="1">IFERROR(__xludf.DUMMYFUNCTION("""COMPUTED_VALUE"""),"Second Class")</f>
        <v>Second Class</v>
      </c>
      <c r="G242" s="1" t="str">
        <f ca="1">IFERROR(__xludf.DUMMYFUNCTION("""COMPUTED_VALUE"""),"FH-14275")</f>
        <v>FH-14275</v>
      </c>
      <c r="H242" s="1" t="str">
        <f ca="1">IFERROR(__xludf.DUMMYFUNCTION("""COMPUTED_VALUE"""),"Frank")</f>
        <v>Frank</v>
      </c>
      <c r="I242" s="1" t="str">
        <f ca="1">IFERROR(__xludf.DUMMYFUNCTION("""COMPUTED_VALUE"""),"Hawley")</f>
        <v>Hawley</v>
      </c>
      <c r="J242" s="1"/>
      <c r="K242" s="1" t="str">
        <f ca="1">IFERROR(__xludf.DUMMYFUNCTION("""COMPUTED_VALUE"""),"Corporate")</f>
        <v>Corporate</v>
      </c>
      <c r="L242" s="1" t="str">
        <f ca="1">IFERROR(__xludf.DUMMYFUNCTION("""COMPUTED_VALUE"""),"United States")</f>
        <v>United States</v>
      </c>
      <c r="M242" s="1" t="str">
        <f ca="1">IFERROR(__xludf.DUMMYFUNCTION("""COMPUTED_VALUE"""),"La Porte")</f>
        <v>La Porte</v>
      </c>
      <c r="N242" s="1" t="str">
        <f ca="1">IFERROR(__xludf.DUMMYFUNCTION("""COMPUTED_VALUE"""),"Indiana")</f>
        <v>Indiana</v>
      </c>
      <c r="O242" s="1">
        <f ca="1">IFERROR(__xludf.DUMMYFUNCTION("""COMPUTED_VALUE"""),46350)</f>
        <v>46350</v>
      </c>
      <c r="P242" s="1" t="str">
        <f ca="1">IFERROR(__xludf.DUMMYFUNCTION("""COMPUTED_VALUE"""),"Central")</f>
        <v>Central</v>
      </c>
      <c r="Q242" s="1" t="str">
        <f ca="1">IFERROR(__xludf.DUMMYFUNCTION("""COMPUTED_VALUE"""),"OFF-AR-10003394")</f>
        <v>OFF-AR-10003394</v>
      </c>
      <c r="R242" s="1" t="str">
        <f ca="1">IFERROR(__xludf.DUMMYFUNCTION("""COMPUTED_VALUE"""),"Office Supplies")</f>
        <v>Office Supplies</v>
      </c>
      <c r="S242" s="7">
        <f ca="1">IFERROR(__xludf.DUMMYFUNCTION("""COMPUTED_VALUE"""),20.58)</f>
        <v>20.58</v>
      </c>
      <c r="T242" s="1">
        <f ca="1">IFERROR(__xludf.DUMMYFUNCTION("""COMPUTED_VALUE"""),4)</f>
        <v>4</v>
      </c>
      <c r="U242" s="9">
        <f ca="1">IFERROR(__xludf.DUMMYFUNCTION("""COMPUTED_VALUE"""),82.32)</f>
        <v>82.32</v>
      </c>
      <c r="V242" s="9">
        <f ca="1">IFERROR(__xludf.DUMMYFUNCTION("""COMPUTED_VALUE"""),81.76)</f>
        <v>81.760000000000005</v>
      </c>
      <c r="W242" s="12">
        <f ca="1">IFERROR(__xludf.DUMMYFUNCTION("""COMPUTED_VALUE"""),0.559999999999988)</f>
        <v>0.55999999999998795</v>
      </c>
    </row>
    <row r="243" spans="1:23" ht="13.2">
      <c r="A243" s="1" t="str">
        <f ca="1">IFERROR(__xludf.DUMMYFUNCTION("""COMPUTED_VALUE"""),"CA-2017-152170")</f>
        <v>CA-2017-152170</v>
      </c>
      <c r="B243" s="8">
        <f ca="1">IFERROR(__xludf.DUMMYFUNCTION("""COMPUTED_VALUE"""),43080)</f>
        <v>43080</v>
      </c>
      <c r="C243" s="1" t="str">
        <f ca="1">IFERROR(__xludf.DUMMYFUNCTION("""COMPUTED_VALUE"""),"Dec")</f>
        <v>Dec</v>
      </c>
      <c r="D243" s="1" t="str">
        <f ca="1">IFERROR(__xludf.DUMMYFUNCTION("""COMPUTED_VALUE"""),"Qtr 4")</f>
        <v>Qtr 4</v>
      </c>
      <c r="E243" s="1" t="str">
        <f ca="1">IFERROR(__xludf.DUMMYFUNCTION("""COMPUTED_VALUE"""),"15/11/2017")</f>
        <v>15/11/2017</v>
      </c>
      <c r="F243" s="1" t="str">
        <f ca="1">IFERROR(__xludf.DUMMYFUNCTION("""COMPUTED_VALUE"""),"Second Class")</f>
        <v>Second Class</v>
      </c>
      <c r="G243" s="1" t="str">
        <f ca="1">IFERROR(__xludf.DUMMYFUNCTION("""COMPUTED_VALUE"""),"FH-14275")</f>
        <v>FH-14275</v>
      </c>
      <c r="H243" s="1" t="str">
        <f ca="1">IFERROR(__xludf.DUMMYFUNCTION("""COMPUTED_VALUE"""),"Frank")</f>
        <v>Frank</v>
      </c>
      <c r="I243" s="1" t="str">
        <f ca="1">IFERROR(__xludf.DUMMYFUNCTION("""COMPUTED_VALUE"""),"Hawley")</f>
        <v>Hawley</v>
      </c>
      <c r="J243" s="1"/>
      <c r="K243" s="1" t="str">
        <f ca="1">IFERROR(__xludf.DUMMYFUNCTION("""COMPUTED_VALUE"""),"Corporate")</f>
        <v>Corporate</v>
      </c>
      <c r="L243" s="1" t="str">
        <f ca="1">IFERROR(__xludf.DUMMYFUNCTION("""COMPUTED_VALUE"""),"United States")</f>
        <v>United States</v>
      </c>
      <c r="M243" s="1" t="str">
        <f ca="1">IFERROR(__xludf.DUMMYFUNCTION("""COMPUTED_VALUE"""),"La Porte")</f>
        <v>La Porte</v>
      </c>
      <c r="N243" s="1" t="str">
        <f ca="1">IFERROR(__xludf.DUMMYFUNCTION("""COMPUTED_VALUE"""),"Indiana")</f>
        <v>Indiana</v>
      </c>
      <c r="O243" s="1">
        <f ca="1">IFERROR(__xludf.DUMMYFUNCTION("""COMPUTED_VALUE"""),46350)</f>
        <v>46350</v>
      </c>
      <c r="P243" s="1" t="str">
        <f ca="1">IFERROR(__xludf.DUMMYFUNCTION("""COMPUTED_VALUE"""),"Central")</f>
        <v>Central</v>
      </c>
      <c r="Q243" s="1" t="str">
        <f ca="1">IFERROR(__xludf.DUMMYFUNCTION("""COMPUTED_VALUE"""),"OFF-BI-10002072")</f>
        <v>OFF-BI-10002072</v>
      </c>
      <c r="R243" s="1" t="str">
        <f ca="1">IFERROR(__xludf.DUMMYFUNCTION("""COMPUTED_VALUE"""),"Office Supplies")</f>
        <v>Office Supplies</v>
      </c>
      <c r="S243" s="7">
        <f ca="1">IFERROR(__xludf.DUMMYFUNCTION("""COMPUTED_VALUE"""),17.38)</f>
        <v>17.38</v>
      </c>
      <c r="T243" s="1">
        <f ca="1">IFERROR(__xludf.DUMMYFUNCTION("""COMPUTED_VALUE"""),4)</f>
        <v>4</v>
      </c>
      <c r="U243" s="9">
        <f ca="1">IFERROR(__xludf.DUMMYFUNCTION("""COMPUTED_VALUE"""),69.52)</f>
        <v>69.52</v>
      </c>
      <c r="V243" s="9">
        <f ca="1">IFERROR(__xludf.DUMMYFUNCTION("""COMPUTED_VALUE"""),67.4)</f>
        <v>67.400000000000006</v>
      </c>
      <c r="W243" s="12">
        <f ca="1">IFERROR(__xludf.DUMMYFUNCTION("""COMPUTED_VALUE"""),2.11999999999999)</f>
        <v>2.1199999999999899</v>
      </c>
    </row>
    <row r="244" spans="1:23" ht="13.2">
      <c r="A244" s="1" t="str">
        <f ca="1">IFERROR(__xludf.DUMMYFUNCTION("""COMPUTED_VALUE"""),"CA-2017-149314")</f>
        <v>CA-2017-149314</v>
      </c>
      <c r="B244" s="8">
        <f ca="1">IFERROR(__xludf.DUMMYFUNCTION("""COMPUTED_VALUE"""),42773)</f>
        <v>42773</v>
      </c>
      <c r="C244" s="1" t="str">
        <f ca="1">IFERROR(__xludf.DUMMYFUNCTION("""COMPUTED_VALUE"""),"Feb")</f>
        <v>Feb</v>
      </c>
      <c r="D244" s="1" t="str">
        <f ca="1">IFERROR(__xludf.DUMMYFUNCTION("""COMPUTED_VALUE"""),"Qtr 1")</f>
        <v>Qtr 1</v>
      </c>
      <c r="E244" s="1" t="str">
        <f ca="1">IFERROR(__xludf.DUMMYFUNCTION("""COMPUTED_VALUE"""),"7/7/2017")</f>
        <v>7/7/2017</v>
      </c>
      <c r="F244" s="1" t="str">
        <f ca="1">IFERROR(__xludf.DUMMYFUNCTION("""COMPUTED_VALUE"""),"Second Class")</f>
        <v>Second Class</v>
      </c>
      <c r="G244" s="1" t="str">
        <f ca="1">IFERROR(__xludf.DUMMYFUNCTION("""COMPUTED_VALUE"""),"GB-14530")</f>
        <v>GB-14530</v>
      </c>
      <c r="H244" s="1" t="str">
        <f ca="1">IFERROR(__xludf.DUMMYFUNCTION("""COMPUTED_VALUE"""),"George")</f>
        <v>George</v>
      </c>
      <c r="I244" s="1" t="str">
        <f ca="1">IFERROR(__xludf.DUMMYFUNCTION("""COMPUTED_VALUE"""),"Bell")</f>
        <v>Bell</v>
      </c>
      <c r="J244" s="1"/>
      <c r="K244" s="1" t="str">
        <f ca="1">IFERROR(__xludf.DUMMYFUNCTION("""COMPUTED_VALUE"""),"Corporate")</f>
        <v>Corporate</v>
      </c>
      <c r="L244" s="1" t="str">
        <f ca="1">IFERROR(__xludf.DUMMYFUNCTION("""COMPUTED_VALUE"""),"United States")</f>
        <v>United States</v>
      </c>
      <c r="M244" s="1" t="str">
        <f ca="1">IFERROR(__xludf.DUMMYFUNCTION("""COMPUTED_VALUE"""),"Los Angeles")</f>
        <v>Los Angeles</v>
      </c>
      <c r="N244" s="1" t="str">
        <f ca="1">IFERROR(__xludf.DUMMYFUNCTION("""COMPUTED_VALUE"""),"California")</f>
        <v>California</v>
      </c>
      <c r="O244" s="1">
        <f ca="1">IFERROR(__xludf.DUMMYFUNCTION("""COMPUTED_VALUE"""),90004)</f>
        <v>90004</v>
      </c>
      <c r="P244" s="1" t="str">
        <f ca="1">IFERROR(__xludf.DUMMYFUNCTION("""COMPUTED_VALUE"""),"West")</f>
        <v>West</v>
      </c>
      <c r="Q244" s="1" t="str">
        <f ca="1">IFERROR(__xludf.DUMMYFUNCTION("""COMPUTED_VALUE"""),"FUR-CH-10002126")</f>
        <v>FUR-CH-10002126</v>
      </c>
      <c r="R244" s="1" t="str">
        <f ca="1">IFERROR(__xludf.DUMMYFUNCTION("""COMPUTED_VALUE"""),"Furniture")</f>
        <v>Furniture</v>
      </c>
      <c r="S244" s="7">
        <f ca="1">IFERROR(__xludf.DUMMYFUNCTION("""COMPUTED_VALUE"""),195.184)</f>
        <v>195.184</v>
      </c>
      <c r="T244" s="1">
        <f ca="1">IFERROR(__xludf.DUMMYFUNCTION("""COMPUTED_VALUE"""),9)</f>
        <v>9</v>
      </c>
      <c r="U244" s="9">
        <f ca="1">IFERROR(__xludf.DUMMYFUNCTION("""COMPUTED_VALUE"""),1756.656)</f>
        <v>1756.6559999999999</v>
      </c>
      <c r="V244" s="9">
        <f ca="1">IFERROR(__xludf.DUMMYFUNCTION("""COMPUTED_VALUE"""),1755.18)</f>
        <v>1755.18</v>
      </c>
      <c r="W244" s="12">
        <f ca="1">IFERROR(__xludf.DUMMYFUNCTION("""COMPUTED_VALUE"""),1.47599999999988)</f>
        <v>1.4759999999998801</v>
      </c>
    </row>
    <row r="245" spans="1:23" ht="13.2">
      <c r="A245" s="1" t="str">
        <f ca="1">IFERROR(__xludf.DUMMYFUNCTION("""COMPUTED_VALUE"""),"CA-2015-126522")</f>
        <v>CA-2015-126522</v>
      </c>
      <c r="B245" s="8">
        <f ca="1">IFERROR(__xludf.DUMMYFUNCTION("""COMPUTED_VALUE"""),42013)</f>
        <v>42013</v>
      </c>
      <c r="C245" s="1" t="str">
        <f ca="1">IFERROR(__xludf.DUMMYFUNCTION("""COMPUTED_VALUE"""),"Jan")</f>
        <v>Jan</v>
      </c>
      <c r="D245" s="1" t="str">
        <f ca="1">IFERROR(__xludf.DUMMYFUNCTION("""COMPUTED_VALUE"""),"Qtr 1")</f>
        <v>Qtr 1</v>
      </c>
      <c r="E245" s="1" t="str">
        <f ca="1">IFERROR(__xludf.DUMMYFUNCTION("""COMPUTED_VALUE"""),"5/9/2015")</f>
        <v>5/9/2015</v>
      </c>
      <c r="F245" s="1" t="str">
        <f ca="1">IFERROR(__xludf.DUMMYFUNCTION("""COMPUTED_VALUE"""),"Second Class")</f>
        <v>Second Class</v>
      </c>
      <c r="G245" s="1" t="str">
        <f ca="1">IFERROR(__xludf.DUMMYFUNCTION("""COMPUTED_VALUE"""),"LT-16765")</f>
        <v>LT-16765</v>
      </c>
      <c r="H245" s="1" t="str">
        <f ca="1">IFERROR(__xludf.DUMMYFUNCTION("""COMPUTED_VALUE"""),"Larry")</f>
        <v>Larry</v>
      </c>
      <c r="I245" s="1" t="str">
        <f ca="1">IFERROR(__xludf.DUMMYFUNCTION("""COMPUTED_VALUE"""),"Tron")</f>
        <v>Tron</v>
      </c>
      <c r="J245" s="1"/>
      <c r="K245" s="1" t="str">
        <f ca="1">IFERROR(__xludf.DUMMYFUNCTION("""COMPUTED_VALUE"""),"Consumer")</f>
        <v>Consumer</v>
      </c>
      <c r="L245" s="1" t="str">
        <f ca="1">IFERROR(__xludf.DUMMYFUNCTION("""COMPUTED_VALUE"""),"United States")</f>
        <v>United States</v>
      </c>
      <c r="M245" s="1" t="str">
        <f ca="1">IFERROR(__xludf.DUMMYFUNCTION("""COMPUTED_VALUE"""),"Escondido")</f>
        <v>Escondido</v>
      </c>
      <c r="N245" s="1" t="str">
        <f ca="1">IFERROR(__xludf.DUMMYFUNCTION("""COMPUTED_VALUE"""),"California")</f>
        <v>California</v>
      </c>
      <c r="O245" s="1">
        <f ca="1">IFERROR(__xludf.DUMMYFUNCTION("""COMPUTED_VALUE"""),92025)</f>
        <v>92025</v>
      </c>
      <c r="P245" s="1" t="str">
        <f ca="1">IFERROR(__xludf.DUMMYFUNCTION("""COMPUTED_VALUE"""),"West")</f>
        <v>West</v>
      </c>
      <c r="Q245" s="1" t="str">
        <f ca="1">IFERROR(__xludf.DUMMYFUNCTION("""COMPUTED_VALUE"""),"OFF-AR-10004042")</f>
        <v>OFF-AR-10004042</v>
      </c>
      <c r="R245" s="1" t="str">
        <f ca="1">IFERROR(__xludf.DUMMYFUNCTION("""COMPUTED_VALUE"""),"Office Supplies")</f>
        <v>Office Supplies</v>
      </c>
      <c r="S245" s="7">
        <f ca="1">IFERROR(__xludf.DUMMYFUNCTION("""COMPUTED_VALUE"""),53.94)</f>
        <v>53.94</v>
      </c>
      <c r="T245" s="1">
        <f ca="1">IFERROR(__xludf.DUMMYFUNCTION("""COMPUTED_VALUE"""),9)</f>
        <v>9</v>
      </c>
      <c r="U245" s="9">
        <f ca="1">IFERROR(__xludf.DUMMYFUNCTION("""COMPUTED_VALUE"""),485.46)</f>
        <v>485.46</v>
      </c>
      <c r="V245" s="9">
        <f ca="1">IFERROR(__xludf.DUMMYFUNCTION("""COMPUTED_VALUE"""),482.67)</f>
        <v>482.67</v>
      </c>
      <c r="W245" s="12">
        <f ca="1">IFERROR(__xludf.DUMMYFUNCTION("""COMPUTED_VALUE"""),2.78999999999996)</f>
        <v>2.7899999999999601</v>
      </c>
    </row>
    <row r="246" spans="1:23" ht="13.2">
      <c r="A246" s="1" t="str">
        <f ca="1">IFERROR(__xludf.DUMMYFUNCTION("""COMPUTED_VALUE"""),"CA-2018-145226")</f>
        <v>CA-2018-145226</v>
      </c>
      <c r="B246" s="8">
        <f ca="1">IFERROR(__xludf.DUMMYFUNCTION("""COMPUTED_VALUE"""),43324)</f>
        <v>43324</v>
      </c>
      <c r="C246" s="1" t="str">
        <f ca="1">IFERROR(__xludf.DUMMYFUNCTION("""COMPUTED_VALUE"""),"Aug")</f>
        <v>Aug</v>
      </c>
      <c r="D246" s="1" t="str">
        <f ca="1">IFERROR(__xludf.DUMMYFUNCTION("""COMPUTED_VALUE"""),"Qtr 3")</f>
        <v>Qtr 3</v>
      </c>
      <c r="E246" s="1" t="str">
        <f ca="1">IFERROR(__xludf.DUMMYFUNCTION("""COMPUTED_VALUE"""),"10/12/2018")</f>
        <v>10/12/2018</v>
      </c>
      <c r="F246" s="1" t="str">
        <f ca="1">IFERROR(__xludf.DUMMYFUNCTION("""COMPUTED_VALUE"""),"Second Class")</f>
        <v>Second Class</v>
      </c>
      <c r="G246" s="1" t="str">
        <f ca="1">IFERROR(__xludf.DUMMYFUNCTION("""COMPUTED_VALUE"""),"DL-13315")</f>
        <v>DL-13315</v>
      </c>
      <c r="H246" s="1" t="str">
        <f ca="1">IFERROR(__xludf.DUMMYFUNCTION("""COMPUTED_VALUE"""),"Delfina")</f>
        <v>Delfina</v>
      </c>
      <c r="I246" s="1" t="str">
        <f ca="1">IFERROR(__xludf.DUMMYFUNCTION("""COMPUTED_VALUE"""),"Latchford")</f>
        <v>Latchford</v>
      </c>
      <c r="J246" s="1"/>
      <c r="K246" s="1" t="str">
        <f ca="1">IFERROR(__xludf.DUMMYFUNCTION("""COMPUTED_VALUE"""),"Consumer")</f>
        <v>Consumer</v>
      </c>
      <c r="L246" s="1" t="str">
        <f ca="1">IFERROR(__xludf.DUMMYFUNCTION("""COMPUTED_VALUE"""),"United States")</f>
        <v>United States</v>
      </c>
      <c r="M246" s="1" t="str">
        <f ca="1">IFERROR(__xludf.DUMMYFUNCTION("""COMPUTED_VALUE"""),"New York City")</f>
        <v>New York City</v>
      </c>
      <c r="N246" s="1" t="str">
        <f ca="1">IFERROR(__xludf.DUMMYFUNCTION("""COMPUTED_VALUE"""),"New York")</f>
        <v>New York</v>
      </c>
      <c r="O246" s="1">
        <f ca="1">IFERROR(__xludf.DUMMYFUNCTION("""COMPUTED_VALUE"""),10035)</f>
        <v>10035</v>
      </c>
      <c r="P246" s="1" t="str">
        <f ca="1">IFERROR(__xludf.DUMMYFUNCTION("""COMPUTED_VALUE"""),"East")</f>
        <v>East</v>
      </c>
      <c r="Q246" s="1" t="str">
        <f ca="1">IFERROR(__xludf.DUMMYFUNCTION("""COMPUTED_VALUE"""),"FUR-FU-10004952")</f>
        <v>FUR-FU-10004952</v>
      </c>
      <c r="R246" s="1" t="str">
        <f ca="1">IFERROR(__xludf.DUMMYFUNCTION("""COMPUTED_VALUE"""),"Furniture")</f>
        <v>Furniture</v>
      </c>
      <c r="S246" s="7">
        <f ca="1">IFERROR(__xludf.DUMMYFUNCTION("""COMPUTED_VALUE"""),109.48)</f>
        <v>109.48</v>
      </c>
      <c r="T246" s="1">
        <f ca="1">IFERROR(__xludf.DUMMYFUNCTION("""COMPUTED_VALUE"""),1)</f>
        <v>1</v>
      </c>
      <c r="U246" s="9">
        <f ca="1">IFERROR(__xludf.DUMMYFUNCTION("""COMPUTED_VALUE"""),109.48)</f>
        <v>109.48</v>
      </c>
      <c r="V246" s="9">
        <f ca="1">IFERROR(__xludf.DUMMYFUNCTION("""COMPUTED_VALUE"""),109.47)</f>
        <v>109.47</v>
      </c>
      <c r="W246" s="12">
        <f ca="1">IFERROR(__xludf.DUMMYFUNCTION("""COMPUTED_VALUE"""),0.0100000000000051)</f>
        <v>1.00000000000051E-2</v>
      </c>
    </row>
    <row r="247" spans="1:23" ht="13.2">
      <c r="A247" s="1" t="str">
        <f ca="1">IFERROR(__xludf.DUMMYFUNCTION("""COMPUTED_VALUE"""),"CA-2018-145226")</f>
        <v>CA-2018-145226</v>
      </c>
      <c r="B247" s="8">
        <f ca="1">IFERROR(__xludf.DUMMYFUNCTION("""COMPUTED_VALUE"""),43324)</f>
        <v>43324</v>
      </c>
      <c r="C247" s="1" t="str">
        <f ca="1">IFERROR(__xludf.DUMMYFUNCTION("""COMPUTED_VALUE"""),"Aug")</f>
        <v>Aug</v>
      </c>
      <c r="D247" s="1" t="str">
        <f ca="1">IFERROR(__xludf.DUMMYFUNCTION("""COMPUTED_VALUE"""),"Qtr 3")</f>
        <v>Qtr 3</v>
      </c>
      <c r="E247" s="1" t="str">
        <f ca="1">IFERROR(__xludf.DUMMYFUNCTION("""COMPUTED_VALUE"""),"10/12/2018")</f>
        <v>10/12/2018</v>
      </c>
      <c r="F247" s="1" t="str">
        <f ca="1">IFERROR(__xludf.DUMMYFUNCTION("""COMPUTED_VALUE"""),"Second Class")</f>
        <v>Second Class</v>
      </c>
      <c r="G247" s="1" t="str">
        <f ca="1">IFERROR(__xludf.DUMMYFUNCTION("""COMPUTED_VALUE"""),"DL-13315")</f>
        <v>DL-13315</v>
      </c>
      <c r="H247" s="1" t="str">
        <f ca="1">IFERROR(__xludf.DUMMYFUNCTION("""COMPUTED_VALUE"""),"Delfina")</f>
        <v>Delfina</v>
      </c>
      <c r="I247" s="1" t="str">
        <f ca="1">IFERROR(__xludf.DUMMYFUNCTION("""COMPUTED_VALUE"""),"Latchford")</f>
        <v>Latchford</v>
      </c>
      <c r="J247" s="1"/>
      <c r="K247" s="1" t="str">
        <f ca="1">IFERROR(__xludf.DUMMYFUNCTION("""COMPUTED_VALUE"""),"Consumer")</f>
        <v>Consumer</v>
      </c>
      <c r="L247" s="1" t="str">
        <f ca="1">IFERROR(__xludf.DUMMYFUNCTION("""COMPUTED_VALUE"""),"United States")</f>
        <v>United States</v>
      </c>
      <c r="M247" s="1" t="str">
        <f ca="1">IFERROR(__xludf.DUMMYFUNCTION("""COMPUTED_VALUE"""),"New York City")</f>
        <v>New York City</v>
      </c>
      <c r="N247" s="1" t="str">
        <f ca="1">IFERROR(__xludf.DUMMYFUNCTION("""COMPUTED_VALUE"""),"New York")</f>
        <v>New York</v>
      </c>
      <c r="O247" s="1">
        <f ca="1">IFERROR(__xludf.DUMMYFUNCTION("""COMPUTED_VALUE"""),10035)</f>
        <v>10035</v>
      </c>
      <c r="P247" s="1" t="str">
        <f ca="1">IFERROR(__xludf.DUMMYFUNCTION("""COMPUTED_VALUE"""),"East")</f>
        <v>East</v>
      </c>
      <c r="Q247" s="1" t="str">
        <f ca="1">IFERROR(__xludf.DUMMYFUNCTION("""COMPUTED_VALUE"""),"OFF-ST-10004123")</f>
        <v>OFF-ST-10004123</v>
      </c>
      <c r="R247" s="1" t="str">
        <f ca="1">IFERROR(__xludf.DUMMYFUNCTION("""COMPUTED_VALUE"""),"Office Supplies")</f>
        <v>Office Supplies</v>
      </c>
      <c r="S247" s="7">
        <f ca="1">IFERROR(__xludf.DUMMYFUNCTION("""COMPUTED_VALUE"""),272.94)</f>
        <v>272.94</v>
      </c>
      <c r="T247" s="1">
        <f ca="1">IFERROR(__xludf.DUMMYFUNCTION("""COMPUTED_VALUE"""),1)</f>
        <v>1</v>
      </c>
      <c r="U247" s="9">
        <f ca="1">IFERROR(__xludf.DUMMYFUNCTION("""COMPUTED_VALUE"""),272.94)</f>
        <v>272.94</v>
      </c>
      <c r="V247" s="9">
        <f ca="1">IFERROR(__xludf.DUMMYFUNCTION("""COMPUTED_VALUE"""),272.66)</f>
        <v>272.66000000000003</v>
      </c>
      <c r="W247" s="12">
        <f ca="1">IFERROR(__xludf.DUMMYFUNCTION("""COMPUTED_VALUE"""),0.279999999999972)</f>
        <v>0.27999999999997199</v>
      </c>
    </row>
    <row r="248" spans="1:23" ht="13.2">
      <c r="A248" s="1" t="str">
        <f ca="1">IFERROR(__xludf.DUMMYFUNCTION("""COMPUTED_VALUE"""),"CA-2018-145226")</f>
        <v>CA-2018-145226</v>
      </c>
      <c r="B248" s="8">
        <f ca="1">IFERROR(__xludf.DUMMYFUNCTION("""COMPUTED_VALUE"""),43324)</f>
        <v>43324</v>
      </c>
      <c r="C248" s="1" t="str">
        <f ca="1">IFERROR(__xludf.DUMMYFUNCTION("""COMPUTED_VALUE"""),"Aug")</f>
        <v>Aug</v>
      </c>
      <c r="D248" s="1" t="str">
        <f ca="1">IFERROR(__xludf.DUMMYFUNCTION("""COMPUTED_VALUE"""),"Qtr 3")</f>
        <v>Qtr 3</v>
      </c>
      <c r="E248" s="1" t="str">
        <f ca="1">IFERROR(__xludf.DUMMYFUNCTION("""COMPUTED_VALUE"""),"10/12/2018")</f>
        <v>10/12/2018</v>
      </c>
      <c r="F248" s="1" t="str">
        <f ca="1">IFERROR(__xludf.DUMMYFUNCTION("""COMPUTED_VALUE"""),"Second Class")</f>
        <v>Second Class</v>
      </c>
      <c r="G248" s="1" t="str">
        <f ca="1">IFERROR(__xludf.DUMMYFUNCTION("""COMPUTED_VALUE"""),"DL-13315")</f>
        <v>DL-13315</v>
      </c>
      <c r="H248" s="1" t="str">
        <f ca="1">IFERROR(__xludf.DUMMYFUNCTION("""COMPUTED_VALUE"""),"Delfina")</f>
        <v>Delfina</v>
      </c>
      <c r="I248" s="1" t="str">
        <f ca="1">IFERROR(__xludf.DUMMYFUNCTION("""COMPUTED_VALUE"""),"Latchford")</f>
        <v>Latchford</v>
      </c>
      <c r="J248" s="1"/>
      <c r="K248" s="1" t="str">
        <f ca="1">IFERROR(__xludf.DUMMYFUNCTION("""COMPUTED_VALUE"""),"Consumer")</f>
        <v>Consumer</v>
      </c>
      <c r="L248" s="1" t="str">
        <f ca="1">IFERROR(__xludf.DUMMYFUNCTION("""COMPUTED_VALUE"""),"United States")</f>
        <v>United States</v>
      </c>
      <c r="M248" s="1" t="str">
        <f ca="1">IFERROR(__xludf.DUMMYFUNCTION("""COMPUTED_VALUE"""),"New York City")</f>
        <v>New York City</v>
      </c>
      <c r="N248" s="1" t="str">
        <f ca="1">IFERROR(__xludf.DUMMYFUNCTION("""COMPUTED_VALUE"""),"New York")</f>
        <v>New York</v>
      </c>
      <c r="O248" s="1">
        <f ca="1">IFERROR(__xludf.DUMMYFUNCTION("""COMPUTED_VALUE"""),10035)</f>
        <v>10035</v>
      </c>
      <c r="P248" s="1" t="str">
        <f ca="1">IFERROR(__xludf.DUMMYFUNCTION("""COMPUTED_VALUE"""),"East")</f>
        <v>East</v>
      </c>
      <c r="Q248" s="1" t="str">
        <f ca="1">IFERROR(__xludf.DUMMYFUNCTION("""COMPUTED_VALUE"""),"OFF-PA-10003172")</f>
        <v>OFF-PA-10003172</v>
      </c>
      <c r="R248" s="1" t="str">
        <f ca="1">IFERROR(__xludf.DUMMYFUNCTION("""COMPUTED_VALUE"""),"Office Supplies")</f>
        <v>Office Supplies</v>
      </c>
      <c r="S248" s="7">
        <f ca="1">IFERROR(__xludf.DUMMYFUNCTION("""COMPUTED_VALUE"""),19.44)</f>
        <v>19.440000000000001</v>
      </c>
      <c r="T248" s="1">
        <f ca="1">IFERROR(__xludf.DUMMYFUNCTION("""COMPUTED_VALUE"""),1)</f>
        <v>1</v>
      </c>
      <c r="U248" s="9">
        <f ca="1">IFERROR(__xludf.DUMMYFUNCTION("""COMPUTED_VALUE"""),19.44)</f>
        <v>19.440000000000001</v>
      </c>
      <c r="V248" s="9">
        <f ca="1">IFERROR(__xludf.DUMMYFUNCTION("""COMPUTED_VALUE"""),19.4)</f>
        <v>19.399999999999999</v>
      </c>
      <c r="W248" s="12">
        <f ca="1">IFERROR(__xludf.DUMMYFUNCTION("""COMPUTED_VALUE"""),0.0400000000000027)</f>
        <v>4.00000000000027E-2</v>
      </c>
    </row>
    <row r="249" spans="1:23" ht="13.2">
      <c r="A249" s="1" t="str">
        <f ca="1">IFERROR(__xludf.DUMMYFUNCTION("""COMPUTED_VALUE"""),"CA-2018-145226")</f>
        <v>CA-2018-145226</v>
      </c>
      <c r="B249" s="8">
        <f ca="1">IFERROR(__xludf.DUMMYFUNCTION("""COMPUTED_VALUE"""),43324)</f>
        <v>43324</v>
      </c>
      <c r="C249" s="1" t="str">
        <f ca="1">IFERROR(__xludf.DUMMYFUNCTION("""COMPUTED_VALUE"""),"Aug")</f>
        <v>Aug</v>
      </c>
      <c r="D249" s="1" t="str">
        <f ca="1">IFERROR(__xludf.DUMMYFUNCTION("""COMPUTED_VALUE"""),"Qtr 3")</f>
        <v>Qtr 3</v>
      </c>
      <c r="E249" s="1" t="str">
        <f ca="1">IFERROR(__xludf.DUMMYFUNCTION("""COMPUTED_VALUE"""),"10/12/2018")</f>
        <v>10/12/2018</v>
      </c>
      <c r="F249" s="1" t="str">
        <f ca="1">IFERROR(__xludf.DUMMYFUNCTION("""COMPUTED_VALUE"""),"Second Class")</f>
        <v>Second Class</v>
      </c>
      <c r="G249" s="1" t="str">
        <f ca="1">IFERROR(__xludf.DUMMYFUNCTION("""COMPUTED_VALUE"""),"DL-13315")</f>
        <v>DL-13315</v>
      </c>
      <c r="H249" s="1" t="str">
        <f ca="1">IFERROR(__xludf.DUMMYFUNCTION("""COMPUTED_VALUE"""),"Delfina")</f>
        <v>Delfina</v>
      </c>
      <c r="I249" s="1" t="str">
        <f ca="1">IFERROR(__xludf.DUMMYFUNCTION("""COMPUTED_VALUE"""),"Latchford")</f>
        <v>Latchford</v>
      </c>
      <c r="J249" s="1"/>
      <c r="K249" s="1" t="str">
        <f ca="1">IFERROR(__xludf.DUMMYFUNCTION("""COMPUTED_VALUE"""),"Consumer")</f>
        <v>Consumer</v>
      </c>
      <c r="L249" s="1" t="str">
        <f ca="1">IFERROR(__xludf.DUMMYFUNCTION("""COMPUTED_VALUE"""),"United States")</f>
        <v>United States</v>
      </c>
      <c r="M249" s="1" t="str">
        <f ca="1">IFERROR(__xludf.DUMMYFUNCTION("""COMPUTED_VALUE"""),"New York City")</f>
        <v>New York City</v>
      </c>
      <c r="N249" s="1" t="str">
        <f ca="1">IFERROR(__xludf.DUMMYFUNCTION("""COMPUTED_VALUE"""),"New York")</f>
        <v>New York</v>
      </c>
      <c r="O249" s="1">
        <f ca="1">IFERROR(__xludf.DUMMYFUNCTION("""COMPUTED_VALUE"""),10035)</f>
        <v>10035</v>
      </c>
      <c r="P249" s="1" t="str">
        <f ca="1">IFERROR(__xludf.DUMMYFUNCTION("""COMPUTED_VALUE"""),"East")</f>
        <v>East</v>
      </c>
      <c r="Q249" s="1" t="str">
        <f ca="1">IFERROR(__xludf.DUMMYFUNCTION("""COMPUTED_VALUE"""),"OFF-ST-10002352")</f>
        <v>OFF-ST-10002352</v>
      </c>
      <c r="R249" s="1" t="str">
        <f ca="1">IFERROR(__xludf.DUMMYFUNCTION("""COMPUTED_VALUE"""),"Office Supplies")</f>
        <v>Office Supplies</v>
      </c>
      <c r="S249" s="7">
        <f ca="1">IFERROR(__xludf.DUMMYFUNCTION("""COMPUTED_VALUE"""),31.92)</f>
        <v>31.92</v>
      </c>
      <c r="T249" s="1">
        <f ca="1">IFERROR(__xludf.DUMMYFUNCTION("""COMPUTED_VALUE"""),1)</f>
        <v>1</v>
      </c>
      <c r="U249" s="9">
        <f ca="1">IFERROR(__xludf.DUMMYFUNCTION("""COMPUTED_VALUE"""),31.92)</f>
        <v>31.92</v>
      </c>
      <c r="V249" s="9">
        <f ca="1">IFERROR(__xludf.DUMMYFUNCTION("""COMPUTED_VALUE"""),31.49)</f>
        <v>31.49</v>
      </c>
      <c r="W249" s="12">
        <f ca="1">IFERROR(__xludf.DUMMYFUNCTION("""COMPUTED_VALUE"""),0.430000000000003)</f>
        <v>0.43000000000000299</v>
      </c>
    </row>
    <row r="250" spans="1:23" ht="13.2">
      <c r="A250" s="1" t="str">
        <f ca="1">IFERROR(__xludf.DUMMYFUNCTION("""COMPUTED_VALUE"""),"CA-2015-120243")</f>
        <v>CA-2015-120243</v>
      </c>
      <c r="B250" s="8">
        <f ca="1">IFERROR(__xludf.DUMMYFUNCTION("""COMPUTED_VALUE"""),42365)</f>
        <v>42365</v>
      </c>
      <c r="C250" s="1" t="str">
        <f ca="1">IFERROR(__xludf.DUMMYFUNCTION("""COMPUTED_VALUE"""),"Dec")</f>
        <v>Dec</v>
      </c>
      <c r="D250" s="1" t="str">
        <f ca="1">IFERROR(__xludf.DUMMYFUNCTION("""COMPUTED_VALUE"""),"Qtr 4")</f>
        <v>Qtr 4</v>
      </c>
      <c r="E250" s="1" t="str">
        <f ca="1">IFERROR(__xludf.DUMMYFUNCTION("""COMPUTED_VALUE"""),"30/12/2015")</f>
        <v>30/12/2015</v>
      </c>
      <c r="F250" s="1" t="str">
        <f ca="1">IFERROR(__xludf.DUMMYFUNCTION("""COMPUTED_VALUE"""),"Second Class")</f>
        <v>Second Class</v>
      </c>
      <c r="G250" s="1" t="str">
        <f ca="1">IFERROR(__xludf.DUMMYFUNCTION("""COMPUTED_VALUE"""),"AT-10435")</f>
        <v>AT-10435</v>
      </c>
      <c r="H250" s="1" t="str">
        <f ca="1">IFERROR(__xludf.DUMMYFUNCTION("""COMPUTED_VALUE"""),"Alyssa")</f>
        <v>Alyssa</v>
      </c>
      <c r="I250" s="1" t="str">
        <f ca="1">IFERROR(__xludf.DUMMYFUNCTION("""COMPUTED_VALUE"""),"Tate")</f>
        <v>Tate</v>
      </c>
      <c r="J250" s="1"/>
      <c r="K250" s="1" t="str">
        <f ca="1">IFERROR(__xludf.DUMMYFUNCTION("""COMPUTED_VALUE"""),"Home Office")</f>
        <v>Home Office</v>
      </c>
      <c r="L250" s="1" t="str">
        <f ca="1">IFERROR(__xludf.DUMMYFUNCTION("""COMPUTED_VALUE"""),"United States")</f>
        <v>United States</v>
      </c>
      <c r="M250" s="1" t="str">
        <f ca="1">IFERROR(__xludf.DUMMYFUNCTION("""COMPUTED_VALUE"""),"Los Angeles")</f>
        <v>Los Angeles</v>
      </c>
      <c r="N250" s="1" t="str">
        <f ca="1">IFERROR(__xludf.DUMMYFUNCTION("""COMPUTED_VALUE"""),"California")</f>
        <v>California</v>
      </c>
      <c r="O250" s="1">
        <f ca="1">IFERROR(__xludf.DUMMYFUNCTION("""COMPUTED_VALUE"""),90004)</f>
        <v>90004</v>
      </c>
      <c r="P250" s="1" t="str">
        <f ca="1">IFERROR(__xludf.DUMMYFUNCTION("""COMPUTED_VALUE"""),"West")</f>
        <v>West</v>
      </c>
      <c r="Q250" s="1" t="str">
        <f ca="1">IFERROR(__xludf.DUMMYFUNCTION("""COMPUTED_VALUE"""),"OFF-LA-10004425")</f>
        <v>OFF-LA-10004425</v>
      </c>
      <c r="R250" s="1" t="str">
        <f ca="1">IFERROR(__xludf.DUMMYFUNCTION("""COMPUTED_VALUE"""),"Office Supplies")</f>
        <v>Office Supplies</v>
      </c>
      <c r="S250" s="7">
        <f ca="1">IFERROR(__xludf.DUMMYFUNCTION("""COMPUTED_VALUE"""),11.56)</f>
        <v>11.56</v>
      </c>
      <c r="T250" s="1">
        <f ca="1">IFERROR(__xludf.DUMMYFUNCTION("""COMPUTED_VALUE"""),9)</f>
        <v>9</v>
      </c>
      <c r="U250" s="9">
        <f ca="1">IFERROR(__xludf.DUMMYFUNCTION("""COMPUTED_VALUE"""),104.04)</f>
        <v>104.04</v>
      </c>
      <c r="V250" s="9">
        <f ca="1">IFERROR(__xludf.DUMMYFUNCTION("""COMPUTED_VALUE"""),102.42)</f>
        <v>102.42</v>
      </c>
      <c r="W250" s="12">
        <f ca="1">IFERROR(__xludf.DUMMYFUNCTION("""COMPUTED_VALUE"""),1.62)</f>
        <v>1.62</v>
      </c>
    </row>
    <row r="251" spans="1:23" ht="13.2">
      <c r="A251" s="1" t="str">
        <f ca="1">IFERROR(__xludf.DUMMYFUNCTION("""COMPUTED_VALUE"""),"CA-2017-168081")</f>
        <v>CA-2017-168081</v>
      </c>
      <c r="B251" s="8">
        <f ca="1">IFERROR(__xludf.DUMMYFUNCTION("""COMPUTED_VALUE"""),42849)</f>
        <v>42849</v>
      </c>
      <c r="C251" s="1" t="str">
        <f ca="1">IFERROR(__xludf.DUMMYFUNCTION("""COMPUTED_VALUE"""),"Apr")</f>
        <v>Apr</v>
      </c>
      <c r="D251" s="1" t="str">
        <f ca="1">IFERROR(__xludf.DUMMYFUNCTION("""COMPUTED_VALUE"""),"Qtr 2")</f>
        <v>Qtr 2</v>
      </c>
      <c r="E251" s="1" t="str">
        <f ca="1">IFERROR(__xludf.DUMMYFUNCTION("""COMPUTED_VALUE"""),"27/04/2017")</f>
        <v>27/04/2017</v>
      </c>
      <c r="F251" s="1" t="str">
        <f ca="1">IFERROR(__xludf.DUMMYFUNCTION("""COMPUTED_VALUE"""),"Second Class")</f>
        <v>Second Class</v>
      </c>
      <c r="G251" s="1" t="str">
        <f ca="1">IFERROR(__xludf.DUMMYFUNCTION("""COMPUTED_VALUE"""),"CA-12055")</f>
        <v>CA-12055</v>
      </c>
      <c r="H251" s="1" t="str">
        <f ca="1">IFERROR(__xludf.DUMMYFUNCTION("""COMPUTED_VALUE"""),"Cathy")</f>
        <v>Cathy</v>
      </c>
      <c r="I251" s="1" t="str">
        <f ca="1">IFERROR(__xludf.DUMMYFUNCTION("""COMPUTED_VALUE"""),"Armstrong")</f>
        <v>Armstrong</v>
      </c>
      <c r="J251" s="1"/>
      <c r="K251" s="1" t="str">
        <f ca="1">IFERROR(__xludf.DUMMYFUNCTION("""COMPUTED_VALUE"""),"Home Office")</f>
        <v>Home Office</v>
      </c>
      <c r="L251" s="1" t="str">
        <f ca="1">IFERROR(__xludf.DUMMYFUNCTION("""COMPUTED_VALUE"""),"United States")</f>
        <v>United States</v>
      </c>
      <c r="M251" s="1" t="str">
        <f ca="1">IFERROR(__xludf.DUMMYFUNCTION("""COMPUTED_VALUE"""),"Houston")</f>
        <v>Houston</v>
      </c>
      <c r="N251" s="1" t="str">
        <f ca="1">IFERROR(__xludf.DUMMYFUNCTION("""COMPUTED_VALUE"""),"Texas")</f>
        <v>Texas</v>
      </c>
      <c r="O251" s="1">
        <f ca="1">IFERROR(__xludf.DUMMYFUNCTION("""COMPUTED_VALUE"""),77070)</f>
        <v>77070</v>
      </c>
      <c r="P251" s="1" t="str">
        <f ca="1">IFERROR(__xludf.DUMMYFUNCTION("""COMPUTED_VALUE"""),"Central")</f>
        <v>Central</v>
      </c>
      <c r="Q251" s="1" t="str">
        <f ca="1">IFERROR(__xludf.DUMMYFUNCTION("""COMPUTED_VALUE"""),"TEC-AC-10003174")</f>
        <v>TEC-AC-10003174</v>
      </c>
      <c r="R251" s="1" t="str">
        <f ca="1">IFERROR(__xludf.DUMMYFUNCTION("""COMPUTED_VALUE"""),"Technology")</f>
        <v>Technology</v>
      </c>
      <c r="S251" s="7">
        <f ca="1">IFERROR(__xludf.DUMMYFUNCTION("""COMPUTED_VALUE"""),258.696)</f>
        <v>258.69600000000003</v>
      </c>
      <c r="T251" s="1">
        <f ca="1">IFERROR(__xludf.DUMMYFUNCTION("""COMPUTED_VALUE"""),7)</f>
        <v>7</v>
      </c>
      <c r="U251" s="9">
        <f ca="1">IFERROR(__xludf.DUMMYFUNCTION("""COMPUTED_VALUE"""),1810.872)</f>
        <v>1810.8720000000001</v>
      </c>
      <c r="V251" s="9">
        <f ca="1">IFERROR(__xludf.DUMMYFUNCTION("""COMPUTED_VALUE"""),1804.53)</f>
        <v>1804.53</v>
      </c>
      <c r="W251" s="12">
        <f ca="1">IFERROR(__xludf.DUMMYFUNCTION("""COMPUTED_VALUE"""),6.34200000000009)</f>
        <v>6.3420000000000902</v>
      </c>
    </row>
    <row r="252" spans="1:23" ht="13.2">
      <c r="A252" s="1" t="str">
        <f ca="1">IFERROR(__xludf.DUMMYFUNCTION("""COMPUTED_VALUE"""),"CA-2018-117212")</f>
        <v>CA-2018-117212</v>
      </c>
      <c r="B252" s="8">
        <f ca="1">IFERROR(__xludf.DUMMYFUNCTION("""COMPUTED_VALUE"""),43157)</f>
        <v>43157</v>
      </c>
      <c r="C252" s="1" t="str">
        <f ca="1">IFERROR(__xludf.DUMMYFUNCTION("""COMPUTED_VALUE"""),"Feb")</f>
        <v>Feb</v>
      </c>
      <c r="D252" s="1" t="str">
        <f ca="1">IFERROR(__xludf.DUMMYFUNCTION("""COMPUTED_VALUE"""),"Qtr 1")</f>
        <v>Qtr 1</v>
      </c>
      <c r="E252" s="1" t="str">
        <f ca="1">IFERROR(__xludf.DUMMYFUNCTION("""COMPUTED_VALUE"""),"28/02/2018")</f>
        <v>28/02/2018</v>
      </c>
      <c r="F252" s="1" t="str">
        <f ca="1">IFERROR(__xludf.DUMMYFUNCTION("""COMPUTED_VALUE"""),"Second Class")</f>
        <v>Second Class</v>
      </c>
      <c r="G252" s="1" t="str">
        <f ca="1">IFERROR(__xludf.DUMMYFUNCTION("""COMPUTED_VALUE"""),"BT-11530")</f>
        <v>BT-11530</v>
      </c>
      <c r="H252" s="1" t="str">
        <f ca="1">IFERROR(__xludf.DUMMYFUNCTION("""COMPUTED_VALUE"""),"Bradley")</f>
        <v>Bradley</v>
      </c>
      <c r="I252" s="1" t="str">
        <f ca="1">IFERROR(__xludf.DUMMYFUNCTION("""COMPUTED_VALUE"""),"Talbott")</f>
        <v>Talbott</v>
      </c>
      <c r="J252" s="1"/>
      <c r="K252" s="1" t="str">
        <f ca="1">IFERROR(__xludf.DUMMYFUNCTION("""COMPUTED_VALUE"""),"Home Office")</f>
        <v>Home Office</v>
      </c>
      <c r="L252" s="1" t="str">
        <f ca="1">IFERROR(__xludf.DUMMYFUNCTION("""COMPUTED_VALUE"""),"United States")</f>
        <v>United States</v>
      </c>
      <c r="M252" s="1" t="str">
        <f ca="1">IFERROR(__xludf.DUMMYFUNCTION("""COMPUTED_VALUE"""),"Los Angeles")</f>
        <v>Los Angeles</v>
      </c>
      <c r="N252" s="1" t="str">
        <f ca="1">IFERROR(__xludf.DUMMYFUNCTION("""COMPUTED_VALUE"""),"California")</f>
        <v>California</v>
      </c>
      <c r="O252" s="1">
        <f ca="1">IFERROR(__xludf.DUMMYFUNCTION("""COMPUTED_VALUE"""),90036)</f>
        <v>90036</v>
      </c>
      <c r="P252" s="1" t="str">
        <f ca="1">IFERROR(__xludf.DUMMYFUNCTION("""COMPUTED_VALUE"""),"West")</f>
        <v>West</v>
      </c>
      <c r="Q252" s="1" t="str">
        <f ca="1">IFERROR(__xludf.DUMMYFUNCTION("""COMPUTED_VALUE"""),"OFF-AP-10004532")</f>
        <v>OFF-AP-10004532</v>
      </c>
      <c r="R252" s="1" t="str">
        <f ca="1">IFERROR(__xludf.DUMMYFUNCTION("""COMPUTED_VALUE"""),"Office Supplies")</f>
        <v>Office Supplies</v>
      </c>
      <c r="S252" s="7">
        <f ca="1">IFERROR(__xludf.DUMMYFUNCTION("""COMPUTED_VALUE"""),81.92)</f>
        <v>81.92</v>
      </c>
      <c r="T252" s="1">
        <f ca="1">IFERROR(__xludf.DUMMYFUNCTION("""COMPUTED_VALUE"""),9)</f>
        <v>9</v>
      </c>
      <c r="U252" s="9">
        <f ca="1">IFERROR(__xludf.DUMMYFUNCTION("""COMPUTED_VALUE"""),737.28)</f>
        <v>737.28</v>
      </c>
      <c r="V252" s="9">
        <f ca="1">IFERROR(__xludf.DUMMYFUNCTION("""COMPUTED_VALUE"""),735.21)</f>
        <v>735.21</v>
      </c>
      <c r="W252" s="12">
        <f ca="1">IFERROR(__xludf.DUMMYFUNCTION("""COMPUTED_VALUE"""),2.06999999999993)</f>
        <v>2.0699999999999301</v>
      </c>
    </row>
    <row r="253" spans="1:23" ht="13.2">
      <c r="A253" s="1" t="str">
        <f ca="1">IFERROR(__xludf.DUMMYFUNCTION("""COMPUTED_VALUE"""),"CA-2018-117212")</f>
        <v>CA-2018-117212</v>
      </c>
      <c r="B253" s="8">
        <f ca="1">IFERROR(__xludf.DUMMYFUNCTION("""COMPUTED_VALUE"""),43157)</f>
        <v>43157</v>
      </c>
      <c r="C253" s="1" t="str">
        <f ca="1">IFERROR(__xludf.DUMMYFUNCTION("""COMPUTED_VALUE"""),"Feb")</f>
        <v>Feb</v>
      </c>
      <c r="D253" s="1" t="str">
        <f ca="1">IFERROR(__xludf.DUMMYFUNCTION("""COMPUTED_VALUE"""),"Qtr 1")</f>
        <v>Qtr 1</v>
      </c>
      <c r="E253" s="1" t="str">
        <f ca="1">IFERROR(__xludf.DUMMYFUNCTION("""COMPUTED_VALUE"""),"28/02/2018")</f>
        <v>28/02/2018</v>
      </c>
      <c r="F253" s="1" t="str">
        <f ca="1">IFERROR(__xludf.DUMMYFUNCTION("""COMPUTED_VALUE"""),"Second Class")</f>
        <v>Second Class</v>
      </c>
      <c r="G253" s="1" t="str">
        <f ca="1">IFERROR(__xludf.DUMMYFUNCTION("""COMPUTED_VALUE"""),"BT-11530")</f>
        <v>BT-11530</v>
      </c>
      <c r="H253" s="1" t="str">
        <f ca="1">IFERROR(__xludf.DUMMYFUNCTION("""COMPUTED_VALUE"""),"Bradley")</f>
        <v>Bradley</v>
      </c>
      <c r="I253" s="1" t="str">
        <f ca="1">IFERROR(__xludf.DUMMYFUNCTION("""COMPUTED_VALUE"""),"Talbott")</f>
        <v>Talbott</v>
      </c>
      <c r="J253" s="1"/>
      <c r="K253" s="1" t="str">
        <f ca="1">IFERROR(__xludf.DUMMYFUNCTION("""COMPUTED_VALUE"""),"Home Office")</f>
        <v>Home Office</v>
      </c>
      <c r="L253" s="1" t="str">
        <f ca="1">IFERROR(__xludf.DUMMYFUNCTION("""COMPUTED_VALUE"""),"United States")</f>
        <v>United States</v>
      </c>
      <c r="M253" s="1" t="str">
        <f ca="1">IFERROR(__xludf.DUMMYFUNCTION("""COMPUTED_VALUE"""),"Los Angeles")</f>
        <v>Los Angeles</v>
      </c>
      <c r="N253" s="1" t="str">
        <f ca="1">IFERROR(__xludf.DUMMYFUNCTION("""COMPUTED_VALUE"""),"California")</f>
        <v>California</v>
      </c>
      <c r="O253" s="1">
        <f ca="1">IFERROR(__xludf.DUMMYFUNCTION("""COMPUTED_VALUE"""),90036)</f>
        <v>90036</v>
      </c>
      <c r="P253" s="1" t="str">
        <f ca="1">IFERROR(__xludf.DUMMYFUNCTION("""COMPUTED_VALUE"""),"West")</f>
        <v>West</v>
      </c>
      <c r="Q253" s="1" t="str">
        <f ca="1">IFERROR(__xludf.DUMMYFUNCTION("""COMPUTED_VALUE"""),"TEC-PH-10004447")</f>
        <v>TEC-PH-10004447</v>
      </c>
      <c r="R253" s="1" t="str">
        <f ca="1">IFERROR(__xludf.DUMMYFUNCTION("""COMPUTED_VALUE"""),"Technology")</f>
        <v>Technology</v>
      </c>
      <c r="S253" s="7">
        <f ca="1">IFERROR(__xludf.DUMMYFUNCTION("""COMPUTED_VALUE"""),889.536)</f>
        <v>889.53599999999994</v>
      </c>
      <c r="T253" s="1">
        <f ca="1">IFERROR(__xludf.DUMMYFUNCTION("""COMPUTED_VALUE"""),9)</f>
        <v>9</v>
      </c>
      <c r="U253" s="9">
        <f ca="1">IFERROR(__xludf.DUMMYFUNCTION("""COMPUTED_VALUE"""),8005.824)</f>
        <v>8005.8239999999996</v>
      </c>
      <c r="V253" s="9">
        <f ca="1">IFERROR(__xludf.DUMMYFUNCTION("""COMPUTED_VALUE"""),8001.72)</f>
        <v>8001.72</v>
      </c>
      <c r="W253" s="12">
        <f ca="1">IFERROR(__xludf.DUMMYFUNCTION("""COMPUTED_VALUE"""),4.10399999999936)</f>
        <v>4.1039999999993597</v>
      </c>
    </row>
    <row r="254" spans="1:23" ht="13.2">
      <c r="A254" s="1" t="str">
        <f ca="1">IFERROR(__xludf.DUMMYFUNCTION("""COMPUTED_VALUE"""),"CA-2018-117212")</f>
        <v>CA-2018-117212</v>
      </c>
      <c r="B254" s="8">
        <f ca="1">IFERROR(__xludf.DUMMYFUNCTION("""COMPUTED_VALUE"""),43157)</f>
        <v>43157</v>
      </c>
      <c r="C254" s="1" t="str">
        <f ca="1">IFERROR(__xludf.DUMMYFUNCTION("""COMPUTED_VALUE"""),"Feb")</f>
        <v>Feb</v>
      </c>
      <c r="D254" s="1" t="str">
        <f ca="1">IFERROR(__xludf.DUMMYFUNCTION("""COMPUTED_VALUE"""),"Qtr 1")</f>
        <v>Qtr 1</v>
      </c>
      <c r="E254" s="1" t="str">
        <f ca="1">IFERROR(__xludf.DUMMYFUNCTION("""COMPUTED_VALUE"""),"28/02/2018")</f>
        <v>28/02/2018</v>
      </c>
      <c r="F254" s="1" t="str">
        <f ca="1">IFERROR(__xludf.DUMMYFUNCTION("""COMPUTED_VALUE"""),"Second Class")</f>
        <v>Second Class</v>
      </c>
      <c r="G254" s="1" t="str">
        <f ca="1">IFERROR(__xludf.DUMMYFUNCTION("""COMPUTED_VALUE"""),"BT-11530")</f>
        <v>BT-11530</v>
      </c>
      <c r="H254" s="1" t="str">
        <f ca="1">IFERROR(__xludf.DUMMYFUNCTION("""COMPUTED_VALUE"""),"Bradley")</f>
        <v>Bradley</v>
      </c>
      <c r="I254" s="1" t="str">
        <f ca="1">IFERROR(__xludf.DUMMYFUNCTION("""COMPUTED_VALUE"""),"Talbott")</f>
        <v>Talbott</v>
      </c>
      <c r="J254" s="1"/>
      <c r="K254" s="1" t="str">
        <f ca="1">IFERROR(__xludf.DUMMYFUNCTION("""COMPUTED_VALUE"""),"Home Office")</f>
        <v>Home Office</v>
      </c>
      <c r="L254" s="1" t="str">
        <f ca="1">IFERROR(__xludf.DUMMYFUNCTION("""COMPUTED_VALUE"""),"United States")</f>
        <v>United States</v>
      </c>
      <c r="M254" s="1" t="str">
        <f ca="1">IFERROR(__xludf.DUMMYFUNCTION("""COMPUTED_VALUE"""),"Los Angeles")</f>
        <v>Los Angeles</v>
      </c>
      <c r="N254" s="1" t="str">
        <f ca="1">IFERROR(__xludf.DUMMYFUNCTION("""COMPUTED_VALUE"""),"California")</f>
        <v>California</v>
      </c>
      <c r="O254" s="1">
        <f ca="1">IFERROR(__xludf.DUMMYFUNCTION("""COMPUTED_VALUE"""),90036)</f>
        <v>90036</v>
      </c>
      <c r="P254" s="1" t="str">
        <f ca="1">IFERROR(__xludf.DUMMYFUNCTION("""COMPUTED_VALUE"""),"West")</f>
        <v>West</v>
      </c>
      <c r="Q254" s="1" t="str">
        <f ca="1">IFERROR(__xludf.DUMMYFUNCTION("""COMPUTED_VALUE"""),"FUR-CH-10003973")</f>
        <v>FUR-CH-10003973</v>
      </c>
      <c r="R254" s="1" t="str">
        <f ca="1">IFERROR(__xludf.DUMMYFUNCTION("""COMPUTED_VALUE"""),"Furniture")</f>
        <v>Furniture</v>
      </c>
      <c r="S254" s="7">
        <f ca="1">IFERROR(__xludf.DUMMYFUNCTION("""COMPUTED_VALUE"""),892.224)</f>
        <v>892.22400000000005</v>
      </c>
      <c r="T254" s="1">
        <f ca="1">IFERROR(__xludf.DUMMYFUNCTION("""COMPUTED_VALUE"""),9)</f>
        <v>9</v>
      </c>
      <c r="U254" s="9">
        <f ca="1">IFERROR(__xludf.DUMMYFUNCTION("""COMPUTED_VALUE"""),8030.016)</f>
        <v>8030.0159999999996</v>
      </c>
      <c r="V254" s="9">
        <f ca="1">IFERROR(__xludf.DUMMYFUNCTION("""COMPUTED_VALUE"""),8023.76999999999)</f>
        <v>8023.7699999999904</v>
      </c>
      <c r="W254" s="12">
        <f ca="1">IFERROR(__xludf.DUMMYFUNCTION("""COMPUTED_VALUE"""),6.246000000001)</f>
        <v>6.2460000000009996</v>
      </c>
    </row>
    <row r="255" spans="1:23" ht="13.2">
      <c r="A255" s="1" t="str">
        <f ca="1">IFERROR(__xludf.DUMMYFUNCTION("""COMPUTED_VALUE"""),"CA-2018-117212")</f>
        <v>CA-2018-117212</v>
      </c>
      <c r="B255" s="8">
        <f ca="1">IFERROR(__xludf.DUMMYFUNCTION("""COMPUTED_VALUE"""),43157)</f>
        <v>43157</v>
      </c>
      <c r="C255" s="1" t="str">
        <f ca="1">IFERROR(__xludf.DUMMYFUNCTION("""COMPUTED_VALUE"""),"Feb")</f>
        <v>Feb</v>
      </c>
      <c r="D255" s="1" t="str">
        <f ca="1">IFERROR(__xludf.DUMMYFUNCTION("""COMPUTED_VALUE"""),"Qtr 1")</f>
        <v>Qtr 1</v>
      </c>
      <c r="E255" s="1" t="str">
        <f ca="1">IFERROR(__xludf.DUMMYFUNCTION("""COMPUTED_VALUE"""),"28/02/2018")</f>
        <v>28/02/2018</v>
      </c>
      <c r="F255" s="1" t="str">
        <f ca="1">IFERROR(__xludf.DUMMYFUNCTION("""COMPUTED_VALUE"""),"Second Class")</f>
        <v>Second Class</v>
      </c>
      <c r="G255" s="1" t="str">
        <f ca="1">IFERROR(__xludf.DUMMYFUNCTION("""COMPUTED_VALUE"""),"BT-11530")</f>
        <v>BT-11530</v>
      </c>
      <c r="H255" s="1" t="str">
        <f ca="1">IFERROR(__xludf.DUMMYFUNCTION("""COMPUTED_VALUE"""),"Bradley")</f>
        <v>Bradley</v>
      </c>
      <c r="I255" s="1" t="str">
        <f ca="1">IFERROR(__xludf.DUMMYFUNCTION("""COMPUTED_VALUE"""),"Talbott")</f>
        <v>Talbott</v>
      </c>
      <c r="J255" s="1"/>
      <c r="K255" s="1" t="str">
        <f ca="1">IFERROR(__xludf.DUMMYFUNCTION("""COMPUTED_VALUE"""),"Home Office")</f>
        <v>Home Office</v>
      </c>
      <c r="L255" s="1" t="str">
        <f ca="1">IFERROR(__xludf.DUMMYFUNCTION("""COMPUTED_VALUE"""),"United States")</f>
        <v>United States</v>
      </c>
      <c r="M255" s="1" t="str">
        <f ca="1">IFERROR(__xludf.DUMMYFUNCTION("""COMPUTED_VALUE"""),"Los Angeles")</f>
        <v>Los Angeles</v>
      </c>
      <c r="N255" s="1" t="str">
        <f ca="1">IFERROR(__xludf.DUMMYFUNCTION("""COMPUTED_VALUE"""),"California")</f>
        <v>California</v>
      </c>
      <c r="O255" s="1">
        <f ca="1">IFERROR(__xludf.DUMMYFUNCTION("""COMPUTED_VALUE"""),90036)</f>
        <v>90036</v>
      </c>
      <c r="P255" s="1" t="str">
        <f ca="1">IFERROR(__xludf.DUMMYFUNCTION("""COMPUTED_VALUE"""),"West")</f>
        <v>West</v>
      </c>
      <c r="Q255" s="1" t="str">
        <f ca="1">IFERROR(__xludf.DUMMYFUNCTION("""COMPUTED_VALUE"""),"OFF-PA-10001970")</f>
        <v>OFF-PA-10001970</v>
      </c>
      <c r="R255" s="1" t="str">
        <f ca="1">IFERROR(__xludf.DUMMYFUNCTION("""COMPUTED_VALUE"""),"Office Supplies")</f>
        <v>Office Supplies</v>
      </c>
      <c r="S255" s="7">
        <f ca="1">IFERROR(__xludf.DUMMYFUNCTION("""COMPUTED_VALUE"""),223.92)</f>
        <v>223.92</v>
      </c>
      <c r="T255" s="1">
        <f ca="1">IFERROR(__xludf.DUMMYFUNCTION("""COMPUTED_VALUE"""),9)</f>
        <v>9</v>
      </c>
      <c r="U255" s="9">
        <f ca="1">IFERROR(__xludf.DUMMYFUNCTION("""COMPUTED_VALUE"""),2015.28)</f>
        <v>2015.28</v>
      </c>
      <c r="V255" s="9">
        <f ca="1">IFERROR(__xludf.DUMMYFUNCTION("""COMPUTED_VALUE"""),2009.87999999999)</f>
        <v>2009.8799999999901</v>
      </c>
      <c r="W255" s="12">
        <f ca="1">IFERROR(__xludf.DUMMYFUNCTION("""COMPUTED_VALUE"""),5.40000000000009)</f>
        <v>5.4000000000000901</v>
      </c>
    </row>
    <row r="256" spans="1:23" ht="13.2">
      <c r="A256" s="1" t="str">
        <f ca="1">IFERROR(__xludf.DUMMYFUNCTION("""COMPUTED_VALUE"""),"CA-2018-117212")</f>
        <v>CA-2018-117212</v>
      </c>
      <c r="B256" s="8">
        <f ca="1">IFERROR(__xludf.DUMMYFUNCTION("""COMPUTED_VALUE"""),43157)</f>
        <v>43157</v>
      </c>
      <c r="C256" s="1" t="str">
        <f ca="1">IFERROR(__xludf.DUMMYFUNCTION("""COMPUTED_VALUE"""),"Feb")</f>
        <v>Feb</v>
      </c>
      <c r="D256" s="1" t="str">
        <f ca="1">IFERROR(__xludf.DUMMYFUNCTION("""COMPUTED_VALUE"""),"Qtr 1")</f>
        <v>Qtr 1</v>
      </c>
      <c r="E256" s="1" t="str">
        <f ca="1">IFERROR(__xludf.DUMMYFUNCTION("""COMPUTED_VALUE"""),"28/02/2018")</f>
        <v>28/02/2018</v>
      </c>
      <c r="F256" s="1" t="str">
        <f ca="1">IFERROR(__xludf.DUMMYFUNCTION("""COMPUTED_VALUE"""),"Second Class")</f>
        <v>Second Class</v>
      </c>
      <c r="G256" s="1" t="str">
        <f ca="1">IFERROR(__xludf.DUMMYFUNCTION("""COMPUTED_VALUE"""),"BT-11530")</f>
        <v>BT-11530</v>
      </c>
      <c r="H256" s="1" t="str">
        <f ca="1">IFERROR(__xludf.DUMMYFUNCTION("""COMPUTED_VALUE"""),"Bradley")</f>
        <v>Bradley</v>
      </c>
      <c r="I256" s="1" t="str">
        <f ca="1">IFERROR(__xludf.DUMMYFUNCTION("""COMPUTED_VALUE"""),"Talbott")</f>
        <v>Talbott</v>
      </c>
      <c r="J256" s="1"/>
      <c r="K256" s="1" t="str">
        <f ca="1">IFERROR(__xludf.DUMMYFUNCTION("""COMPUTED_VALUE"""),"Home Office")</f>
        <v>Home Office</v>
      </c>
      <c r="L256" s="1" t="str">
        <f ca="1">IFERROR(__xludf.DUMMYFUNCTION("""COMPUTED_VALUE"""),"United States")</f>
        <v>United States</v>
      </c>
      <c r="M256" s="1" t="str">
        <f ca="1">IFERROR(__xludf.DUMMYFUNCTION("""COMPUTED_VALUE"""),"Los Angeles")</f>
        <v>Los Angeles</v>
      </c>
      <c r="N256" s="1" t="str">
        <f ca="1">IFERROR(__xludf.DUMMYFUNCTION("""COMPUTED_VALUE"""),"California")</f>
        <v>California</v>
      </c>
      <c r="O256" s="1">
        <f ca="1">IFERROR(__xludf.DUMMYFUNCTION("""COMPUTED_VALUE"""),90036)</f>
        <v>90036</v>
      </c>
      <c r="P256" s="1" t="str">
        <f ca="1">IFERROR(__xludf.DUMMYFUNCTION("""COMPUTED_VALUE"""),"West")</f>
        <v>West</v>
      </c>
      <c r="Q256" s="1" t="str">
        <f ca="1">IFERROR(__xludf.DUMMYFUNCTION("""COMPUTED_VALUE"""),"OFF-PA-10000682")</f>
        <v>OFF-PA-10000682</v>
      </c>
      <c r="R256" s="1" t="str">
        <f ca="1">IFERROR(__xludf.DUMMYFUNCTION("""COMPUTED_VALUE"""),"Office Supplies")</f>
        <v>Office Supplies</v>
      </c>
      <c r="S256" s="7">
        <f ca="1">IFERROR(__xludf.DUMMYFUNCTION("""COMPUTED_VALUE"""),23.12)</f>
        <v>23.12</v>
      </c>
      <c r="T256" s="1">
        <f ca="1">IFERROR(__xludf.DUMMYFUNCTION("""COMPUTED_VALUE"""),9)</f>
        <v>9</v>
      </c>
      <c r="U256" s="9">
        <f ca="1">IFERROR(__xludf.DUMMYFUNCTION("""COMPUTED_VALUE"""),208.08)</f>
        <v>208.08</v>
      </c>
      <c r="V256" s="9">
        <f ca="1">IFERROR(__xludf.DUMMYFUNCTION("""COMPUTED_VALUE"""),204.75)</f>
        <v>204.75</v>
      </c>
      <c r="W256" s="12">
        <f ca="1">IFERROR(__xludf.DUMMYFUNCTION("""COMPUTED_VALUE"""),3.33000000000001)</f>
        <v>3.3300000000000098</v>
      </c>
    </row>
    <row r="257" spans="1:23" ht="13.2">
      <c r="A257" s="1" t="str">
        <f ca="1">IFERROR(__xludf.DUMMYFUNCTION("""COMPUTED_VALUE"""),"CA-2017-137050")</f>
        <v>CA-2017-137050</v>
      </c>
      <c r="B257" s="8">
        <f ca="1">IFERROR(__xludf.DUMMYFUNCTION("""COMPUTED_VALUE"""),42930)</f>
        <v>42930</v>
      </c>
      <c r="C257" s="1" t="str">
        <f ca="1">IFERROR(__xludf.DUMMYFUNCTION("""COMPUTED_VALUE"""),"Jul")</f>
        <v>Jul</v>
      </c>
      <c r="D257" s="1" t="str">
        <f ca="1">IFERROR(__xludf.DUMMYFUNCTION("""COMPUTED_VALUE"""),"Qtr 3")</f>
        <v>Qtr 3</v>
      </c>
      <c r="E257" s="1" t="str">
        <f ca="1">IFERROR(__xludf.DUMMYFUNCTION("""COMPUTED_VALUE"""),"18/07/2017")</f>
        <v>18/07/2017</v>
      </c>
      <c r="F257" s="1" t="str">
        <f ca="1">IFERROR(__xludf.DUMMYFUNCTION("""COMPUTED_VALUE"""),"Second Class")</f>
        <v>Second Class</v>
      </c>
      <c r="G257" s="1" t="str">
        <f ca="1">IFERROR(__xludf.DUMMYFUNCTION("""COMPUTED_VALUE"""),"SW-20755")</f>
        <v>SW-20755</v>
      </c>
      <c r="H257" s="1" t="str">
        <f ca="1">IFERROR(__xludf.DUMMYFUNCTION("""COMPUTED_VALUE"""),"Steven")</f>
        <v>Steven</v>
      </c>
      <c r="I257" s="1" t="str">
        <f ca="1">IFERROR(__xludf.DUMMYFUNCTION("""COMPUTED_VALUE"""),"Ward")</f>
        <v>Ward</v>
      </c>
      <c r="J257" s="1"/>
      <c r="K257" s="1" t="str">
        <f ca="1">IFERROR(__xludf.DUMMYFUNCTION("""COMPUTED_VALUE"""),"Corporate")</f>
        <v>Corporate</v>
      </c>
      <c r="L257" s="1" t="str">
        <f ca="1">IFERROR(__xludf.DUMMYFUNCTION("""COMPUTED_VALUE"""),"United States")</f>
        <v>United States</v>
      </c>
      <c r="M257" s="1" t="str">
        <f ca="1">IFERROR(__xludf.DUMMYFUNCTION("""COMPUTED_VALUE"""),"New York City")</f>
        <v>New York City</v>
      </c>
      <c r="N257" s="1" t="str">
        <f ca="1">IFERROR(__xludf.DUMMYFUNCTION("""COMPUTED_VALUE"""),"New York")</f>
        <v>New York</v>
      </c>
      <c r="O257" s="1">
        <f ca="1">IFERROR(__xludf.DUMMYFUNCTION("""COMPUTED_VALUE"""),10009)</f>
        <v>10009</v>
      </c>
      <c r="P257" s="1" t="str">
        <f ca="1">IFERROR(__xludf.DUMMYFUNCTION("""COMPUTED_VALUE"""),"East")</f>
        <v>East</v>
      </c>
      <c r="Q257" s="1" t="str">
        <f ca="1">IFERROR(__xludf.DUMMYFUNCTION("""COMPUTED_VALUE"""),"OFF-ST-10004634")</f>
        <v>OFF-ST-10004634</v>
      </c>
      <c r="R257" s="1" t="str">
        <f ca="1">IFERROR(__xludf.DUMMYFUNCTION("""COMPUTED_VALUE"""),"Office Supplies")</f>
        <v>Office Supplies</v>
      </c>
      <c r="S257" s="7">
        <f ca="1">IFERROR(__xludf.DUMMYFUNCTION("""COMPUTED_VALUE"""),11.21)</f>
        <v>11.21</v>
      </c>
      <c r="T257" s="1">
        <f ca="1">IFERROR(__xludf.DUMMYFUNCTION("""COMPUTED_VALUE"""),1)</f>
        <v>1</v>
      </c>
      <c r="U257" s="9">
        <f ca="1">IFERROR(__xludf.DUMMYFUNCTION("""COMPUTED_VALUE"""),11.21)</f>
        <v>11.21</v>
      </c>
      <c r="V257" s="9">
        <f ca="1">IFERROR(__xludf.DUMMYFUNCTION("""COMPUTED_VALUE"""),10.64)</f>
        <v>10.64</v>
      </c>
      <c r="W257" s="12">
        <f ca="1">IFERROR(__xludf.DUMMYFUNCTION("""COMPUTED_VALUE"""),0.57)</f>
        <v>0.56999999999999995</v>
      </c>
    </row>
    <row r="258" spans="1:23" ht="13.2">
      <c r="A258" s="1" t="str">
        <f ca="1">IFERROR(__xludf.DUMMYFUNCTION("""COMPUTED_VALUE"""),"CA-2017-137050")</f>
        <v>CA-2017-137050</v>
      </c>
      <c r="B258" s="8">
        <f ca="1">IFERROR(__xludf.DUMMYFUNCTION("""COMPUTED_VALUE"""),42930)</f>
        <v>42930</v>
      </c>
      <c r="C258" s="1" t="str">
        <f ca="1">IFERROR(__xludf.DUMMYFUNCTION("""COMPUTED_VALUE"""),"Jul")</f>
        <v>Jul</v>
      </c>
      <c r="D258" s="1" t="str">
        <f ca="1">IFERROR(__xludf.DUMMYFUNCTION("""COMPUTED_VALUE"""),"Qtr 3")</f>
        <v>Qtr 3</v>
      </c>
      <c r="E258" s="1" t="str">
        <f ca="1">IFERROR(__xludf.DUMMYFUNCTION("""COMPUTED_VALUE"""),"18/07/2017")</f>
        <v>18/07/2017</v>
      </c>
      <c r="F258" s="1" t="str">
        <f ca="1">IFERROR(__xludf.DUMMYFUNCTION("""COMPUTED_VALUE"""),"Second Class")</f>
        <v>Second Class</v>
      </c>
      <c r="G258" s="1" t="str">
        <f ca="1">IFERROR(__xludf.DUMMYFUNCTION("""COMPUTED_VALUE"""),"SW-20755")</f>
        <v>SW-20755</v>
      </c>
      <c r="H258" s="1" t="str">
        <f ca="1">IFERROR(__xludf.DUMMYFUNCTION("""COMPUTED_VALUE"""),"Steven")</f>
        <v>Steven</v>
      </c>
      <c r="I258" s="1" t="str">
        <f ca="1">IFERROR(__xludf.DUMMYFUNCTION("""COMPUTED_VALUE"""),"Ward")</f>
        <v>Ward</v>
      </c>
      <c r="J258" s="1"/>
      <c r="K258" s="1" t="str">
        <f ca="1">IFERROR(__xludf.DUMMYFUNCTION("""COMPUTED_VALUE"""),"Corporate")</f>
        <v>Corporate</v>
      </c>
      <c r="L258" s="1" t="str">
        <f ca="1">IFERROR(__xludf.DUMMYFUNCTION("""COMPUTED_VALUE"""),"United States")</f>
        <v>United States</v>
      </c>
      <c r="M258" s="1" t="str">
        <f ca="1">IFERROR(__xludf.DUMMYFUNCTION("""COMPUTED_VALUE"""),"New York City")</f>
        <v>New York City</v>
      </c>
      <c r="N258" s="1" t="str">
        <f ca="1">IFERROR(__xludf.DUMMYFUNCTION("""COMPUTED_VALUE"""),"New York")</f>
        <v>New York</v>
      </c>
      <c r="O258" s="1">
        <f ca="1">IFERROR(__xludf.DUMMYFUNCTION("""COMPUTED_VALUE"""),10009)</f>
        <v>10009</v>
      </c>
      <c r="P258" s="1" t="str">
        <f ca="1">IFERROR(__xludf.DUMMYFUNCTION("""COMPUTED_VALUE"""),"East")</f>
        <v>East</v>
      </c>
      <c r="Q258" s="1" t="str">
        <f ca="1">IFERROR(__xludf.DUMMYFUNCTION("""COMPUTED_VALUE"""),"OFF-BI-10002160")</f>
        <v>OFF-BI-10002160</v>
      </c>
      <c r="R258" s="1" t="str">
        <f ca="1">IFERROR(__xludf.DUMMYFUNCTION("""COMPUTED_VALUE"""),"Office Supplies")</f>
        <v>Office Supplies</v>
      </c>
      <c r="S258" s="7">
        <f ca="1">IFERROR(__xludf.DUMMYFUNCTION("""COMPUTED_VALUE"""),9.144)</f>
        <v>9.1440000000000001</v>
      </c>
      <c r="T258" s="1">
        <f ca="1">IFERROR(__xludf.DUMMYFUNCTION("""COMPUTED_VALUE"""),1)</f>
        <v>1</v>
      </c>
      <c r="U258" s="9">
        <f ca="1">IFERROR(__xludf.DUMMYFUNCTION("""COMPUTED_VALUE"""),9.144)</f>
        <v>9.1440000000000001</v>
      </c>
      <c r="V258" s="9">
        <f ca="1">IFERROR(__xludf.DUMMYFUNCTION("""COMPUTED_VALUE"""),8.57)</f>
        <v>8.57</v>
      </c>
      <c r="W258" s="12">
        <f ca="1">IFERROR(__xludf.DUMMYFUNCTION("""COMPUTED_VALUE"""),0.573999999999999)</f>
        <v>0.57399999999999896</v>
      </c>
    </row>
    <row r="259" spans="1:23" ht="13.2">
      <c r="A259" s="1" t="str">
        <f ca="1">IFERROR(__xludf.DUMMYFUNCTION("""COMPUTED_VALUE"""),"CA-2017-137050")</f>
        <v>CA-2017-137050</v>
      </c>
      <c r="B259" s="8">
        <f ca="1">IFERROR(__xludf.DUMMYFUNCTION("""COMPUTED_VALUE"""),42930)</f>
        <v>42930</v>
      </c>
      <c r="C259" s="1" t="str">
        <f ca="1">IFERROR(__xludf.DUMMYFUNCTION("""COMPUTED_VALUE"""),"Jul")</f>
        <v>Jul</v>
      </c>
      <c r="D259" s="1" t="str">
        <f ca="1">IFERROR(__xludf.DUMMYFUNCTION("""COMPUTED_VALUE"""),"Qtr 3")</f>
        <v>Qtr 3</v>
      </c>
      <c r="E259" s="1" t="str">
        <f ca="1">IFERROR(__xludf.DUMMYFUNCTION("""COMPUTED_VALUE"""),"18/07/2017")</f>
        <v>18/07/2017</v>
      </c>
      <c r="F259" s="1" t="str">
        <f ca="1">IFERROR(__xludf.DUMMYFUNCTION("""COMPUTED_VALUE"""),"Second Class")</f>
        <v>Second Class</v>
      </c>
      <c r="G259" s="1" t="str">
        <f ca="1">IFERROR(__xludf.DUMMYFUNCTION("""COMPUTED_VALUE"""),"SW-20755")</f>
        <v>SW-20755</v>
      </c>
      <c r="H259" s="1" t="str">
        <f ca="1">IFERROR(__xludf.DUMMYFUNCTION("""COMPUTED_VALUE"""),"Steven")</f>
        <v>Steven</v>
      </c>
      <c r="I259" s="1" t="str">
        <f ca="1">IFERROR(__xludf.DUMMYFUNCTION("""COMPUTED_VALUE"""),"Ward")</f>
        <v>Ward</v>
      </c>
      <c r="J259" s="1"/>
      <c r="K259" s="1" t="str">
        <f ca="1">IFERROR(__xludf.DUMMYFUNCTION("""COMPUTED_VALUE"""),"Corporate")</f>
        <v>Corporate</v>
      </c>
      <c r="L259" s="1" t="str">
        <f ca="1">IFERROR(__xludf.DUMMYFUNCTION("""COMPUTED_VALUE"""),"United States")</f>
        <v>United States</v>
      </c>
      <c r="M259" s="1" t="str">
        <f ca="1">IFERROR(__xludf.DUMMYFUNCTION("""COMPUTED_VALUE"""),"New York City")</f>
        <v>New York City</v>
      </c>
      <c r="N259" s="1" t="str">
        <f ca="1">IFERROR(__xludf.DUMMYFUNCTION("""COMPUTED_VALUE"""),"New York")</f>
        <v>New York</v>
      </c>
      <c r="O259" s="1">
        <f ca="1">IFERROR(__xludf.DUMMYFUNCTION("""COMPUTED_VALUE"""),10009)</f>
        <v>10009</v>
      </c>
      <c r="P259" s="1" t="str">
        <f ca="1">IFERROR(__xludf.DUMMYFUNCTION("""COMPUTED_VALUE"""),"East")</f>
        <v>East</v>
      </c>
      <c r="Q259" s="1" t="str">
        <f ca="1">IFERROR(__xludf.DUMMYFUNCTION("""COMPUTED_VALUE"""),"OFF-FA-10002988")</f>
        <v>OFF-FA-10002988</v>
      </c>
      <c r="R259" s="1" t="str">
        <f ca="1">IFERROR(__xludf.DUMMYFUNCTION("""COMPUTED_VALUE"""),"Office Supplies")</f>
        <v>Office Supplies</v>
      </c>
      <c r="S259" s="7">
        <f ca="1">IFERROR(__xludf.DUMMYFUNCTION("""COMPUTED_VALUE"""),14.07)</f>
        <v>14.07</v>
      </c>
      <c r="T259" s="1">
        <f ca="1">IFERROR(__xludf.DUMMYFUNCTION("""COMPUTED_VALUE"""),1)</f>
        <v>1</v>
      </c>
      <c r="U259" s="9">
        <f ca="1">IFERROR(__xludf.DUMMYFUNCTION("""COMPUTED_VALUE"""),14.07)</f>
        <v>14.07</v>
      </c>
      <c r="V259" s="9">
        <f ca="1">IFERROR(__xludf.DUMMYFUNCTION("""COMPUTED_VALUE"""),13.85)</f>
        <v>13.85</v>
      </c>
      <c r="W259" s="12">
        <f ca="1">IFERROR(__xludf.DUMMYFUNCTION("""COMPUTED_VALUE"""),0.22)</f>
        <v>0.22</v>
      </c>
    </row>
    <row r="260" spans="1:23" ht="13.2">
      <c r="A260" s="1" t="str">
        <f ca="1">IFERROR(__xludf.DUMMYFUNCTION("""COMPUTED_VALUE"""),"CA-2017-137050")</f>
        <v>CA-2017-137050</v>
      </c>
      <c r="B260" s="8">
        <f ca="1">IFERROR(__xludf.DUMMYFUNCTION("""COMPUTED_VALUE"""),42930)</f>
        <v>42930</v>
      </c>
      <c r="C260" s="1" t="str">
        <f ca="1">IFERROR(__xludf.DUMMYFUNCTION("""COMPUTED_VALUE"""),"Jul")</f>
        <v>Jul</v>
      </c>
      <c r="D260" s="1" t="str">
        <f ca="1">IFERROR(__xludf.DUMMYFUNCTION("""COMPUTED_VALUE"""),"Qtr 3")</f>
        <v>Qtr 3</v>
      </c>
      <c r="E260" s="1" t="str">
        <f ca="1">IFERROR(__xludf.DUMMYFUNCTION("""COMPUTED_VALUE"""),"18/07/2017")</f>
        <v>18/07/2017</v>
      </c>
      <c r="F260" s="1" t="str">
        <f ca="1">IFERROR(__xludf.DUMMYFUNCTION("""COMPUTED_VALUE"""),"Second Class")</f>
        <v>Second Class</v>
      </c>
      <c r="G260" s="1" t="str">
        <f ca="1">IFERROR(__xludf.DUMMYFUNCTION("""COMPUTED_VALUE"""),"SW-20755")</f>
        <v>SW-20755</v>
      </c>
      <c r="H260" s="1" t="str">
        <f ca="1">IFERROR(__xludf.DUMMYFUNCTION("""COMPUTED_VALUE"""),"Steven")</f>
        <v>Steven</v>
      </c>
      <c r="I260" s="1" t="str">
        <f ca="1">IFERROR(__xludf.DUMMYFUNCTION("""COMPUTED_VALUE"""),"Ward")</f>
        <v>Ward</v>
      </c>
      <c r="J260" s="1"/>
      <c r="K260" s="1" t="str">
        <f ca="1">IFERROR(__xludf.DUMMYFUNCTION("""COMPUTED_VALUE"""),"Corporate")</f>
        <v>Corporate</v>
      </c>
      <c r="L260" s="1" t="str">
        <f ca="1">IFERROR(__xludf.DUMMYFUNCTION("""COMPUTED_VALUE"""),"United States")</f>
        <v>United States</v>
      </c>
      <c r="M260" s="1" t="str">
        <f ca="1">IFERROR(__xludf.DUMMYFUNCTION("""COMPUTED_VALUE"""),"New York City")</f>
        <v>New York City</v>
      </c>
      <c r="N260" s="1" t="str">
        <f ca="1">IFERROR(__xludf.DUMMYFUNCTION("""COMPUTED_VALUE"""),"New York")</f>
        <v>New York</v>
      </c>
      <c r="O260" s="1">
        <f ca="1">IFERROR(__xludf.DUMMYFUNCTION("""COMPUTED_VALUE"""),10009)</f>
        <v>10009</v>
      </c>
      <c r="P260" s="1" t="str">
        <f ca="1">IFERROR(__xludf.DUMMYFUNCTION("""COMPUTED_VALUE"""),"East")</f>
        <v>East</v>
      </c>
      <c r="Q260" s="1" t="str">
        <f ca="1">IFERROR(__xludf.DUMMYFUNCTION("""COMPUTED_VALUE"""),"OFF-AR-10004999")</f>
        <v>OFF-AR-10004999</v>
      </c>
      <c r="R260" s="1" t="str">
        <f ca="1">IFERROR(__xludf.DUMMYFUNCTION("""COMPUTED_VALUE"""),"Office Supplies")</f>
        <v>Office Supplies</v>
      </c>
      <c r="S260" s="7">
        <f ca="1">IFERROR(__xludf.DUMMYFUNCTION("""COMPUTED_VALUE"""),41.86)</f>
        <v>41.86</v>
      </c>
      <c r="T260" s="1">
        <f ca="1">IFERROR(__xludf.DUMMYFUNCTION("""COMPUTED_VALUE"""),1)</f>
        <v>1</v>
      </c>
      <c r="U260" s="9">
        <f ca="1">IFERROR(__xludf.DUMMYFUNCTION("""COMPUTED_VALUE"""),41.86)</f>
        <v>41.86</v>
      </c>
      <c r="V260" s="9">
        <f ca="1">IFERROR(__xludf.DUMMYFUNCTION("""COMPUTED_VALUE"""),41.19)</f>
        <v>41.19</v>
      </c>
      <c r="W260" s="12">
        <f ca="1">IFERROR(__xludf.DUMMYFUNCTION("""COMPUTED_VALUE"""),0.670000000000001)</f>
        <v>0.67000000000000104</v>
      </c>
    </row>
    <row r="261" spans="1:23" ht="13.2">
      <c r="A261" s="1" t="str">
        <f ca="1">IFERROR(__xludf.DUMMYFUNCTION("""COMPUTED_VALUE"""),"CA-2017-137050")</f>
        <v>CA-2017-137050</v>
      </c>
      <c r="B261" s="8">
        <f ca="1">IFERROR(__xludf.DUMMYFUNCTION("""COMPUTED_VALUE"""),42930)</f>
        <v>42930</v>
      </c>
      <c r="C261" s="1" t="str">
        <f ca="1">IFERROR(__xludf.DUMMYFUNCTION("""COMPUTED_VALUE"""),"Jul")</f>
        <v>Jul</v>
      </c>
      <c r="D261" s="1" t="str">
        <f ca="1">IFERROR(__xludf.DUMMYFUNCTION("""COMPUTED_VALUE"""),"Qtr 3")</f>
        <v>Qtr 3</v>
      </c>
      <c r="E261" s="1" t="str">
        <f ca="1">IFERROR(__xludf.DUMMYFUNCTION("""COMPUTED_VALUE"""),"18/07/2017")</f>
        <v>18/07/2017</v>
      </c>
      <c r="F261" s="1" t="str">
        <f ca="1">IFERROR(__xludf.DUMMYFUNCTION("""COMPUTED_VALUE"""),"Second Class")</f>
        <v>Second Class</v>
      </c>
      <c r="G261" s="1" t="str">
        <f ca="1">IFERROR(__xludf.DUMMYFUNCTION("""COMPUTED_VALUE"""),"SW-20755")</f>
        <v>SW-20755</v>
      </c>
      <c r="H261" s="1" t="str">
        <f ca="1">IFERROR(__xludf.DUMMYFUNCTION("""COMPUTED_VALUE"""),"Steven")</f>
        <v>Steven</v>
      </c>
      <c r="I261" s="1" t="str">
        <f ca="1">IFERROR(__xludf.DUMMYFUNCTION("""COMPUTED_VALUE"""),"Ward")</f>
        <v>Ward</v>
      </c>
      <c r="J261" s="1"/>
      <c r="K261" s="1" t="str">
        <f ca="1">IFERROR(__xludf.DUMMYFUNCTION("""COMPUTED_VALUE"""),"Corporate")</f>
        <v>Corporate</v>
      </c>
      <c r="L261" s="1" t="str">
        <f ca="1">IFERROR(__xludf.DUMMYFUNCTION("""COMPUTED_VALUE"""),"United States")</f>
        <v>United States</v>
      </c>
      <c r="M261" s="1" t="str">
        <f ca="1">IFERROR(__xludf.DUMMYFUNCTION("""COMPUTED_VALUE"""),"New York City")</f>
        <v>New York City</v>
      </c>
      <c r="N261" s="1" t="str">
        <f ca="1">IFERROR(__xludf.DUMMYFUNCTION("""COMPUTED_VALUE"""),"New York")</f>
        <v>New York</v>
      </c>
      <c r="O261" s="1">
        <f ca="1">IFERROR(__xludf.DUMMYFUNCTION("""COMPUTED_VALUE"""),10009)</f>
        <v>10009</v>
      </c>
      <c r="P261" s="1" t="str">
        <f ca="1">IFERROR(__xludf.DUMMYFUNCTION("""COMPUTED_VALUE"""),"East")</f>
        <v>East</v>
      </c>
      <c r="Q261" s="1" t="str">
        <f ca="1">IFERROR(__xludf.DUMMYFUNCTION("""COMPUTED_VALUE"""),"OFF-BI-10001031")</f>
        <v>OFF-BI-10001031</v>
      </c>
      <c r="R261" s="1" t="str">
        <f ca="1">IFERROR(__xludf.DUMMYFUNCTION("""COMPUTED_VALUE"""),"Office Supplies")</f>
        <v>Office Supplies</v>
      </c>
      <c r="S261" s="7">
        <f ca="1">IFERROR(__xludf.DUMMYFUNCTION("""COMPUTED_VALUE"""),8.544)</f>
        <v>8.5440000000000005</v>
      </c>
      <c r="T261" s="1">
        <f ca="1">IFERROR(__xludf.DUMMYFUNCTION("""COMPUTED_VALUE"""),1)</f>
        <v>1</v>
      </c>
      <c r="U261" s="9">
        <f ca="1">IFERROR(__xludf.DUMMYFUNCTION("""COMPUTED_VALUE"""),8.544)</f>
        <v>8.5440000000000005</v>
      </c>
      <c r="V261" s="9">
        <f ca="1">IFERROR(__xludf.DUMMYFUNCTION("""COMPUTED_VALUE"""),8.39)</f>
        <v>8.39</v>
      </c>
      <c r="W261" s="12">
        <f ca="1">IFERROR(__xludf.DUMMYFUNCTION("""COMPUTED_VALUE"""),0.153999999999999)</f>
        <v>0.153999999999999</v>
      </c>
    </row>
    <row r="262" spans="1:23" ht="13.2">
      <c r="A262" s="1" t="str">
        <f ca="1">IFERROR(__xludf.DUMMYFUNCTION("""COMPUTED_VALUE"""),"CA-2017-137050")</f>
        <v>CA-2017-137050</v>
      </c>
      <c r="B262" s="8">
        <f ca="1">IFERROR(__xludf.DUMMYFUNCTION("""COMPUTED_VALUE"""),42930)</f>
        <v>42930</v>
      </c>
      <c r="C262" s="1" t="str">
        <f ca="1">IFERROR(__xludf.DUMMYFUNCTION("""COMPUTED_VALUE"""),"Jul")</f>
        <v>Jul</v>
      </c>
      <c r="D262" s="1" t="str">
        <f ca="1">IFERROR(__xludf.DUMMYFUNCTION("""COMPUTED_VALUE"""),"Qtr 3")</f>
        <v>Qtr 3</v>
      </c>
      <c r="E262" s="1" t="str">
        <f ca="1">IFERROR(__xludf.DUMMYFUNCTION("""COMPUTED_VALUE"""),"18/07/2017")</f>
        <v>18/07/2017</v>
      </c>
      <c r="F262" s="1" t="str">
        <f ca="1">IFERROR(__xludf.DUMMYFUNCTION("""COMPUTED_VALUE"""),"Second Class")</f>
        <v>Second Class</v>
      </c>
      <c r="G262" s="1" t="str">
        <f ca="1">IFERROR(__xludf.DUMMYFUNCTION("""COMPUTED_VALUE"""),"SW-20755")</f>
        <v>SW-20755</v>
      </c>
      <c r="H262" s="1" t="str">
        <f ca="1">IFERROR(__xludf.DUMMYFUNCTION("""COMPUTED_VALUE"""),"Steven")</f>
        <v>Steven</v>
      </c>
      <c r="I262" s="1" t="str">
        <f ca="1">IFERROR(__xludf.DUMMYFUNCTION("""COMPUTED_VALUE"""),"Ward")</f>
        <v>Ward</v>
      </c>
      <c r="J262" s="1"/>
      <c r="K262" s="1" t="str">
        <f ca="1">IFERROR(__xludf.DUMMYFUNCTION("""COMPUTED_VALUE"""),"Corporate")</f>
        <v>Corporate</v>
      </c>
      <c r="L262" s="1" t="str">
        <f ca="1">IFERROR(__xludf.DUMMYFUNCTION("""COMPUTED_VALUE"""),"United States")</f>
        <v>United States</v>
      </c>
      <c r="M262" s="1" t="str">
        <f ca="1">IFERROR(__xludf.DUMMYFUNCTION("""COMPUTED_VALUE"""),"New York City")</f>
        <v>New York City</v>
      </c>
      <c r="N262" s="1" t="str">
        <f ca="1">IFERROR(__xludf.DUMMYFUNCTION("""COMPUTED_VALUE"""),"New York")</f>
        <v>New York</v>
      </c>
      <c r="O262" s="1">
        <f ca="1">IFERROR(__xludf.DUMMYFUNCTION("""COMPUTED_VALUE"""),10009)</f>
        <v>10009</v>
      </c>
      <c r="P262" s="1" t="str">
        <f ca="1">IFERROR(__xludf.DUMMYFUNCTION("""COMPUTED_VALUE"""),"East")</f>
        <v>East</v>
      </c>
      <c r="Q262" s="1" t="str">
        <f ca="1">IFERROR(__xludf.DUMMYFUNCTION("""COMPUTED_VALUE"""),"FUR-BO-10004695")</f>
        <v>FUR-BO-10004695</v>
      </c>
      <c r="R262" s="1" t="str">
        <f ca="1">IFERROR(__xludf.DUMMYFUNCTION("""COMPUTED_VALUE"""),"Furniture")</f>
        <v>Furniture</v>
      </c>
      <c r="S262" s="7">
        <f ca="1">IFERROR(__xludf.DUMMYFUNCTION("""COMPUTED_VALUE"""),579.136)</f>
        <v>579.13599999999997</v>
      </c>
      <c r="T262" s="1">
        <f ca="1">IFERROR(__xludf.DUMMYFUNCTION("""COMPUTED_VALUE"""),1)</f>
        <v>1</v>
      </c>
      <c r="U262" s="9">
        <f ca="1">IFERROR(__xludf.DUMMYFUNCTION("""COMPUTED_VALUE"""),579.136)</f>
        <v>579.13599999999997</v>
      </c>
      <c r="V262" s="9">
        <f ca="1">IFERROR(__xludf.DUMMYFUNCTION("""COMPUTED_VALUE"""),578.55)</f>
        <v>578.54999999999995</v>
      </c>
      <c r="W262" s="12">
        <f ca="1">IFERROR(__xludf.DUMMYFUNCTION("""COMPUTED_VALUE"""),0.586000000000012)</f>
        <v>0.58600000000001196</v>
      </c>
    </row>
    <row r="263" spans="1:23" ht="13.2">
      <c r="A263" s="1" t="str">
        <f ca="1">IFERROR(__xludf.DUMMYFUNCTION("""COMPUTED_VALUE"""),"CA-2016-132570")</f>
        <v>CA-2016-132570</v>
      </c>
      <c r="B263" s="8">
        <f ca="1">IFERROR(__xludf.DUMMYFUNCTION("""COMPUTED_VALUE"""),42674)</f>
        <v>42674</v>
      </c>
      <c r="C263" s="1" t="str">
        <f ca="1">IFERROR(__xludf.DUMMYFUNCTION("""COMPUTED_VALUE"""),"Oct")</f>
        <v>Oct</v>
      </c>
      <c r="D263" s="1" t="str">
        <f ca="1">IFERROR(__xludf.DUMMYFUNCTION("""COMPUTED_VALUE"""),"Qtr 4")</f>
        <v>Qtr 4</v>
      </c>
      <c r="E263" s="1" t="str">
        <f ca="1">IFERROR(__xludf.DUMMYFUNCTION("""COMPUTED_VALUE"""),"2/11/2016")</f>
        <v>2/11/2016</v>
      </c>
      <c r="F263" s="1" t="str">
        <f ca="1">IFERROR(__xludf.DUMMYFUNCTION("""COMPUTED_VALUE"""),"Second Class")</f>
        <v>Second Class</v>
      </c>
      <c r="G263" s="1" t="str">
        <f ca="1">IFERROR(__xludf.DUMMYFUNCTION("""COMPUTED_VALUE"""),"KT-16480")</f>
        <v>KT-16480</v>
      </c>
      <c r="H263" s="1" t="str">
        <f ca="1">IFERROR(__xludf.DUMMYFUNCTION("""COMPUTED_VALUE"""),"Kean")</f>
        <v>Kean</v>
      </c>
      <c r="I263" s="1" t="str">
        <f ca="1">IFERROR(__xludf.DUMMYFUNCTION("""COMPUTED_VALUE"""),"Thornton")</f>
        <v>Thornton</v>
      </c>
      <c r="J263" s="1"/>
      <c r="K263" s="1" t="str">
        <f ca="1">IFERROR(__xludf.DUMMYFUNCTION("""COMPUTED_VALUE"""),"Consumer")</f>
        <v>Consumer</v>
      </c>
      <c r="L263" s="1" t="str">
        <f ca="1">IFERROR(__xludf.DUMMYFUNCTION("""COMPUTED_VALUE"""),"United States")</f>
        <v>United States</v>
      </c>
      <c r="M263" s="1" t="str">
        <f ca="1">IFERROR(__xludf.DUMMYFUNCTION("""COMPUTED_VALUE"""),"Buffalo")</f>
        <v>Buffalo</v>
      </c>
      <c r="N263" s="1" t="str">
        <f ca="1">IFERROR(__xludf.DUMMYFUNCTION("""COMPUTED_VALUE"""),"New York")</f>
        <v>New York</v>
      </c>
      <c r="O263" s="1">
        <f ca="1">IFERROR(__xludf.DUMMYFUNCTION("""COMPUTED_VALUE"""),14215)</f>
        <v>14215</v>
      </c>
      <c r="P263" s="1" t="str">
        <f ca="1">IFERROR(__xludf.DUMMYFUNCTION("""COMPUTED_VALUE"""),"East")</f>
        <v>East</v>
      </c>
      <c r="Q263" s="1" t="str">
        <f ca="1">IFERROR(__xludf.DUMMYFUNCTION("""COMPUTED_VALUE"""),"OFF-AR-10000369")</f>
        <v>OFF-AR-10000369</v>
      </c>
      <c r="R263" s="1" t="str">
        <f ca="1">IFERROR(__xludf.DUMMYFUNCTION("""COMPUTED_VALUE"""),"Office Supplies")</f>
        <v>Office Supplies</v>
      </c>
      <c r="S263" s="7">
        <f ca="1">IFERROR(__xludf.DUMMYFUNCTION("""COMPUTED_VALUE"""),2.78)</f>
        <v>2.78</v>
      </c>
      <c r="T263" s="1">
        <f ca="1">IFERROR(__xludf.DUMMYFUNCTION("""COMPUTED_VALUE"""),1)</f>
        <v>1</v>
      </c>
      <c r="U263" s="9">
        <f ca="1">IFERROR(__xludf.DUMMYFUNCTION("""COMPUTED_VALUE"""),2.78)</f>
        <v>2.78</v>
      </c>
      <c r="V263" s="9">
        <f ca="1">IFERROR(__xludf.DUMMYFUNCTION("""COMPUTED_VALUE"""),2.6)</f>
        <v>2.6</v>
      </c>
      <c r="W263" s="12">
        <f ca="1">IFERROR(__xludf.DUMMYFUNCTION("""COMPUTED_VALUE"""),0.179999999999999)</f>
        <v>0.17999999999999899</v>
      </c>
    </row>
    <row r="264" spans="1:23" ht="13.2">
      <c r="A264" s="1" t="str">
        <f ca="1">IFERROR(__xludf.DUMMYFUNCTION("""COMPUTED_VALUE"""),"CA-2016-132570")</f>
        <v>CA-2016-132570</v>
      </c>
      <c r="B264" s="8">
        <f ca="1">IFERROR(__xludf.DUMMYFUNCTION("""COMPUTED_VALUE"""),42674)</f>
        <v>42674</v>
      </c>
      <c r="C264" s="1" t="str">
        <f ca="1">IFERROR(__xludf.DUMMYFUNCTION("""COMPUTED_VALUE"""),"Oct")</f>
        <v>Oct</v>
      </c>
      <c r="D264" s="1" t="str">
        <f ca="1">IFERROR(__xludf.DUMMYFUNCTION("""COMPUTED_VALUE"""),"Qtr 4")</f>
        <v>Qtr 4</v>
      </c>
      <c r="E264" s="1" t="str">
        <f ca="1">IFERROR(__xludf.DUMMYFUNCTION("""COMPUTED_VALUE"""),"2/11/2016")</f>
        <v>2/11/2016</v>
      </c>
      <c r="F264" s="1" t="str">
        <f ca="1">IFERROR(__xludf.DUMMYFUNCTION("""COMPUTED_VALUE"""),"Second Class")</f>
        <v>Second Class</v>
      </c>
      <c r="G264" s="1" t="str">
        <f ca="1">IFERROR(__xludf.DUMMYFUNCTION("""COMPUTED_VALUE"""),"KT-16480")</f>
        <v>KT-16480</v>
      </c>
      <c r="H264" s="1" t="str">
        <f ca="1">IFERROR(__xludf.DUMMYFUNCTION("""COMPUTED_VALUE"""),"Kean")</f>
        <v>Kean</v>
      </c>
      <c r="I264" s="1" t="str">
        <f ca="1">IFERROR(__xludf.DUMMYFUNCTION("""COMPUTED_VALUE"""),"Thornton")</f>
        <v>Thornton</v>
      </c>
      <c r="J264" s="1"/>
      <c r="K264" s="1" t="str">
        <f ca="1">IFERROR(__xludf.DUMMYFUNCTION("""COMPUTED_VALUE"""),"Consumer")</f>
        <v>Consumer</v>
      </c>
      <c r="L264" s="1" t="str">
        <f ca="1">IFERROR(__xludf.DUMMYFUNCTION("""COMPUTED_VALUE"""),"United States")</f>
        <v>United States</v>
      </c>
      <c r="M264" s="1" t="str">
        <f ca="1">IFERROR(__xludf.DUMMYFUNCTION("""COMPUTED_VALUE"""),"Buffalo")</f>
        <v>Buffalo</v>
      </c>
      <c r="N264" s="1" t="str">
        <f ca="1">IFERROR(__xludf.DUMMYFUNCTION("""COMPUTED_VALUE"""),"New York")</f>
        <v>New York</v>
      </c>
      <c r="O264" s="1">
        <f ca="1">IFERROR(__xludf.DUMMYFUNCTION("""COMPUTED_VALUE"""),14215)</f>
        <v>14215</v>
      </c>
      <c r="P264" s="1" t="str">
        <f ca="1">IFERROR(__xludf.DUMMYFUNCTION("""COMPUTED_VALUE"""),"East")</f>
        <v>East</v>
      </c>
      <c r="Q264" s="1" t="str">
        <f ca="1">IFERROR(__xludf.DUMMYFUNCTION("""COMPUTED_VALUE"""),"OFF-EN-10003055")</f>
        <v>OFF-EN-10003055</v>
      </c>
      <c r="R264" s="1" t="str">
        <f ca="1">IFERROR(__xludf.DUMMYFUNCTION("""COMPUTED_VALUE"""),"Office Supplies")</f>
        <v>Office Supplies</v>
      </c>
      <c r="S264" s="7">
        <f ca="1">IFERROR(__xludf.DUMMYFUNCTION("""COMPUTED_VALUE"""),79.96)</f>
        <v>79.959999999999994</v>
      </c>
      <c r="T264" s="1">
        <f ca="1">IFERROR(__xludf.DUMMYFUNCTION("""COMPUTED_VALUE"""),1)</f>
        <v>1</v>
      </c>
      <c r="U264" s="9">
        <f ca="1">IFERROR(__xludf.DUMMYFUNCTION("""COMPUTED_VALUE"""),79.96)</f>
        <v>79.959999999999994</v>
      </c>
      <c r="V264" s="9">
        <f ca="1">IFERROR(__xludf.DUMMYFUNCTION("""COMPUTED_VALUE"""),79.32)</f>
        <v>79.319999999999993</v>
      </c>
      <c r="W264" s="12">
        <f ca="1">IFERROR(__xludf.DUMMYFUNCTION("""COMPUTED_VALUE"""),0.64)</f>
        <v>0.64</v>
      </c>
    </row>
    <row r="265" spans="1:23" ht="13.2">
      <c r="A265" s="1" t="str">
        <f ca="1">IFERROR(__xludf.DUMMYFUNCTION("""COMPUTED_VALUE"""),"CA-2015-168494")</f>
        <v>CA-2015-168494</v>
      </c>
      <c r="B265" s="8">
        <f ca="1">IFERROR(__xludf.DUMMYFUNCTION("""COMPUTED_VALUE"""),42350)</f>
        <v>42350</v>
      </c>
      <c r="C265" s="1" t="str">
        <f ca="1">IFERROR(__xludf.DUMMYFUNCTION("""COMPUTED_VALUE"""),"Dec")</f>
        <v>Dec</v>
      </c>
      <c r="D265" s="1" t="str">
        <f ca="1">IFERROR(__xludf.DUMMYFUNCTION("""COMPUTED_VALUE"""),"Qtr 4")</f>
        <v>Qtr 4</v>
      </c>
      <c r="E265" s="1" t="str">
        <f ca="1">IFERROR(__xludf.DUMMYFUNCTION("""COMPUTED_VALUE"""),"14/12/2015")</f>
        <v>14/12/2015</v>
      </c>
      <c r="F265" s="1" t="str">
        <f ca="1">IFERROR(__xludf.DUMMYFUNCTION("""COMPUTED_VALUE"""),"Second Class")</f>
        <v>Second Class</v>
      </c>
      <c r="G265" s="1" t="str">
        <f ca="1">IFERROR(__xludf.DUMMYFUNCTION("""COMPUTED_VALUE"""),"NP-18700")</f>
        <v>NP-18700</v>
      </c>
      <c r="H265" s="1" t="str">
        <f ca="1">IFERROR(__xludf.DUMMYFUNCTION("""COMPUTED_VALUE"""),"Nora")</f>
        <v>Nora</v>
      </c>
      <c r="I265" s="1" t="str">
        <f ca="1">IFERROR(__xludf.DUMMYFUNCTION("""COMPUTED_VALUE"""),"Preis")</f>
        <v>Preis</v>
      </c>
      <c r="J265" s="1"/>
      <c r="K265" s="1" t="str">
        <f ca="1">IFERROR(__xludf.DUMMYFUNCTION("""COMPUTED_VALUE"""),"Consumer")</f>
        <v>Consumer</v>
      </c>
      <c r="L265" s="1" t="str">
        <f ca="1">IFERROR(__xludf.DUMMYFUNCTION("""COMPUTED_VALUE"""),"United States")</f>
        <v>United States</v>
      </c>
      <c r="M265" s="1" t="str">
        <f ca="1">IFERROR(__xludf.DUMMYFUNCTION("""COMPUTED_VALUE"""),"Fresno")</f>
        <v>Fresno</v>
      </c>
      <c r="N265" s="1" t="str">
        <f ca="1">IFERROR(__xludf.DUMMYFUNCTION("""COMPUTED_VALUE"""),"California")</f>
        <v>California</v>
      </c>
      <c r="O265" s="1">
        <f ca="1">IFERROR(__xludf.DUMMYFUNCTION("""COMPUTED_VALUE"""),93727)</f>
        <v>93727</v>
      </c>
      <c r="P265" s="1" t="str">
        <f ca="1">IFERROR(__xludf.DUMMYFUNCTION("""COMPUTED_VALUE"""),"West")</f>
        <v>West</v>
      </c>
      <c r="Q265" s="1" t="str">
        <f ca="1">IFERROR(__xludf.DUMMYFUNCTION("""COMPUTED_VALUE"""),"FUR-TA-10004619")</f>
        <v>FUR-TA-10004619</v>
      </c>
      <c r="R265" s="1" t="str">
        <f ca="1">IFERROR(__xludf.DUMMYFUNCTION("""COMPUTED_VALUE"""),"Furniture")</f>
        <v>Furniture</v>
      </c>
      <c r="S265" s="7">
        <f ca="1">IFERROR(__xludf.DUMMYFUNCTION("""COMPUTED_VALUE"""),764.688)</f>
        <v>764.68799999999999</v>
      </c>
      <c r="T265" s="1">
        <f ca="1">IFERROR(__xludf.DUMMYFUNCTION("""COMPUTED_VALUE"""),9)</f>
        <v>9</v>
      </c>
      <c r="U265" s="9">
        <f ca="1">IFERROR(__xludf.DUMMYFUNCTION("""COMPUTED_VALUE"""),6882.192)</f>
        <v>6882.192</v>
      </c>
      <c r="V265" s="9">
        <f ca="1">IFERROR(__xludf.DUMMYFUNCTION("""COMPUTED_VALUE"""),6880.05)</f>
        <v>6880.05</v>
      </c>
      <c r="W265" s="12">
        <f ca="1">IFERROR(__xludf.DUMMYFUNCTION("""COMPUTED_VALUE"""),2.14199999999982)</f>
        <v>2.14199999999982</v>
      </c>
    </row>
    <row r="266" spans="1:23" ht="13.2">
      <c r="A266" s="1" t="str">
        <f ca="1">IFERROR(__xludf.DUMMYFUNCTION("""COMPUTED_VALUE"""),"CA-2015-168494")</f>
        <v>CA-2015-168494</v>
      </c>
      <c r="B266" s="8">
        <f ca="1">IFERROR(__xludf.DUMMYFUNCTION("""COMPUTED_VALUE"""),42350)</f>
        <v>42350</v>
      </c>
      <c r="C266" s="1" t="str">
        <f ca="1">IFERROR(__xludf.DUMMYFUNCTION("""COMPUTED_VALUE"""),"Dec")</f>
        <v>Dec</v>
      </c>
      <c r="D266" s="1" t="str">
        <f ca="1">IFERROR(__xludf.DUMMYFUNCTION("""COMPUTED_VALUE"""),"Qtr 4")</f>
        <v>Qtr 4</v>
      </c>
      <c r="E266" s="1" t="str">
        <f ca="1">IFERROR(__xludf.DUMMYFUNCTION("""COMPUTED_VALUE"""),"14/12/2015")</f>
        <v>14/12/2015</v>
      </c>
      <c r="F266" s="1" t="str">
        <f ca="1">IFERROR(__xludf.DUMMYFUNCTION("""COMPUTED_VALUE"""),"Second Class")</f>
        <v>Second Class</v>
      </c>
      <c r="G266" s="1" t="str">
        <f ca="1">IFERROR(__xludf.DUMMYFUNCTION("""COMPUTED_VALUE"""),"NP-18700")</f>
        <v>NP-18700</v>
      </c>
      <c r="H266" s="1" t="str">
        <f ca="1">IFERROR(__xludf.DUMMYFUNCTION("""COMPUTED_VALUE"""),"Nora")</f>
        <v>Nora</v>
      </c>
      <c r="I266" s="1" t="str">
        <f ca="1">IFERROR(__xludf.DUMMYFUNCTION("""COMPUTED_VALUE"""),"Preis")</f>
        <v>Preis</v>
      </c>
      <c r="J266" s="1"/>
      <c r="K266" s="1" t="str">
        <f ca="1">IFERROR(__xludf.DUMMYFUNCTION("""COMPUTED_VALUE"""),"Consumer")</f>
        <v>Consumer</v>
      </c>
      <c r="L266" s="1" t="str">
        <f ca="1">IFERROR(__xludf.DUMMYFUNCTION("""COMPUTED_VALUE"""),"United States")</f>
        <v>United States</v>
      </c>
      <c r="M266" s="1" t="str">
        <f ca="1">IFERROR(__xludf.DUMMYFUNCTION("""COMPUTED_VALUE"""),"Fresno")</f>
        <v>Fresno</v>
      </c>
      <c r="N266" s="1" t="str">
        <f ca="1">IFERROR(__xludf.DUMMYFUNCTION("""COMPUTED_VALUE"""),"California")</f>
        <v>California</v>
      </c>
      <c r="O266" s="1">
        <f ca="1">IFERROR(__xludf.DUMMYFUNCTION("""COMPUTED_VALUE"""),93727)</f>
        <v>93727</v>
      </c>
      <c r="P266" s="1" t="str">
        <f ca="1">IFERROR(__xludf.DUMMYFUNCTION("""COMPUTED_VALUE"""),"West")</f>
        <v>West</v>
      </c>
      <c r="Q266" s="1" t="str">
        <f ca="1">IFERROR(__xludf.DUMMYFUNCTION("""COMPUTED_VALUE"""),"FUR-TA-10003473")</f>
        <v>FUR-TA-10003473</v>
      </c>
      <c r="R266" s="1" t="str">
        <f ca="1">IFERROR(__xludf.DUMMYFUNCTION("""COMPUTED_VALUE"""),"Furniture")</f>
        <v>Furniture</v>
      </c>
      <c r="S266" s="7">
        <f ca="1">IFERROR(__xludf.DUMMYFUNCTION("""COMPUTED_VALUE"""),3610.848)</f>
        <v>3610.848</v>
      </c>
      <c r="T266" s="1">
        <f ca="1">IFERROR(__xludf.DUMMYFUNCTION("""COMPUTED_VALUE"""),9)</f>
        <v>9</v>
      </c>
      <c r="U266" s="9">
        <f ca="1">IFERROR(__xludf.DUMMYFUNCTION("""COMPUTED_VALUE"""),32497.6319999999)</f>
        <v>32497.6319999999</v>
      </c>
      <c r="V266" s="9">
        <f ca="1">IFERROR(__xludf.DUMMYFUNCTION("""COMPUTED_VALUE"""),32496.84)</f>
        <v>32496.84</v>
      </c>
      <c r="W266" s="12">
        <f ca="1">IFERROR(__xludf.DUMMYFUNCTION("""COMPUTED_VALUE"""),0.791999999994004)</f>
        <v>0.79199999999400394</v>
      </c>
    </row>
    <row r="267" spans="1:23" ht="13.2">
      <c r="A267" s="1" t="str">
        <f ca="1">IFERROR(__xludf.DUMMYFUNCTION("""COMPUTED_VALUE"""),"CA-2015-168494")</f>
        <v>CA-2015-168494</v>
      </c>
      <c r="B267" s="8">
        <f ca="1">IFERROR(__xludf.DUMMYFUNCTION("""COMPUTED_VALUE"""),42350)</f>
        <v>42350</v>
      </c>
      <c r="C267" s="1" t="str">
        <f ca="1">IFERROR(__xludf.DUMMYFUNCTION("""COMPUTED_VALUE"""),"Dec")</f>
        <v>Dec</v>
      </c>
      <c r="D267" s="1" t="str">
        <f ca="1">IFERROR(__xludf.DUMMYFUNCTION("""COMPUTED_VALUE"""),"Qtr 4")</f>
        <v>Qtr 4</v>
      </c>
      <c r="E267" s="1" t="str">
        <f ca="1">IFERROR(__xludf.DUMMYFUNCTION("""COMPUTED_VALUE"""),"14/12/2015")</f>
        <v>14/12/2015</v>
      </c>
      <c r="F267" s="1" t="str">
        <f ca="1">IFERROR(__xludf.DUMMYFUNCTION("""COMPUTED_VALUE"""),"Second Class")</f>
        <v>Second Class</v>
      </c>
      <c r="G267" s="1" t="str">
        <f ca="1">IFERROR(__xludf.DUMMYFUNCTION("""COMPUTED_VALUE"""),"NP-18700")</f>
        <v>NP-18700</v>
      </c>
      <c r="H267" s="1" t="str">
        <f ca="1">IFERROR(__xludf.DUMMYFUNCTION("""COMPUTED_VALUE"""),"Nora")</f>
        <v>Nora</v>
      </c>
      <c r="I267" s="1" t="str">
        <f ca="1">IFERROR(__xludf.DUMMYFUNCTION("""COMPUTED_VALUE"""),"Preis")</f>
        <v>Preis</v>
      </c>
      <c r="J267" s="1"/>
      <c r="K267" s="1" t="str">
        <f ca="1">IFERROR(__xludf.DUMMYFUNCTION("""COMPUTED_VALUE"""),"Consumer")</f>
        <v>Consumer</v>
      </c>
      <c r="L267" s="1" t="str">
        <f ca="1">IFERROR(__xludf.DUMMYFUNCTION("""COMPUTED_VALUE"""),"United States")</f>
        <v>United States</v>
      </c>
      <c r="M267" s="1" t="str">
        <f ca="1">IFERROR(__xludf.DUMMYFUNCTION("""COMPUTED_VALUE"""),"Fresno")</f>
        <v>Fresno</v>
      </c>
      <c r="N267" s="1" t="str">
        <f ca="1">IFERROR(__xludf.DUMMYFUNCTION("""COMPUTED_VALUE"""),"California")</f>
        <v>California</v>
      </c>
      <c r="O267" s="1">
        <f ca="1">IFERROR(__xludf.DUMMYFUNCTION("""COMPUTED_VALUE"""),93727)</f>
        <v>93727</v>
      </c>
      <c r="P267" s="1" t="str">
        <f ca="1">IFERROR(__xludf.DUMMYFUNCTION("""COMPUTED_VALUE"""),"West")</f>
        <v>West</v>
      </c>
      <c r="Q267" s="1" t="str">
        <f ca="1">IFERROR(__xludf.DUMMYFUNCTION("""COMPUTED_VALUE"""),"FUR-BO-10004467")</f>
        <v>FUR-BO-10004467</v>
      </c>
      <c r="R267" s="1" t="str">
        <f ca="1">IFERROR(__xludf.DUMMYFUNCTION("""COMPUTED_VALUE"""),"Furniture")</f>
        <v>Furniture</v>
      </c>
      <c r="S267" s="7">
        <f ca="1">IFERROR(__xludf.DUMMYFUNCTION("""COMPUTED_VALUE"""),254.9745)</f>
        <v>254.97450000000001</v>
      </c>
      <c r="T267" s="1">
        <f ca="1">IFERROR(__xludf.DUMMYFUNCTION("""COMPUTED_VALUE"""),9)</f>
        <v>9</v>
      </c>
      <c r="U267" s="9">
        <f ca="1">IFERROR(__xludf.DUMMYFUNCTION("""COMPUTED_VALUE"""),2294.7705)</f>
        <v>2294.7705000000001</v>
      </c>
      <c r="V267" s="9">
        <f ca="1">IFERROR(__xludf.DUMMYFUNCTION("""COMPUTED_VALUE"""),2290.86)</f>
        <v>2290.86</v>
      </c>
      <c r="W267" s="12">
        <f ca="1">IFERROR(__xludf.DUMMYFUNCTION("""COMPUTED_VALUE"""),3.91049999999995)</f>
        <v>3.9104999999999501</v>
      </c>
    </row>
    <row r="268" spans="1:23" ht="13.2">
      <c r="A268" s="1" t="str">
        <f ca="1">IFERROR(__xludf.DUMMYFUNCTION("""COMPUTED_VALUE"""),"US-2017-168620")</f>
        <v>US-2017-168620</v>
      </c>
      <c r="B268" s="8">
        <f ca="1">IFERROR(__xludf.DUMMYFUNCTION("""COMPUTED_VALUE"""),43093)</f>
        <v>43093</v>
      </c>
      <c r="C268" s="1" t="str">
        <f ca="1">IFERROR(__xludf.DUMMYFUNCTION("""COMPUTED_VALUE"""),"Dec")</f>
        <v>Dec</v>
      </c>
      <c r="D268" s="1" t="str">
        <f ca="1">IFERROR(__xludf.DUMMYFUNCTION("""COMPUTED_VALUE"""),"Qtr 4")</f>
        <v>Qtr 4</v>
      </c>
      <c r="E268" s="1" t="str">
        <f ca="1">IFERROR(__xludf.DUMMYFUNCTION("""COMPUTED_VALUE"""),"28/12/2017")</f>
        <v>28/12/2017</v>
      </c>
      <c r="F268" s="1" t="str">
        <f ca="1">IFERROR(__xludf.DUMMYFUNCTION("""COMPUTED_VALUE"""),"Second Class")</f>
        <v>Second Class</v>
      </c>
      <c r="G268" s="1" t="str">
        <f ca="1">IFERROR(__xludf.DUMMYFUNCTION("""COMPUTED_VALUE"""),"RB-19795")</f>
        <v>RB-19795</v>
      </c>
      <c r="H268" s="1" t="str">
        <f ca="1">IFERROR(__xludf.DUMMYFUNCTION("""COMPUTED_VALUE"""),"Ross")</f>
        <v>Ross</v>
      </c>
      <c r="I268" s="1" t="str">
        <f ca="1">IFERROR(__xludf.DUMMYFUNCTION("""COMPUTED_VALUE"""),"Baird")</f>
        <v>Baird</v>
      </c>
      <c r="J268" s="1"/>
      <c r="K268" s="1" t="str">
        <f ca="1">IFERROR(__xludf.DUMMYFUNCTION("""COMPUTED_VALUE"""),"Home Office")</f>
        <v>Home Office</v>
      </c>
      <c r="L268" s="1" t="str">
        <f ca="1">IFERROR(__xludf.DUMMYFUNCTION("""COMPUTED_VALUE"""),"United States")</f>
        <v>United States</v>
      </c>
      <c r="M268" s="1" t="str">
        <f ca="1">IFERROR(__xludf.DUMMYFUNCTION("""COMPUTED_VALUE"""),"Charlotte")</f>
        <v>Charlotte</v>
      </c>
      <c r="N268" s="1" t="str">
        <f ca="1">IFERROR(__xludf.DUMMYFUNCTION("""COMPUTED_VALUE"""),"North Carolina")</f>
        <v>North Carolina</v>
      </c>
      <c r="O268" s="1">
        <f ca="1">IFERROR(__xludf.DUMMYFUNCTION("""COMPUTED_VALUE"""),28205)</f>
        <v>28205</v>
      </c>
      <c r="P268" s="1" t="str">
        <f ca="1">IFERROR(__xludf.DUMMYFUNCTION("""COMPUTED_VALUE"""),"South")</f>
        <v>South</v>
      </c>
      <c r="Q268" s="1" t="str">
        <f ca="1">IFERROR(__xludf.DUMMYFUNCTION("""COMPUTED_VALUE"""),"OFF-BI-10001575")</f>
        <v>OFF-BI-10001575</v>
      </c>
      <c r="R268" s="1" t="str">
        <f ca="1">IFERROR(__xludf.DUMMYFUNCTION("""COMPUTED_VALUE"""),"Office Supplies")</f>
        <v>Office Supplies</v>
      </c>
      <c r="S268" s="7">
        <f ca="1">IFERROR(__xludf.DUMMYFUNCTION("""COMPUTED_VALUE"""),27.882)</f>
        <v>27.882000000000001</v>
      </c>
      <c r="T268" s="1">
        <f ca="1">IFERROR(__xludf.DUMMYFUNCTION("""COMPUTED_VALUE"""),2)</f>
        <v>2</v>
      </c>
      <c r="U268" s="9">
        <f ca="1">IFERROR(__xludf.DUMMYFUNCTION("""COMPUTED_VALUE"""),55.764)</f>
        <v>55.764000000000003</v>
      </c>
      <c r="V268" s="9">
        <f ca="1">IFERROR(__xludf.DUMMYFUNCTION("""COMPUTED_VALUE"""),54.16)</f>
        <v>54.16</v>
      </c>
      <c r="W268" s="12">
        <f ca="1">IFERROR(__xludf.DUMMYFUNCTION("""COMPUTED_VALUE"""),1.604)</f>
        <v>1.6040000000000001</v>
      </c>
    </row>
    <row r="269" spans="1:23" ht="13.2">
      <c r="A269" s="1" t="str">
        <f ca="1">IFERROR(__xludf.DUMMYFUNCTION("""COMPUTED_VALUE"""),"US-2017-168620")</f>
        <v>US-2017-168620</v>
      </c>
      <c r="B269" s="8">
        <f ca="1">IFERROR(__xludf.DUMMYFUNCTION("""COMPUTED_VALUE"""),43093)</f>
        <v>43093</v>
      </c>
      <c r="C269" s="1" t="str">
        <f ca="1">IFERROR(__xludf.DUMMYFUNCTION("""COMPUTED_VALUE"""),"Dec")</f>
        <v>Dec</v>
      </c>
      <c r="D269" s="1" t="str">
        <f ca="1">IFERROR(__xludf.DUMMYFUNCTION("""COMPUTED_VALUE"""),"Qtr 4")</f>
        <v>Qtr 4</v>
      </c>
      <c r="E269" s="1" t="str">
        <f ca="1">IFERROR(__xludf.DUMMYFUNCTION("""COMPUTED_VALUE"""),"28/12/2017")</f>
        <v>28/12/2017</v>
      </c>
      <c r="F269" s="1" t="str">
        <f ca="1">IFERROR(__xludf.DUMMYFUNCTION("""COMPUTED_VALUE"""),"Second Class")</f>
        <v>Second Class</v>
      </c>
      <c r="G269" s="1" t="str">
        <f ca="1">IFERROR(__xludf.DUMMYFUNCTION("""COMPUTED_VALUE"""),"RB-19795")</f>
        <v>RB-19795</v>
      </c>
      <c r="H269" s="1" t="str">
        <f ca="1">IFERROR(__xludf.DUMMYFUNCTION("""COMPUTED_VALUE"""),"Ross")</f>
        <v>Ross</v>
      </c>
      <c r="I269" s="1" t="str">
        <f ca="1">IFERROR(__xludf.DUMMYFUNCTION("""COMPUTED_VALUE"""),"Baird")</f>
        <v>Baird</v>
      </c>
      <c r="J269" s="1"/>
      <c r="K269" s="1" t="str">
        <f ca="1">IFERROR(__xludf.DUMMYFUNCTION("""COMPUTED_VALUE"""),"Home Office")</f>
        <v>Home Office</v>
      </c>
      <c r="L269" s="1" t="str">
        <f ca="1">IFERROR(__xludf.DUMMYFUNCTION("""COMPUTED_VALUE"""),"United States")</f>
        <v>United States</v>
      </c>
      <c r="M269" s="1" t="str">
        <f ca="1">IFERROR(__xludf.DUMMYFUNCTION("""COMPUTED_VALUE"""),"Charlotte")</f>
        <v>Charlotte</v>
      </c>
      <c r="N269" s="1" t="str">
        <f ca="1">IFERROR(__xludf.DUMMYFUNCTION("""COMPUTED_VALUE"""),"North Carolina")</f>
        <v>North Carolina</v>
      </c>
      <c r="O269" s="1">
        <f ca="1">IFERROR(__xludf.DUMMYFUNCTION("""COMPUTED_VALUE"""),28205)</f>
        <v>28205</v>
      </c>
      <c r="P269" s="1" t="str">
        <f ca="1">IFERROR(__xludf.DUMMYFUNCTION("""COMPUTED_VALUE"""),"South")</f>
        <v>South</v>
      </c>
      <c r="Q269" s="1" t="str">
        <f ca="1">IFERROR(__xludf.DUMMYFUNCTION("""COMPUTED_VALUE"""),"OFF-ST-10003716")</f>
        <v>OFF-ST-10003716</v>
      </c>
      <c r="R269" s="1" t="str">
        <f ca="1">IFERROR(__xludf.DUMMYFUNCTION("""COMPUTED_VALUE"""),"Office Supplies")</f>
        <v>Office Supplies</v>
      </c>
      <c r="S269" s="7">
        <f ca="1">IFERROR(__xludf.DUMMYFUNCTION("""COMPUTED_VALUE"""),540.048)</f>
        <v>540.048</v>
      </c>
      <c r="T269" s="1">
        <f ca="1">IFERROR(__xludf.DUMMYFUNCTION("""COMPUTED_VALUE"""),2)</f>
        <v>2</v>
      </c>
      <c r="U269" s="9">
        <f ca="1">IFERROR(__xludf.DUMMYFUNCTION("""COMPUTED_VALUE"""),1080.096)</f>
        <v>1080.096</v>
      </c>
      <c r="V269" s="9">
        <f ca="1">IFERROR(__xludf.DUMMYFUNCTION("""COMPUTED_VALUE"""),1078.92)</f>
        <v>1078.92</v>
      </c>
      <c r="W269" s="12">
        <f ca="1">IFERROR(__xludf.DUMMYFUNCTION("""COMPUTED_VALUE"""),1.17599999999993)</f>
        <v>1.17599999999993</v>
      </c>
    </row>
    <row r="270" spans="1:23" ht="13.2">
      <c r="A270" s="1" t="str">
        <f ca="1">IFERROR(__xludf.DUMMYFUNCTION("""COMPUTED_VALUE"""),"US-2017-168620")</f>
        <v>US-2017-168620</v>
      </c>
      <c r="B270" s="8">
        <f ca="1">IFERROR(__xludf.DUMMYFUNCTION("""COMPUTED_VALUE"""),43093)</f>
        <v>43093</v>
      </c>
      <c r="C270" s="1" t="str">
        <f ca="1">IFERROR(__xludf.DUMMYFUNCTION("""COMPUTED_VALUE"""),"Dec")</f>
        <v>Dec</v>
      </c>
      <c r="D270" s="1" t="str">
        <f ca="1">IFERROR(__xludf.DUMMYFUNCTION("""COMPUTED_VALUE"""),"Qtr 4")</f>
        <v>Qtr 4</v>
      </c>
      <c r="E270" s="1" t="str">
        <f ca="1">IFERROR(__xludf.DUMMYFUNCTION("""COMPUTED_VALUE"""),"28/12/2017")</f>
        <v>28/12/2017</v>
      </c>
      <c r="F270" s="1" t="str">
        <f ca="1">IFERROR(__xludf.DUMMYFUNCTION("""COMPUTED_VALUE"""),"Second Class")</f>
        <v>Second Class</v>
      </c>
      <c r="G270" s="1" t="str">
        <f ca="1">IFERROR(__xludf.DUMMYFUNCTION("""COMPUTED_VALUE"""),"RB-19795")</f>
        <v>RB-19795</v>
      </c>
      <c r="H270" s="1" t="str">
        <f ca="1">IFERROR(__xludf.DUMMYFUNCTION("""COMPUTED_VALUE"""),"Ross")</f>
        <v>Ross</v>
      </c>
      <c r="I270" s="1" t="str">
        <f ca="1">IFERROR(__xludf.DUMMYFUNCTION("""COMPUTED_VALUE"""),"Baird")</f>
        <v>Baird</v>
      </c>
      <c r="J270" s="1"/>
      <c r="K270" s="1" t="str">
        <f ca="1">IFERROR(__xludf.DUMMYFUNCTION("""COMPUTED_VALUE"""),"Home Office")</f>
        <v>Home Office</v>
      </c>
      <c r="L270" s="1" t="str">
        <f ca="1">IFERROR(__xludf.DUMMYFUNCTION("""COMPUTED_VALUE"""),"United States")</f>
        <v>United States</v>
      </c>
      <c r="M270" s="1" t="str">
        <f ca="1">IFERROR(__xludf.DUMMYFUNCTION("""COMPUTED_VALUE"""),"Charlotte")</f>
        <v>Charlotte</v>
      </c>
      <c r="N270" s="1" t="str">
        <f ca="1">IFERROR(__xludf.DUMMYFUNCTION("""COMPUTED_VALUE"""),"North Carolina")</f>
        <v>North Carolina</v>
      </c>
      <c r="O270" s="1">
        <f ca="1">IFERROR(__xludf.DUMMYFUNCTION("""COMPUTED_VALUE"""),28205)</f>
        <v>28205</v>
      </c>
      <c r="P270" s="1" t="str">
        <f ca="1">IFERROR(__xludf.DUMMYFUNCTION("""COMPUTED_VALUE"""),"South")</f>
        <v>South</v>
      </c>
      <c r="Q270" s="1" t="str">
        <f ca="1">IFERROR(__xludf.DUMMYFUNCTION("""COMPUTED_VALUE"""),"TEC-AC-10004469")</f>
        <v>TEC-AC-10004469</v>
      </c>
      <c r="R270" s="1" t="str">
        <f ca="1">IFERROR(__xludf.DUMMYFUNCTION("""COMPUTED_VALUE"""),"Technology")</f>
        <v>Technology</v>
      </c>
      <c r="S270" s="7">
        <f ca="1">IFERROR(__xludf.DUMMYFUNCTION("""COMPUTED_VALUE"""),255.68)</f>
        <v>255.68</v>
      </c>
      <c r="T270" s="1">
        <f ca="1">IFERROR(__xludf.DUMMYFUNCTION("""COMPUTED_VALUE"""),2)</f>
        <v>2</v>
      </c>
      <c r="U270" s="9">
        <f ca="1">IFERROR(__xludf.DUMMYFUNCTION("""COMPUTED_VALUE"""),511.36)</f>
        <v>511.36</v>
      </c>
      <c r="V270" s="9">
        <f ca="1">IFERROR(__xludf.DUMMYFUNCTION("""COMPUTED_VALUE"""),510.06)</f>
        <v>510.06</v>
      </c>
      <c r="W270" s="12">
        <f ca="1">IFERROR(__xludf.DUMMYFUNCTION("""COMPUTED_VALUE"""),1.30000000000001)</f>
        <v>1.30000000000001</v>
      </c>
    </row>
    <row r="271" spans="1:23" ht="13.2">
      <c r="A271" s="1" t="str">
        <f ca="1">IFERROR(__xludf.DUMMYFUNCTION("""COMPUTED_VALUE"""),"CA-2018-105053")</f>
        <v>CA-2018-105053</v>
      </c>
      <c r="B271" s="8">
        <f ca="1">IFERROR(__xludf.DUMMYFUNCTION("""COMPUTED_VALUE"""),43288)</f>
        <v>43288</v>
      </c>
      <c r="C271" s="1" t="str">
        <f ca="1">IFERROR(__xludf.DUMMYFUNCTION("""COMPUTED_VALUE"""),"Jul")</f>
        <v>Jul</v>
      </c>
      <c r="D271" s="1" t="str">
        <f ca="1">IFERROR(__xludf.DUMMYFUNCTION("""COMPUTED_VALUE"""),"Qtr 3")</f>
        <v>Qtr 3</v>
      </c>
      <c r="E271" s="1" t="str">
        <f ca="1">IFERROR(__xludf.DUMMYFUNCTION("""COMPUTED_VALUE"""),"9/7/2018")</f>
        <v>9/7/2018</v>
      </c>
      <c r="F271" s="1" t="str">
        <f ca="1">IFERROR(__xludf.DUMMYFUNCTION("""COMPUTED_VALUE"""),"Second Class")</f>
        <v>Second Class</v>
      </c>
      <c r="G271" s="1" t="str">
        <f ca="1">IFERROR(__xludf.DUMMYFUNCTION("""COMPUTED_VALUE"""),"CS-12355")</f>
        <v>CS-12355</v>
      </c>
      <c r="H271" s="1" t="str">
        <f ca="1">IFERROR(__xludf.DUMMYFUNCTION("""COMPUTED_VALUE"""),"Christine")</f>
        <v>Christine</v>
      </c>
      <c r="I271" s="1" t="str">
        <f ca="1">IFERROR(__xludf.DUMMYFUNCTION("""COMPUTED_VALUE"""),"Sundaresam")</f>
        <v>Sundaresam</v>
      </c>
      <c r="J271" s="1"/>
      <c r="K271" s="1" t="str">
        <f ca="1">IFERROR(__xludf.DUMMYFUNCTION("""COMPUTED_VALUE"""),"Consumer")</f>
        <v>Consumer</v>
      </c>
      <c r="L271" s="1" t="str">
        <f ca="1">IFERROR(__xludf.DUMMYFUNCTION("""COMPUTED_VALUE"""),"United States")</f>
        <v>United States</v>
      </c>
      <c r="M271" s="1" t="str">
        <f ca="1">IFERROR(__xludf.DUMMYFUNCTION("""COMPUTED_VALUE"""),"Long Beach")</f>
        <v>Long Beach</v>
      </c>
      <c r="N271" s="1" t="str">
        <f ca="1">IFERROR(__xludf.DUMMYFUNCTION("""COMPUTED_VALUE"""),"New York")</f>
        <v>New York</v>
      </c>
      <c r="O271" s="1">
        <f ca="1">IFERROR(__xludf.DUMMYFUNCTION("""COMPUTED_VALUE"""),11561)</f>
        <v>11561</v>
      </c>
      <c r="P271" s="1" t="str">
        <f ca="1">IFERROR(__xludf.DUMMYFUNCTION("""COMPUTED_VALUE"""),"East")</f>
        <v>East</v>
      </c>
      <c r="Q271" s="1" t="str">
        <f ca="1">IFERROR(__xludf.DUMMYFUNCTION("""COMPUTED_VALUE"""),"OFF-BI-10001634")</f>
        <v>OFF-BI-10001634</v>
      </c>
      <c r="R271" s="1" t="str">
        <f ca="1">IFERROR(__xludf.DUMMYFUNCTION("""COMPUTED_VALUE"""),"Office Supplies")</f>
        <v>Office Supplies</v>
      </c>
      <c r="S271" s="7">
        <f ca="1">IFERROR(__xludf.DUMMYFUNCTION("""COMPUTED_VALUE"""),17.472)</f>
        <v>17.472000000000001</v>
      </c>
      <c r="T271" s="1">
        <f ca="1">IFERROR(__xludf.DUMMYFUNCTION("""COMPUTED_VALUE"""),1)</f>
        <v>1</v>
      </c>
      <c r="U271" s="9">
        <f ca="1">IFERROR(__xludf.DUMMYFUNCTION("""COMPUTED_VALUE"""),17.472)</f>
        <v>17.472000000000001</v>
      </c>
      <c r="V271" s="9">
        <f ca="1">IFERROR(__xludf.DUMMYFUNCTION("""COMPUTED_VALUE"""),17.28)</f>
        <v>17.28</v>
      </c>
      <c r="W271" s="12">
        <f ca="1">IFERROR(__xludf.DUMMYFUNCTION("""COMPUTED_VALUE"""),0.192)</f>
        <v>0.192</v>
      </c>
    </row>
    <row r="272" spans="1:23" ht="13.2">
      <c r="A272" s="1" t="str">
        <f ca="1">IFERROR(__xludf.DUMMYFUNCTION("""COMPUTED_VALUE"""),"CA-2017-134425")</f>
        <v>CA-2017-134425</v>
      </c>
      <c r="B272" s="8">
        <f ca="1">IFERROR(__xludf.DUMMYFUNCTION("""COMPUTED_VALUE"""),42959)</f>
        <v>42959</v>
      </c>
      <c r="C272" s="1" t="str">
        <f ca="1">IFERROR(__xludf.DUMMYFUNCTION("""COMPUTED_VALUE"""),"Aug")</f>
        <v>Aug</v>
      </c>
      <c r="D272" s="1" t="str">
        <f ca="1">IFERROR(__xludf.DUMMYFUNCTION("""COMPUTED_VALUE"""),"Qtr 3")</f>
        <v>Qtr 3</v>
      </c>
      <c r="E272" s="1" t="str">
        <f ca="1">IFERROR(__xludf.DUMMYFUNCTION("""COMPUTED_VALUE"""),"12/12/2017")</f>
        <v>12/12/2017</v>
      </c>
      <c r="F272" s="1" t="str">
        <f ca="1">IFERROR(__xludf.DUMMYFUNCTION("""COMPUTED_VALUE"""),"Second Class")</f>
        <v>Second Class</v>
      </c>
      <c r="G272" s="1" t="str">
        <f ca="1">IFERROR(__xludf.DUMMYFUNCTION("""COMPUTED_VALUE"""),"QJ-19255")</f>
        <v>QJ-19255</v>
      </c>
      <c r="H272" s="1" t="str">
        <f ca="1">IFERROR(__xludf.DUMMYFUNCTION("""COMPUTED_VALUE"""),"Quincy")</f>
        <v>Quincy</v>
      </c>
      <c r="I272" s="1" t="str">
        <f ca="1">IFERROR(__xludf.DUMMYFUNCTION("""COMPUTED_VALUE"""),"Jones")</f>
        <v>Jones</v>
      </c>
      <c r="J272" s="1"/>
      <c r="K272" s="1" t="str">
        <f ca="1">IFERROR(__xludf.DUMMYFUNCTION("""COMPUTED_VALUE"""),"Corporate")</f>
        <v>Corporate</v>
      </c>
      <c r="L272" s="1" t="str">
        <f ca="1">IFERROR(__xludf.DUMMYFUNCTION("""COMPUTED_VALUE"""),"United States")</f>
        <v>United States</v>
      </c>
      <c r="M272" s="1" t="str">
        <f ca="1">IFERROR(__xludf.DUMMYFUNCTION("""COMPUTED_VALUE"""),"Saint Paul")</f>
        <v>Saint Paul</v>
      </c>
      <c r="N272" s="1" t="str">
        <f ca="1">IFERROR(__xludf.DUMMYFUNCTION("""COMPUTED_VALUE"""),"Minnesota")</f>
        <v>Minnesota</v>
      </c>
      <c r="O272" s="1">
        <f ca="1">IFERROR(__xludf.DUMMYFUNCTION("""COMPUTED_VALUE"""),55106)</f>
        <v>55106</v>
      </c>
      <c r="P272" s="1" t="str">
        <f ca="1">IFERROR(__xludf.DUMMYFUNCTION("""COMPUTED_VALUE"""),"Central")</f>
        <v>Central</v>
      </c>
      <c r="Q272" s="1" t="str">
        <f ca="1">IFERROR(__xludf.DUMMYFUNCTION("""COMPUTED_VALUE"""),"TEC-PH-10003555")</f>
        <v>TEC-PH-10003555</v>
      </c>
      <c r="R272" s="1" t="str">
        <f ca="1">IFERROR(__xludf.DUMMYFUNCTION("""COMPUTED_VALUE"""),"Technology")</f>
        <v>Technology</v>
      </c>
      <c r="S272" s="7">
        <f ca="1">IFERROR(__xludf.DUMMYFUNCTION("""COMPUTED_VALUE"""),114.95)</f>
        <v>114.95</v>
      </c>
      <c r="T272" s="1">
        <f ca="1">IFERROR(__xludf.DUMMYFUNCTION("""COMPUTED_VALUE"""),5)</f>
        <v>5</v>
      </c>
      <c r="U272" s="9">
        <f ca="1">IFERROR(__xludf.DUMMYFUNCTION("""COMPUTED_VALUE"""),574.75)</f>
        <v>574.75</v>
      </c>
      <c r="V272" s="9">
        <f ca="1">IFERROR(__xludf.DUMMYFUNCTION("""COMPUTED_VALUE"""),569.85)</f>
        <v>569.85</v>
      </c>
      <c r="W272" s="12">
        <f ca="1">IFERROR(__xludf.DUMMYFUNCTION("""COMPUTED_VALUE"""),4.89999999999997)</f>
        <v>4.8999999999999702</v>
      </c>
    </row>
    <row r="273" spans="1:23" ht="13.2">
      <c r="A273" s="1" t="str">
        <f ca="1">IFERROR(__xludf.DUMMYFUNCTION("""COMPUTED_VALUE"""),"CA-2017-137043")</f>
        <v>CA-2017-137043</v>
      </c>
      <c r="B273" s="8">
        <f ca="1">IFERROR(__xludf.DUMMYFUNCTION("""COMPUTED_VALUE"""),43092)</f>
        <v>43092</v>
      </c>
      <c r="C273" s="1" t="str">
        <f ca="1">IFERROR(__xludf.DUMMYFUNCTION("""COMPUTED_VALUE"""),"Dec")</f>
        <v>Dec</v>
      </c>
      <c r="D273" s="1" t="str">
        <f ca="1">IFERROR(__xludf.DUMMYFUNCTION("""COMPUTED_VALUE"""),"Qtr 4")</f>
        <v>Qtr 4</v>
      </c>
      <c r="E273" s="1" t="str">
        <f ca="1">IFERROR(__xludf.DUMMYFUNCTION("""COMPUTED_VALUE"""),"25/12/2017")</f>
        <v>25/12/2017</v>
      </c>
      <c r="F273" s="1" t="str">
        <f ca="1">IFERROR(__xludf.DUMMYFUNCTION("""COMPUTED_VALUE"""),"Second Class")</f>
        <v>Second Class</v>
      </c>
      <c r="G273" s="1" t="str">
        <f ca="1">IFERROR(__xludf.DUMMYFUNCTION("""COMPUTED_VALUE"""),"LC-17140")</f>
        <v>LC-17140</v>
      </c>
      <c r="H273" s="1" t="str">
        <f ca="1">IFERROR(__xludf.DUMMYFUNCTION("""COMPUTED_VALUE"""),"Logan")</f>
        <v>Logan</v>
      </c>
      <c r="I273" s="1" t="str">
        <f ca="1">IFERROR(__xludf.DUMMYFUNCTION("""COMPUTED_VALUE"""),"Currie")</f>
        <v>Currie</v>
      </c>
      <c r="J273" s="1"/>
      <c r="K273" s="1" t="str">
        <f ca="1">IFERROR(__xludf.DUMMYFUNCTION("""COMPUTED_VALUE"""),"Consumer")</f>
        <v>Consumer</v>
      </c>
      <c r="L273" s="1" t="str">
        <f ca="1">IFERROR(__xludf.DUMMYFUNCTION("""COMPUTED_VALUE"""),"United States")</f>
        <v>United States</v>
      </c>
      <c r="M273" s="1" t="str">
        <f ca="1">IFERROR(__xludf.DUMMYFUNCTION("""COMPUTED_VALUE"""),"Springfield")</f>
        <v>Springfield</v>
      </c>
      <c r="N273" s="1" t="str">
        <f ca="1">IFERROR(__xludf.DUMMYFUNCTION("""COMPUTED_VALUE"""),"Virginia")</f>
        <v>Virginia</v>
      </c>
      <c r="O273" s="1">
        <f ca="1">IFERROR(__xludf.DUMMYFUNCTION("""COMPUTED_VALUE"""),22153)</f>
        <v>22153</v>
      </c>
      <c r="P273" s="1" t="str">
        <f ca="1">IFERROR(__xludf.DUMMYFUNCTION("""COMPUTED_VALUE"""),"South")</f>
        <v>South</v>
      </c>
      <c r="Q273" s="1" t="str">
        <f ca="1">IFERROR(__xludf.DUMMYFUNCTION("""COMPUTED_VALUE"""),"FUR-FU-10003664")</f>
        <v>FUR-FU-10003664</v>
      </c>
      <c r="R273" s="1" t="str">
        <f ca="1">IFERROR(__xludf.DUMMYFUNCTION("""COMPUTED_VALUE"""),"Furniture")</f>
        <v>Furniture</v>
      </c>
      <c r="S273" s="7">
        <f ca="1">IFERROR(__xludf.DUMMYFUNCTION("""COMPUTED_VALUE"""),572.76)</f>
        <v>572.76</v>
      </c>
      <c r="T273" s="1">
        <f ca="1">IFERROR(__xludf.DUMMYFUNCTION("""COMPUTED_VALUE"""),2)</f>
        <v>2</v>
      </c>
      <c r="U273" s="9">
        <f ca="1">IFERROR(__xludf.DUMMYFUNCTION("""COMPUTED_VALUE"""),1145.52)</f>
        <v>1145.52</v>
      </c>
      <c r="V273" s="9">
        <f ca="1">IFERROR(__xludf.DUMMYFUNCTION("""COMPUTED_VALUE"""),1144.46)</f>
        <v>1144.46</v>
      </c>
      <c r="W273" s="12">
        <f ca="1">IFERROR(__xludf.DUMMYFUNCTION("""COMPUTED_VALUE"""),1.05999999999994)</f>
        <v>1.0599999999999401</v>
      </c>
    </row>
    <row r="274" spans="1:23" ht="13.2">
      <c r="A274" s="1" t="str">
        <f ca="1">IFERROR(__xludf.DUMMYFUNCTION("""COMPUTED_VALUE"""),"CA-2017-137043")</f>
        <v>CA-2017-137043</v>
      </c>
      <c r="B274" s="8">
        <f ca="1">IFERROR(__xludf.DUMMYFUNCTION("""COMPUTED_VALUE"""),43092)</f>
        <v>43092</v>
      </c>
      <c r="C274" s="1" t="str">
        <f ca="1">IFERROR(__xludf.DUMMYFUNCTION("""COMPUTED_VALUE"""),"Dec")</f>
        <v>Dec</v>
      </c>
      <c r="D274" s="1" t="str">
        <f ca="1">IFERROR(__xludf.DUMMYFUNCTION("""COMPUTED_VALUE"""),"Qtr 4")</f>
        <v>Qtr 4</v>
      </c>
      <c r="E274" s="1" t="str">
        <f ca="1">IFERROR(__xludf.DUMMYFUNCTION("""COMPUTED_VALUE"""),"25/12/2017")</f>
        <v>25/12/2017</v>
      </c>
      <c r="F274" s="1" t="str">
        <f ca="1">IFERROR(__xludf.DUMMYFUNCTION("""COMPUTED_VALUE"""),"Second Class")</f>
        <v>Second Class</v>
      </c>
      <c r="G274" s="1" t="str">
        <f ca="1">IFERROR(__xludf.DUMMYFUNCTION("""COMPUTED_VALUE"""),"LC-17140")</f>
        <v>LC-17140</v>
      </c>
      <c r="H274" s="1" t="str">
        <f ca="1">IFERROR(__xludf.DUMMYFUNCTION("""COMPUTED_VALUE"""),"Logan")</f>
        <v>Logan</v>
      </c>
      <c r="I274" s="1" t="str">
        <f ca="1">IFERROR(__xludf.DUMMYFUNCTION("""COMPUTED_VALUE"""),"Currie")</f>
        <v>Currie</v>
      </c>
      <c r="J274" s="1"/>
      <c r="K274" s="1" t="str">
        <f ca="1">IFERROR(__xludf.DUMMYFUNCTION("""COMPUTED_VALUE"""),"Consumer")</f>
        <v>Consumer</v>
      </c>
      <c r="L274" s="1" t="str">
        <f ca="1">IFERROR(__xludf.DUMMYFUNCTION("""COMPUTED_VALUE"""),"United States")</f>
        <v>United States</v>
      </c>
      <c r="M274" s="1" t="str">
        <f ca="1">IFERROR(__xludf.DUMMYFUNCTION("""COMPUTED_VALUE"""),"Springfield")</f>
        <v>Springfield</v>
      </c>
      <c r="N274" s="1" t="str">
        <f ca="1">IFERROR(__xludf.DUMMYFUNCTION("""COMPUTED_VALUE"""),"Virginia")</f>
        <v>Virginia</v>
      </c>
      <c r="O274" s="1">
        <f ca="1">IFERROR(__xludf.DUMMYFUNCTION("""COMPUTED_VALUE"""),22153)</f>
        <v>22153</v>
      </c>
      <c r="P274" s="1" t="str">
        <f ca="1">IFERROR(__xludf.DUMMYFUNCTION("""COMPUTED_VALUE"""),"South")</f>
        <v>South</v>
      </c>
      <c r="Q274" s="1" t="str">
        <f ca="1">IFERROR(__xludf.DUMMYFUNCTION("""COMPUTED_VALUE"""),"FUR-FU-10003664")</f>
        <v>FUR-FU-10003664</v>
      </c>
      <c r="R274" s="1" t="str">
        <f ca="1">IFERROR(__xludf.DUMMYFUNCTION("""COMPUTED_VALUE"""),"Furniture")</f>
        <v>Furniture</v>
      </c>
      <c r="S274" s="7">
        <f ca="1">IFERROR(__xludf.DUMMYFUNCTION("""COMPUTED_VALUE"""),286.38)</f>
        <v>286.38</v>
      </c>
      <c r="T274" s="1">
        <f ca="1">IFERROR(__xludf.DUMMYFUNCTION("""COMPUTED_VALUE"""),2)</f>
        <v>2</v>
      </c>
      <c r="U274" s="9">
        <f ca="1">IFERROR(__xludf.DUMMYFUNCTION("""COMPUTED_VALUE"""),572.76)</f>
        <v>572.76</v>
      </c>
      <c r="V274" s="9">
        <f ca="1">IFERROR(__xludf.DUMMYFUNCTION("""COMPUTED_VALUE"""),571.12)</f>
        <v>571.12</v>
      </c>
      <c r="W274" s="12">
        <f ca="1">IFERROR(__xludf.DUMMYFUNCTION("""COMPUTED_VALUE"""),1.63999999999998)</f>
        <v>1.6399999999999799</v>
      </c>
    </row>
    <row r="275" spans="1:23" ht="13.2">
      <c r="A275" s="1" t="str">
        <f ca="1">IFERROR(__xludf.DUMMYFUNCTION("""COMPUTED_VALUE"""),"CA-2016-115847")</f>
        <v>CA-2016-115847</v>
      </c>
      <c r="B275" s="8">
        <f ca="1">IFERROR(__xludf.DUMMYFUNCTION("""COMPUTED_VALUE"""),42632)</f>
        <v>42632</v>
      </c>
      <c r="C275" s="1" t="str">
        <f ca="1">IFERROR(__xludf.DUMMYFUNCTION("""COMPUTED_VALUE"""),"Sep")</f>
        <v>Sep</v>
      </c>
      <c r="D275" s="1" t="str">
        <f ca="1">IFERROR(__xludf.DUMMYFUNCTION("""COMPUTED_VALUE"""),"Qtr 3")</f>
        <v>Qtr 3</v>
      </c>
      <c r="E275" s="1" t="str">
        <f ca="1">IFERROR(__xludf.DUMMYFUNCTION("""COMPUTED_VALUE"""),"24/09/2016")</f>
        <v>24/09/2016</v>
      </c>
      <c r="F275" s="1" t="str">
        <f ca="1">IFERROR(__xludf.DUMMYFUNCTION("""COMPUTED_VALUE"""),"Second Class")</f>
        <v>Second Class</v>
      </c>
      <c r="G275" s="1" t="str">
        <f ca="1">IFERROR(__xludf.DUMMYFUNCTION("""COMPUTED_VALUE"""),"TC-21535")</f>
        <v>TC-21535</v>
      </c>
      <c r="H275" s="1" t="str">
        <f ca="1">IFERROR(__xludf.DUMMYFUNCTION("""COMPUTED_VALUE"""),"Tracy")</f>
        <v>Tracy</v>
      </c>
      <c r="I275" s="1" t="str">
        <f ca="1">IFERROR(__xludf.DUMMYFUNCTION("""COMPUTED_VALUE"""),"Collins")</f>
        <v>Collins</v>
      </c>
      <c r="J275" s="1"/>
      <c r="K275" s="1" t="str">
        <f ca="1">IFERROR(__xludf.DUMMYFUNCTION("""COMPUTED_VALUE"""),"Home Office")</f>
        <v>Home Office</v>
      </c>
      <c r="L275" s="1" t="str">
        <f ca="1">IFERROR(__xludf.DUMMYFUNCTION("""COMPUTED_VALUE"""),"United States")</f>
        <v>United States</v>
      </c>
      <c r="M275" s="1" t="str">
        <f ca="1">IFERROR(__xludf.DUMMYFUNCTION("""COMPUTED_VALUE"""),"Arlington")</f>
        <v>Arlington</v>
      </c>
      <c r="N275" s="1" t="str">
        <f ca="1">IFERROR(__xludf.DUMMYFUNCTION("""COMPUTED_VALUE"""),"Virginia")</f>
        <v>Virginia</v>
      </c>
      <c r="O275" s="1">
        <f ca="1">IFERROR(__xludf.DUMMYFUNCTION("""COMPUTED_VALUE"""),22204)</f>
        <v>22204</v>
      </c>
      <c r="P275" s="1" t="str">
        <f ca="1">IFERROR(__xludf.DUMMYFUNCTION("""COMPUTED_VALUE"""),"South")</f>
        <v>South</v>
      </c>
      <c r="Q275" s="1" t="str">
        <f ca="1">IFERROR(__xludf.DUMMYFUNCTION("""COMPUTED_VALUE"""),"FUR-BO-10003433")</f>
        <v>FUR-BO-10003433</v>
      </c>
      <c r="R275" s="1" t="str">
        <f ca="1">IFERROR(__xludf.DUMMYFUNCTION("""COMPUTED_VALUE"""),"Furniture")</f>
        <v>Furniture</v>
      </c>
      <c r="S275" s="7">
        <f ca="1">IFERROR(__xludf.DUMMYFUNCTION("""COMPUTED_VALUE"""),61.96)</f>
        <v>61.96</v>
      </c>
      <c r="T275" s="1">
        <f ca="1">IFERROR(__xludf.DUMMYFUNCTION("""COMPUTED_VALUE"""),2)</f>
        <v>2</v>
      </c>
      <c r="U275" s="9">
        <f ca="1">IFERROR(__xludf.DUMMYFUNCTION("""COMPUTED_VALUE"""),123.92)</f>
        <v>123.92</v>
      </c>
      <c r="V275" s="9">
        <f ca="1">IFERROR(__xludf.DUMMYFUNCTION("""COMPUTED_VALUE"""),123.32)</f>
        <v>123.32</v>
      </c>
      <c r="W275" s="12">
        <f ca="1">IFERROR(__xludf.DUMMYFUNCTION("""COMPUTED_VALUE"""),0.600000000000008)</f>
        <v>0.60000000000000797</v>
      </c>
    </row>
    <row r="276" spans="1:23" ht="13.2">
      <c r="A276" s="1" t="str">
        <f ca="1">IFERROR(__xludf.DUMMYFUNCTION("""COMPUTED_VALUE"""),"CA-2017-101966")</f>
        <v>CA-2017-101966</v>
      </c>
      <c r="B276" s="8">
        <f ca="1">IFERROR(__xludf.DUMMYFUNCTION("""COMPUTED_VALUE"""),42930)</f>
        <v>42930</v>
      </c>
      <c r="C276" s="1" t="str">
        <f ca="1">IFERROR(__xludf.DUMMYFUNCTION("""COMPUTED_VALUE"""),"Jul")</f>
        <v>Jul</v>
      </c>
      <c r="D276" s="1" t="str">
        <f ca="1">IFERROR(__xludf.DUMMYFUNCTION("""COMPUTED_VALUE"""),"Qtr 3")</f>
        <v>Qtr 3</v>
      </c>
      <c r="E276" s="1" t="str">
        <f ca="1">IFERROR(__xludf.DUMMYFUNCTION("""COMPUTED_VALUE"""),"16/07/2017")</f>
        <v>16/07/2017</v>
      </c>
      <c r="F276" s="1" t="str">
        <f ca="1">IFERROR(__xludf.DUMMYFUNCTION("""COMPUTED_VALUE"""),"Second Class")</f>
        <v>Second Class</v>
      </c>
      <c r="G276" s="1" t="str">
        <f ca="1">IFERROR(__xludf.DUMMYFUNCTION("""COMPUTED_VALUE"""),"BM-11785")</f>
        <v>BM-11785</v>
      </c>
      <c r="H276" s="1" t="str">
        <f ca="1">IFERROR(__xludf.DUMMYFUNCTION("""COMPUTED_VALUE"""),"Bryan")</f>
        <v>Bryan</v>
      </c>
      <c r="I276" s="1" t="str">
        <f ca="1">IFERROR(__xludf.DUMMYFUNCTION("""COMPUTED_VALUE"""),"Mills")</f>
        <v>Mills</v>
      </c>
      <c r="J276" s="1"/>
      <c r="K276" s="1" t="str">
        <f ca="1">IFERROR(__xludf.DUMMYFUNCTION("""COMPUTED_VALUE"""),"Consumer")</f>
        <v>Consumer</v>
      </c>
      <c r="L276" s="1" t="str">
        <f ca="1">IFERROR(__xludf.DUMMYFUNCTION("""COMPUTED_VALUE"""),"United States")</f>
        <v>United States</v>
      </c>
      <c r="M276" s="1" t="str">
        <f ca="1">IFERROR(__xludf.DUMMYFUNCTION("""COMPUTED_VALUE"""),"Houston")</f>
        <v>Houston</v>
      </c>
      <c r="N276" s="1" t="str">
        <f ca="1">IFERROR(__xludf.DUMMYFUNCTION("""COMPUTED_VALUE"""),"Texas")</f>
        <v>Texas</v>
      </c>
      <c r="O276" s="1">
        <f ca="1">IFERROR(__xludf.DUMMYFUNCTION("""COMPUTED_VALUE"""),77036)</f>
        <v>77036</v>
      </c>
      <c r="P276" s="1" t="str">
        <f ca="1">IFERROR(__xludf.DUMMYFUNCTION("""COMPUTED_VALUE"""),"Central")</f>
        <v>Central</v>
      </c>
      <c r="Q276" s="1" t="str">
        <f ca="1">IFERROR(__xludf.DUMMYFUNCTION("""COMPUTED_VALUE"""),"TEC-PH-10003437")</f>
        <v>TEC-PH-10003437</v>
      </c>
      <c r="R276" s="1" t="str">
        <f ca="1">IFERROR(__xludf.DUMMYFUNCTION("""COMPUTED_VALUE"""),"Technology")</f>
        <v>Technology</v>
      </c>
      <c r="S276" s="7">
        <f ca="1">IFERROR(__xludf.DUMMYFUNCTION("""COMPUTED_VALUE"""),419.944)</f>
        <v>419.94400000000002</v>
      </c>
      <c r="T276" s="1">
        <f ca="1">IFERROR(__xludf.DUMMYFUNCTION("""COMPUTED_VALUE"""),7)</f>
        <v>7</v>
      </c>
      <c r="U276" s="9">
        <f ca="1">IFERROR(__xludf.DUMMYFUNCTION("""COMPUTED_VALUE"""),2939.608)</f>
        <v>2939.6080000000002</v>
      </c>
      <c r="V276" s="9">
        <f ca="1">IFERROR(__xludf.DUMMYFUNCTION("""COMPUTED_VALUE"""),2938.04)</f>
        <v>2938.04</v>
      </c>
      <c r="W276" s="12">
        <f ca="1">IFERROR(__xludf.DUMMYFUNCTION("""COMPUTED_VALUE"""),1.56800000000021)</f>
        <v>1.5680000000002099</v>
      </c>
    </row>
    <row r="277" spans="1:23" ht="13.2">
      <c r="A277" s="1" t="str">
        <f ca="1">IFERROR(__xludf.DUMMYFUNCTION("""COMPUTED_VALUE"""),"CA-2018-106033")</f>
        <v>CA-2018-106033</v>
      </c>
      <c r="B277" s="8">
        <f ca="1">IFERROR(__xludf.DUMMYFUNCTION("""COMPUTED_VALUE"""),43388)</f>
        <v>43388</v>
      </c>
      <c r="C277" s="1" t="str">
        <f ca="1">IFERROR(__xludf.DUMMYFUNCTION("""COMPUTED_VALUE"""),"Oct")</f>
        <v>Oct</v>
      </c>
      <c r="D277" s="1" t="str">
        <f ca="1">IFERROR(__xludf.DUMMYFUNCTION("""COMPUTED_VALUE"""),"Qtr 4")</f>
        <v>Qtr 4</v>
      </c>
      <c r="E277" s="1" t="str">
        <f ca="1">IFERROR(__xludf.DUMMYFUNCTION("""COMPUTED_VALUE"""),"18/10/2018")</f>
        <v>18/10/2018</v>
      </c>
      <c r="F277" s="1" t="str">
        <f ca="1">IFERROR(__xludf.DUMMYFUNCTION("""COMPUTED_VALUE"""),"Second Class")</f>
        <v>Second Class</v>
      </c>
      <c r="G277" s="1" t="str">
        <f ca="1">IFERROR(__xludf.DUMMYFUNCTION("""COMPUTED_VALUE"""),"FG-14260")</f>
        <v>FG-14260</v>
      </c>
      <c r="H277" s="1" t="str">
        <f ca="1">IFERROR(__xludf.DUMMYFUNCTION("""COMPUTED_VALUE"""),"Frank")</f>
        <v>Frank</v>
      </c>
      <c r="I277" s="1" t="str">
        <f ca="1">IFERROR(__xludf.DUMMYFUNCTION("""COMPUTED_VALUE"""),"Gastineau")</f>
        <v>Gastineau</v>
      </c>
      <c r="J277" s="1"/>
      <c r="K277" s="1" t="str">
        <f ca="1">IFERROR(__xludf.DUMMYFUNCTION("""COMPUTED_VALUE"""),"Home Office")</f>
        <v>Home Office</v>
      </c>
      <c r="L277" s="1" t="str">
        <f ca="1">IFERROR(__xludf.DUMMYFUNCTION("""COMPUTED_VALUE"""),"United States")</f>
        <v>United States</v>
      </c>
      <c r="M277" s="1" t="str">
        <f ca="1">IFERROR(__xludf.DUMMYFUNCTION("""COMPUTED_VALUE"""),"San Francisco")</f>
        <v>San Francisco</v>
      </c>
      <c r="N277" s="1" t="str">
        <f ca="1">IFERROR(__xludf.DUMMYFUNCTION("""COMPUTED_VALUE"""),"California")</f>
        <v>California</v>
      </c>
      <c r="O277" s="1">
        <f ca="1">IFERROR(__xludf.DUMMYFUNCTION("""COMPUTED_VALUE"""),94110)</f>
        <v>94110</v>
      </c>
      <c r="P277" s="1" t="str">
        <f ca="1">IFERROR(__xludf.DUMMYFUNCTION("""COMPUTED_VALUE"""),"West")</f>
        <v>West</v>
      </c>
      <c r="Q277" s="1" t="str">
        <f ca="1">IFERROR(__xludf.DUMMYFUNCTION("""COMPUTED_VALUE"""),"OFF-AR-10002818")</f>
        <v>OFF-AR-10002818</v>
      </c>
      <c r="R277" s="1" t="str">
        <f ca="1">IFERROR(__xludf.DUMMYFUNCTION("""COMPUTED_VALUE"""),"Office Supplies")</f>
        <v>Office Supplies</v>
      </c>
      <c r="S277" s="7">
        <f ca="1">IFERROR(__xludf.DUMMYFUNCTION("""COMPUTED_VALUE"""),87.92)</f>
        <v>87.92</v>
      </c>
      <c r="T277" s="1">
        <f ca="1">IFERROR(__xludf.DUMMYFUNCTION("""COMPUTED_VALUE"""),9)</f>
        <v>9</v>
      </c>
      <c r="U277" s="9">
        <f ca="1">IFERROR(__xludf.DUMMYFUNCTION("""COMPUTED_VALUE"""),791.28)</f>
        <v>791.28</v>
      </c>
      <c r="V277" s="9">
        <f ca="1">IFERROR(__xludf.DUMMYFUNCTION("""COMPUTED_VALUE"""),791.1)</f>
        <v>791.1</v>
      </c>
      <c r="W277" s="12">
        <f ca="1">IFERROR(__xludf.DUMMYFUNCTION("""COMPUTED_VALUE"""),0.179999999999949)</f>
        <v>0.17999999999994901</v>
      </c>
    </row>
    <row r="278" spans="1:23" ht="13.2">
      <c r="A278" s="1" t="str">
        <f ca="1">IFERROR(__xludf.DUMMYFUNCTION("""COMPUTED_VALUE"""),"CA-2018-100524")</f>
        <v>CA-2018-100524</v>
      </c>
      <c r="B278" s="8">
        <f ca="1">IFERROR(__xludf.DUMMYFUNCTION("""COMPUTED_VALUE"""),43190)</f>
        <v>43190</v>
      </c>
      <c r="C278" s="1" t="str">
        <f ca="1">IFERROR(__xludf.DUMMYFUNCTION("""COMPUTED_VALUE"""),"Mar")</f>
        <v>Mar</v>
      </c>
      <c r="D278" s="1" t="str">
        <f ca="1">IFERROR(__xludf.DUMMYFUNCTION("""COMPUTED_VALUE"""),"Qtr 1")</f>
        <v>Qtr 1</v>
      </c>
      <c r="E278" s="1" t="str">
        <f ca="1">IFERROR(__xludf.DUMMYFUNCTION("""COMPUTED_VALUE"""),"2/4/2018")</f>
        <v>2/4/2018</v>
      </c>
      <c r="F278" s="1" t="str">
        <f ca="1">IFERROR(__xludf.DUMMYFUNCTION("""COMPUTED_VALUE"""),"Second Class")</f>
        <v>Second Class</v>
      </c>
      <c r="G278" s="1" t="str">
        <f ca="1">IFERROR(__xludf.DUMMYFUNCTION("""COMPUTED_VALUE"""),"CM-12115")</f>
        <v>CM-12115</v>
      </c>
      <c r="H278" s="1" t="str">
        <f ca="1">IFERROR(__xludf.DUMMYFUNCTION("""COMPUTED_VALUE"""),"Chad")</f>
        <v>Chad</v>
      </c>
      <c r="I278" s="1" t="str">
        <f ca="1">IFERROR(__xludf.DUMMYFUNCTION("""COMPUTED_VALUE"""),"McGuire")</f>
        <v>McGuire</v>
      </c>
      <c r="J278" s="1"/>
      <c r="K278" s="1" t="str">
        <f ca="1">IFERROR(__xludf.DUMMYFUNCTION("""COMPUTED_VALUE"""),"Consumer")</f>
        <v>Consumer</v>
      </c>
      <c r="L278" s="1" t="str">
        <f ca="1">IFERROR(__xludf.DUMMYFUNCTION("""COMPUTED_VALUE"""),"United States")</f>
        <v>United States</v>
      </c>
      <c r="M278" s="1" t="str">
        <f ca="1">IFERROR(__xludf.DUMMYFUNCTION("""COMPUTED_VALUE"""),"New York City")</f>
        <v>New York City</v>
      </c>
      <c r="N278" s="1" t="str">
        <f ca="1">IFERROR(__xludf.DUMMYFUNCTION("""COMPUTED_VALUE"""),"New York")</f>
        <v>New York</v>
      </c>
      <c r="O278" s="1">
        <f ca="1">IFERROR(__xludf.DUMMYFUNCTION("""COMPUTED_VALUE"""),10011)</f>
        <v>10011</v>
      </c>
      <c r="P278" s="1" t="str">
        <f ca="1">IFERROR(__xludf.DUMMYFUNCTION("""COMPUTED_VALUE"""),"East")</f>
        <v>East</v>
      </c>
      <c r="Q278" s="1" t="str">
        <f ca="1">IFERROR(__xludf.DUMMYFUNCTION("""COMPUTED_VALUE"""),"FUR-FU-10004018")</f>
        <v>FUR-FU-10004018</v>
      </c>
      <c r="R278" s="1" t="str">
        <f ca="1">IFERROR(__xludf.DUMMYFUNCTION("""COMPUTED_VALUE"""),"Furniture")</f>
        <v>Furniture</v>
      </c>
      <c r="S278" s="7">
        <f ca="1">IFERROR(__xludf.DUMMYFUNCTION("""COMPUTED_VALUE"""),29.78)</f>
        <v>29.78</v>
      </c>
      <c r="T278" s="1">
        <f ca="1">IFERROR(__xludf.DUMMYFUNCTION("""COMPUTED_VALUE"""),1)</f>
        <v>1</v>
      </c>
      <c r="U278" s="9">
        <f ca="1">IFERROR(__xludf.DUMMYFUNCTION("""COMPUTED_VALUE"""),29.78)</f>
        <v>29.78</v>
      </c>
      <c r="V278" s="9">
        <f ca="1">IFERROR(__xludf.DUMMYFUNCTION("""COMPUTED_VALUE"""),29.58)</f>
        <v>29.58</v>
      </c>
      <c r="W278" s="12">
        <f ca="1">IFERROR(__xludf.DUMMYFUNCTION("""COMPUTED_VALUE"""),0.200000000000002)</f>
        <v>0.20000000000000201</v>
      </c>
    </row>
    <row r="279" spans="1:23" ht="13.2">
      <c r="A279" s="1" t="str">
        <f ca="1">IFERROR(__xludf.DUMMYFUNCTION("""COMPUTED_VALUE"""),"CA-2018-100524")</f>
        <v>CA-2018-100524</v>
      </c>
      <c r="B279" s="8">
        <f ca="1">IFERROR(__xludf.DUMMYFUNCTION("""COMPUTED_VALUE"""),43190)</f>
        <v>43190</v>
      </c>
      <c r="C279" s="1" t="str">
        <f ca="1">IFERROR(__xludf.DUMMYFUNCTION("""COMPUTED_VALUE"""),"Mar")</f>
        <v>Mar</v>
      </c>
      <c r="D279" s="1" t="str">
        <f ca="1">IFERROR(__xludf.DUMMYFUNCTION("""COMPUTED_VALUE"""),"Qtr 1")</f>
        <v>Qtr 1</v>
      </c>
      <c r="E279" s="1" t="str">
        <f ca="1">IFERROR(__xludf.DUMMYFUNCTION("""COMPUTED_VALUE"""),"2/4/2018")</f>
        <v>2/4/2018</v>
      </c>
      <c r="F279" s="1" t="str">
        <f ca="1">IFERROR(__xludf.DUMMYFUNCTION("""COMPUTED_VALUE"""),"Second Class")</f>
        <v>Second Class</v>
      </c>
      <c r="G279" s="1" t="str">
        <f ca="1">IFERROR(__xludf.DUMMYFUNCTION("""COMPUTED_VALUE"""),"CM-12115")</f>
        <v>CM-12115</v>
      </c>
      <c r="H279" s="1" t="str">
        <f ca="1">IFERROR(__xludf.DUMMYFUNCTION("""COMPUTED_VALUE"""),"Chad")</f>
        <v>Chad</v>
      </c>
      <c r="I279" s="1" t="str">
        <f ca="1">IFERROR(__xludf.DUMMYFUNCTION("""COMPUTED_VALUE"""),"McGuire")</f>
        <v>McGuire</v>
      </c>
      <c r="J279" s="1"/>
      <c r="K279" s="1" t="str">
        <f ca="1">IFERROR(__xludf.DUMMYFUNCTION("""COMPUTED_VALUE"""),"Consumer")</f>
        <v>Consumer</v>
      </c>
      <c r="L279" s="1" t="str">
        <f ca="1">IFERROR(__xludf.DUMMYFUNCTION("""COMPUTED_VALUE"""),"United States")</f>
        <v>United States</v>
      </c>
      <c r="M279" s="1" t="str">
        <f ca="1">IFERROR(__xludf.DUMMYFUNCTION("""COMPUTED_VALUE"""),"New York City")</f>
        <v>New York City</v>
      </c>
      <c r="N279" s="1" t="str">
        <f ca="1">IFERROR(__xludf.DUMMYFUNCTION("""COMPUTED_VALUE"""),"New York")</f>
        <v>New York</v>
      </c>
      <c r="O279" s="1">
        <f ca="1">IFERROR(__xludf.DUMMYFUNCTION("""COMPUTED_VALUE"""),10011)</f>
        <v>10011</v>
      </c>
      <c r="P279" s="1" t="str">
        <f ca="1">IFERROR(__xludf.DUMMYFUNCTION("""COMPUTED_VALUE"""),"East")</f>
        <v>East</v>
      </c>
      <c r="Q279" s="1" t="str">
        <f ca="1">IFERROR(__xludf.DUMMYFUNCTION("""COMPUTED_VALUE"""),"TEC-PH-10002549")</f>
        <v>TEC-PH-10002549</v>
      </c>
      <c r="R279" s="1" t="str">
        <f ca="1">IFERROR(__xludf.DUMMYFUNCTION("""COMPUTED_VALUE"""),"Technology")</f>
        <v>Technology</v>
      </c>
      <c r="S279" s="7">
        <f ca="1">IFERROR(__xludf.DUMMYFUNCTION("""COMPUTED_VALUE"""),677.58)</f>
        <v>677.58</v>
      </c>
      <c r="T279" s="1">
        <f ca="1">IFERROR(__xludf.DUMMYFUNCTION("""COMPUTED_VALUE"""),1)</f>
        <v>1</v>
      </c>
      <c r="U279" s="9">
        <f ca="1">IFERROR(__xludf.DUMMYFUNCTION("""COMPUTED_VALUE"""),677.58)</f>
        <v>677.58</v>
      </c>
      <c r="V279" s="9">
        <f ca="1">IFERROR(__xludf.DUMMYFUNCTION("""COMPUTED_VALUE"""),677.48)</f>
        <v>677.48</v>
      </c>
      <c r="W279" s="12">
        <f ca="1">IFERROR(__xludf.DUMMYFUNCTION("""COMPUTED_VALUE"""),0.100000000000022)</f>
        <v>0.100000000000022</v>
      </c>
    </row>
    <row r="280" spans="1:23" ht="13.2">
      <c r="A280" s="1" t="str">
        <f ca="1">IFERROR(__xludf.DUMMYFUNCTION("""COMPUTED_VALUE"""),"CA-2018-100524")</f>
        <v>CA-2018-100524</v>
      </c>
      <c r="B280" s="8">
        <f ca="1">IFERROR(__xludf.DUMMYFUNCTION("""COMPUTED_VALUE"""),43190)</f>
        <v>43190</v>
      </c>
      <c r="C280" s="1" t="str">
        <f ca="1">IFERROR(__xludf.DUMMYFUNCTION("""COMPUTED_VALUE"""),"Mar")</f>
        <v>Mar</v>
      </c>
      <c r="D280" s="1" t="str">
        <f ca="1">IFERROR(__xludf.DUMMYFUNCTION("""COMPUTED_VALUE"""),"Qtr 1")</f>
        <v>Qtr 1</v>
      </c>
      <c r="E280" s="1" t="str">
        <f ca="1">IFERROR(__xludf.DUMMYFUNCTION("""COMPUTED_VALUE"""),"2/4/2018")</f>
        <v>2/4/2018</v>
      </c>
      <c r="F280" s="1" t="str">
        <f ca="1">IFERROR(__xludf.DUMMYFUNCTION("""COMPUTED_VALUE"""),"Second Class")</f>
        <v>Second Class</v>
      </c>
      <c r="G280" s="1" t="str">
        <f ca="1">IFERROR(__xludf.DUMMYFUNCTION("""COMPUTED_VALUE"""),"CM-12115")</f>
        <v>CM-12115</v>
      </c>
      <c r="H280" s="1" t="str">
        <f ca="1">IFERROR(__xludf.DUMMYFUNCTION("""COMPUTED_VALUE"""),"Chad")</f>
        <v>Chad</v>
      </c>
      <c r="I280" s="1" t="str">
        <f ca="1">IFERROR(__xludf.DUMMYFUNCTION("""COMPUTED_VALUE"""),"McGuire")</f>
        <v>McGuire</v>
      </c>
      <c r="J280" s="1"/>
      <c r="K280" s="1" t="str">
        <f ca="1">IFERROR(__xludf.DUMMYFUNCTION("""COMPUTED_VALUE"""),"Consumer")</f>
        <v>Consumer</v>
      </c>
      <c r="L280" s="1" t="str">
        <f ca="1">IFERROR(__xludf.DUMMYFUNCTION("""COMPUTED_VALUE"""),"United States")</f>
        <v>United States</v>
      </c>
      <c r="M280" s="1" t="str">
        <f ca="1">IFERROR(__xludf.DUMMYFUNCTION("""COMPUTED_VALUE"""),"New York City")</f>
        <v>New York City</v>
      </c>
      <c r="N280" s="1" t="str">
        <f ca="1">IFERROR(__xludf.DUMMYFUNCTION("""COMPUTED_VALUE"""),"New York")</f>
        <v>New York</v>
      </c>
      <c r="O280" s="1">
        <f ca="1">IFERROR(__xludf.DUMMYFUNCTION("""COMPUTED_VALUE"""),10011)</f>
        <v>10011</v>
      </c>
      <c r="P280" s="1" t="str">
        <f ca="1">IFERROR(__xludf.DUMMYFUNCTION("""COMPUTED_VALUE"""),"East")</f>
        <v>East</v>
      </c>
      <c r="Q280" s="1" t="str">
        <f ca="1">IFERROR(__xludf.DUMMYFUNCTION("""COMPUTED_VALUE"""),"OFF-PA-10004911")</f>
        <v>OFF-PA-10004911</v>
      </c>
      <c r="R280" s="1" t="str">
        <f ca="1">IFERROR(__xludf.DUMMYFUNCTION("""COMPUTED_VALUE"""),"Office Supplies")</f>
        <v>Office Supplies</v>
      </c>
      <c r="S280" s="7">
        <f ca="1">IFERROR(__xludf.DUMMYFUNCTION("""COMPUTED_VALUE"""),75.04)</f>
        <v>75.040000000000006</v>
      </c>
      <c r="T280" s="1">
        <f ca="1">IFERROR(__xludf.DUMMYFUNCTION("""COMPUTED_VALUE"""),1)</f>
        <v>1</v>
      </c>
      <c r="U280" s="9">
        <f ca="1">IFERROR(__xludf.DUMMYFUNCTION("""COMPUTED_VALUE"""),75.04)</f>
        <v>75.040000000000006</v>
      </c>
      <c r="V280" s="9">
        <f ca="1">IFERROR(__xludf.DUMMYFUNCTION("""COMPUTED_VALUE"""),74.14)</f>
        <v>74.14</v>
      </c>
      <c r="W280" s="12">
        <f ca="1">IFERROR(__xludf.DUMMYFUNCTION("""COMPUTED_VALUE"""),0.900000000000005)</f>
        <v>0.90000000000000502</v>
      </c>
    </row>
    <row r="281" spans="1:23" ht="13.2">
      <c r="A281" s="1" t="str">
        <f ca="1">IFERROR(__xludf.DUMMYFUNCTION("""COMPUTED_VALUE"""),"CA-2015-153976")</f>
        <v>CA-2015-153976</v>
      </c>
      <c r="B281" s="8">
        <f ca="1">IFERROR(__xludf.DUMMYFUNCTION("""COMPUTED_VALUE"""),42073)</f>
        <v>42073</v>
      </c>
      <c r="C281" s="1" t="str">
        <f ca="1">IFERROR(__xludf.DUMMYFUNCTION("""COMPUTED_VALUE"""),"Mar")</f>
        <v>Mar</v>
      </c>
      <c r="D281" s="1" t="str">
        <f ca="1">IFERROR(__xludf.DUMMYFUNCTION("""COMPUTED_VALUE"""),"Qtr 1")</f>
        <v>Qtr 1</v>
      </c>
      <c r="E281" s="1" t="str">
        <f ca="1">IFERROR(__xludf.DUMMYFUNCTION("""COMPUTED_VALUE"""),"8/10/2015")</f>
        <v>8/10/2015</v>
      </c>
      <c r="F281" s="1" t="str">
        <f ca="1">IFERROR(__xludf.DUMMYFUNCTION("""COMPUTED_VALUE"""),"Second Class")</f>
        <v>Second Class</v>
      </c>
      <c r="G281" s="1" t="str">
        <f ca="1">IFERROR(__xludf.DUMMYFUNCTION("""COMPUTED_VALUE"""),"BP-11290")</f>
        <v>BP-11290</v>
      </c>
      <c r="H281" s="1" t="str">
        <f ca="1">IFERROR(__xludf.DUMMYFUNCTION("""COMPUTED_VALUE"""),"Beth")</f>
        <v>Beth</v>
      </c>
      <c r="I281" s="1" t="str">
        <f ca="1">IFERROR(__xludf.DUMMYFUNCTION("""COMPUTED_VALUE"""),"Paige")</f>
        <v>Paige</v>
      </c>
      <c r="J281" s="1"/>
      <c r="K281" s="1" t="str">
        <f ca="1">IFERROR(__xludf.DUMMYFUNCTION("""COMPUTED_VALUE"""),"Consumer")</f>
        <v>Consumer</v>
      </c>
      <c r="L281" s="1" t="str">
        <f ca="1">IFERROR(__xludf.DUMMYFUNCTION("""COMPUTED_VALUE"""),"United States")</f>
        <v>United States</v>
      </c>
      <c r="M281" s="1" t="str">
        <f ca="1">IFERROR(__xludf.DUMMYFUNCTION("""COMPUTED_VALUE"""),"Evanston")</f>
        <v>Evanston</v>
      </c>
      <c r="N281" s="1" t="str">
        <f ca="1">IFERROR(__xludf.DUMMYFUNCTION("""COMPUTED_VALUE"""),"Illinois")</f>
        <v>Illinois</v>
      </c>
      <c r="O281" s="1">
        <f ca="1">IFERROR(__xludf.DUMMYFUNCTION("""COMPUTED_VALUE"""),60201)</f>
        <v>60201</v>
      </c>
      <c r="P281" s="1" t="str">
        <f ca="1">IFERROR(__xludf.DUMMYFUNCTION("""COMPUTED_VALUE"""),"Central")</f>
        <v>Central</v>
      </c>
      <c r="Q281" s="1" t="str">
        <f ca="1">IFERROR(__xludf.DUMMYFUNCTION("""COMPUTED_VALUE"""),"FUR-CH-10002880")</f>
        <v>FUR-CH-10002880</v>
      </c>
      <c r="R281" s="1" t="str">
        <f ca="1">IFERROR(__xludf.DUMMYFUNCTION("""COMPUTED_VALUE"""),"Furniture")</f>
        <v>Furniture</v>
      </c>
      <c r="S281" s="7">
        <f ca="1">IFERROR(__xludf.DUMMYFUNCTION("""COMPUTED_VALUE"""),258.279)</f>
        <v>258.279</v>
      </c>
      <c r="T281" s="1">
        <f ca="1">IFERROR(__xludf.DUMMYFUNCTION("""COMPUTED_VALUE"""),6)</f>
        <v>6</v>
      </c>
      <c r="U281" s="9">
        <f ca="1">IFERROR(__xludf.DUMMYFUNCTION("""COMPUTED_VALUE"""),1549.674)</f>
        <v>1549.674</v>
      </c>
      <c r="V281" s="9">
        <f ca="1">IFERROR(__xludf.DUMMYFUNCTION("""COMPUTED_VALUE"""),1547.16)</f>
        <v>1547.16</v>
      </c>
      <c r="W281" s="12">
        <f ca="1">IFERROR(__xludf.DUMMYFUNCTION("""COMPUTED_VALUE"""),2.51399999999989)</f>
        <v>2.5139999999998901</v>
      </c>
    </row>
    <row r="282" spans="1:23" ht="13.2">
      <c r="A282" s="1" t="str">
        <f ca="1">IFERROR(__xludf.DUMMYFUNCTION("""COMPUTED_VALUE"""),"US-2015-151925")</f>
        <v>US-2015-151925</v>
      </c>
      <c r="B282" s="8">
        <f ca="1">IFERROR(__xludf.DUMMYFUNCTION("""COMPUTED_VALUE"""),42273)</f>
        <v>42273</v>
      </c>
      <c r="C282" s="1" t="str">
        <f ca="1">IFERROR(__xludf.DUMMYFUNCTION("""COMPUTED_VALUE"""),"Sep")</f>
        <v>Sep</v>
      </c>
      <c r="D282" s="1" t="str">
        <f ca="1">IFERROR(__xludf.DUMMYFUNCTION("""COMPUTED_VALUE"""),"Qtr 3")</f>
        <v>Qtr 3</v>
      </c>
      <c r="E282" s="1" t="str">
        <f ca="1">IFERROR(__xludf.DUMMYFUNCTION("""COMPUTED_VALUE"""),"1/10/2015")</f>
        <v>1/10/2015</v>
      </c>
      <c r="F282" s="1" t="str">
        <f ca="1">IFERROR(__xludf.DUMMYFUNCTION("""COMPUTED_VALUE"""),"Second Class")</f>
        <v>Second Class</v>
      </c>
      <c r="G282" s="1" t="str">
        <f ca="1">IFERROR(__xludf.DUMMYFUNCTION("""COMPUTED_VALUE"""),"KT-16465")</f>
        <v>KT-16465</v>
      </c>
      <c r="H282" s="1" t="str">
        <f ca="1">IFERROR(__xludf.DUMMYFUNCTION("""COMPUTED_VALUE"""),"Kean")</f>
        <v>Kean</v>
      </c>
      <c r="I282" s="1" t="str">
        <f ca="1">IFERROR(__xludf.DUMMYFUNCTION("""COMPUTED_VALUE"""),"Takahito")</f>
        <v>Takahito</v>
      </c>
      <c r="J282" s="1"/>
      <c r="K282" s="1" t="str">
        <f ca="1">IFERROR(__xludf.DUMMYFUNCTION("""COMPUTED_VALUE"""),"Consumer")</f>
        <v>Consumer</v>
      </c>
      <c r="L282" s="1" t="str">
        <f ca="1">IFERROR(__xludf.DUMMYFUNCTION("""COMPUTED_VALUE"""),"United States")</f>
        <v>United States</v>
      </c>
      <c r="M282" s="1" t="str">
        <f ca="1">IFERROR(__xludf.DUMMYFUNCTION("""COMPUTED_VALUE"""),"Los Angeles")</f>
        <v>Los Angeles</v>
      </c>
      <c r="N282" s="1" t="str">
        <f ca="1">IFERROR(__xludf.DUMMYFUNCTION("""COMPUTED_VALUE"""),"California")</f>
        <v>California</v>
      </c>
      <c r="O282" s="1">
        <f ca="1">IFERROR(__xludf.DUMMYFUNCTION("""COMPUTED_VALUE"""),90049)</f>
        <v>90049</v>
      </c>
      <c r="P282" s="1" t="str">
        <f ca="1">IFERROR(__xludf.DUMMYFUNCTION("""COMPUTED_VALUE"""),"West")</f>
        <v>West</v>
      </c>
      <c r="Q282" s="1" t="str">
        <f ca="1">IFERROR(__xludf.DUMMYFUNCTION("""COMPUTED_VALUE"""),"FUR-CH-10002961")</f>
        <v>FUR-CH-10002961</v>
      </c>
      <c r="R282" s="1" t="str">
        <f ca="1">IFERROR(__xludf.DUMMYFUNCTION("""COMPUTED_VALUE"""),"Furniture")</f>
        <v>Furniture</v>
      </c>
      <c r="S282" s="7">
        <f ca="1">IFERROR(__xludf.DUMMYFUNCTION("""COMPUTED_VALUE"""),145.568)</f>
        <v>145.56800000000001</v>
      </c>
      <c r="T282" s="1">
        <f ca="1">IFERROR(__xludf.DUMMYFUNCTION("""COMPUTED_VALUE"""),9)</f>
        <v>9</v>
      </c>
      <c r="U282" s="9">
        <f ca="1">IFERROR(__xludf.DUMMYFUNCTION("""COMPUTED_VALUE"""),1310.112)</f>
        <v>1310.1120000000001</v>
      </c>
      <c r="V282" s="9">
        <f ca="1">IFERROR(__xludf.DUMMYFUNCTION("""COMPUTED_VALUE"""),1305.36)</f>
        <v>1305.3599999999999</v>
      </c>
      <c r="W282" s="12">
        <f ca="1">IFERROR(__xludf.DUMMYFUNCTION("""COMPUTED_VALUE"""),4.75200000000018)</f>
        <v>4.7520000000001801</v>
      </c>
    </row>
    <row r="283" spans="1:23" ht="13.2">
      <c r="A283" s="1" t="str">
        <f ca="1">IFERROR(__xludf.DUMMYFUNCTION("""COMPUTED_VALUE"""),"US-2015-157021")</f>
        <v>US-2015-157021</v>
      </c>
      <c r="B283" s="8">
        <f ca="1">IFERROR(__xludf.DUMMYFUNCTION("""COMPUTED_VALUE"""),42008)</f>
        <v>42008</v>
      </c>
      <c r="C283" s="1" t="str">
        <f ca="1">IFERROR(__xludf.DUMMYFUNCTION("""COMPUTED_VALUE"""),"Jan")</f>
        <v>Jan</v>
      </c>
      <c r="D283" s="1" t="str">
        <f ca="1">IFERROR(__xludf.DUMMYFUNCTION("""COMPUTED_VALUE"""),"Qtr 1")</f>
        <v>Qtr 1</v>
      </c>
      <c r="E283" s="1" t="str">
        <f ca="1">IFERROR(__xludf.DUMMYFUNCTION("""COMPUTED_VALUE"""),"6/4/2015")</f>
        <v>6/4/2015</v>
      </c>
      <c r="F283" s="1" t="str">
        <f ca="1">IFERROR(__xludf.DUMMYFUNCTION("""COMPUTED_VALUE"""),"Second Class")</f>
        <v>Second Class</v>
      </c>
      <c r="G283" s="1" t="str">
        <f ca="1">IFERROR(__xludf.DUMMYFUNCTION("""COMPUTED_VALUE"""),"KM-16720")</f>
        <v>KM-16720</v>
      </c>
      <c r="H283" s="1" t="str">
        <f ca="1">IFERROR(__xludf.DUMMYFUNCTION("""COMPUTED_VALUE"""),"Kunst")</f>
        <v>Kunst</v>
      </c>
      <c r="I283" s="1" t="str">
        <f ca="1">IFERROR(__xludf.DUMMYFUNCTION("""COMPUTED_VALUE"""),"Miller")</f>
        <v>Miller</v>
      </c>
      <c r="J283" s="1"/>
      <c r="K283" s="1" t="str">
        <f ca="1">IFERROR(__xludf.DUMMYFUNCTION("""COMPUTED_VALUE"""),"Consumer")</f>
        <v>Consumer</v>
      </c>
      <c r="L283" s="1" t="str">
        <f ca="1">IFERROR(__xludf.DUMMYFUNCTION("""COMPUTED_VALUE"""),"United States")</f>
        <v>United States</v>
      </c>
      <c r="M283" s="1" t="str">
        <f ca="1">IFERROR(__xludf.DUMMYFUNCTION("""COMPUTED_VALUE"""),"Vallejo")</f>
        <v>Vallejo</v>
      </c>
      <c r="N283" s="1" t="str">
        <f ca="1">IFERROR(__xludf.DUMMYFUNCTION("""COMPUTED_VALUE"""),"California")</f>
        <v>California</v>
      </c>
      <c r="O283" s="1">
        <f ca="1">IFERROR(__xludf.DUMMYFUNCTION("""COMPUTED_VALUE"""),94591)</f>
        <v>94591</v>
      </c>
      <c r="P283" s="1" t="str">
        <f ca="1">IFERROR(__xludf.DUMMYFUNCTION("""COMPUTED_VALUE"""),"West")</f>
        <v>West</v>
      </c>
      <c r="Q283" s="1" t="str">
        <f ca="1">IFERROR(__xludf.DUMMYFUNCTION("""COMPUTED_VALUE"""),"OFF-LA-10002312")</f>
        <v>OFF-LA-10002312</v>
      </c>
      <c r="R283" s="1" t="str">
        <f ca="1">IFERROR(__xludf.DUMMYFUNCTION("""COMPUTED_VALUE"""),"Office Supplies")</f>
        <v>Office Supplies</v>
      </c>
      <c r="S283" s="7">
        <f ca="1">IFERROR(__xludf.DUMMYFUNCTION("""COMPUTED_VALUE"""),29.6)</f>
        <v>29.6</v>
      </c>
      <c r="T283" s="1">
        <f ca="1">IFERROR(__xludf.DUMMYFUNCTION("""COMPUTED_VALUE"""),9)</f>
        <v>9</v>
      </c>
      <c r="U283" s="9">
        <f ca="1">IFERROR(__xludf.DUMMYFUNCTION("""COMPUTED_VALUE"""),266.4)</f>
        <v>266.39999999999998</v>
      </c>
      <c r="V283" s="9">
        <f ca="1">IFERROR(__xludf.DUMMYFUNCTION("""COMPUTED_VALUE"""),265.5)</f>
        <v>265.5</v>
      </c>
      <c r="W283" s="12">
        <f ca="1">IFERROR(__xludf.DUMMYFUNCTION("""COMPUTED_VALUE"""),0.900000000000034)</f>
        <v>0.900000000000034</v>
      </c>
    </row>
    <row r="284" spans="1:23" ht="13.2">
      <c r="A284" s="1" t="str">
        <f ca="1">IFERROR(__xludf.DUMMYFUNCTION("""COMPUTED_VALUE"""),"US-2015-157021")</f>
        <v>US-2015-157021</v>
      </c>
      <c r="B284" s="8">
        <f ca="1">IFERROR(__xludf.DUMMYFUNCTION("""COMPUTED_VALUE"""),42008)</f>
        <v>42008</v>
      </c>
      <c r="C284" s="1" t="str">
        <f ca="1">IFERROR(__xludf.DUMMYFUNCTION("""COMPUTED_VALUE"""),"Jan")</f>
        <v>Jan</v>
      </c>
      <c r="D284" s="1" t="str">
        <f ca="1">IFERROR(__xludf.DUMMYFUNCTION("""COMPUTED_VALUE"""),"Qtr 1")</f>
        <v>Qtr 1</v>
      </c>
      <c r="E284" s="1" t="str">
        <f ca="1">IFERROR(__xludf.DUMMYFUNCTION("""COMPUTED_VALUE"""),"6/4/2015")</f>
        <v>6/4/2015</v>
      </c>
      <c r="F284" s="1" t="str">
        <f ca="1">IFERROR(__xludf.DUMMYFUNCTION("""COMPUTED_VALUE"""),"Second Class")</f>
        <v>Second Class</v>
      </c>
      <c r="G284" s="1" t="str">
        <f ca="1">IFERROR(__xludf.DUMMYFUNCTION("""COMPUTED_VALUE"""),"KM-16720")</f>
        <v>KM-16720</v>
      </c>
      <c r="H284" s="1" t="str">
        <f ca="1">IFERROR(__xludf.DUMMYFUNCTION("""COMPUTED_VALUE"""),"Kunst")</f>
        <v>Kunst</v>
      </c>
      <c r="I284" s="1" t="str">
        <f ca="1">IFERROR(__xludf.DUMMYFUNCTION("""COMPUTED_VALUE"""),"Miller")</f>
        <v>Miller</v>
      </c>
      <c r="J284" s="1"/>
      <c r="K284" s="1" t="str">
        <f ca="1">IFERROR(__xludf.DUMMYFUNCTION("""COMPUTED_VALUE"""),"Consumer")</f>
        <v>Consumer</v>
      </c>
      <c r="L284" s="1" t="str">
        <f ca="1">IFERROR(__xludf.DUMMYFUNCTION("""COMPUTED_VALUE"""),"United States")</f>
        <v>United States</v>
      </c>
      <c r="M284" s="1" t="str">
        <f ca="1">IFERROR(__xludf.DUMMYFUNCTION("""COMPUTED_VALUE"""),"Vallejo")</f>
        <v>Vallejo</v>
      </c>
      <c r="N284" s="1" t="str">
        <f ca="1">IFERROR(__xludf.DUMMYFUNCTION("""COMPUTED_VALUE"""),"California")</f>
        <v>California</v>
      </c>
      <c r="O284" s="1">
        <f ca="1">IFERROR(__xludf.DUMMYFUNCTION("""COMPUTED_VALUE"""),94591)</f>
        <v>94591</v>
      </c>
      <c r="P284" s="1" t="str">
        <f ca="1">IFERROR(__xludf.DUMMYFUNCTION("""COMPUTED_VALUE"""),"West")</f>
        <v>West</v>
      </c>
      <c r="Q284" s="1" t="str">
        <f ca="1">IFERROR(__xludf.DUMMYFUNCTION("""COMPUTED_VALUE"""),"OFF-BI-10000042")</f>
        <v>OFF-BI-10000042</v>
      </c>
      <c r="R284" s="1" t="str">
        <f ca="1">IFERROR(__xludf.DUMMYFUNCTION("""COMPUTED_VALUE"""),"Office Supplies")</f>
        <v>Office Supplies</v>
      </c>
      <c r="S284" s="7">
        <f ca="1">IFERROR(__xludf.DUMMYFUNCTION("""COMPUTED_VALUE"""),17.088)</f>
        <v>17.088000000000001</v>
      </c>
      <c r="T284" s="1">
        <f ca="1">IFERROR(__xludf.DUMMYFUNCTION("""COMPUTED_VALUE"""),9)</f>
        <v>9</v>
      </c>
      <c r="U284" s="9">
        <f ca="1">IFERROR(__xludf.DUMMYFUNCTION("""COMPUTED_VALUE"""),153.792)</f>
        <v>153.792</v>
      </c>
      <c r="V284" s="9">
        <f ca="1">IFERROR(__xludf.DUMMYFUNCTION("""COMPUTED_VALUE"""),152.46)</f>
        <v>152.46</v>
      </c>
      <c r="W284" s="12">
        <f ca="1">IFERROR(__xludf.DUMMYFUNCTION("""COMPUTED_VALUE"""),1.33199999999999)</f>
        <v>1.3319999999999901</v>
      </c>
    </row>
    <row r="285" spans="1:23" ht="13.2">
      <c r="A285" s="1" t="str">
        <f ca="1">IFERROR(__xludf.DUMMYFUNCTION("""COMPUTED_VALUE"""),"CA-2015-126361")</f>
        <v>CA-2015-126361</v>
      </c>
      <c r="B285" s="8">
        <f ca="1">IFERROR(__xludf.DUMMYFUNCTION("""COMPUTED_VALUE"""),42102)</f>
        <v>42102</v>
      </c>
      <c r="C285" s="1" t="str">
        <f ca="1">IFERROR(__xludf.DUMMYFUNCTION("""COMPUTED_VALUE"""),"Apr")</f>
        <v>Apr</v>
      </c>
      <c r="D285" s="1" t="str">
        <f ca="1">IFERROR(__xludf.DUMMYFUNCTION("""COMPUTED_VALUE"""),"Qtr 2")</f>
        <v>Qtr 2</v>
      </c>
      <c r="E285" s="1" t="str">
        <f ca="1">IFERROR(__xludf.DUMMYFUNCTION("""COMPUTED_VALUE"""),"9/8/2015")</f>
        <v>9/8/2015</v>
      </c>
      <c r="F285" s="1" t="str">
        <f ca="1">IFERROR(__xludf.DUMMYFUNCTION("""COMPUTED_VALUE"""),"Second Class")</f>
        <v>Second Class</v>
      </c>
      <c r="G285" s="1" t="str">
        <f ca="1">IFERROR(__xludf.DUMMYFUNCTION("""COMPUTED_VALUE"""),"VD-21670")</f>
        <v>VD-21670</v>
      </c>
      <c r="H285" s="1" t="str">
        <f ca="1">IFERROR(__xludf.DUMMYFUNCTION("""COMPUTED_VALUE"""),"Valerie")</f>
        <v>Valerie</v>
      </c>
      <c r="I285" s="1" t="str">
        <f ca="1">IFERROR(__xludf.DUMMYFUNCTION("""COMPUTED_VALUE"""),"Dominguez")</f>
        <v>Dominguez</v>
      </c>
      <c r="J285" s="1"/>
      <c r="K285" s="1" t="str">
        <f ca="1">IFERROR(__xludf.DUMMYFUNCTION("""COMPUTED_VALUE"""),"Consumer")</f>
        <v>Consumer</v>
      </c>
      <c r="L285" s="1" t="str">
        <f ca="1">IFERROR(__xludf.DUMMYFUNCTION("""COMPUTED_VALUE"""),"United States")</f>
        <v>United States</v>
      </c>
      <c r="M285" s="1" t="str">
        <f ca="1">IFERROR(__xludf.DUMMYFUNCTION("""COMPUTED_VALUE"""),"Pleasant Grove")</f>
        <v>Pleasant Grove</v>
      </c>
      <c r="N285" s="1" t="str">
        <f ca="1">IFERROR(__xludf.DUMMYFUNCTION("""COMPUTED_VALUE"""),"Utah")</f>
        <v>Utah</v>
      </c>
      <c r="O285" s="1">
        <f ca="1">IFERROR(__xludf.DUMMYFUNCTION("""COMPUTED_VALUE"""),84062)</f>
        <v>84062</v>
      </c>
      <c r="P285" s="1" t="str">
        <f ca="1">IFERROR(__xludf.DUMMYFUNCTION("""COMPUTED_VALUE"""),"West")</f>
        <v>West</v>
      </c>
      <c r="Q285" s="1" t="str">
        <f ca="1">IFERROR(__xludf.DUMMYFUNCTION("""COMPUTED_VALUE"""),"OFF-AP-10003590")</f>
        <v>OFF-AP-10003590</v>
      </c>
      <c r="R285" s="1" t="str">
        <f ca="1">IFERROR(__xludf.DUMMYFUNCTION("""COMPUTED_VALUE"""),"Office Supplies")</f>
        <v>Office Supplies</v>
      </c>
      <c r="S285" s="7">
        <f ca="1">IFERROR(__xludf.DUMMYFUNCTION("""COMPUTED_VALUE"""),1089.75)</f>
        <v>1089.75</v>
      </c>
      <c r="T285" s="1">
        <f ca="1">IFERROR(__xludf.DUMMYFUNCTION("""COMPUTED_VALUE"""),8)</f>
        <v>8</v>
      </c>
      <c r="U285" s="9">
        <f ca="1">IFERROR(__xludf.DUMMYFUNCTION("""COMPUTED_VALUE"""),8718)</f>
        <v>8718</v>
      </c>
      <c r="V285" s="9">
        <f ca="1">IFERROR(__xludf.DUMMYFUNCTION("""COMPUTED_VALUE"""),8715.52)</f>
        <v>8715.52</v>
      </c>
      <c r="W285" s="12">
        <f ca="1">IFERROR(__xludf.DUMMYFUNCTION("""COMPUTED_VALUE"""),2.47999999999956)</f>
        <v>2.4799999999995599</v>
      </c>
    </row>
    <row r="286" spans="1:23" ht="13.2">
      <c r="A286" s="1" t="str">
        <f ca="1">IFERROR(__xludf.DUMMYFUNCTION("""COMPUTED_VALUE"""),"CA-2015-126361")</f>
        <v>CA-2015-126361</v>
      </c>
      <c r="B286" s="8">
        <f ca="1">IFERROR(__xludf.DUMMYFUNCTION("""COMPUTED_VALUE"""),42102)</f>
        <v>42102</v>
      </c>
      <c r="C286" s="1" t="str">
        <f ca="1">IFERROR(__xludf.DUMMYFUNCTION("""COMPUTED_VALUE"""),"Apr")</f>
        <v>Apr</v>
      </c>
      <c r="D286" s="1" t="str">
        <f ca="1">IFERROR(__xludf.DUMMYFUNCTION("""COMPUTED_VALUE"""),"Qtr 2")</f>
        <v>Qtr 2</v>
      </c>
      <c r="E286" s="1" t="str">
        <f ca="1">IFERROR(__xludf.DUMMYFUNCTION("""COMPUTED_VALUE"""),"9/8/2015")</f>
        <v>9/8/2015</v>
      </c>
      <c r="F286" s="1" t="str">
        <f ca="1">IFERROR(__xludf.DUMMYFUNCTION("""COMPUTED_VALUE"""),"Second Class")</f>
        <v>Second Class</v>
      </c>
      <c r="G286" s="1" t="str">
        <f ca="1">IFERROR(__xludf.DUMMYFUNCTION("""COMPUTED_VALUE"""),"VD-21670")</f>
        <v>VD-21670</v>
      </c>
      <c r="H286" s="1" t="str">
        <f ca="1">IFERROR(__xludf.DUMMYFUNCTION("""COMPUTED_VALUE"""),"Valerie")</f>
        <v>Valerie</v>
      </c>
      <c r="I286" s="1" t="str">
        <f ca="1">IFERROR(__xludf.DUMMYFUNCTION("""COMPUTED_VALUE"""),"Dominguez")</f>
        <v>Dominguez</v>
      </c>
      <c r="J286" s="1"/>
      <c r="K286" s="1" t="str">
        <f ca="1">IFERROR(__xludf.DUMMYFUNCTION("""COMPUTED_VALUE"""),"Consumer")</f>
        <v>Consumer</v>
      </c>
      <c r="L286" s="1" t="str">
        <f ca="1">IFERROR(__xludf.DUMMYFUNCTION("""COMPUTED_VALUE"""),"United States")</f>
        <v>United States</v>
      </c>
      <c r="M286" s="1" t="str">
        <f ca="1">IFERROR(__xludf.DUMMYFUNCTION("""COMPUTED_VALUE"""),"Pleasant Grove")</f>
        <v>Pleasant Grove</v>
      </c>
      <c r="N286" s="1" t="str">
        <f ca="1">IFERROR(__xludf.DUMMYFUNCTION("""COMPUTED_VALUE"""),"Utah")</f>
        <v>Utah</v>
      </c>
      <c r="O286" s="1">
        <f ca="1">IFERROR(__xludf.DUMMYFUNCTION("""COMPUTED_VALUE"""),84062)</f>
        <v>84062</v>
      </c>
      <c r="P286" s="1" t="str">
        <f ca="1">IFERROR(__xludf.DUMMYFUNCTION("""COMPUTED_VALUE"""),"West")</f>
        <v>West</v>
      </c>
      <c r="Q286" s="1" t="str">
        <f ca="1">IFERROR(__xludf.DUMMYFUNCTION("""COMPUTED_VALUE"""),"OFF-PA-10000806")</f>
        <v>OFF-PA-10000806</v>
      </c>
      <c r="R286" s="1" t="str">
        <f ca="1">IFERROR(__xludf.DUMMYFUNCTION("""COMPUTED_VALUE"""),"Office Supplies")</f>
        <v>Office Supplies</v>
      </c>
      <c r="S286" s="7">
        <f ca="1">IFERROR(__xludf.DUMMYFUNCTION("""COMPUTED_VALUE"""),447.84)</f>
        <v>447.84</v>
      </c>
      <c r="T286" s="1">
        <f ca="1">IFERROR(__xludf.DUMMYFUNCTION("""COMPUTED_VALUE"""),8)</f>
        <v>8</v>
      </c>
      <c r="U286" s="9">
        <f ca="1">IFERROR(__xludf.DUMMYFUNCTION("""COMPUTED_VALUE"""),3582.72)</f>
        <v>3582.72</v>
      </c>
      <c r="V286" s="9">
        <f ca="1">IFERROR(__xludf.DUMMYFUNCTION("""COMPUTED_VALUE"""),3579.2)</f>
        <v>3579.2</v>
      </c>
      <c r="W286" s="12">
        <f ca="1">IFERROR(__xludf.DUMMYFUNCTION("""COMPUTED_VALUE"""),3.51999999999998)</f>
        <v>3.51999999999998</v>
      </c>
    </row>
    <row r="287" spans="1:23" ht="13.2">
      <c r="A287" s="1" t="str">
        <f ca="1">IFERROR(__xludf.DUMMYFUNCTION("""COMPUTED_VALUE"""),"CA-2015-126361")</f>
        <v>CA-2015-126361</v>
      </c>
      <c r="B287" s="8">
        <f ca="1">IFERROR(__xludf.DUMMYFUNCTION("""COMPUTED_VALUE"""),42102)</f>
        <v>42102</v>
      </c>
      <c r="C287" s="1" t="str">
        <f ca="1">IFERROR(__xludf.DUMMYFUNCTION("""COMPUTED_VALUE"""),"Apr")</f>
        <v>Apr</v>
      </c>
      <c r="D287" s="1" t="str">
        <f ca="1">IFERROR(__xludf.DUMMYFUNCTION("""COMPUTED_VALUE"""),"Qtr 2")</f>
        <v>Qtr 2</v>
      </c>
      <c r="E287" s="1" t="str">
        <f ca="1">IFERROR(__xludf.DUMMYFUNCTION("""COMPUTED_VALUE"""),"9/8/2015")</f>
        <v>9/8/2015</v>
      </c>
      <c r="F287" s="1" t="str">
        <f ca="1">IFERROR(__xludf.DUMMYFUNCTION("""COMPUTED_VALUE"""),"Second Class")</f>
        <v>Second Class</v>
      </c>
      <c r="G287" s="1" t="str">
        <f ca="1">IFERROR(__xludf.DUMMYFUNCTION("""COMPUTED_VALUE"""),"VD-21670")</f>
        <v>VD-21670</v>
      </c>
      <c r="H287" s="1" t="str">
        <f ca="1">IFERROR(__xludf.DUMMYFUNCTION("""COMPUTED_VALUE"""),"Valerie")</f>
        <v>Valerie</v>
      </c>
      <c r="I287" s="1" t="str">
        <f ca="1">IFERROR(__xludf.DUMMYFUNCTION("""COMPUTED_VALUE"""),"Dominguez")</f>
        <v>Dominguez</v>
      </c>
      <c r="J287" s="1"/>
      <c r="K287" s="1" t="str">
        <f ca="1">IFERROR(__xludf.DUMMYFUNCTION("""COMPUTED_VALUE"""),"Consumer")</f>
        <v>Consumer</v>
      </c>
      <c r="L287" s="1" t="str">
        <f ca="1">IFERROR(__xludf.DUMMYFUNCTION("""COMPUTED_VALUE"""),"United States")</f>
        <v>United States</v>
      </c>
      <c r="M287" s="1" t="str">
        <f ca="1">IFERROR(__xludf.DUMMYFUNCTION("""COMPUTED_VALUE"""),"Pleasant Grove")</f>
        <v>Pleasant Grove</v>
      </c>
      <c r="N287" s="1" t="str">
        <f ca="1">IFERROR(__xludf.DUMMYFUNCTION("""COMPUTED_VALUE"""),"Utah")</f>
        <v>Utah</v>
      </c>
      <c r="O287" s="1">
        <f ca="1">IFERROR(__xludf.DUMMYFUNCTION("""COMPUTED_VALUE"""),84062)</f>
        <v>84062</v>
      </c>
      <c r="P287" s="1" t="str">
        <f ca="1">IFERROR(__xludf.DUMMYFUNCTION("""COMPUTED_VALUE"""),"West")</f>
        <v>West</v>
      </c>
      <c r="Q287" s="1" t="str">
        <f ca="1">IFERROR(__xludf.DUMMYFUNCTION("""COMPUTED_VALUE"""),"OFF-AR-10000896")</f>
        <v>OFF-AR-10000896</v>
      </c>
      <c r="R287" s="1" t="str">
        <f ca="1">IFERROR(__xludf.DUMMYFUNCTION("""COMPUTED_VALUE"""),"Office Supplies")</f>
        <v>Office Supplies</v>
      </c>
      <c r="S287" s="7">
        <f ca="1">IFERROR(__xludf.DUMMYFUNCTION("""COMPUTED_VALUE"""),16.4)</f>
        <v>16.399999999999999</v>
      </c>
      <c r="T287" s="1">
        <f ca="1">IFERROR(__xludf.DUMMYFUNCTION("""COMPUTED_VALUE"""),8)</f>
        <v>8</v>
      </c>
      <c r="U287" s="9">
        <f ca="1">IFERROR(__xludf.DUMMYFUNCTION("""COMPUTED_VALUE"""),131.2)</f>
        <v>131.19999999999999</v>
      </c>
      <c r="V287" s="9">
        <f ca="1">IFERROR(__xludf.DUMMYFUNCTION("""COMPUTED_VALUE"""),125.84)</f>
        <v>125.84</v>
      </c>
      <c r="W287" s="12">
        <f ca="1">IFERROR(__xludf.DUMMYFUNCTION("""COMPUTED_VALUE"""),5.35999999999998)</f>
        <v>5.3599999999999799</v>
      </c>
    </row>
    <row r="288" spans="1:23" ht="13.2">
      <c r="A288" s="1" t="str">
        <f ca="1">IFERROR(__xludf.DUMMYFUNCTION("""COMPUTED_VALUE"""),"CA-2015-126361")</f>
        <v>CA-2015-126361</v>
      </c>
      <c r="B288" s="8">
        <f ca="1">IFERROR(__xludf.DUMMYFUNCTION("""COMPUTED_VALUE"""),42102)</f>
        <v>42102</v>
      </c>
      <c r="C288" s="1" t="str">
        <f ca="1">IFERROR(__xludf.DUMMYFUNCTION("""COMPUTED_VALUE"""),"Apr")</f>
        <v>Apr</v>
      </c>
      <c r="D288" s="1" t="str">
        <f ca="1">IFERROR(__xludf.DUMMYFUNCTION("""COMPUTED_VALUE"""),"Qtr 2")</f>
        <v>Qtr 2</v>
      </c>
      <c r="E288" s="1" t="str">
        <f ca="1">IFERROR(__xludf.DUMMYFUNCTION("""COMPUTED_VALUE"""),"9/8/2015")</f>
        <v>9/8/2015</v>
      </c>
      <c r="F288" s="1" t="str">
        <f ca="1">IFERROR(__xludf.DUMMYFUNCTION("""COMPUTED_VALUE"""),"Second Class")</f>
        <v>Second Class</v>
      </c>
      <c r="G288" s="1" t="str">
        <f ca="1">IFERROR(__xludf.DUMMYFUNCTION("""COMPUTED_VALUE"""),"VD-21670")</f>
        <v>VD-21670</v>
      </c>
      <c r="H288" s="1" t="str">
        <f ca="1">IFERROR(__xludf.DUMMYFUNCTION("""COMPUTED_VALUE"""),"Valerie")</f>
        <v>Valerie</v>
      </c>
      <c r="I288" s="1" t="str">
        <f ca="1">IFERROR(__xludf.DUMMYFUNCTION("""COMPUTED_VALUE"""),"Dominguez")</f>
        <v>Dominguez</v>
      </c>
      <c r="J288" s="1"/>
      <c r="K288" s="1" t="str">
        <f ca="1">IFERROR(__xludf.DUMMYFUNCTION("""COMPUTED_VALUE"""),"Consumer")</f>
        <v>Consumer</v>
      </c>
      <c r="L288" s="1" t="str">
        <f ca="1">IFERROR(__xludf.DUMMYFUNCTION("""COMPUTED_VALUE"""),"United States")</f>
        <v>United States</v>
      </c>
      <c r="M288" s="1" t="str">
        <f ca="1">IFERROR(__xludf.DUMMYFUNCTION("""COMPUTED_VALUE"""),"Pleasant Grove")</f>
        <v>Pleasant Grove</v>
      </c>
      <c r="N288" s="1" t="str">
        <f ca="1">IFERROR(__xludf.DUMMYFUNCTION("""COMPUTED_VALUE"""),"Utah")</f>
        <v>Utah</v>
      </c>
      <c r="O288" s="1">
        <f ca="1">IFERROR(__xludf.DUMMYFUNCTION("""COMPUTED_VALUE"""),84062)</f>
        <v>84062</v>
      </c>
      <c r="P288" s="1" t="str">
        <f ca="1">IFERROR(__xludf.DUMMYFUNCTION("""COMPUTED_VALUE"""),"West")</f>
        <v>West</v>
      </c>
      <c r="Q288" s="1" t="str">
        <f ca="1">IFERROR(__xludf.DUMMYFUNCTION("""COMPUTED_VALUE"""),"TEC-PH-10002310")</f>
        <v>TEC-PH-10002310</v>
      </c>
      <c r="R288" s="1" t="str">
        <f ca="1">IFERROR(__xludf.DUMMYFUNCTION("""COMPUTED_VALUE"""),"Technology")</f>
        <v>Technology</v>
      </c>
      <c r="S288" s="7">
        <f ca="1">IFERROR(__xludf.DUMMYFUNCTION("""COMPUTED_VALUE"""),399.96)</f>
        <v>399.96</v>
      </c>
      <c r="T288" s="1">
        <f ca="1">IFERROR(__xludf.DUMMYFUNCTION("""COMPUTED_VALUE"""),8)</f>
        <v>8</v>
      </c>
      <c r="U288" s="9">
        <f ca="1">IFERROR(__xludf.DUMMYFUNCTION("""COMPUTED_VALUE"""),3199.68)</f>
        <v>3199.68</v>
      </c>
      <c r="V288" s="9">
        <f ca="1">IFERROR(__xludf.DUMMYFUNCTION("""COMPUTED_VALUE"""),3198.96)</f>
        <v>3198.96</v>
      </c>
      <c r="W288" s="12">
        <f ca="1">IFERROR(__xludf.DUMMYFUNCTION("""COMPUTED_VALUE"""),0.719999999999799)</f>
        <v>0.71999999999979902</v>
      </c>
    </row>
    <row r="289" spans="1:23" ht="13.2">
      <c r="A289" s="1" t="str">
        <f ca="1">IFERROR(__xludf.DUMMYFUNCTION("""COMPUTED_VALUE"""),"CA-2015-126361")</f>
        <v>CA-2015-126361</v>
      </c>
      <c r="B289" s="8">
        <f ca="1">IFERROR(__xludf.DUMMYFUNCTION("""COMPUTED_VALUE"""),42102)</f>
        <v>42102</v>
      </c>
      <c r="C289" s="1" t="str">
        <f ca="1">IFERROR(__xludf.DUMMYFUNCTION("""COMPUTED_VALUE"""),"Apr")</f>
        <v>Apr</v>
      </c>
      <c r="D289" s="1" t="str">
        <f ca="1">IFERROR(__xludf.DUMMYFUNCTION("""COMPUTED_VALUE"""),"Qtr 2")</f>
        <v>Qtr 2</v>
      </c>
      <c r="E289" s="1" t="str">
        <f ca="1">IFERROR(__xludf.DUMMYFUNCTION("""COMPUTED_VALUE"""),"9/8/2015")</f>
        <v>9/8/2015</v>
      </c>
      <c r="F289" s="1" t="str">
        <f ca="1">IFERROR(__xludf.DUMMYFUNCTION("""COMPUTED_VALUE"""),"Second Class")</f>
        <v>Second Class</v>
      </c>
      <c r="G289" s="1" t="str">
        <f ca="1">IFERROR(__xludf.DUMMYFUNCTION("""COMPUTED_VALUE"""),"VD-21670")</f>
        <v>VD-21670</v>
      </c>
      <c r="H289" s="1" t="str">
        <f ca="1">IFERROR(__xludf.DUMMYFUNCTION("""COMPUTED_VALUE"""),"Valerie")</f>
        <v>Valerie</v>
      </c>
      <c r="I289" s="1" t="str">
        <f ca="1">IFERROR(__xludf.DUMMYFUNCTION("""COMPUTED_VALUE"""),"Dominguez")</f>
        <v>Dominguez</v>
      </c>
      <c r="J289" s="1"/>
      <c r="K289" s="1" t="str">
        <f ca="1">IFERROR(__xludf.DUMMYFUNCTION("""COMPUTED_VALUE"""),"Consumer")</f>
        <v>Consumer</v>
      </c>
      <c r="L289" s="1" t="str">
        <f ca="1">IFERROR(__xludf.DUMMYFUNCTION("""COMPUTED_VALUE"""),"United States")</f>
        <v>United States</v>
      </c>
      <c r="M289" s="1" t="str">
        <f ca="1">IFERROR(__xludf.DUMMYFUNCTION("""COMPUTED_VALUE"""),"Pleasant Grove")</f>
        <v>Pleasant Grove</v>
      </c>
      <c r="N289" s="1" t="str">
        <f ca="1">IFERROR(__xludf.DUMMYFUNCTION("""COMPUTED_VALUE"""),"Utah")</f>
        <v>Utah</v>
      </c>
      <c r="O289" s="1">
        <f ca="1">IFERROR(__xludf.DUMMYFUNCTION("""COMPUTED_VALUE"""),84062)</f>
        <v>84062</v>
      </c>
      <c r="P289" s="1" t="str">
        <f ca="1">IFERROR(__xludf.DUMMYFUNCTION("""COMPUTED_VALUE"""),"West")</f>
        <v>West</v>
      </c>
      <c r="Q289" s="1" t="str">
        <f ca="1">IFERROR(__xludf.DUMMYFUNCTION("""COMPUTED_VALUE"""),"OFF-ST-10002289")</f>
        <v>OFF-ST-10002289</v>
      </c>
      <c r="R289" s="1" t="str">
        <f ca="1">IFERROR(__xludf.DUMMYFUNCTION("""COMPUTED_VALUE"""),"Office Supplies")</f>
        <v>Office Supplies</v>
      </c>
      <c r="S289" s="7">
        <f ca="1">IFERROR(__xludf.DUMMYFUNCTION("""COMPUTED_VALUE"""),158.9)</f>
        <v>158.9</v>
      </c>
      <c r="T289" s="1">
        <f ca="1">IFERROR(__xludf.DUMMYFUNCTION("""COMPUTED_VALUE"""),8)</f>
        <v>8</v>
      </c>
      <c r="U289" s="9">
        <f ca="1">IFERROR(__xludf.DUMMYFUNCTION("""COMPUTED_VALUE"""),1271.2)</f>
        <v>1271.2</v>
      </c>
      <c r="V289" s="9">
        <f ca="1">IFERROR(__xludf.DUMMYFUNCTION("""COMPUTED_VALUE"""),1265.36)</f>
        <v>1265.3599999999999</v>
      </c>
      <c r="W289" s="12">
        <f ca="1">IFERROR(__xludf.DUMMYFUNCTION("""COMPUTED_VALUE"""),5.84000000000014)</f>
        <v>5.8400000000001402</v>
      </c>
    </row>
    <row r="290" spans="1:23" ht="13.2">
      <c r="A290" s="1" t="str">
        <f ca="1">IFERROR(__xludf.DUMMYFUNCTION("""COMPUTED_VALUE"""),"CA-2015-126361")</f>
        <v>CA-2015-126361</v>
      </c>
      <c r="B290" s="8">
        <f ca="1">IFERROR(__xludf.DUMMYFUNCTION("""COMPUTED_VALUE"""),42102)</f>
        <v>42102</v>
      </c>
      <c r="C290" s="1" t="str">
        <f ca="1">IFERROR(__xludf.DUMMYFUNCTION("""COMPUTED_VALUE"""),"Apr")</f>
        <v>Apr</v>
      </c>
      <c r="D290" s="1" t="str">
        <f ca="1">IFERROR(__xludf.DUMMYFUNCTION("""COMPUTED_VALUE"""),"Qtr 2")</f>
        <v>Qtr 2</v>
      </c>
      <c r="E290" s="1" t="str">
        <f ca="1">IFERROR(__xludf.DUMMYFUNCTION("""COMPUTED_VALUE"""),"9/8/2015")</f>
        <v>9/8/2015</v>
      </c>
      <c r="F290" s="1" t="str">
        <f ca="1">IFERROR(__xludf.DUMMYFUNCTION("""COMPUTED_VALUE"""),"Second Class")</f>
        <v>Second Class</v>
      </c>
      <c r="G290" s="1" t="str">
        <f ca="1">IFERROR(__xludf.DUMMYFUNCTION("""COMPUTED_VALUE"""),"VD-21670")</f>
        <v>VD-21670</v>
      </c>
      <c r="H290" s="1" t="str">
        <f ca="1">IFERROR(__xludf.DUMMYFUNCTION("""COMPUTED_VALUE"""),"Valerie")</f>
        <v>Valerie</v>
      </c>
      <c r="I290" s="1" t="str">
        <f ca="1">IFERROR(__xludf.DUMMYFUNCTION("""COMPUTED_VALUE"""),"Dominguez")</f>
        <v>Dominguez</v>
      </c>
      <c r="J290" s="1"/>
      <c r="K290" s="1" t="str">
        <f ca="1">IFERROR(__xludf.DUMMYFUNCTION("""COMPUTED_VALUE"""),"Consumer")</f>
        <v>Consumer</v>
      </c>
      <c r="L290" s="1" t="str">
        <f ca="1">IFERROR(__xludf.DUMMYFUNCTION("""COMPUTED_VALUE"""),"United States")</f>
        <v>United States</v>
      </c>
      <c r="M290" s="1" t="str">
        <f ca="1">IFERROR(__xludf.DUMMYFUNCTION("""COMPUTED_VALUE"""),"Pleasant Grove")</f>
        <v>Pleasant Grove</v>
      </c>
      <c r="N290" s="1" t="str">
        <f ca="1">IFERROR(__xludf.DUMMYFUNCTION("""COMPUTED_VALUE"""),"Utah")</f>
        <v>Utah</v>
      </c>
      <c r="O290" s="1">
        <f ca="1">IFERROR(__xludf.DUMMYFUNCTION("""COMPUTED_VALUE"""),84062)</f>
        <v>84062</v>
      </c>
      <c r="P290" s="1" t="str">
        <f ca="1">IFERROR(__xludf.DUMMYFUNCTION("""COMPUTED_VALUE"""),"West")</f>
        <v>West</v>
      </c>
      <c r="Q290" s="1" t="str">
        <f ca="1">IFERROR(__xludf.DUMMYFUNCTION("""COMPUTED_VALUE"""),"OFF-BI-10002852")</f>
        <v>OFF-BI-10002852</v>
      </c>
      <c r="R290" s="1" t="str">
        <f ca="1">IFERROR(__xludf.DUMMYFUNCTION("""COMPUTED_VALUE"""),"Office Supplies")</f>
        <v>Office Supplies</v>
      </c>
      <c r="S290" s="7">
        <f ca="1">IFERROR(__xludf.DUMMYFUNCTION("""COMPUTED_VALUE"""),13.184)</f>
        <v>13.183999999999999</v>
      </c>
      <c r="T290" s="1">
        <f ca="1">IFERROR(__xludf.DUMMYFUNCTION("""COMPUTED_VALUE"""),8)</f>
        <v>8</v>
      </c>
      <c r="U290" s="9">
        <f ca="1">IFERROR(__xludf.DUMMYFUNCTION("""COMPUTED_VALUE"""),105.472)</f>
        <v>105.47199999999999</v>
      </c>
      <c r="V290" s="9">
        <f ca="1">IFERROR(__xludf.DUMMYFUNCTION("""COMPUTED_VALUE"""),103.2)</f>
        <v>103.2</v>
      </c>
      <c r="W290" s="12">
        <f ca="1">IFERROR(__xludf.DUMMYFUNCTION("""COMPUTED_VALUE"""),2.27199999999999)</f>
        <v>2.27199999999999</v>
      </c>
    </row>
    <row r="291" spans="1:23" ht="13.2">
      <c r="A291" s="1" t="str">
        <f ca="1">IFERROR(__xludf.DUMMYFUNCTION("""COMPUTED_VALUE"""),"CA-2018-115994")</f>
        <v>CA-2018-115994</v>
      </c>
      <c r="B291" s="8">
        <f ca="1">IFERROR(__xludf.DUMMYFUNCTION("""COMPUTED_VALUE"""),43128)</f>
        <v>43128</v>
      </c>
      <c r="C291" s="1" t="str">
        <f ca="1">IFERROR(__xludf.DUMMYFUNCTION("""COMPUTED_VALUE"""),"Jan")</f>
        <v>Jan</v>
      </c>
      <c r="D291" s="1" t="str">
        <f ca="1">IFERROR(__xludf.DUMMYFUNCTION("""COMPUTED_VALUE"""),"Qtr 1")</f>
        <v>Qtr 1</v>
      </c>
      <c r="E291" s="1" t="str">
        <f ca="1">IFERROR(__xludf.DUMMYFUNCTION("""COMPUTED_VALUE"""),"31/01/2018")</f>
        <v>31/01/2018</v>
      </c>
      <c r="F291" s="1" t="str">
        <f ca="1">IFERROR(__xludf.DUMMYFUNCTION("""COMPUTED_VALUE"""),"Second Class")</f>
        <v>Second Class</v>
      </c>
      <c r="G291" s="1" t="str">
        <f ca="1">IFERROR(__xludf.DUMMYFUNCTION("""COMPUTED_VALUE"""),"BT-11305")</f>
        <v>BT-11305</v>
      </c>
      <c r="H291" s="1" t="str">
        <f ca="1">IFERROR(__xludf.DUMMYFUNCTION("""COMPUTED_VALUE"""),"Beth")</f>
        <v>Beth</v>
      </c>
      <c r="I291" s="1" t="str">
        <f ca="1">IFERROR(__xludf.DUMMYFUNCTION("""COMPUTED_VALUE"""),"Thompson")</f>
        <v>Thompson</v>
      </c>
      <c r="J291" s="1"/>
      <c r="K291" s="1" t="str">
        <f ca="1">IFERROR(__xludf.DUMMYFUNCTION("""COMPUTED_VALUE"""),"Home Office")</f>
        <v>Home Office</v>
      </c>
      <c r="L291" s="1" t="str">
        <f ca="1">IFERROR(__xludf.DUMMYFUNCTION("""COMPUTED_VALUE"""),"United States")</f>
        <v>United States</v>
      </c>
      <c r="M291" s="1" t="str">
        <f ca="1">IFERROR(__xludf.DUMMYFUNCTION("""COMPUTED_VALUE"""),"Costa Mesa")</f>
        <v>Costa Mesa</v>
      </c>
      <c r="N291" s="1" t="str">
        <f ca="1">IFERROR(__xludf.DUMMYFUNCTION("""COMPUTED_VALUE"""),"California")</f>
        <v>California</v>
      </c>
      <c r="O291" s="1">
        <f ca="1">IFERROR(__xludf.DUMMYFUNCTION("""COMPUTED_VALUE"""),92627)</f>
        <v>92627</v>
      </c>
      <c r="P291" s="1" t="str">
        <f ca="1">IFERROR(__xludf.DUMMYFUNCTION("""COMPUTED_VALUE"""),"West")</f>
        <v>West</v>
      </c>
      <c r="Q291" s="1" t="str">
        <f ca="1">IFERROR(__xludf.DUMMYFUNCTION("""COMPUTED_VALUE"""),"TEC-AC-10000580")</f>
        <v>TEC-AC-10000580</v>
      </c>
      <c r="R291" s="1" t="str">
        <f ca="1">IFERROR(__xludf.DUMMYFUNCTION("""COMPUTED_VALUE"""),"Technology")</f>
        <v>Technology</v>
      </c>
      <c r="S291" s="7">
        <f ca="1">IFERROR(__xludf.DUMMYFUNCTION("""COMPUTED_VALUE"""),239.97)</f>
        <v>239.97</v>
      </c>
      <c r="T291" s="1">
        <f ca="1">IFERROR(__xludf.DUMMYFUNCTION("""COMPUTED_VALUE"""),9)</f>
        <v>9</v>
      </c>
      <c r="U291" s="9">
        <f ca="1">IFERROR(__xludf.DUMMYFUNCTION("""COMPUTED_VALUE"""),2159.73)</f>
        <v>2159.73</v>
      </c>
      <c r="V291" s="9">
        <f ca="1">IFERROR(__xludf.DUMMYFUNCTION("""COMPUTED_VALUE"""),2154.42)</f>
        <v>2154.42</v>
      </c>
      <c r="W291" s="12">
        <f ca="1">IFERROR(__xludf.DUMMYFUNCTION("""COMPUTED_VALUE"""),5.30999999999994)</f>
        <v>5.3099999999999401</v>
      </c>
    </row>
    <row r="292" spans="1:23" ht="13.2">
      <c r="A292" s="1" t="str">
        <f ca="1">IFERROR(__xludf.DUMMYFUNCTION("""COMPUTED_VALUE"""),"CA-2018-115994")</f>
        <v>CA-2018-115994</v>
      </c>
      <c r="B292" s="8">
        <f ca="1">IFERROR(__xludf.DUMMYFUNCTION("""COMPUTED_VALUE"""),43128)</f>
        <v>43128</v>
      </c>
      <c r="C292" s="1" t="str">
        <f ca="1">IFERROR(__xludf.DUMMYFUNCTION("""COMPUTED_VALUE"""),"Jan")</f>
        <v>Jan</v>
      </c>
      <c r="D292" s="1" t="str">
        <f ca="1">IFERROR(__xludf.DUMMYFUNCTION("""COMPUTED_VALUE"""),"Qtr 1")</f>
        <v>Qtr 1</v>
      </c>
      <c r="E292" s="1" t="str">
        <f ca="1">IFERROR(__xludf.DUMMYFUNCTION("""COMPUTED_VALUE"""),"31/01/2018")</f>
        <v>31/01/2018</v>
      </c>
      <c r="F292" s="1" t="str">
        <f ca="1">IFERROR(__xludf.DUMMYFUNCTION("""COMPUTED_VALUE"""),"Second Class")</f>
        <v>Second Class</v>
      </c>
      <c r="G292" s="1" t="str">
        <f ca="1">IFERROR(__xludf.DUMMYFUNCTION("""COMPUTED_VALUE"""),"BT-11305")</f>
        <v>BT-11305</v>
      </c>
      <c r="H292" s="1" t="str">
        <f ca="1">IFERROR(__xludf.DUMMYFUNCTION("""COMPUTED_VALUE"""),"Beth")</f>
        <v>Beth</v>
      </c>
      <c r="I292" s="1" t="str">
        <f ca="1">IFERROR(__xludf.DUMMYFUNCTION("""COMPUTED_VALUE"""),"Thompson")</f>
        <v>Thompson</v>
      </c>
      <c r="J292" s="1"/>
      <c r="K292" s="1" t="str">
        <f ca="1">IFERROR(__xludf.DUMMYFUNCTION("""COMPUTED_VALUE"""),"Home Office")</f>
        <v>Home Office</v>
      </c>
      <c r="L292" s="1" t="str">
        <f ca="1">IFERROR(__xludf.DUMMYFUNCTION("""COMPUTED_VALUE"""),"United States")</f>
        <v>United States</v>
      </c>
      <c r="M292" s="1" t="str">
        <f ca="1">IFERROR(__xludf.DUMMYFUNCTION("""COMPUTED_VALUE"""),"Costa Mesa")</f>
        <v>Costa Mesa</v>
      </c>
      <c r="N292" s="1" t="str">
        <f ca="1">IFERROR(__xludf.DUMMYFUNCTION("""COMPUTED_VALUE"""),"California")</f>
        <v>California</v>
      </c>
      <c r="O292" s="1">
        <f ca="1">IFERROR(__xludf.DUMMYFUNCTION("""COMPUTED_VALUE"""),92627)</f>
        <v>92627</v>
      </c>
      <c r="P292" s="1" t="str">
        <f ca="1">IFERROR(__xludf.DUMMYFUNCTION("""COMPUTED_VALUE"""),"West")</f>
        <v>West</v>
      </c>
      <c r="Q292" s="1" t="str">
        <f ca="1">IFERROR(__xludf.DUMMYFUNCTION("""COMPUTED_VALUE"""),"FUR-FU-10003976")</f>
        <v>FUR-FU-10003976</v>
      </c>
      <c r="R292" s="1" t="str">
        <f ca="1">IFERROR(__xludf.DUMMYFUNCTION("""COMPUTED_VALUE"""),"Furniture")</f>
        <v>Furniture</v>
      </c>
      <c r="S292" s="7">
        <f ca="1">IFERROR(__xludf.DUMMYFUNCTION("""COMPUTED_VALUE"""),37.74)</f>
        <v>37.74</v>
      </c>
      <c r="T292" s="1">
        <f ca="1">IFERROR(__xludf.DUMMYFUNCTION("""COMPUTED_VALUE"""),9)</f>
        <v>9</v>
      </c>
      <c r="U292" s="9">
        <f ca="1">IFERROR(__xludf.DUMMYFUNCTION("""COMPUTED_VALUE"""),339.66)</f>
        <v>339.66</v>
      </c>
      <c r="V292" s="9">
        <f ca="1">IFERROR(__xludf.DUMMYFUNCTION("""COMPUTED_VALUE"""),336.24)</f>
        <v>336.24</v>
      </c>
      <c r="W292" s="12">
        <f ca="1">IFERROR(__xludf.DUMMYFUNCTION("""COMPUTED_VALUE"""),3.42000000000001)</f>
        <v>3.4200000000000101</v>
      </c>
    </row>
    <row r="293" spans="1:23" ht="13.2">
      <c r="A293" s="1" t="str">
        <f ca="1">IFERROR(__xludf.DUMMYFUNCTION("""COMPUTED_VALUE"""),"US-2016-164448")</f>
        <v>US-2016-164448</v>
      </c>
      <c r="B293" s="8">
        <f ca="1">IFERROR(__xludf.DUMMYFUNCTION("""COMPUTED_VALUE"""),42674)</f>
        <v>42674</v>
      </c>
      <c r="C293" s="1" t="str">
        <f ca="1">IFERROR(__xludf.DUMMYFUNCTION("""COMPUTED_VALUE"""),"Oct")</f>
        <v>Oct</v>
      </c>
      <c r="D293" s="1" t="str">
        <f ca="1">IFERROR(__xludf.DUMMYFUNCTION("""COMPUTED_VALUE"""),"Qtr 4")</f>
        <v>Qtr 4</v>
      </c>
      <c r="E293" s="1" t="str">
        <f ca="1">IFERROR(__xludf.DUMMYFUNCTION("""COMPUTED_VALUE"""),"4/11/2016")</f>
        <v>4/11/2016</v>
      </c>
      <c r="F293" s="1" t="str">
        <f ca="1">IFERROR(__xludf.DUMMYFUNCTION("""COMPUTED_VALUE"""),"Second Class")</f>
        <v>Second Class</v>
      </c>
      <c r="G293" s="1" t="str">
        <f ca="1">IFERROR(__xludf.DUMMYFUNCTION("""COMPUTED_VALUE"""),"DK-12835")</f>
        <v>DK-12835</v>
      </c>
      <c r="H293" s="1" t="str">
        <f ca="1">IFERROR(__xludf.DUMMYFUNCTION("""COMPUTED_VALUE"""),"Damala")</f>
        <v>Damala</v>
      </c>
      <c r="I293" s="1" t="str">
        <f ca="1">IFERROR(__xludf.DUMMYFUNCTION("""COMPUTED_VALUE"""),"Kotsonis")</f>
        <v>Kotsonis</v>
      </c>
      <c r="J293" s="1"/>
      <c r="K293" s="1" t="str">
        <f ca="1">IFERROR(__xludf.DUMMYFUNCTION("""COMPUTED_VALUE"""),"Corporate")</f>
        <v>Corporate</v>
      </c>
      <c r="L293" s="1" t="str">
        <f ca="1">IFERROR(__xludf.DUMMYFUNCTION("""COMPUTED_VALUE"""),"United States")</f>
        <v>United States</v>
      </c>
      <c r="M293" s="1" t="str">
        <f ca="1">IFERROR(__xludf.DUMMYFUNCTION("""COMPUTED_VALUE"""),"Salinas")</f>
        <v>Salinas</v>
      </c>
      <c r="N293" s="1" t="str">
        <f ca="1">IFERROR(__xludf.DUMMYFUNCTION("""COMPUTED_VALUE"""),"California")</f>
        <v>California</v>
      </c>
      <c r="O293" s="1">
        <f ca="1">IFERROR(__xludf.DUMMYFUNCTION("""COMPUTED_VALUE"""),93905)</f>
        <v>93905</v>
      </c>
      <c r="P293" s="1" t="str">
        <f ca="1">IFERROR(__xludf.DUMMYFUNCTION("""COMPUTED_VALUE"""),"West")</f>
        <v>West</v>
      </c>
      <c r="Q293" s="1" t="str">
        <f ca="1">IFERROR(__xludf.DUMMYFUNCTION("""COMPUTED_VALUE"""),"OFF-BI-10002949")</f>
        <v>OFF-BI-10002949</v>
      </c>
      <c r="R293" s="1" t="str">
        <f ca="1">IFERROR(__xludf.DUMMYFUNCTION("""COMPUTED_VALUE"""),"Office Supplies")</f>
        <v>Office Supplies</v>
      </c>
      <c r="S293" s="7">
        <f ca="1">IFERROR(__xludf.DUMMYFUNCTION("""COMPUTED_VALUE"""),9.728)</f>
        <v>9.7279999999999998</v>
      </c>
      <c r="T293" s="1">
        <f ca="1">IFERROR(__xludf.DUMMYFUNCTION("""COMPUTED_VALUE"""),9)</f>
        <v>9</v>
      </c>
      <c r="U293" s="9">
        <f ca="1">IFERROR(__xludf.DUMMYFUNCTION("""COMPUTED_VALUE"""),87.5519999999999)</f>
        <v>87.551999999999893</v>
      </c>
      <c r="V293" s="9">
        <f ca="1">IFERROR(__xludf.DUMMYFUNCTION("""COMPUTED_VALUE"""),81)</f>
        <v>81</v>
      </c>
      <c r="W293" s="12">
        <f ca="1">IFERROR(__xludf.DUMMYFUNCTION("""COMPUTED_VALUE"""),6.55199999999999)</f>
        <v>6.5519999999999898</v>
      </c>
    </row>
    <row r="294" spans="1:23" ht="13.2">
      <c r="A294" s="1" t="str">
        <f ca="1">IFERROR(__xludf.DUMMYFUNCTION("""COMPUTED_VALUE"""),"US-2016-164448")</f>
        <v>US-2016-164448</v>
      </c>
      <c r="B294" s="8">
        <f ca="1">IFERROR(__xludf.DUMMYFUNCTION("""COMPUTED_VALUE"""),42674)</f>
        <v>42674</v>
      </c>
      <c r="C294" s="1" t="str">
        <f ca="1">IFERROR(__xludf.DUMMYFUNCTION("""COMPUTED_VALUE"""),"Oct")</f>
        <v>Oct</v>
      </c>
      <c r="D294" s="1" t="str">
        <f ca="1">IFERROR(__xludf.DUMMYFUNCTION("""COMPUTED_VALUE"""),"Qtr 4")</f>
        <v>Qtr 4</v>
      </c>
      <c r="E294" s="1" t="str">
        <f ca="1">IFERROR(__xludf.DUMMYFUNCTION("""COMPUTED_VALUE"""),"4/11/2016")</f>
        <v>4/11/2016</v>
      </c>
      <c r="F294" s="1" t="str">
        <f ca="1">IFERROR(__xludf.DUMMYFUNCTION("""COMPUTED_VALUE"""),"Second Class")</f>
        <v>Second Class</v>
      </c>
      <c r="G294" s="1" t="str">
        <f ca="1">IFERROR(__xludf.DUMMYFUNCTION("""COMPUTED_VALUE"""),"DK-12835")</f>
        <v>DK-12835</v>
      </c>
      <c r="H294" s="1" t="str">
        <f ca="1">IFERROR(__xludf.DUMMYFUNCTION("""COMPUTED_VALUE"""),"Damala")</f>
        <v>Damala</v>
      </c>
      <c r="I294" s="1" t="str">
        <f ca="1">IFERROR(__xludf.DUMMYFUNCTION("""COMPUTED_VALUE"""),"Kotsonis")</f>
        <v>Kotsonis</v>
      </c>
      <c r="J294" s="1"/>
      <c r="K294" s="1" t="str">
        <f ca="1">IFERROR(__xludf.DUMMYFUNCTION("""COMPUTED_VALUE"""),"Corporate")</f>
        <v>Corporate</v>
      </c>
      <c r="L294" s="1" t="str">
        <f ca="1">IFERROR(__xludf.DUMMYFUNCTION("""COMPUTED_VALUE"""),"United States")</f>
        <v>United States</v>
      </c>
      <c r="M294" s="1" t="str">
        <f ca="1">IFERROR(__xludf.DUMMYFUNCTION("""COMPUTED_VALUE"""),"Salinas")</f>
        <v>Salinas</v>
      </c>
      <c r="N294" s="1" t="str">
        <f ca="1">IFERROR(__xludf.DUMMYFUNCTION("""COMPUTED_VALUE"""),"California")</f>
        <v>California</v>
      </c>
      <c r="O294" s="1">
        <f ca="1">IFERROR(__xludf.DUMMYFUNCTION("""COMPUTED_VALUE"""),93905)</f>
        <v>93905</v>
      </c>
      <c r="P294" s="1" t="str">
        <f ca="1">IFERROR(__xludf.DUMMYFUNCTION("""COMPUTED_VALUE"""),"West")</f>
        <v>West</v>
      </c>
      <c r="Q294" s="1" t="str">
        <f ca="1">IFERROR(__xludf.DUMMYFUNCTION("""COMPUTED_VALUE"""),"OFF-EN-10002600")</f>
        <v>OFF-EN-10002600</v>
      </c>
      <c r="R294" s="1" t="str">
        <f ca="1">IFERROR(__xludf.DUMMYFUNCTION("""COMPUTED_VALUE"""),"Office Supplies")</f>
        <v>Office Supplies</v>
      </c>
      <c r="S294" s="7">
        <f ca="1">IFERROR(__xludf.DUMMYFUNCTION("""COMPUTED_VALUE"""),14.75)</f>
        <v>14.75</v>
      </c>
      <c r="T294" s="1">
        <f ca="1">IFERROR(__xludf.DUMMYFUNCTION("""COMPUTED_VALUE"""),9)</f>
        <v>9</v>
      </c>
      <c r="U294" s="9">
        <f ca="1">IFERROR(__xludf.DUMMYFUNCTION("""COMPUTED_VALUE"""),132.75)</f>
        <v>132.75</v>
      </c>
      <c r="V294" s="9">
        <f ca="1">IFERROR(__xludf.DUMMYFUNCTION("""COMPUTED_VALUE"""),129.42)</f>
        <v>129.41999999999999</v>
      </c>
      <c r="W294" s="12">
        <f ca="1">IFERROR(__xludf.DUMMYFUNCTION("""COMPUTED_VALUE"""),3.32999999999998)</f>
        <v>3.3299999999999801</v>
      </c>
    </row>
    <row r="295" spans="1:23" ht="13.2">
      <c r="A295" s="1" t="str">
        <f ca="1">IFERROR(__xludf.DUMMYFUNCTION("""COMPUTED_VALUE"""),"US-2016-164448")</f>
        <v>US-2016-164448</v>
      </c>
      <c r="B295" s="8">
        <f ca="1">IFERROR(__xludf.DUMMYFUNCTION("""COMPUTED_VALUE"""),42674)</f>
        <v>42674</v>
      </c>
      <c r="C295" s="1" t="str">
        <f ca="1">IFERROR(__xludf.DUMMYFUNCTION("""COMPUTED_VALUE"""),"Oct")</f>
        <v>Oct</v>
      </c>
      <c r="D295" s="1" t="str">
        <f ca="1">IFERROR(__xludf.DUMMYFUNCTION("""COMPUTED_VALUE"""),"Qtr 4")</f>
        <v>Qtr 4</v>
      </c>
      <c r="E295" s="1" t="str">
        <f ca="1">IFERROR(__xludf.DUMMYFUNCTION("""COMPUTED_VALUE"""),"4/11/2016")</f>
        <v>4/11/2016</v>
      </c>
      <c r="F295" s="1" t="str">
        <f ca="1">IFERROR(__xludf.DUMMYFUNCTION("""COMPUTED_VALUE"""),"Second Class")</f>
        <v>Second Class</v>
      </c>
      <c r="G295" s="1" t="str">
        <f ca="1">IFERROR(__xludf.DUMMYFUNCTION("""COMPUTED_VALUE"""),"DK-12835")</f>
        <v>DK-12835</v>
      </c>
      <c r="H295" s="1" t="str">
        <f ca="1">IFERROR(__xludf.DUMMYFUNCTION("""COMPUTED_VALUE"""),"Damala")</f>
        <v>Damala</v>
      </c>
      <c r="I295" s="1" t="str">
        <f ca="1">IFERROR(__xludf.DUMMYFUNCTION("""COMPUTED_VALUE"""),"Kotsonis")</f>
        <v>Kotsonis</v>
      </c>
      <c r="J295" s="1"/>
      <c r="K295" s="1" t="str">
        <f ca="1">IFERROR(__xludf.DUMMYFUNCTION("""COMPUTED_VALUE"""),"Corporate")</f>
        <v>Corporate</v>
      </c>
      <c r="L295" s="1" t="str">
        <f ca="1">IFERROR(__xludf.DUMMYFUNCTION("""COMPUTED_VALUE"""),"United States")</f>
        <v>United States</v>
      </c>
      <c r="M295" s="1" t="str">
        <f ca="1">IFERROR(__xludf.DUMMYFUNCTION("""COMPUTED_VALUE"""),"Salinas")</f>
        <v>Salinas</v>
      </c>
      <c r="N295" s="1" t="str">
        <f ca="1">IFERROR(__xludf.DUMMYFUNCTION("""COMPUTED_VALUE"""),"California")</f>
        <v>California</v>
      </c>
      <c r="O295" s="1">
        <f ca="1">IFERROR(__xludf.DUMMYFUNCTION("""COMPUTED_VALUE"""),93905)</f>
        <v>93905</v>
      </c>
      <c r="P295" s="1" t="str">
        <f ca="1">IFERROR(__xludf.DUMMYFUNCTION("""COMPUTED_VALUE"""),"West")</f>
        <v>West</v>
      </c>
      <c r="Q295" s="1" t="str">
        <f ca="1">IFERROR(__xludf.DUMMYFUNCTION("""COMPUTED_VALUE"""),"OFF-BI-10003708")</f>
        <v>OFF-BI-10003708</v>
      </c>
      <c r="R295" s="1" t="str">
        <f ca="1">IFERROR(__xludf.DUMMYFUNCTION("""COMPUTED_VALUE"""),"Office Supplies")</f>
        <v>Office Supplies</v>
      </c>
      <c r="S295" s="7">
        <f ca="1">IFERROR(__xludf.DUMMYFUNCTION("""COMPUTED_VALUE"""),29.8)</f>
        <v>29.8</v>
      </c>
      <c r="T295" s="1">
        <f ca="1">IFERROR(__xludf.DUMMYFUNCTION("""COMPUTED_VALUE"""),9)</f>
        <v>9</v>
      </c>
      <c r="U295" s="9">
        <f ca="1">IFERROR(__xludf.DUMMYFUNCTION("""COMPUTED_VALUE"""),268.2)</f>
        <v>268.2</v>
      </c>
      <c r="V295" s="9">
        <f ca="1">IFERROR(__xludf.DUMMYFUNCTION("""COMPUTED_VALUE"""),261.18)</f>
        <v>261.18</v>
      </c>
      <c r="W295" s="12">
        <f ca="1">IFERROR(__xludf.DUMMYFUNCTION("""COMPUTED_VALUE"""),7.01999999999998)</f>
        <v>7.01999999999998</v>
      </c>
    </row>
    <row r="296" spans="1:23" ht="13.2">
      <c r="A296" s="1" t="str">
        <f ca="1">IFERROR(__xludf.DUMMYFUNCTION("""COMPUTED_VALUE"""),"US-2016-164448")</f>
        <v>US-2016-164448</v>
      </c>
      <c r="B296" s="8">
        <f ca="1">IFERROR(__xludf.DUMMYFUNCTION("""COMPUTED_VALUE"""),42674)</f>
        <v>42674</v>
      </c>
      <c r="C296" s="1" t="str">
        <f ca="1">IFERROR(__xludf.DUMMYFUNCTION("""COMPUTED_VALUE"""),"Oct")</f>
        <v>Oct</v>
      </c>
      <c r="D296" s="1" t="str">
        <f ca="1">IFERROR(__xludf.DUMMYFUNCTION("""COMPUTED_VALUE"""),"Qtr 4")</f>
        <v>Qtr 4</v>
      </c>
      <c r="E296" s="1" t="str">
        <f ca="1">IFERROR(__xludf.DUMMYFUNCTION("""COMPUTED_VALUE"""),"4/11/2016")</f>
        <v>4/11/2016</v>
      </c>
      <c r="F296" s="1" t="str">
        <f ca="1">IFERROR(__xludf.DUMMYFUNCTION("""COMPUTED_VALUE"""),"Second Class")</f>
        <v>Second Class</v>
      </c>
      <c r="G296" s="1" t="str">
        <f ca="1">IFERROR(__xludf.DUMMYFUNCTION("""COMPUTED_VALUE"""),"DK-12835")</f>
        <v>DK-12835</v>
      </c>
      <c r="H296" s="1" t="str">
        <f ca="1">IFERROR(__xludf.DUMMYFUNCTION("""COMPUTED_VALUE"""),"Damala")</f>
        <v>Damala</v>
      </c>
      <c r="I296" s="1" t="str">
        <f ca="1">IFERROR(__xludf.DUMMYFUNCTION("""COMPUTED_VALUE"""),"Kotsonis")</f>
        <v>Kotsonis</v>
      </c>
      <c r="J296" s="1"/>
      <c r="K296" s="1" t="str">
        <f ca="1">IFERROR(__xludf.DUMMYFUNCTION("""COMPUTED_VALUE"""),"Corporate")</f>
        <v>Corporate</v>
      </c>
      <c r="L296" s="1" t="str">
        <f ca="1">IFERROR(__xludf.DUMMYFUNCTION("""COMPUTED_VALUE"""),"United States")</f>
        <v>United States</v>
      </c>
      <c r="M296" s="1" t="str">
        <f ca="1">IFERROR(__xludf.DUMMYFUNCTION("""COMPUTED_VALUE"""),"Salinas")</f>
        <v>Salinas</v>
      </c>
      <c r="N296" s="1" t="str">
        <f ca="1">IFERROR(__xludf.DUMMYFUNCTION("""COMPUTED_VALUE"""),"California")</f>
        <v>California</v>
      </c>
      <c r="O296" s="1">
        <f ca="1">IFERROR(__xludf.DUMMYFUNCTION("""COMPUTED_VALUE"""),93905)</f>
        <v>93905</v>
      </c>
      <c r="P296" s="1" t="str">
        <f ca="1">IFERROR(__xludf.DUMMYFUNCTION("""COMPUTED_VALUE"""),"West")</f>
        <v>West</v>
      </c>
      <c r="Q296" s="1" t="str">
        <f ca="1">IFERROR(__xludf.DUMMYFUNCTION("""COMPUTED_VALUE"""),"OFF-LA-10003510")</f>
        <v>OFF-LA-10003510</v>
      </c>
      <c r="R296" s="1" t="str">
        <f ca="1">IFERROR(__xludf.DUMMYFUNCTION("""COMPUTED_VALUE"""),"Office Supplies")</f>
        <v>Office Supplies</v>
      </c>
      <c r="S296" s="7">
        <f ca="1">IFERROR(__xludf.DUMMYFUNCTION("""COMPUTED_VALUE"""),427.42)</f>
        <v>427.42</v>
      </c>
      <c r="T296" s="1">
        <f ca="1">IFERROR(__xludf.DUMMYFUNCTION("""COMPUTED_VALUE"""),9)</f>
        <v>9</v>
      </c>
      <c r="U296" s="9">
        <f ca="1">IFERROR(__xludf.DUMMYFUNCTION("""COMPUTED_VALUE"""),3846.78)</f>
        <v>3846.78</v>
      </c>
      <c r="V296" s="9">
        <f ca="1">IFERROR(__xludf.DUMMYFUNCTION("""COMPUTED_VALUE"""),3843.26999999999)</f>
        <v>3843.26999999999</v>
      </c>
      <c r="W296" s="12">
        <f ca="1">IFERROR(__xludf.DUMMYFUNCTION("""COMPUTED_VALUE"""),3.51000000000067)</f>
        <v>3.5100000000006699</v>
      </c>
    </row>
    <row r="297" spans="1:23" ht="13.2">
      <c r="A297" s="1" t="str">
        <f ca="1">IFERROR(__xludf.DUMMYFUNCTION("""COMPUTED_VALUE"""),"CA-2015-120768")</f>
        <v>CA-2015-120768</v>
      </c>
      <c r="B297" s="8">
        <f ca="1">IFERROR(__xludf.DUMMYFUNCTION("""COMPUTED_VALUE"""),42357)</f>
        <v>42357</v>
      </c>
      <c r="C297" s="1" t="str">
        <f ca="1">IFERROR(__xludf.DUMMYFUNCTION("""COMPUTED_VALUE"""),"Dec")</f>
        <v>Dec</v>
      </c>
      <c r="D297" s="1" t="str">
        <f ca="1">IFERROR(__xludf.DUMMYFUNCTION("""COMPUTED_VALUE"""),"Qtr 4")</f>
        <v>Qtr 4</v>
      </c>
      <c r="E297" s="1" t="str">
        <f ca="1">IFERROR(__xludf.DUMMYFUNCTION("""COMPUTED_VALUE"""),"21/12/2015")</f>
        <v>21/12/2015</v>
      </c>
      <c r="F297" s="1" t="str">
        <f ca="1">IFERROR(__xludf.DUMMYFUNCTION("""COMPUTED_VALUE"""),"Second Class")</f>
        <v>Second Class</v>
      </c>
      <c r="G297" s="1" t="str">
        <f ca="1">IFERROR(__xludf.DUMMYFUNCTION("""COMPUTED_VALUE"""),"IM-15070")</f>
        <v>IM-15070</v>
      </c>
      <c r="H297" s="1" t="str">
        <f ca="1">IFERROR(__xludf.DUMMYFUNCTION("""COMPUTED_VALUE"""),"Irene")</f>
        <v>Irene</v>
      </c>
      <c r="I297" s="1" t="str">
        <f ca="1">IFERROR(__xludf.DUMMYFUNCTION("""COMPUTED_VALUE"""),"Maddox")</f>
        <v>Maddox</v>
      </c>
      <c r="J297" s="1"/>
      <c r="K297" s="1" t="str">
        <f ca="1">IFERROR(__xludf.DUMMYFUNCTION("""COMPUTED_VALUE"""),"Consumer")</f>
        <v>Consumer</v>
      </c>
      <c r="L297" s="1" t="str">
        <f ca="1">IFERROR(__xludf.DUMMYFUNCTION("""COMPUTED_VALUE"""),"United States")</f>
        <v>United States</v>
      </c>
      <c r="M297" s="1" t="str">
        <f ca="1">IFERROR(__xludf.DUMMYFUNCTION("""COMPUTED_VALUE"""),"Florence")</f>
        <v>Florence</v>
      </c>
      <c r="N297" s="1" t="str">
        <f ca="1">IFERROR(__xludf.DUMMYFUNCTION("""COMPUTED_VALUE"""),"Alabama")</f>
        <v>Alabama</v>
      </c>
      <c r="O297" s="1">
        <f ca="1">IFERROR(__xludf.DUMMYFUNCTION("""COMPUTED_VALUE"""),35630)</f>
        <v>35630</v>
      </c>
      <c r="P297" s="1" t="str">
        <f ca="1">IFERROR(__xludf.DUMMYFUNCTION("""COMPUTED_VALUE"""),"South")</f>
        <v>South</v>
      </c>
      <c r="Q297" s="1" t="str">
        <f ca="1">IFERROR(__xludf.DUMMYFUNCTION("""COMPUTED_VALUE"""),"OFF-BI-10001191")</f>
        <v>OFF-BI-10001191</v>
      </c>
      <c r="R297" s="1" t="str">
        <f ca="1">IFERROR(__xludf.DUMMYFUNCTION("""COMPUTED_VALUE"""),"Office Supplies")</f>
        <v>Office Supplies</v>
      </c>
      <c r="S297" s="7">
        <f ca="1">IFERROR(__xludf.DUMMYFUNCTION("""COMPUTED_VALUE"""),152.76)</f>
        <v>152.76</v>
      </c>
      <c r="T297" s="1">
        <f ca="1">IFERROR(__xludf.DUMMYFUNCTION("""COMPUTED_VALUE"""),3)</f>
        <v>3</v>
      </c>
      <c r="U297" s="9">
        <f ca="1">IFERROR(__xludf.DUMMYFUNCTION("""COMPUTED_VALUE"""),458.28)</f>
        <v>458.28</v>
      </c>
      <c r="V297" s="9">
        <f ca="1">IFERROR(__xludf.DUMMYFUNCTION("""COMPUTED_VALUE"""),456.27)</f>
        <v>456.27</v>
      </c>
      <c r="W297" s="12">
        <f ca="1">IFERROR(__xludf.DUMMYFUNCTION("""COMPUTED_VALUE"""),2.00999999999999)</f>
        <v>2.00999999999999</v>
      </c>
    </row>
    <row r="298" spans="1:23" ht="13.2">
      <c r="A298" s="1" t="str">
        <f ca="1">IFERROR(__xludf.DUMMYFUNCTION("""COMPUTED_VALUE"""),"CA-2015-120768")</f>
        <v>CA-2015-120768</v>
      </c>
      <c r="B298" s="8">
        <f ca="1">IFERROR(__xludf.DUMMYFUNCTION("""COMPUTED_VALUE"""),42357)</f>
        <v>42357</v>
      </c>
      <c r="C298" s="1" t="str">
        <f ca="1">IFERROR(__xludf.DUMMYFUNCTION("""COMPUTED_VALUE"""),"Dec")</f>
        <v>Dec</v>
      </c>
      <c r="D298" s="1" t="str">
        <f ca="1">IFERROR(__xludf.DUMMYFUNCTION("""COMPUTED_VALUE"""),"Qtr 4")</f>
        <v>Qtr 4</v>
      </c>
      <c r="E298" s="1" t="str">
        <f ca="1">IFERROR(__xludf.DUMMYFUNCTION("""COMPUTED_VALUE"""),"21/12/2015")</f>
        <v>21/12/2015</v>
      </c>
      <c r="F298" s="1" t="str">
        <f ca="1">IFERROR(__xludf.DUMMYFUNCTION("""COMPUTED_VALUE"""),"Second Class")</f>
        <v>Second Class</v>
      </c>
      <c r="G298" s="1" t="str">
        <f ca="1">IFERROR(__xludf.DUMMYFUNCTION("""COMPUTED_VALUE"""),"IM-15070")</f>
        <v>IM-15070</v>
      </c>
      <c r="H298" s="1" t="str">
        <f ca="1">IFERROR(__xludf.DUMMYFUNCTION("""COMPUTED_VALUE"""),"Irene")</f>
        <v>Irene</v>
      </c>
      <c r="I298" s="1" t="str">
        <f ca="1">IFERROR(__xludf.DUMMYFUNCTION("""COMPUTED_VALUE"""),"Maddox")</f>
        <v>Maddox</v>
      </c>
      <c r="J298" s="1"/>
      <c r="K298" s="1" t="str">
        <f ca="1">IFERROR(__xludf.DUMMYFUNCTION("""COMPUTED_VALUE"""),"Consumer")</f>
        <v>Consumer</v>
      </c>
      <c r="L298" s="1" t="str">
        <f ca="1">IFERROR(__xludf.DUMMYFUNCTION("""COMPUTED_VALUE"""),"United States")</f>
        <v>United States</v>
      </c>
      <c r="M298" s="1" t="str">
        <f ca="1">IFERROR(__xludf.DUMMYFUNCTION("""COMPUTED_VALUE"""),"Florence")</f>
        <v>Florence</v>
      </c>
      <c r="N298" s="1" t="str">
        <f ca="1">IFERROR(__xludf.DUMMYFUNCTION("""COMPUTED_VALUE"""),"Alabama")</f>
        <v>Alabama</v>
      </c>
      <c r="O298" s="1">
        <f ca="1">IFERROR(__xludf.DUMMYFUNCTION("""COMPUTED_VALUE"""),35630)</f>
        <v>35630</v>
      </c>
      <c r="P298" s="1" t="str">
        <f ca="1">IFERROR(__xludf.DUMMYFUNCTION("""COMPUTED_VALUE"""),"South")</f>
        <v>South</v>
      </c>
      <c r="Q298" s="1" t="str">
        <f ca="1">IFERROR(__xludf.DUMMYFUNCTION("""COMPUTED_VALUE"""),"OFF-SU-10004115")</f>
        <v>OFF-SU-10004115</v>
      </c>
      <c r="R298" s="1" t="str">
        <f ca="1">IFERROR(__xludf.DUMMYFUNCTION("""COMPUTED_VALUE"""),"Office Supplies")</f>
        <v>Office Supplies</v>
      </c>
      <c r="S298" s="7">
        <f ca="1">IFERROR(__xludf.DUMMYFUNCTION("""COMPUTED_VALUE"""),7.27)</f>
        <v>7.27</v>
      </c>
      <c r="T298" s="1">
        <f ca="1">IFERROR(__xludf.DUMMYFUNCTION("""COMPUTED_VALUE"""),3)</f>
        <v>3</v>
      </c>
      <c r="U298" s="9">
        <f ca="1">IFERROR(__xludf.DUMMYFUNCTION("""COMPUTED_VALUE"""),21.81)</f>
        <v>21.81</v>
      </c>
      <c r="V298" s="9">
        <f ca="1">IFERROR(__xludf.DUMMYFUNCTION("""COMPUTED_VALUE"""),19.02)</f>
        <v>19.02</v>
      </c>
      <c r="W298" s="12">
        <f ca="1">IFERROR(__xludf.DUMMYFUNCTION("""COMPUTED_VALUE"""),2.78999999999999)</f>
        <v>2.7899999999999898</v>
      </c>
    </row>
    <row r="299" spans="1:23" ht="13.2">
      <c r="A299" s="1" t="str">
        <f ca="1">IFERROR(__xludf.DUMMYFUNCTION("""COMPUTED_VALUE"""),"CA-2015-120768")</f>
        <v>CA-2015-120768</v>
      </c>
      <c r="B299" s="8">
        <f ca="1">IFERROR(__xludf.DUMMYFUNCTION("""COMPUTED_VALUE"""),42357)</f>
        <v>42357</v>
      </c>
      <c r="C299" s="1" t="str">
        <f ca="1">IFERROR(__xludf.DUMMYFUNCTION("""COMPUTED_VALUE"""),"Dec")</f>
        <v>Dec</v>
      </c>
      <c r="D299" s="1" t="str">
        <f ca="1">IFERROR(__xludf.DUMMYFUNCTION("""COMPUTED_VALUE"""),"Qtr 4")</f>
        <v>Qtr 4</v>
      </c>
      <c r="E299" s="1" t="str">
        <f ca="1">IFERROR(__xludf.DUMMYFUNCTION("""COMPUTED_VALUE"""),"21/12/2015")</f>
        <v>21/12/2015</v>
      </c>
      <c r="F299" s="1" t="str">
        <f ca="1">IFERROR(__xludf.DUMMYFUNCTION("""COMPUTED_VALUE"""),"Second Class")</f>
        <v>Second Class</v>
      </c>
      <c r="G299" s="1" t="str">
        <f ca="1">IFERROR(__xludf.DUMMYFUNCTION("""COMPUTED_VALUE"""),"IM-15070")</f>
        <v>IM-15070</v>
      </c>
      <c r="H299" s="1" t="str">
        <f ca="1">IFERROR(__xludf.DUMMYFUNCTION("""COMPUTED_VALUE"""),"Irene")</f>
        <v>Irene</v>
      </c>
      <c r="I299" s="1" t="str">
        <f ca="1">IFERROR(__xludf.DUMMYFUNCTION("""COMPUTED_VALUE"""),"Maddox")</f>
        <v>Maddox</v>
      </c>
      <c r="J299" s="1"/>
      <c r="K299" s="1" t="str">
        <f ca="1">IFERROR(__xludf.DUMMYFUNCTION("""COMPUTED_VALUE"""),"Consumer")</f>
        <v>Consumer</v>
      </c>
      <c r="L299" s="1" t="str">
        <f ca="1">IFERROR(__xludf.DUMMYFUNCTION("""COMPUTED_VALUE"""),"United States")</f>
        <v>United States</v>
      </c>
      <c r="M299" s="1" t="str">
        <f ca="1">IFERROR(__xludf.DUMMYFUNCTION("""COMPUTED_VALUE"""),"Florence")</f>
        <v>Florence</v>
      </c>
      <c r="N299" s="1" t="str">
        <f ca="1">IFERROR(__xludf.DUMMYFUNCTION("""COMPUTED_VALUE"""),"Alabama")</f>
        <v>Alabama</v>
      </c>
      <c r="O299" s="1">
        <f ca="1">IFERROR(__xludf.DUMMYFUNCTION("""COMPUTED_VALUE"""),35630)</f>
        <v>35630</v>
      </c>
      <c r="P299" s="1" t="str">
        <f ca="1">IFERROR(__xludf.DUMMYFUNCTION("""COMPUTED_VALUE"""),"South")</f>
        <v>South</v>
      </c>
      <c r="Q299" s="1" t="str">
        <f ca="1">IFERROR(__xludf.DUMMYFUNCTION("""COMPUTED_VALUE"""),"FUR-CH-10000513")</f>
        <v>FUR-CH-10000513</v>
      </c>
      <c r="R299" s="1" t="str">
        <f ca="1">IFERROR(__xludf.DUMMYFUNCTION("""COMPUTED_VALUE"""),"Furniture")</f>
        <v>Furniture</v>
      </c>
      <c r="S299" s="7">
        <f ca="1">IFERROR(__xludf.DUMMYFUNCTION("""COMPUTED_VALUE"""),1819.86)</f>
        <v>1819.86</v>
      </c>
      <c r="T299" s="1">
        <f ca="1">IFERROR(__xludf.DUMMYFUNCTION("""COMPUTED_VALUE"""),3)</f>
        <v>3</v>
      </c>
      <c r="U299" s="9">
        <f ca="1">IFERROR(__xludf.DUMMYFUNCTION("""COMPUTED_VALUE"""),5459.58)</f>
        <v>5459.58</v>
      </c>
      <c r="V299" s="9">
        <f ca="1">IFERROR(__xludf.DUMMYFUNCTION("""COMPUTED_VALUE"""),5456.64)</f>
        <v>5456.64</v>
      </c>
      <c r="W299" s="12">
        <f ca="1">IFERROR(__xludf.DUMMYFUNCTION("""COMPUTED_VALUE"""),2.9399999999996)</f>
        <v>2.9399999999995998</v>
      </c>
    </row>
    <row r="300" spans="1:23" ht="13.2">
      <c r="A300" s="1" t="str">
        <f ca="1">IFERROR(__xludf.DUMMYFUNCTION("""COMPUTED_VALUE"""),"CA-2018-122735")</f>
        <v>CA-2018-122735</v>
      </c>
      <c r="B300" s="8">
        <f ca="1">IFERROR(__xludf.DUMMYFUNCTION("""COMPUTED_VALUE"""),43438)</f>
        <v>43438</v>
      </c>
      <c r="C300" s="1" t="str">
        <f ca="1">IFERROR(__xludf.DUMMYFUNCTION("""COMPUTED_VALUE"""),"Dec")</f>
        <v>Dec</v>
      </c>
      <c r="D300" s="1" t="str">
        <f ca="1">IFERROR(__xludf.DUMMYFUNCTION("""COMPUTED_VALUE"""),"Qtr 4")</f>
        <v>Qtr 4</v>
      </c>
      <c r="E300" s="1" t="str">
        <f ca="1">IFERROR(__xludf.DUMMYFUNCTION("""COMPUTED_VALUE"""),"15/04/2018")</f>
        <v>15/04/2018</v>
      </c>
      <c r="F300" s="1" t="str">
        <f ca="1">IFERROR(__xludf.DUMMYFUNCTION("""COMPUTED_VALUE"""),"Second Class")</f>
        <v>Second Class</v>
      </c>
      <c r="G300" s="1" t="str">
        <f ca="1">IFERROR(__xludf.DUMMYFUNCTION("""COMPUTED_VALUE"""),"BD-11320")</f>
        <v>BD-11320</v>
      </c>
      <c r="H300" s="1" t="str">
        <f ca="1">IFERROR(__xludf.DUMMYFUNCTION("""COMPUTED_VALUE"""),"Bill")</f>
        <v>Bill</v>
      </c>
      <c r="I300" s="1" t="str">
        <f ca="1">IFERROR(__xludf.DUMMYFUNCTION("""COMPUTED_VALUE"""),"Donatelli")</f>
        <v>Donatelli</v>
      </c>
      <c r="J300" s="1"/>
      <c r="K300" s="1" t="str">
        <f ca="1">IFERROR(__xludf.DUMMYFUNCTION("""COMPUTED_VALUE"""),"Consumer")</f>
        <v>Consumer</v>
      </c>
      <c r="L300" s="1" t="str">
        <f ca="1">IFERROR(__xludf.DUMMYFUNCTION("""COMPUTED_VALUE"""),"United States")</f>
        <v>United States</v>
      </c>
      <c r="M300" s="1" t="str">
        <f ca="1">IFERROR(__xludf.DUMMYFUNCTION("""COMPUTED_VALUE"""),"Providence")</f>
        <v>Providence</v>
      </c>
      <c r="N300" s="1" t="str">
        <f ca="1">IFERROR(__xludf.DUMMYFUNCTION("""COMPUTED_VALUE"""),"Rhode Island")</f>
        <v>Rhode Island</v>
      </c>
      <c r="O300" s="1">
        <f ca="1">IFERROR(__xludf.DUMMYFUNCTION("""COMPUTED_VALUE"""),2908)</f>
        <v>2908</v>
      </c>
      <c r="P300" s="1" t="str">
        <f ca="1">IFERROR(__xludf.DUMMYFUNCTION("""COMPUTED_VALUE"""),"East")</f>
        <v>East</v>
      </c>
      <c r="Q300" s="1" t="str">
        <f ca="1">IFERROR(__xludf.DUMMYFUNCTION("""COMPUTED_VALUE"""),"OFF-BI-10004364")</f>
        <v>OFF-BI-10004364</v>
      </c>
      <c r="R300" s="1" t="str">
        <f ca="1">IFERROR(__xludf.DUMMYFUNCTION("""COMPUTED_VALUE"""),"Office Supplies")</f>
        <v>Office Supplies</v>
      </c>
      <c r="S300" s="7">
        <f ca="1">IFERROR(__xludf.DUMMYFUNCTION("""COMPUTED_VALUE"""),29.7)</f>
        <v>29.7</v>
      </c>
      <c r="T300" s="1">
        <f ca="1">IFERROR(__xludf.DUMMYFUNCTION("""COMPUTED_VALUE"""),2)</f>
        <v>2</v>
      </c>
      <c r="U300" s="9">
        <f ca="1">IFERROR(__xludf.DUMMYFUNCTION("""COMPUTED_VALUE"""),59.4)</f>
        <v>59.4</v>
      </c>
      <c r="V300" s="9">
        <f ca="1">IFERROR(__xludf.DUMMYFUNCTION("""COMPUTED_VALUE"""),58.86)</f>
        <v>58.86</v>
      </c>
      <c r="W300" s="12">
        <f ca="1">IFERROR(__xludf.DUMMYFUNCTION("""COMPUTED_VALUE"""),0.539999999999999)</f>
        <v>0.53999999999999904</v>
      </c>
    </row>
    <row r="301" spans="1:23" ht="13.2">
      <c r="A301" s="1" t="str">
        <f ca="1">IFERROR(__xludf.DUMMYFUNCTION("""COMPUTED_VALUE"""),"CA-2018-122735")</f>
        <v>CA-2018-122735</v>
      </c>
      <c r="B301" s="8">
        <f ca="1">IFERROR(__xludf.DUMMYFUNCTION("""COMPUTED_VALUE"""),43438)</f>
        <v>43438</v>
      </c>
      <c r="C301" s="1" t="str">
        <f ca="1">IFERROR(__xludf.DUMMYFUNCTION("""COMPUTED_VALUE"""),"Dec")</f>
        <v>Dec</v>
      </c>
      <c r="D301" s="1" t="str">
        <f ca="1">IFERROR(__xludf.DUMMYFUNCTION("""COMPUTED_VALUE"""),"Qtr 4")</f>
        <v>Qtr 4</v>
      </c>
      <c r="E301" s="1" t="str">
        <f ca="1">IFERROR(__xludf.DUMMYFUNCTION("""COMPUTED_VALUE"""),"15/04/2018")</f>
        <v>15/04/2018</v>
      </c>
      <c r="F301" s="1" t="str">
        <f ca="1">IFERROR(__xludf.DUMMYFUNCTION("""COMPUTED_VALUE"""),"Second Class")</f>
        <v>Second Class</v>
      </c>
      <c r="G301" s="1" t="str">
        <f ca="1">IFERROR(__xludf.DUMMYFUNCTION("""COMPUTED_VALUE"""),"BD-11320")</f>
        <v>BD-11320</v>
      </c>
      <c r="H301" s="1" t="str">
        <f ca="1">IFERROR(__xludf.DUMMYFUNCTION("""COMPUTED_VALUE"""),"Bill")</f>
        <v>Bill</v>
      </c>
      <c r="I301" s="1" t="str">
        <f ca="1">IFERROR(__xludf.DUMMYFUNCTION("""COMPUTED_VALUE"""),"Donatelli")</f>
        <v>Donatelli</v>
      </c>
      <c r="J301" s="1"/>
      <c r="K301" s="1" t="str">
        <f ca="1">IFERROR(__xludf.DUMMYFUNCTION("""COMPUTED_VALUE"""),"Consumer")</f>
        <v>Consumer</v>
      </c>
      <c r="L301" s="1" t="str">
        <f ca="1">IFERROR(__xludf.DUMMYFUNCTION("""COMPUTED_VALUE"""),"United States")</f>
        <v>United States</v>
      </c>
      <c r="M301" s="1" t="str">
        <f ca="1">IFERROR(__xludf.DUMMYFUNCTION("""COMPUTED_VALUE"""),"Providence")</f>
        <v>Providence</v>
      </c>
      <c r="N301" s="1" t="str">
        <f ca="1">IFERROR(__xludf.DUMMYFUNCTION("""COMPUTED_VALUE"""),"Rhode Island")</f>
        <v>Rhode Island</v>
      </c>
      <c r="O301" s="1">
        <f ca="1">IFERROR(__xludf.DUMMYFUNCTION("""COMPUTED_VALUE"""),2908)</f>
        <v>2908</v>
      </c>
      <c r="P301" s="1" t="str">
        <f ca="1">IFERROR(__xludf.DUMMYFUNCTION("""COMPUTED_VALUE"""),"East")</f>
        <v>East</v>
      </c>
      <c r="Q301" s="1" t="str">
        <f ca="1">IFERROR(__xludf.DUMMYFUNCTION("""COMPUTED_VALUE"""),"OFF-PA-10001712")</f>
        <v>OFF-PA-10001712</v>
      </c>
      <c r="R301" s="1" t="str">
        <f ca="1">IFERROR(__xludf.DUMMYFUNCTION("""COMPUTED_VALUE"""),"Office Supplies")</f>
        <v>Office Supplies</v>
      </c>
      <c r="S301" s="7">
        <f ca="1">IFERROR(__xludf.DUMMYFUNCTION("""COMPUTED_VALUE"""),39.96)</f>
        <v>39.96</v>
      </c>
      <c r="T301" s="1">
        <f ca="1">IFERROR(__xludf.DUMMYFUNCTION("""COMPUTED_VALUE"""),2)</f>
        <v>2</v>
      </c>
      <c r="U301" s="9">
        <f ca="1">IFERROR(__xludf.DUMMYFUNCTION("""COMPUTED_VALUE"""),79.92)</f>
        <v>79.92</v>
      </c>
      <c r="V301" s="9">
        <f ca="1">IFERROR(__xludf.DUMMYFUNCTION("""COMPUTED_VALUE"""),78.48)</f>
        <v>78.48</v>
      </c>
      <c r="W301" s="12">
        <f ca="1">IFERROR(__xludf.DUMMYFUNCTION("""COMPUTED_VALUE"""),1.43999999999999)</f>
        <v>1.43999999999999</v>
      </c>
    </row>
    <row r="302" spans="1:23" ht="13.2">
      <c r="A302" s="1" t="str">
        <f ca="1">IFERROR(__xludf.DUMMYFUNCTION("""COMPUTED_VALUE"""),"CA-2018-128160")</f>
        <v>CA-2018-128160</v>
      </c>
      <c r="B302" s="8">
        <f ca="1">IFERROR(__xludf.DUMMYFUNCTION("""COMPUTED_VALUE"""),43453)</f>
        <v>43453</v>
      </c>
      <c r="C302" s="1" t="str">
        <f ca="1">IFERROR(__xludf.DUMMYFUNCTION("""COMPUTED_VALUE"""),"Dec")</f>
        <v>Dec</v>
      </c>
      <c r="D302" s="1" t="str">
        <f ca="1">IFERROR(__xludf.DUMMYFUNCTION("""COMPUTED_VALUE"""),"Qtr 4")</f>
        <v>Qtr 4</v>
      </c>
      <c r="E302" s="1" t="str">
        <f ca="1">IFERROR(__xludf.DUMMYFUNCTION("""COMPUTED_VALUE"""),"24/12/2018")</f>
        <v>24/12/2018</v>
      </c>
      <c r="F302" s="1" t="str">
        <f ca="1">IFERROR(__xludf.DUMMYFUNCTION("""COMPUTED_VALUE"""),"Second Class")</f>
        <v>Second Class</v>
      </c>
      <c r="G302" s="1" t="str">
        <f ca="1">IFERROR(__xludf.DUMMYFUNCTION("""COMPUTED_VALUE"""),"MM-17920")</f>
        <v>MM-17920</v>
      </c>
      <c r="H302" s="1" t="str">
        <f ca="1">IFERROR(__xludf.DUMMYFUNCTION("""COMPUTED_VALUE"""),"Michael")</f>
        <v>Michael</v>
      </c>
      <c r="I302" s="1" t="str">
        <f ca="1">IFERROR(__xludf.DUMMYFUNCTION("""COMPUTED_VALUE"""),"Moore")</f>
        <v>Moore</v>
      </c>
      <c r="J302" s="1"/>
      <c r="K302" s="1" t="str">
        <f ca="1">IFERROR(__xludf.DUMMYFUNCTION("""COMPUTED_VALUE"""),"Consumer")</f>
        <v>Consumer</v>
      </c>
      <c r="L302" s="1" t="str">
        <f ca="1">IFERROR(__xludf.DUMMYFUNCTION("""COMPUTED_VALUE"""),"United States")</f>
        <v>United States</v>
      </c>
      <c r="M302" s="1" t="str">
        <f ca="1">IFERROR(__xludf.DUMMYFUNCTION("""COMPUTED_VALUE"""),"San Francisco")</f>
        <v>San Francisco</v>
      </c>
      <c r="N302" s="1" t="str">
        <f ca="1">IFERROR(__xludf.DUMMYFUNCTION("""COMPUTED_VALUE"""),"California")</f>
        <v>California</v>
      </c>
      <c r="O302" s="1">
        <f ca="1">IFERROR(__xludf.DUMMYFUNCTION("""COMPUTED_VALUE"""),94110)</f>
        <v>94110</v>
      </c>
      <c r="P302" s="1" t="str">
        <f ca="1">IFERROR(__xludf.DUMMYFUNCTION("""COMPUTED_VALUE"""),"West")</f>
        <v>West</v>
      </c>
      <c r="Q302" s="1" t="str">
        <f ca="1">IFERROR(__xludf.DUMMYFUNCTION("""COMPUTED_VALUE"""),"OFF-BI-10001510")</f>
        <v>OFF-BI-10001510</v>
      </c>
      <c r="R302" s="1" t="str">
        <f ca="1">IFERROR(__xludf.DUMMYFUNCTION("""COMPUTED_VALUE"""),"Office Supplies")</f>
        <v>Office Supplies</v>
      </c>
      <c r="S302" s="7">
        <f ca="1">IFERROR(__xludf.DUMMYFUNCTION("""COMPUTED_VALUE"""),36.672)</f>
        <v>36.671999999999997</v>
      </c>
      <c r="T302" s="1">
        <f ca="1">IFERROR(__xludf.DUMMYFUNCTION("""COMPUTED_VALUE"""),9)</f>
        <v>9</v>
      </c>
      <c r="U302" s="9">
        <f ca="1">IFERROR(__xludf.DUMMYFUNCTION("""COMPUTED_VALUE"""),330.048)</f>
        <v>330.048</v>
      </c>
      <c r="V302" s="9">
        <f ca="1">IFERROR(__xludf.DUMMYFUNCTION("""COMPUTED_VALUE"""),324)</f>
        <v>324</v>
      </c>
      <c r="W302" s="12">
        <f ca="1">IFERROR(__xludf.DUMMYFUNCTION("""COMPUTED_VALUE"""),6.048)</f>
        <v>6.048</v>
      </c>
    </row>
    <row r="303" spans="1:23" ht="13.2">
      <c r="A303" s="1" t="str">
        <f ca="1">IFERROR(__xludf.DUMMYFUNCTION("""COMPUTED_VALUE"""),"US-2016-161466")</f>
        <v>US-2016-161466</v>
      </c>
      <c r="B303" s="8">
        <f ca="1">IFERROR(__xludf.DUMMYFUNCTION("""COMPUTED_VALUE"""),42637)</f>
        <v>42637</v>
      </c>
      <c r="C303" s="1" t="str">
        <f ca="1">IFERROR(__xludf.DUMMYFUNCTION("""COMPUTED_VALUE"""),"Sep")</f>
        <v>Sep</v>
      </c>
      <c r="D303" s="1" t="str">
        <f ca="1">IFERROR(__xludf.DUMMYFUNCTION("""COMPUTED_VALUE"""),"Qtr 3")</f>
        <v>Qtr 3</v>
      </c>
      <c r="E303" s="1" t="str">
        <f ca="1">IFERROR(__xludf.DUMMYFUNCTION("""COMPUTED_VALUE"""),"27/09/2016")</f>
        <v>27/09/2016</v>
      </c>
      <c r="F303" s="1" t="str">
        <f ca="1">IFERROR(__xludf.DUMMYFUNCTION("""COMPUTED_VALUE"""),"Second Class")</f>
        <v>Second Class</v>
      </c>
      <c r="G303" s="1" t="str">
        <f ca="1">IFERROR(__xludf.DUMMYFUNCTION("""COMPUTED_VALUE"""),"ON-18715")</f>
        <v>ON-18715</v>
      </c>
      <c r="H303" s="1" t="str">
        <f ca="1">IFERROR(__xludf.DUMMYFUNCTION("""COMPUTED_VALUE"""),"Odella")</f>
        <v>Odella</v>
      </c>
      <c r="I303" s="1" t="str">
        <f ca="1">IFERROR(__xludf.DUMMYFUNCTION("""COMPUTED_VALUE"""),"Nelson")</f>
        <v>Nelson</v>
      </c>
      <c r="J303" s="1"/>
      <c r="K303" s="1" t="str">
        <f ca="1">IFERROR(__xludf.DUMMYFUNCTION("""COMPUTED_VALUE"""),"Corporate")</f>
        <v>Corporate</v>
      </c>
      <c r="L303" s="1" t="str">
        <f ca="1">IFERROR(__xludf.DUMMYFUNCTION("""COMPUTED_VALUE"""),"United States")</f>
        <v>United States</v>
      </c>
      <c r="M303" s="1" t="str">
        <f ca="1">IFERROR(__xludf.DUMMYFUNCTION("""COMPUTED_VALUE"""),"Philadelphia")</f>
        <v>Philadelphia</v>
      </c>
      <c r="N303" s="1" t="str">
        <f ca="1">IFERROR(__xludf.DUMMYFUNCTION("""COMPUTED_VALUE"""),"Pennsylvania")</f>
        <v>Pennsylvania</v>
      </c>
      <c r="O303" s="1">
        <f ca="1">IFERROR(__xludf.DUMMYFUNCTION("""COMPUTED_VALUE"""),19120)</f>
        <v>19120</v>
      </c>
      <c r="P303" s="1" t="str">
        <f ca="1">IFERROR(__xludf.DUMMYFUNCTION("""COMPUTED_VALUE"""),"East")</f>
        <v>East</v>
      </c>
      <c r="Q303" s="1" t="str">
        <f ca="1">IFERROR(__xludf.DUMMYFUNCTION("""COMPUTED_VALUE"""),"OFF-AR-10000634")</f>
        <v>OFF-AR-10000634</v>
      </c>
      <c r="R303" s="1" t="str">
        <f ca="1">IFERROR(__xludf.DUMMYFUNCTION("""COMPUTED_VALUE"""),"Office Supplies")</f>
        <v>Office Supplies</v>
      </c>
      <c r="S303" s="7">
        <f ca="1">IFERROR(__xludf.DUMMYFUNCTION("""COMPUTED_VALUE"""),6.848)</f>
        <v>6.8479999999999999</v>
      </c>
      <c r="T303" s="1">
        <f ca="1">IFERROR(__xludf.DUMMYFUNCTION("""COMPUTED_VALUE"""),1)</f>
        <v>1</v>
      </c>
      <c r="U303" s="9">
        <f ca="1">IFERROR(__xludf.DUMMYFUNCTION("""COMPUTED_VALUE"""),6.848)</f>
        <v>6.8479999999999999</v>
      </c>
      <c r="V303" s="9">
        <f ca="1">IFERROR(__xludf.DUMMYFUNCTION("""COMPUTED_VALUE"""),6.24)</f>
        <v>6.24</v>
      </c>
      <c r="W303" s="12">
        <f ca="1">IFERROR(__xludf.DUMMYFUNCTION("""COMPUTED_VALUE"""),0.607999999999999)</f>
        <v>0.60799999999999899</v>
      </c>
    </row>
    <row r="304" spans="1:23" ht="13.2">
      <c r="A304" s="1" t="str">
        <f ca="1">IFERROR(__xludf.DUMMYFUNCTION("""COMPUTED_VALUE"""),"CA-2018-101210")</f>
        <v>CA-2018-101210</v>
      </c>
      <c r="B304" s="8">
        <f ca="1">IFERROR(__xludf.DUMMYFUNCTION("""COMPUTED_VALUE"""),43337)</f>
        <v>43337</v>
      </c>
      <c r="C304" s="1" t="str">
        <f ca="1">IFERROR(__xludf.DUMMYFUNCTION("""COMPUTED_VALUE"""),"Aug")</f>
        <v>Aug</v>
      </c>
      <c r="D304" s="1" t="str">
        <f ca="1">IFERROR(__xludf.DUMMYFUNCTION("""COMPUTED_VALUE"""),"Qtr 3")</f>
        <v>Qtr 3</v>
      </c>
      <c r="E304" s="1" t="str">
        <f ca="1">IFERROR(__xludf.DUMMYFUNCTION("""COMPUTED_VALUE"""),"28/08/2018")</f>
        <v>28/08/2018</v>
      </c>
      <c r="F304" s="1" t="str">
        <f ca="1">IFERROR(__xludf.DUMMYFUNCTION("""COMPUTED_VALUE"""),"Second Class")</f>
        <v>Second Class</v>
      </c>
      <c r="G304" s="1" t="str">
        <f ca="1">IFERROR(__xludf.DUMMYFUNCTION("""COMPUTED_VALUE"""),"DW-13540")</f>
        <v>DW-13540</v>
      </c>
      <c r="H304" s="1" t="str">
        <f ca="1">IFERROR(__xludf.DUMMYFUNCTION("""COMPUTED_VALUE"""),"Don")</f>
        <v>Don</v>
      </c>
      <c r="I304" s="1" t="str">
        <f ca="1">IFERROR(__xludf.DUMMYFUNCTION("""COMPUTED_VALUE"""),"Weiss")</f>
        <v>Weiss</v>
      </c>
      <c r="J304" s="1"/>
      <c r="K304" s="1" t="str">
        <f ca="1">IFERROR(__xludf.DUMMYFUNCTION("""COMPUTED_VALUE"""),"Consumer")</f>
        <v>Consumer</v>
      </c>
      <c r="L304" s="1" t="str">
        <f ca="1">IFERROR(__xludf.DUMMYFUNCTION("""COMPUTED_VALUE"""),"United States")</f>
        <v>United States</v>
      </c>
      <c r="M304" s="1" t="str">
        <f ca="1">IFERROR(__xludf.DUMMYFUNCTION("""COMPUTED_VALUE"""),"Jackson")</f>
        <v>Jackson</v>
      </c>
      <c r="N304" s="1" t="str">
        <f ca="1">IFERROR(__xludf.DUMMYFUNCTION("""COMPUTED_VALUE"""),"Tennessee")</f>
        <v>Tennessee</v>
      </c>
      <c r="O304" s="1">
        <f ca="1">IFERROR(__xludf.DUMMYFUNCTION("""COMPUTED_VALUE"""),38301)</f>
        <v>38301</v>
      </c>
      <c r="P304" s="1" t="str">
        <f ca="1">IFERROR(__xludf.DUMMYFUNCTION("""COMPUTED_VALUE"""),"South")</f>
        <v>South</v>
      </c>
      <c r="Q304" s="1" t="str">
        <f ca="1">IFERROR(__xludf.DUMMYFUNCTION("""COMPUTED_VALUE"""),"OFF-AR-10003560")</f>
        <v>OFF-AR-10003560</v>
      </c>
      <c r="R304" s="1" t="str">
        <f ca="1">IFERROR(__xludf.DUMMYFUNCTION("""COMPUTED_VALUE"""),"Office Supplies")</f>
        <v>Office Supplies</v>
      </c>
      <c r="S304" s="7">
        <f ca="1">IFERROR(__xludf.DUMMYFUNCTION("""COMPUTED_VALUE"""),9.728)</f>
        <v>9.7279999999999998</v>
      </c>
      <c r="T304" s="1">
        <f ca="1">IFERROR(__xludf.DUMMYFUNCTION("""COMPUTED_VALUE"""),3)</f>
        <v>3</v>
      </c>
      <c r="U304" s="9">
        <f ca="1">IFERROR(__xludf.DUMMYFUNCTION("""COMPUTED_VALUE"""),29.1839999999999)</f>
        <v>29.183999999999902</v>
      </c>
      <c r="V304" s="9">
        <f ca="1">IFERROR(__xludf.DUMMYFUNCTION("""COMPUTED_VALUE"""),27.42)</f>
        <v>27.42</v>
      </c>
      <c r="W304" s="12">
        <f ca="1">IFERROR(__xludf.DUMMYFUNCTION("""COMPUTED_VALUE"""),1.76399999999999)</f>
        <v>1.76399999999999</v>
      </c>
    </row>
    <row r="305" spans="1:23" ht="13.2">
      <c r="A305" s="1" t="str">
        <f ca="1">IFERROR(__xludf.DUMMYFUNCTION("""COMPUTED_VALUE"""),"CA-2018-101210")</f>
        <v>CA-2018-101210</v>
      </c>
      <c r="B305" s="8">
        <f ca="1">IFERROR(__xludf.DUMMYFUNCTION("""COMPUTED_VALUE"""),43337)</f>
        <v>43337</v>
      </c>
      <c r="C305" s="1" t="str">
        <f ca="1">IFERROR(__xludf.DUMMYFUNCTION("""COMPUTED_VALUE"""),"Aug")</f>
        <v>Aug</v>
      </c>
      <c r="D305" s="1" t="str">
        <f ca="1">IFERROR(__xludf.DUMMYFUNCTION("""COMPUTED_VALUE"""),"Qtr 3")</f>
        <v>Qtr 3</v>
      </c>
      <c r="E305" s="1" t="str">
        <f ca="1">IFERROR(__xludf.DUMMYFUNCTION("""COMPUTED_VALUE"""),"28/08/2018")</f>
        <v>28/08/2018</v>
      </c>
      <c r="F305" s="1" t="str">
        <f ca="1">IFERROR(__xludf.DUMMYFUNCTION("""COMPUTED_VALUE"""),"Second Class")</f>
        <v>Second Class</v>
      </c>
      <c r="G305" s="1" t="str">
        <f ca="1">IFERROR(__xludf.DUMMYFUNCTION("""COMPUTED_VALUE"""),"DW-13540")</f>
        <v>DW-13540</v>
      </c>
      <c r="H305" s="1" t="str">
        <f ca="1">IFERROR(__xludf.DUMMYFUNCTION("""COMPUTED_VALUE"""),"Don")</f>
        <v>Don</v>
      </c>
      <c r="I305" s="1" t="str">
        <f ca="1">IFERROR(__xludf.DUMMYFUNCTION("""COMPUTED_VALUE"""),"Weiss")</f>
        <v>Weiss</v>
      </c>
      <c r="J305" s="1"/>
      <c r="K305" s="1" t="str">
        <f ca="1">IFERROR(__xludf.DUMMYFUNCTION("""COMPUTED_VALUE"""),"Consumer")</f>
        <v>Consumer</v>
      </c>
      <c r="L305" s="1" t="str">
        <f ca="1">IFERROR(__xludf.DUMMYFUNCTION("""COMPUTED_VALUE"""),"United States")</f>
        <v>United States</v>
      </c>
      <c r="M305" s="1" t="str">
        <f ca="1">IFERROR(__xludf.DUMMYFUNCTION("""COMPUTED_VALUE"""),"Jackson")</f>
        <v>Jackson</v>
      </c>
      <c r="N305" s="1" t="str">
        <f ca="1">IFERROR(__xludf.DUMMYFUNCTION("""COMPUTED_VALUE"""),"Tennessee")</f>
        <v>Tennessee</v>
      </c>
      <c r="O305" s="1">
        <f ca="1">IFERROR(__xludf.DUMMYFUNCTION("""COMPUTED_VALUE"""),38301)</f>
        <v>38301</v>
      </c>
      <c r="P305" s="1" t="str">
        <f ca="1">IFERROR(__xludf.DUMMYFUNCTION("""COMPUTED_VALUE"""),"South")</f>
        <v>South</v>
      </c>
      <c r="Q305" s="1" t="str">
        <f ca="1">IFERROR(__xludf.DUMMYFUNCTION("""COMPUTED_VALUE"""),"OFF-PA-10000130")</f>
        <v>OFF-PA-10000130</v>
      </c>
      <c r="R305" s="1" t="str">
        <f ca="1">IFERROR(__xludf.DUMMYFUNCTION("""COMPUTED_VALUE"""),"Office Supplies")</f>
        <v>Office Supplies</v>
      </c>
      <c r="S305" s="7">
        <f ca="1">IFERROR(__xludf.DUMMYFUNCTION("""COMPUTED_VALUE"""),3.424)</f>
        <v>3.4239999999999999</v>
      </c>
      <c r="T305" s="1">
        <f ca="1">IFERROR(__xludf.DUMMYFUNCTION("""COMPUTED_VALUE"""),3)</f>
        <v>3</v>
      </c>
      <c r="U305" s="9">
        <f ca="1">IFERROR(__xludf.DUMMYFUNCTION("""COMPUTED_VALUE"""),10.272)</f>
        <v>10.272</v>
      </c>
      <c r="V305" s="9">
        <f ca="1">IFERROR(__xludf.DUMMYFUNCTION("""COMPUTED_VALUE"""),9.45)</f>
        <v>9.4499999999999993</v>
      </c>
      <c r="W305" s="12">
        <f ca="1">IFERROR(__xludf.DUMMYFUNCTION("""COMPUTED_VALUE"""),0.822000000000001)</f>
        <v>0.82200000000000095</v>
      </c>
    </row>
    <row r="306" spans="1:23" ht="13.2">
      <c r="A306" s="1" t="str">
        <f ca="1">IFERROR(__xludf.DUMMYFUNCTION("""COMPUTED_VALUE"""),"CA-2018-151911")</f>
        <v>CA-2018-151911</v>
      </c>
      <c r="B306" s="8">
        <f ca="1">IFERROR(__xludf.DUMMYFUNCTION("""COMPUTED_VALUE"""),43220)</f>
        <v>43220</v>
      </c>
      <c r="C306" s="1" t="str">
        <f ca="1">IFERROR(__xludf.DUMMYFUNCTION("""COMPUTED_VALUE"""),"Apr")</f>
        <v>Apr</v>
      </c>
      <c r="D306" s="1" t="str">
        <f ca="1">IFERROR(__xludf.DUMMYFUNCTION("""COMPUTED_VALUE"""),"Qtr 2")</f>
        <v>Qtr 2</v>
      </c>
      <c r="E306" s="1" t="str">
        <f ca="1">IFERROR(__xludf.DUMMYFUNCTION("""COMPUTED_VALUE"""),"5/5/2018")</f>
        <v>5/5/2018</v>
      </c>
      <c r="F306" s="1" t="str">
        <f ca="1">IFERROR(__xludf.DUMMYFUNCTION("""COMPUTED_VALUE"""),"Second Class")</f>
        <v>Second Class</v>
      </c>
      <c r="G306" s="1" t="str">
        <f ca="1">IFERROR(__xludf.DUMMYFUNCTION("""COMPUTED_VALUE"""),"DL-13495")</f>
        <v>DL-13495</v>
      </c>
      <c r="H306" s="1" t="str">
        <f ca="1">IFERROR(__xludf.DUMMYFUNCTION("""COMPUTED_VALUE"""),"Dionis")</f>
        <v>Dionis</v>
      </c>
      <c r="I306" s="1" t="str">
        <f ca="1">IFERROR(__xludf.DUMMYFUNCTION("""COMPUTED_VALUE"""),"Lloyd")</f>
        <v>Lloyd</v>
      </c>
      <c r="J306" s="1"/>
      <c r="K306" s="1" t="str">
        <f ca="1">IFERROR(__xludf.DUMMYFUNCTION("""COMPUTED_VALUE"""),"Corporate")</f>
        <v>Corporate</v>
      </c>
      <c r="L306" s="1" t="str">
        <f ca="1">IFERROR(__xludf.DUMMYFUNCTION("""COMPUTED_VALUE"""),"United States")</f>
        <v>United States</v>
      </c>
      <c r="M306" s="1" t="str">
        <f ca="1">IFERROR(__xludf.DUMMYFUNCTION("""COMPUTED_VALUE"""),"New York City")</f>
        <v>New York City</v>
      </c>
      <c r="N306" s="1" t="str">
        <f ca="1">IFERROR(__xludf.DUMMYFUNCTION("""COMPUTED_VALUE"""),"New York")</f>
        <v>New York</v>
      </c>
      <c r="O306" s="1">
        <f ca="1">IFERROR(__xludf.DUMMYFUNCTION("""COMPUTED_VALUE"""),10024)</f>
        <v>10024</v>
      </c>
      <c r="P306" s="1" t="str">
        <f ca="1">IFERROR(__xludf.DUMMYFUNCTION("""COMPUTED_VALUE"""),"East")</f>
        <v>East</v>
      </c>
      <c r="Q306" s="1" t="str">
        <f ca="1">IFERROR(__xludf.DUMMYFUNCTION("""COMPUTED_VALUE"""),"OFF-EN-10002986")</f>
        <v>OFF-EN-10002986</v>
      </c>
      <c r="R306" s="1" t="str">
        <f ca="1">IFERROR(__xludf.DUMMYFUNCTION("""COMPUTED_VALUE"""),"Office Supplies")</f>
        <v>Office Supplies</v>
      </c>
      <c r="S306" s="7">
        <f ca="1">IFERROR(__xludf.DUMMYFUNCTION("""COMPUTED_VALUE"""),62.96)</f>
        <v>62.96</v>
      </c>
      <c r="T306" s="1">
        <f ca="1">IFERROR(__xludf.DUMMYFUNCTION("""COMPUTED_VALUE"""),1)</f>
        <v>1</v>
      </c>
      <c r="U306" s="9">
        <f ca="1">IFERROR(__xludf.DUMMYFUNCTION("""COMPUTED_VALUE"""),62.96)</f>
        <v>62.96</v>
      </c>
      <c r="V306" s="9">
        <f ca="1">IFERROR(__xludf.DUMMYFUNCTION("""COMPUTED_VALUE"""),62.24)</f>
        <v>62.24</v>
      </c>
      <c r="W306" s="12">
        <f ca="1">IFERROR(__xludf.DUMMYFUNCTION("""COMPUTED_VALUE"""),0.719999999999998)</f>
        <v>0.71999999999999797</v>
      </c>
    </row>
    <row r="307" spans="1:23" ht="13.2">
      <c r="A307" s="1" t="str">
        <f ca="1">IFERROR(__xludf.DUMMYFUNCTION("""COMPUTED_VALUE"""),"CA-2015-123925")</f>
        <v>CA-2015-123925</v>
      </c>
      <c r="B307" s="8">
        <f ca="1">IFERROR(__xludf.DUMMYFUNCTION("""COMPUTED_VALUE"""),42355)</f>
        <v>42355</v>
      </c>
      <c r="C307" s="1" t="str">
        <f ca="1">IFERROR(__xludf.DUMMYFUNCTION("""COMPUTED_VALUE"""),"Dec")</f>
        <v>Dec</v>
      </c>
      <c r="D307" s="1" t="str">
        <f ca="1">IFERROR(__xludf.DUMMYFUNCTION("""COMPUTED_VALUE"""),"Qtr 4")</f>
        <v>Qtr 4</v>
      </c>
      <c r="E307" s="1" t="str">
        <f ca="1">IFERROR(__xludf.DUMMYFUNCTION("""COMPUTED_VALUE"""),"19/12/2015")</f>
        <v>19/12/2015</v>
      </c>
      <c r="F307" s="1" t="str">
        <f ca="1">IFERROR(__xludf.DUMMYFUNCTION("""COMPUTED_VALUE"""),"Second Class")</f>
        <v>Second Class</v>
      </c>
      <c r="G307" s="1" t="str">
        <f ca="1">IFERROR(__xludf.DUMMYFUNCTION("""COMPUTED_VALUE"""),"RF-19840")</f>
        <v>RF-19840</v>
      </c>
      <c r="H307" s="1" t="str">
        <f ca="1">IFERROR(__xludf.DUMMYFUNCTION("""COMPUTED_VALUE"""),"Roy")</f>
        <v>Roy</v>
      </c>
      <c r="I307" s="1" t="str">
        <f ca="1">IFERROR(__xludf.DUMMYFUNCTION("""COMPUTED_VALUE"""),"Französisch")</f>
        <v>Französisch</v>
      </c>
      <c r="J307" s="1"/>
      <c r="K307" s="1" t="str">
        <f ca="1">IFERROR(__xludf.DUMMYFUNCTION("""COMPUTED_VALUE"""),"Consumer")</f>
        <v>Consumer</v>
      </c>
      <c r="L307" s="1" t="str">
        <f ca="1">IFERROR(__xludf.DUMMYFUNCTION("""COMPUTED_VALUE"""),"United States")</f>
        <v>United States</v>
      </c>
      <c r="M307" s="1" t="str">
        <f ca="1">IFERROR(__xludf.DUMMYFUNCTION("""COMPUTED_VALUE"""),"Columbus")</f>
        <v>Columbus</v>
      </c>
      <c r="N307" s="1" t="str">
        <f ca="1">IFERROR(__xludf.DUMMYFUNCTION("""COMPUTED_VALUE"""),"Georgia")</f>
        <v>Georgia</v>
      </c>
      <c r="O307" s="1">
        <f ca="1">IFERROR(__xludf.DUMMYFUNCTION("""COMPUTED_VALUE"""),31907)</f>
        <v>31907</v>
      </c>
      <c r="P307" s="1" t="str">
        <f ca="1">IFERROR(__xludf.DUMMYFUNCTION("""COMPUTED_VALUE"""),"South")</f>
        <v>South</v>
      </c>
      <c r="Q307" s="1" t="str">
        <f ca="1">IFERROR(__xludf.DUMMYFUNCTION("""COMPUTED_VALUE"""),"OFF-AR-10002952")</f>
        <v>OFF-AR-10002952</v>
      </c>
      <c r="R307" s="1" t="str">
        <f ca="1">IFERROR(__xludf.DUMMYFUNCTION("""COMPUTED_VALUE"""),"Office Supplies")</f>
        <v>Office Supplies</v>
      </c>
      <c r="S307" s="7">
        <f ca="1">IFERROR(__xludf.DUMMYFUNCTION("""COMPUTED_VALUE"""),40.05)</f>
        <v>40.049999999999997</v>
      </c>
      <c r="T307" s="1">
        <f ca="1">IFERROR(__xludf.DUMMYFUNCTION("""COMPUTED_VALUE"""),3)</f>
        <v>3</v>
      </c>
      <c r="U307" s="9">
        <f ca="1">IFERROR(__xludf.DUMMYFUNCTION("""COMPUTED_VALUE"""),120.149999999999)</f>
        <v>120.149999999999</v>
      </c>
      <c r="V307" s="9">
        <f ca="1">IFERROR(__xludf.DUMMYFUNCTION("""COMPUTED_VALUE"""),119.49)</f>
        <v>119.49</v>
      </c>
      <c r="W307" s="12">
        <f ca="1">IFERROR(__xludf.DUMMYFUNCTION("""COMPUTED_VALUE"""),0.659999999999996)</f>
        <v>0.65999999999999603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7"/>
  <sheetViews>
    <sheetView workbookViewId="0">
      <selection activeCell="A3" sqref="A3"/>
    </sheetView>
  </sheetViews>
  <sheetFormatPr defaultColWidth="12.6640625" defaultRowHeight="15.75" customHeight="1"/>
  <cols>
    <col min="3" max="3" width="17.6640625" customWidth="1"/>
    <col min="4" max="4" width="16.77734375" customWidth="1"/>
  </cols>
  <sheetData>
    <row r="1" spans="1:3" ht="15.75" customHeight="1">
      <c r="A1" s="13" t="s">
        <v>4009</v>
      </c>
    </row>
    <row r="3" spans="1:3">
      <c r="A3" s="14" t="str">
        <f ca="1">IFERROR(__xludf.DUMMYFUNCTION("QUERY(SalesData, ""SELECT  P,sum(V), sum(X) group by P  "", 1)"),"Region")</f>
        <v>Region</v>
      </c>
      <c r="B3" s="1" t="str">
        <f ca="1">IFERROR(__xludf.DUMMYFUNCTION("""COMPUTED_VALUE"""),"sum Total Sales")</f>
        <v>sum Total Sales</v>
      </c>
      <c r="C3" s="1" t="str">
        <f ca="1">IFERROR(__xludf.DUMMYFUNCTION("""COMPUTED_VALUE"""),"sum Total Profit")</f>
        <v>sum Total Profit</v>
      </c>
    </row>
    <row r="4" spans="1:3">
      <c r="A4" s="1" t="str">
        <f ca="1">IFERROR(__xludf.DUMMYFUNCTION("""COMPUTED_VALUE"""),"Central")</f>
        <v>Central</v>
      </c>
      <c r="B4" s="1">
        <f ca="1">IFERROR(__xludf.DUMMYFUNCTION("""COMPUTED_VALUE"""),515997.2438)</f>
        <v>515997.2438</v>
      </c>
      <c r="C4" s="1">
        <f ca="1">IFERROR(__xludf.DUMMYFUNCTION("""COMPUTED_VALUE"""),1010.9138)</f>
        <v>1010.9138</v>
      </c>
    </row>
    <row r="5" spans="1:3">
      <c r="A5" s="1" t="str">
        <f ca="1">IFERROR(__xludf.DUMMYFUNCTION("""COMPUTED_VALUE"""),"East")</f>
        <v>East</v>
      </c>
      <c r="B5" s="1">
        <f ca="1">IFERROR(__xludf.DUMMYFUNCTION("""COMPUTED_VALUE"""),168339.396)</f>
        <v>168339.39600000001</v>
      </c>
      <c r="C5" s="1">
        <f ca="1">IFERROR(__xludf.DUMMYFUNCTION("""COMPUTED_VALUE"""),442.715999999999)</f>
        <v>442.71599999999899</v>
      </c>
    </row>
    <row r="6" spans="1:3">
      <c r="A6" s="1" t="str">
        <f ca="1">IFERROR(__xludf.DUMMYFUNCTION("""COMPUTED_VALUE"""),"South")</f>
        <v>South</v>
      </c>
      <c r="B6" s="1">
        <f ca="1">IFERROR(__xludf.DUMMYFUNCTION("""COMPUTED_VALUE"""),192950.7185)</f>
        <v>192950.71849999999</v>
      </c>
      <c r="C6" s="1">
        <f ca="1">IFERROR(__xludf.DUMMYFUNCTION("""COMPUTED_VALUE"""),361.4985)</f>
        <v>361.49849999999998</v>
      </c>
    </row>
    <row r="7" spans="1:3">
      <c r="A7" s="1" t="str">
        <f ca="1">IFERROR(__xludf.DUMMYFUNCTION("""COMPUTED_VALUE"""),"West")</f>
        <v>West</v>
      </c>
      <c r="B7" s="1">
        <f ca="1">IFERROR(__xludf.DUMMYFUNCTION("""COMPUTED_VALUE"""),879741.636499999)</f>
        <v>879741.63649999897</v>
      </c>
      <c r="C7" s="1">
        <f ca="1">IFERROR(__xludf.DUMMYFUNCTION("""COMPUTED_VALUE"""),1954.17649999999)</f>
        <v>1954.17649999999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535"/>
  <sheetViews>
    <sheetView workbookViewId="0">
      <selection activeCell="A5" sqref="A5"/>
    </sheetView>
  </sheetViews>
  <sheetFormatPr defaultColWidth="12.6640625" defaultRowHeight="15.75" customHeight="1"/>
  <sheetData>
    <row r="1" spans="1:3" ht="15.75" customHeight="1">
      <c r="A1" s="13" t="s">
        <v>4010</v>
      </c>
    </row>
    <row r="3" spans="1:3">
      <c r="A3" s="1" t="s">
        <v>4011</v>
      </c>
    </row>
    <row r="5" spans="1:3">
      <c r="A5" s="1" t="str">
        <f ca="1">IFERROR(__xludf.DUMMYFUNCTION("QUERY(SalesData, ""SELECT X  where X &gt;=500  "",1)"),"Total Profit")</f>
        <v>Total Profit</v>
      </c>
      <c r="C5" s="1" t="str">
        <f ca="1">IFERROR(__xludf.DUMMYFUNCTION("QUERY(SalesData, ""SELECT V  where V &gt;=500  "",1)"),"Total Sales")</f>
        <v>Total Sales</v>
      </c>
    </row>
    <row r="6" spans="1:3">
      <c r="C6" s="9">
        <f ca="1">IFERROR(__xludf.DUMMYFUNCTION("""COMPUTED_VALUE"""),1047.84)</f>
        <v>1047.8399999999999</v>
      </c>
    </row>
    <row r="7" spans="1:3">
      <c r="C7" s="9">
        <f ca="1">IFERROR(__xludf.DUMMYFUNCTION("""COMPUTED_VALUE"""),2927.76)</f>
        <v>2927.76</v>
      </c>
    </row>
    <row r="8" spans="1:3">
      <c r="C8" s="9">
        <f ca="1">IFERROR(__xludf.DUMMYFUNCTION("""COMPUTED_VALUE"""),2872.7325)</f>
        <v>2872.7325000000001</v>
      </c>
    </row>
    <row r="9" spans="1:3">
      <c r="C9" s="9">
        <f ca="1">IFERROR(__xludf.DUMMYFUNCTION("""COMPUTED_VALUE"""),8164.368)</f>
        <v>8164.3680000000004</v>
      </c>
    </row>
    <row r="10" spans="1:3">
      <c r="C10" s="9">
        <f ca="1">IFERROR(__xludf.DUMMYFUNCTION("""COMPUTED_VALUE"""),1034.1)</f>
        <v>1034.0999999999999</v>
      </c>
    </row>
    <row r="11" spans="1:3">
      <c r="C11" s="9">
        <f ca="1">IFERROR(__xludf.DUMMYFUNCTION("""COMPUTED_VALUE"""),15355.6559999999)</f>
        <v>15355.655999999901</v>
      </c>
    </row>
    <row r="12" spans="1:3">
      <c r="C12" s="9">
        <f ca="1">IFERROR(__xludf.DUMMYFUNCTION("""COMPUTED_VALUE"""),8202.81599999999)</f>
        <v>8202.8159999999898</v>
      </c>
    </row>
    <row r="13" spans="1:3">
      <c r="C13" s="9">
        <f ca="1">IFERROR(__xludf.DUMMYFUNCTION("""COMPUTED_VALUE"""),3671.784)</f>
        <v>3671.7840000000001</v>
      </c>
    </row>
    <row r="14" spans="1:3">
      <c r="C14" s="9">
        <f ca="1">IFERROR(__xludf.DUMMYFUNCTION("""COMPUTED_VALUE"""),3329.4)</f>
        <v>3329.4</v>
      </c>
    </row>
    <row r="15" spans="1:3">
      <c r="C15" s="9">
        <f ca="1">IFERROR(__xludf.DUMMYFUNCTION("""COMPUTED_VALUE"""),1921.32)</f>
        <v>1921.32</v>
      </c>
    </row>
    <row r="16" spans="1:3">
      <c r="C16" s="9">
        <f ca="1">IFERROR(__xludf.DUMMYFUNCTION("""COMPUTED_VALUE"""),8357.04)</f>
        <v>8357.0400000000009</v>
      </c>
    </row>
    <row r="17" spans="3:3">
      <c r="C17" s="9">
        <f ca="1">IFERROR(__xludf.DUMMYFUNCTION("""COMPUTED_VALUE"""),815.129999999999)</f>
        <v>815.12999999999897</v>
      </c>
    </row>
    <row r="18" spans="3:3">
      <c r="C18" s="9">
        <f ca="1">IFERROR(__xludf.DUMMYFUNCTION("""COMPUTED_VALUE"""),3083.43)</f>
        <v>3083.43</v>
      </c>
    </row>
    <row r="19" spans="3:3">
      <c r="C19" s="9">
        <f ca="1">IFERROR(__xludf.DUMMYFUNCTION("""COMPUTED_VALUE"""),7682.808)</f>
        <v>7682.808</v>
      </c>
    </row>
    <row r="20" spans="3:3">
      <c r="C20" s="9">
        <f ca="1">IFERROR(__xludf.DUMMYFUNCTION("""COMPUTED_VALUE"""),1336.43999999999)</f>
        <v>1336.4399999999901</v>
      </c>
    </row>
    <row r="21" spans="3:3">
      <c r="C21" s="9">
        <f ca="1">IFERROR(__xludf.DUMMYFUNCTION("""COMPUTED_VALUE"""),793.296)</f>
        <v>793.29600000000005</v>
      </c>
    </row>
    <row r="22" spans="3:3">
      <c r="C22" s="9">
        <f ca="1">IFERROR(__xludf.DUMMYFUNCTION("""COMPUTED_VALUE"""),3726.79439999999)</f>
        <v>3726.7943999999902</v>
      </c>
    </row>
    <row r="23" spans="3:3">
      <c r="C23" s="9">
        <f ca="1">IFERROR(__xludf.DUMMYFUNCTION("""COMPUTED_VALUE"""),1484.406)</f>
        <v>1484.4059999999999</v>
      </c>
    </row>
    <row r="24" spans="3:3">
      <c r="C24" s="9">
        <f ca="1">IFERROR(__xludf.DUMMYFUNCTION("""COMPUTED_VALUE"""),2598.176)</f>
        <v>2598.1759999999999</v>
      </c>
    </row>
    <row r="25" spans="3:3">
      <c r="C25" s="9">
        <f ca="1">IFERROR(__xludf.DUMMYFUNCTION("""COMPUTED_VALUE"""),883.008)</f>
        <v>883.00800000000004</v>
      </c>
    </row>
    <row r="26" spans="3:3">
      <c r="C26" s="9">
        <f ca="1">IFERROR(__xludf.DUMMYFUNCTION("""COMPUTED_VALUE"""),700.92)</f>
        <v>700.92</v>
      </c>
    </row>
    <row r="27" spans="3:3" ht="13.2">
      <c r="C27" s="9">
        <f ca="1">IFERROR(__xludf.DUMMYFUNCTION("""COMPUTED_VALUE"""),847.84)</f>
        <v>847.84</v>
      </c>
    </row>
    <row r="28" spans="3:3" ht="13.2">
      <c r="C28" s="9">
        <f ca="1">IFERROR(__xludf.DUMMYFUNCTION("""COMPUTED_VALUE"""),1029.95)</f>
        <v>1029.95</v>
      </c>
    </row>
    <row r="29" spans="3:3" ht="13.2">
      <c r="C29" s="9">
        <f ca="1">IFERROR(__xludf.DUMMYFUNCTION("""COMPUTED_VALUE"""),1320.57)</f>
        <v>1320.57</v>
      </c>
    </row>
    <row r="30" spans="3:3" ht="13.2">
      <c r="C30" s="9">
        <f ca="1">IFERROR(__xludf.DUMMYFUNCTION("""COMPUTED_VALUE"""),717.84)</f>
        <v>717.84</v>
      </c>
    </row>
    <row r="31" spans="3:3" ht="13.2">
      <c r="C31" s="9">
        <f ca="1">IFERROR(__xludf.DUMMYFUNCTION("""COMPUTED_VALUE"""),1278.69)</f>
        <v>1278.69</v>
      </c>
    </row>
    <row r="32" spans="3:3" ht="13.2">
      <c r="C32" s="9">
        <f ca="1">IFERROR(__xludf.DUMMYFUNCTION("""COMPUTED_VALUE"""),8904.192)</f>
        <v>8904.1919999999991</v>
      </c>
    </row>
    <row r="33" spans="3:3" ht="13.2">
      <c r="C33" s="9">
        <f ca="1">IFERROR(__xludf.DUMMYFUNCTION("""COMPUTED_VALUE"""),1343.744)</f>
        <v>1343.7439999999999</v>
      </c>
    </row>
    <row r="34" spans="3:3" ht="13.2">
      <c r="C34" s="9">
        <f ca="1">IFERROR(__xludf.DUMMYFUNCTION("""COMPUTED_VALUE"""),2495.808)</f>
        <v>2495.808</v>
      </c>
    </row>
    <row r="35" spans="3:3" ht="13.2">
      <c r="C35" s="9">
        <f ca="1">IFERROR(__xludf.DUMMYFUNCTION("""COMPUTED_VALUE"""),624.48)</f>
        <v>624.48</v>
      </c>
    </row>
    <row r="36" spans="3:3" ht="13.2">
      <c r="C36" s="9">
        <f ca="1">IFERROR(__xludf.DUMMYFUNCTION("""COMPUTED_VALUE"""),1382.256)</f>
        <v>1382.2560000000001</v>
      </c>
    </row>
    <row r="37" spans="3:3" ht="13.2">
      <c r="C37" s="9">
        <f ca="1">IFERROR(__xludf.DUMMYFUNCTION("""COMPUTED_VALUE"""),603.92)</f>
        <v>603.91999999999996</v>
      </c>
    </row>
    <row r="38" spans="3:3" ht="13.2">
      <c r="C38" s="9">
        <f ca="1">IFERROR(__xludf.DUMMYFUNCTION("""COMPUTED_VALUE"""),1108.576)</f>
        <v>1108.576</v>
      </c>
    </row>
    <row r="39" spans="3:3" ht="13.2">
      <c r="C39" s="9">
        <f ca="1">IFERROR(__xludf.DUMMYFUNCTION("""COMPUTED_VALUE"""),662.256)</f>
        <v>662.25599999999997</v>
      </c>
    </row>
    <row r="40" spans="3:3" ht="13.2">
      <c r="C40" s="9">
        <f ca="1">IFERROR(__xludf.DUMMYFUNCTION("""COMPUTED_VALUE"""),575.856)</f>
        <v>575.85599999999999</v>
      </c>
    </row>
    <row r="41" spans="3:3" ht="13.2">
      <c r="C41" s="9">
        <f ca="1">IFERROR(__xludf.DUMMYFUNCTION("""COMPUTED_VALUE"""),1911.168)</f>
        <v>1911.1679999999999</v>
      </c>
    </row>
    <row r="42" spans="3:3" ht="13.2">
      <c r="C42" s="9">
        <f ca="1">IFERROR(__xludf.DUMMYFUNCTION("""COMPUTED_VALUE"""),818.88)</f>
        <v>818.88</v>
      </c>
    </row>
    <row r="43" spans="3:3" ht="13.2">
      <c r="C43" s="9">
        <f ca="1">IFERROR(__xludf.DUMMYFUNCTION("""COMPUTED_VALUE"""),2039.75999999999)</f>
        <v>2039.75999999999</v>
      </c>
    </row>
    <row r="44" spans="3:3" ht="13.2">
      <c r="C44" s="9">
        <f ca="1">IFERROR(__xludf.DUMMYFUNCTION("""COMPUTED_VALUE"""),521.856)</f>
        <v>521.85599999999999</v>
      </c>
    </row>
    <row r="45" spans="3:3" ht="13.2">
      <c r="C45" s="9">
        <f ca="1">IFERROR(__xludf.DUMMYFUNCTION("""COMPUTED_VALUE"""),7087.76999999999)</f>
        <v>7087.7699999999904</v>
      </c>
    </row>
    <row r="46" spans="3:3" ht="13.2">
      <c r="C46" s="9">
        <f ca="1">IFERROR(__xludf.DUMMYFUNCTION("""COMPUTED_VALUE"""),4203.906)</f>
        <v>4203.9059999999999</v>
      </c>
    </row>
    <row r="47" spans="3:3" ht="13.2">
      <c r="C47" s="9">
        <f ca="1">IFERROR(__xludf.DUMMYFUNCTION("""COMPUTED_VALUE"""),3706.2)</f>
        <v>3706.2</v>
      </c>
    </row>
    <row r="48" spans="3:3" ht="13.2">
      <c r="C48" s="9">
        <f ca="1">IFERROR(__xludf.DUMMYFUNCTION("""COMPUTED_VALUE"""),1951.936)</f>
        <v>1951.9359999999999</v>
      </c>
    </row>
    <row r="49" spans="3:3" ht="13.2">
      <c r="C49" s="9">
        <f ca="1">IFERROR(__xludf.DUMMYFUNCTION("""COMPUTED_VALUE"""),732.816)</f>
        <v>732.81600000000003</v>
      </c>
    </row>
    <row r="50" spans="3:3" ht="13.2">
      <c r="C50" s="9">
        <f ca="1">IFERROR(__xludf.DUMMYFUNCTION("""COMPUTED_VALUE"""),2147.04)</f>
        <v>2147.04</v>
      </c>
    </row>
    <row r="51" spans="3:3" ht="13.2">
      <c r="C51" s="9">
        <f ca="1">IFERROR(__xludf.DUMMYFUNCTION("""COMPUTED_VALUE"""),685.584)</f>
        <v>685.58399999999995</v>
      </c>
    </row>
    <row r="52" spans="3:3" ht="13.2">
      <c r="C52" s="9">
        <f ca="1">IFERROR(__xludf.DUMMYFUNCTION("""COMPUTED_VALUE"""),592.92)</f>
        <v>592.91999999999996</v>
      </c>
    </row>
    <row r="53" spans="3:3" ht="13.2">
      <c r="C53" s="9">
        <f ca="1">IFERROR(__xludf.DUMMYFUNCTION("""COMPUTED_VALUE"""),1293.3)</f>
        <v>1293.3</v>
      </c>
    </row>
    <row r="54" spans="3:3" ht="13.2">
      <c r="C54" s="9">
        <f ca="1">IFERROR(__xludf.DUMMYFUNCTION("""COMPUTED_VALUE"""),5036.58)</f>
        <v>5036.58</v>
      </c>
    </row>
    <row r="55" spans="3:3" ht="13.2">
      <c r="C55" s="9">
        <f ca="1">IFERROR(__xludf.DUMMYFUNCTION("""COMPUTED_VALUE"""),6047.37)</f>
        <v>6047.37</v>
      </c>
    </row>
    <row r="56" spans="3:3" ht="13.2">
      <c r="C56" s="9">
        <f ca="1">IFERROR(__xludf.DUMMYFUNCTION("""COMPUTED_VALUE"""),1922.25)</f>
        <v>1922.25</v>
      </c>
    </row>
    <row r="57" spans="3:3" ht="13.2">
      <c r="C57" s="9">
        <f ca="1">IFERROR(__xludf.DUMMYFUNCTION("""COMPUTED_VALUE"""),749.85)</f>
        <v>749.85</v>
      </c>
    </row>
    <row r="58" spans="3:3" ht="13.2">
      <c r="C58" s="9">
        <f ca="1">IFERROR(__xludf.DUMMYFUNCTION("""COMPUTED_VALUE"""),9759.19999999999)</f>
        <v>9759.1999999999898</v>
      </c>
    </row>
    <row r="59" spans="3:3" ht="13.2">
      <c r="C59" s="9">
        <f ca="1">IFERROR(__xludf.DUMMYFUNCTION("""COMPUTED_VALUE"""),857.75)</f>
        <v>857.75</v>
      </c>
    </row>
    <row r="60" spans="3:3" ht="13.2">
      <c r="C60" s="9">
        <f ca="1">IFERROR(__xludf.DUMMYFUNCTION("""COMPUTED_VALUE"""),1263.36)</f>
        <v>1263.3599999999999</v>
      </c>
    </row>
    <row r="61" spans="3:3" ht="13.2">
      <c r="C61" s="9">
        <f ca="1">IFERROR(__xludf.DUMMYFUNCTION("""COMPUTED_VALUE"""),1625.472)</f>
        <v>1625.472</v>
      </c>
    </row>
    <row r="62" spans="3:3" ht="13.2">
      <c r="C62" s="9">
        <f ca="1">IFERROR(__xludf.DUMMYFUNCTION("""COMPUTED_VALUE"""),525.42)</f>
        <v>525.41999999999996</v>
      </c>
    </row>
    <row r="63" spans="3:3" ht="13.2">
      <c r="C63" s="9">
        <f ca="1">IFERROR(__xludf.DUMMYFUNCTION("""COMPUTED_VALUE"""),949.68)</f>
        <v>949.68</v>
      </c>
    </row>
    <row r="64" spans="3:3" ht="13.2">
      <c r="C64" s="9">
        <f ca="1">IFERROR(__xludf.DUMMYFUNCTION("""COMPUTED_VALUE"""),727.92)</f>
        <v>727.92</v>
      </c>
    </row>
    <row r="65" spans="3:3" ht="13.2">
      <c r="C65" s="9">
        <f ca="1">IFERROR(__xludf.DUMMYFUNCTION("""COMPUTED_VALUE"""),4118.112)</f>
        <v>4118.1120000000001</v>
      </c>
    </row>
    <row r="66" spans="3:3" ht="13.2">
      <c r="C66" s="9">
        <f ca="1">IFERROR(__xludf.DUMMYFUNCTION("""COMPUTED_VALUE"""),6614.50999999999)</f>
        <v>6614.5099999999902</v>
      </c>
    </row>
    <row r="67" spans="3:3" ht="13.2">
      <c r="C67" s="9">
        <f ca="1">IFERROR(__xludf.DUMMYFUNCTION("""COMPUTED_VALUE"""),57119.664)</f>
        <v>57119.663999999997</v>
      </c>
    </row>
    <row r="68" spans="3:3" ht="13.2">
      <c r="C68" s="9">
        <f ca="1">IFERROR(__xludf.DUMMYFUNCTION("""COMPUTED_VALUE"""),1931.496)</f>
        <v>1931.4960000000001</v>
      </c>
    </row>
    <row r="69" spans="3:3" ht="13.2">
      <c r="C69" s="9">
        <f ca="1">IFERROR(__xludf.DUMMYFUNCTION("""COMPUTED_VALUE"""),12180.42)</f>
        <v>12180.42</v>
      </c>
    </row>
    <row r="70" spans="3:3" ht="13.2">
      <c r="C70" s="9">
        <f ca="1">IFERROR(__xludf.DUMMYFUNCTION("""COMPUTED_VALUE"""),1245.86)</f>
        <v>1245.8599999999999</v>
      </c>
    </row>
    <row r="71" spans="3:3" ht="13.2">
      <c r="C71" s="9">
        <f ca="1">IFERROR(__xludf.DUMMYFUNCTION("""COMPUTED_VALUE"""),1007.832)</f>
        <v>1007.832</v>
      </c>
    </row>
    <row r="72" spans="3:3" ht="13.2">
      <c r="C72" s="9">
        <f ca="1">IFERROR(__xludf.DUMMYFUNCTION("""COMPUTED_VALUE"""),998.64)</f>
        <v>998.64</v>
      </c>
    </row>
    <row r="73" spans="3:3" ht="13.2">
      <c r="C73" s="9">
        <f ca="1">IFERROR(__xludf.DUMMYFUNCTION("""COMPUTED_VALUE"""),3061.296)</f>
        <v>3061.2959999999998</v>
      </c>
    </row>
    <row r="74" spans="3:3" ht="13.2">
      <c r="C74" s="9">
        <f ca="1">IFERROR(__xludf.DUMMYFUNCTION("""COMPUTED_VALUE"""),680.848)</f>
        <v>680.84799999999996</v>
      </c>
    </row>
    <row r="75" spans="3:3" ht="13.2">
      <c r="C75" s="9">
        <f ca="1">IFERROR(__xludf.DUMMYFUNCTION("""COMPUTED_VALUE"""),1587.208)</f>
        <v>1587.2080000000001</v>
      </c>
    </row>
    <row r="76" spans="3:3" ht="13.2">
      <c r="C76" s="9">
        <f ca="1">IFERROR(__xludf.DUMMYFUNCTION("""COMPUTED_VALUE"""),2452.464)</f>
        <v>2452.4639999999999</v>
      </c>
    </row>
    <row r="77" spans="3:3" ht="13.2">
      <c r="C77" s="9">
        <f ca="1">IFERROR(__xludf.DUMMYFUNCTION("""COMPUTED_VALUE"""),3527.72)</f>
        <v>3527.72</v>
      </c>
    </row>
    <row r="78" spans="3:3" ht="13.2">
      <c r="C78" s="9">
        <f ca="1">IFERROR(__xludf.DUMMYFUNCTION("""COMPUTED_VALUE"""),1049.64999999999)</f>
        <v>1049.6499999999901</v>
      </c>
    </row>
    <row r="79" spans="3:3" ht="13.2">
      <c r="C79" s="9">
        <f ca="1">IFERROR(__xludf.DUMMYFUNCTION("""COMPUTED_VALUE"""),1591.2)</f>
        <v>1591.2</v>
      </c>
    </row>
    <row r="80" spans="3:3" ht="13.2">
      <c r="C80" s="9">
        <f ca="1">IFERROR(__xludf.DUMMYFUNCTION("""COMPUTED_VALUE"""),899.136)</f>
        <v>899.13599999999997</v>
      </c>
    </row>
    <row r="81" spans="3:3" ht="13.2">
      <c r="C81" s="9">
        <f ca="1">IFERROR(__xludf.DUMMYFUNCTION("""COMPUTED_VALUE"""),626.352)</f>
        <v>626.35199999999998</v>
      </c>
    </row>
    <row r="82" spans="3:3" ht="13.2">
      <c r="C82" s="9">
        <f ca="1">IFERROR(__xludf.DUMMYFUNCTION("""COMPUTED_VALUE"""),1750)</f>
        <v>1750</v>
      </c>
    </row>
    <row r="83" spans="3:3" ht="13.2">
      <c r="C83" s="9">
        <f ca="1">IFERROR(__xludf.DUMMYFUNCTION("""COMPUTED_VALUE"""),4002.912)</f>
        <v>4002.9119999999998</v>
      </c>
    </row>
    <row r="84" spans="3:3" ht="13.2">
      <c r="C84" s="9">
        <f ca="1">IFERROR(__xludf.DUMMYFUNCTION("""COMPUTED_VALUE"""),527.92)</f>
        <v>527.91999999999996</v>
      </c>
    </row>
    <row r="85" spans="3:3" ht="13.2">
      <c r="C85" s="9">
        <f ca="1">IFERROR(__xludf.DUMMYFUNCTION("""COMPUTED_VALUE"""),1809.8)</f>
        <v>1809.8</v>
      </c>
    </row>
    <row r="86" spans="3:3" ht="13.2">
      <c r="C86" s="9">
        <f ca="1">IFERROR(__xludf.DUMMYFUNCTION("""COMPUTED_VALUE"""),4752)</f>
        <v>4752</v>
      </c>
    </row>
    <row r="87" spans="3:3" ht="13.2">
      <c r="C87" s="9">
        <f ca="1">IFERROR(__xludf.DUMMYFUNCTION("""COMPUTED_VALUE"""),837.54)</f>
        <v>837.54</v>
      </c>
    </row>
    <row r="88" spans="3:3" ht="13.2">
      <c r="C88" s="9">
        <f ca="1">IFERROR(__xludf.DUMMYFUNCTION("""COMPUTED_VALUE"""),2721.384)</f>
        <v>2721.384</v>
      </c>
    </row>
    <row r="89" spans="3:3" ht="13.2">
      <c r="C89" s="9">
        <f ca="1">IFERROR(__xludf.DUMMYFUNCTION("""COMPUTED_VALUE"""),1919.952)</f>
        <v>1919.952</v>
      </c>
    </row>
    <row r="90" spans="3:3" ht="13.2">
      <c r="C90" s="9">
        <f ca="1">IFERROR(__xludf.DUMMYFUNCTION("""COMPUTED_VALUE"""),2489.8)</f>
        <v>2489.8000000000002</v>
      </c>
    </row>
    <row r="91" spans="3:3" ht="13.2">
      <c r="C91" s="9">
        <f ca="1">IFERROR(__xludf.DUMMYFUNCTION("""COMPUTED_VALUE"""),1169.088)</f>
        <v>1169.088</v>
      </c>
    </row>
    <row r="92" spans="3:3" ht="13.2">
      <c r="C92" s="9">
        <f ca="1">IFERROR(__xludf.DUMMYFUNCTION("""COMPUTED_VALUE"""),701.58)</f>
        <v>701.58</v>
      </c>
    </row>
    <row r="93" spans="3:3" ht="13.2">
      <c r="C93" s="9">
        <f ca="1">IFERROR(__xludf.DUMMYFUNCTION("""COMPUTED_VALUE"""),1861.8435)</f>
        <v>1861.8434999999999</v>
      </c>
    </row>
    <row r="94" spans="3:3" ht="13.2">
      <c r="C94" s="9">
        <f ca="1">IFERROR(__xludf.DUMMYFUNCTION("""COMPUTED_VALUE"""),774.216)</f>
        <v>774.21600000000001</v>
      </c>
    </row>
    <row r="95" spans="3:3" ht="13.2">
      <c r="C95" s="9">
        <f ca="1">IFERROR(__xludf.DUMMYFUNCTION("""COMPUTED_VALUE"""),1853.92799999999)</f>
        <v>1853.9279999999901</v>
      </c>
    </row>
    <row r="96" spans="3:3" ht="13.2">
      <c r="C96" s="9">
        <f ca="1">IFERROR(__xludf.DUMMYFUNCTION("""COMPUTED_VALUE"""),2518.08)</f>
        <v>2518.08</v>
      </c>
    </row>
    <row r="97" spans="3:3" ht="13.2">
      <c r="C97" s="9">
        <f ca="1">IFERROR(__xludf.DUMMYFUNCTION("""COMPUTED_VALUE"""),1063.35)</f>
        <v>1063.3499999999999</v>
      </c>
    </row>
    <row r="98" spans="3:3" ht="13.2">
      <c r="C98" s="9">
        <f ca="1">IFERROR(__xludf.DUMMYFUNCTION("""COMPUTED_VALUE"""),10009.3)</f>
        <v>10009.299999999999</v>
      </c>
    </row>
    <row r="99" spans="3:3" ht="13.2">
      <c r="C99" s="9">
        <f ca="1">IFERROR(__xludf.DUMMYFUNCTION("""COMPUTED_VALUE"""),833.6)</f>
        <v>833.6</v>
      </c>
    </row>
    <row r="100" spans="3:3" ht="13.2">
      <c r="C100" s="9">
        <f ca="1">IFERROR(__xludf.DUMMYFUNCTION("""COMPUTED_VALUE"""),7516.25)</f>
        <v>7516.25</v>
      </c>
    </row>
    <row r="101" spans="3:3" ht="13.2">
      <c r="C101" s="9">
        <f ca="1">IFERROR(__xludf.DUMMYFUNCTION("""COMPUTED_VALUE"""),2894.112)</f>
        <v>2894.1120000000001</v>
      </c>
    </row>
    <row r="102" spans="3:3" ht="13.2">
      <c r="C102" s="9">
        <f ca="1">IFERROR(__xludf.DUMMYFUNCTION("""COMPUTED_VALUE"""),30126.3299999999)</f>
        <v>30126.3299999999</v>
      </c>
    </row>
    <row r="103" spans="3:3" ht="13.2">
      <c r="C103" s="9">
        <f ca="1">IFERROR(__xludf.DUMMYFUNCTION("""COMPUTED_VALUE"""),3887.424)</f>
        <v>3887.424</v>
      </c>
    </row>
    <row r="104" spans="3:3" ht="13.2">
      <c r="C104" s="9">
        <f ca="1">IFERROR(__xludf.DUMMYFUNCTION("""COMPUTED_VALUE"""),21419.874)</f>
        <v>21419.874</v>
      </c>
    </row>
    <row r="105" spans="3:3" ht="13.2">
      <c r="C105" s="9">
        <f ca="1">IFERROR(__xludf.DUMMYFUNCTION("""COMPUTED_VALUE"""),17639.706)</f>
        <v>17639.705999999998</v>
      </c>
    </row>
    <row r="106" spans="3:3" ht="13.2">
      <c r="C106" s="9">
        <f ca="1">IFERROR(__xludf.DUMMYFUNCTION("""COMPUTED_VALUE"""),1969.344)</f>
        <v>1969.3440000000001</v>
      </c>
    </row>
    <row r="107" spans="3:3" ht="13.2">
      <c r="C107" s="9">
        <f ca="1">IFERROR(__xludf.DUMMYFUNCTION("""COMPUTED_VALUE"""),719.1)</f>
        <v>719.1</v>
      </c>
    </row>
    <row r="108" spans="3:3" ht="13.2">
      <c r="C108" s="9">
        <f ca="1">IFERROR(__xludf.DUMMYFUNCTION("""COMPUTED_VALUE"""),6532.56)</f>
        <v>6532.56</v>
      </c>
    </row>
    <row r="109" spans="3:3" ht="13.2">
      <c r="C109" s="9">
        <f ca="1">IFERROR(__xludf.DUMMYFUNCTION("""COMPUTED_VALUE"""),1889.37)</f>
        <v>1889.37</v>
      </c>
    </row>
    <row r="110" spans="3:3" ht="13.2">
      <c r="C110" s="9">
        <f ca="1">IFERROR(__xludf.DUMMYFUNCTION("""COMPUTED_VALUE"""),7800.8)</f>
        <v>7800.8</v>
      </c>
    </row>
    <row r="111" spans="3:3" ht="13.2">
      <c r="C111" s="9">
        <f ca="1">IFERROR(__xludf.DUMMYFUNCTION("""COMPUTED_VALUE"""),9349.56)</f>
        <v>9349.56</v>
      </c>
    </row>
    <row r="112" spans="3:3" ht="13.2">
      <c r="C112" s="9">
        <f ca="1">IFERROR(__xludf.DUMMYFUNCTION("""COMPUTED_VALUE"""),1275.84)</f>
        <v>1275.8399999999999</v>
      </c>
    </row>
    <row r="113" spans="3:3" ht="13.2">
      <c r="C113" s="9">
        <f ca="1">IFERROR(__xludf.DUMMYFUNCTION("""COMPUTED_VALUE"""),2158.2)</f>
        <v>2158.1999999999998</v>
      </c>
    </row>
    <row r="114" spans="3:3" ht="13.2">
      <c r="C114" s="9">
        <f ca="1">IFERROR(__xludf.DUMMYFUNCTION("""COMPUTED_VALUE"""),762.174)</f>
        <v>762.17399999999998</v>
      </c>
    </row>
    <row r="115" spans="3:3" ht="13.2">
      <c r="C115" s="9">
        <f ca="1">IFERROR(__xludf.DUMMYFUNCTION("""COMPUTED_VALUE"""),583.584)</f>
        <v>583.58399999999995</v>
      </c>
    </row>
    <row r="116" spans="3:3" ht="13.2">
      <c r="C116" s="9">
        <f ca="1">IFERROR(__xludf.DUMMYFUNCTION("""COMPUTED_VALUE"""),2884.44)</f>
        <v>2884.44</v>
      </c>
    </row>
    <row r="117" spans="3:3" ht="13.2">
      <c r="C117" s="9">
        <f ca="1">IFERROR(__xludf.DUMMYFUNCTION("""COMPUTED_VALUE"""),1023.936)</f>
        <v>1023.936</v>
      </c>
    </row>
    <row r="118" spans="3:3" ht="13.2">
      <c r="C118" s="9">
        <f ca="1">IFERROR(__xludf.DUMMYFUNCTION("""COMPUTED_VALUE"""),2403.328)</f>
        <v>2403.328</v>
      </c>
    </row>
    <row r="119" spans="3:3" ht="13.2">
      <c r="C119" s="9">
        <f ca="1">IFERROR(__xludf.DUMMYFUNCTION("""COMPUTED_VALUE"""),1842.816)</f>
        <v>1842.816</v>
      </c>
    </row>
    <row r="120" spans="3:3" ht="13.2">
      <c r="C120" s="9">
        <f ca="1">IFERROR(__xludf.DUMMYFUNCTION("""COMPUTED_VALUE"""),1746.816)</f>
        <v>1746.816</v>
      </c>
    </row>
    <row r="121" spans="3:3" ht="13.2">
      <c r="C121" s="9">
        <f ca="1">IFERROR(__xludf.DUMMYFUNCTION("""COMPUTED_VALUE"""),628.8)</f>
        <v>628.79999999999995</v>
      </c>
    </row>
    <row r="122" spans="3:3" ht="13.2">
      <c r="C122" s="9">
        <f ca="1">IFERROR(__xludf.DUMMYFUNCTION("""COMPUTED_VALUE"""),7577.36)</f>
        <v>7577.36</v>
      </c>
    </row>
    <row r="123" spans="3:3" ht="13.2">
      <c r="C123" s="9">
        <f ca="1">IFERROR(__xludf.DUMMYFUNCTION("""COMPUTED_VALUE"""),543.199999999999)</f>
        <v>543.19999999999902</v>
      </c>
    </row>
    <row r="124" spans="3:3" ht="13.2">
      <c r="C124" s="9">
        <f ca="1">IFERROR(__xludf.DUMMYFUNCTION("""COMPUTED_VALUE"""),1314.44999999999)</f>
        <v>1314.44999999999</v>
      </c>
    </row>
    <row r="125" spans="3:3" ht="13.2">
      <c r="C125" s="9">
        <f ca="1">IFERROR(__xludf.DUMMYFUNCTION("""COMPUTED_VALUE"""),2313.6)</f>
        <v>2313.6</v>
      </c>
    </row>
    <row r="126" spans="3:3" ht="13.2">
      <c r="C126" s="9">
        <f ca="1">IFERROR(__xludf.DUMMYFUNCTION("""COMPUTED_VALUE"""),3734.144)</f>
        <v>3734.1439999999998</v>
      </c>
    </row>
    <row r="127" spans="3:3" ht="13.2">
      <c r="C127" s="9">
        <f ca="1">IFERROR(__xludf.DUMMYFUNCTION("""COMPUTED_VALUE"""),612.78)</f>
        <v>612.78</v>
      </c>
    </row>
    <row r="128" spans="3:3" ht="13.2">
      <c r="C128" s="9">
        <f ca="1">IFERROR(__xludf.DUMMYFUNCTION("""COMPUTED_VALUE"""),535.151999999999)</f>
        <v>535.15199999999902</v>
      </c>
    </row>
    <row r="129" spans="3:3" ht="13.2">
      <c r="C129" s="9">
        <f ca="1">IFERROR(__xludf.DUMMYFUNCTION("""COMPUTED_VALUE"""),3991.98)</f>
        <v>3991.98</v>
      </c>
    </row>
    <row r="130" spans="3:3" ht="13.2">
      <c r="C130" s="9">
        <f ca="1">IFERROR(__xludf.DUMMYFUNCTION("""COMPUTED_VALUE"""),2263.68)</f>
        <v>2263.6799999999998</v>
      </c>
    </row>
    <row r="131" spans="3:3" ht="13.2">
      <c r="C131" s="9">
        <f ca="1">IFERROR(__xludf.DUMMYFUNCTION("""COMPUTED_VALUE"""),899.91)</f>
        <v>899.91</v>
      </c>
    </row>
    <row r="132" spans="3:3" ht="13.2">
      <c r="C132" s="9">
        <f ca="1">IFERROR(__xludf.DUMMYFUNCTION("""COMPUTED_VALUE"""),786.744)</f>
        <v>786.74400000000003</v>
      </c>
    </row>
    <row r="133" spans="3:3" ht="13.2">
      <c r="C133" s="9">
        <f ca="1">IFERROR(__xludf.DUMMYFUNCTION("""COMPUTED_VALUE"""),8639.856)</f>
        <v>8639.8559999999998</v>
      </c>
    </row>
    <row r="134" spans="3:3" ht="13.2">
      <c r="C134" s="9">
        <f ca="1">IFERROR(__xludf.DUMMYFUNCTION("""COMPUTED_VALUE"""),6285.168)</f>
        <v>6285.1679999999997</v>
      </c>
    </row>
    <row r="135" spans="3:3" ht="13.2">
      <c r="C135" s="9">
        <f ca="1">IFERROR(__xludf.DUMMYFUNCTION("""COMPUTED_VALUE"""),509.97)</f>
        <v>509.97</v>
      </c>
    </row>
    <row r="136" spans="3:3" ht="13.2">
      <c r="C136" s="9">
        <f ca="1">IFERROR(__xludf.DUMMYFUNCTION("""COMPUTED_VALUE"""),621.6)</f>
        <v>621.6</v>
      </c>
    </row>
    <row r="137" spans="3:3" ht="13.2">
      <c r="C137" s="9">
        <f ca="1">IFERROR(__xludf.DUMMYFUNCTION("""COMPUTED_VALUE"""),4355.168)</f>
        <v>4355.1679999999997</v>
      </c>
    </row>
    <row r="138" spans="3:3" ht="13.2">
      <c r="C138" s="9">
        <f ca="1">IFERROR(__xludf.DUMMYFUNCTION("""COMPUTED_VALUE"""),1943.52)</f>
        <v>1943.52</v>
      </c>
    </row>
    <row r="139" spans="3:3" ht="13.2">
      <c r="C139" s="9">
        <f ca="1">IFERROR(__xludf.DUMMYFUNCTION("""COMPUTED_VALUE"""),1907.64)</f>
        <v>1907.64</v>
      </c>
    </row>
    <row r="140" spans="3:3" ht="13.2">
      <c r="C140" s="9">
        <f ca="1">IFERROR(__xludf.DUMMYFUNCTION("""COMPUTED_VALUE"""),628.74)</f>
        <v>628.74</v>
      </c>
    </row>
    <row r="141" spans="3:3" ht="13.2">
      <c r="C141" s="9">
        <f ca="1">IFERROR(__xludf.DUMMYFUNCTION("""COMPUTED_VALUE"""),6263.52)</f>
        <v>6263.52</v>
      </c>
    </row>
    <row r="142" spans="3:3" ht="13.2">
      <c r="C142" s="9">
        <f ca="1">IFERROR(__xludf.DUMMYFUNCTION("""COMPUTED_VALUE"""),8191.488)</f>
        <v>8191.4880000000003</v>
      </c>
    </row>
    <row r="143" spans="3:3" ht="13.2">
      <c r="C143" s="9">
        <f ca="1">IFERROR(__xludf.DUMMYFUNCTION("""COMPUTED_VALUE"""),3832.32)</f>
        <v>3832.32</v>
      </c>
    </row>
    <row r="144" spans="3:3" ht="13.2">
      <c r="C144" s="9">
        <f ca="1">IFERROR(__xludf.DUMMYFUNCTION("""COMPUTED_VALUE"""),594.816)</f>
        <v>594.81600000000003</v>
      </c>
    </row>
    <row r="145" spans="3:3" ht="13.2">
      <c r="C145" s="9">
        <f ca="1">IFERROR(__xludf.DUMMYFUNCTION("""COMPUTED_VALUE"""),2976.848)</f>
        <v>2976.848</v>
      </c>
    </row>
    <row r="146" spans="3:3" ht="13.2">
      <c r="C146" s="9">
        <f ca="1">IFERROR(__xludf.DUMMYFUNCTION("""COMPUTED_VALUE"""),1126.3725)</f>
        <v>1126.3724999999999</v>
      </c>
    </row>
    <row r="147" spans="3:3" ht="13.2">
      <c r="C147" s="9">
        <f ca="1">IFERROR(__xludf.DUMMYFUNCTION("""COMPUTED_VALUE"""),2217.45599999999)</f>
        <v>2217.4559999999901</v>
      </c>
    </row>
    <row r="148" spans="3:3" ht="13.2">
      <c r="C148" s="9">
        <f ca="1">IFERROR(__xludf.DUMMYFUNCTION("""COMPUTED_VALUE"""),16199.73)</f>
        <v>16199.73</v>
      </c>
    </row>
    <row r="149" spans="3:3" ht="13.2">
      <c r="C149" s="9">
        <f ca="1">IFERROR(__xludf.DUMMYFUNCTION("""COMPUTED_VALUE"""),606.336)</f>
        <v>606.33600000000001</v>
      </c>
    </row>
    <row r="150" spans="3:3" ht="13.2">
      <c r="C150" s="9">
        <f ca="1">IFERROR(__xludf.DUMMYFUNCTION("""COMPUTED_VALUE"""),16773.8592)</f>
        <v>16773.859199999999</v>
      </c>
    </row>
    <row r="151" spans="3:3" ht="13.2">
      <c r="C151" s="9">
        <f ca="1">IFERROR(__xludf.DUMMYFUNCTION("""COMPUTED_VALUE"""),917.952)</f>
        <v>917.952</v>
      </c>
    </row>
    <row r="152" spans="3:3" ht="13.2">
      <c r="C152" s="9">
        <f ca="1">IFERROR(__xludf.DUMMYFUNCTION("""COMPUTED_VALUE"""),1619.55)</f>
        <v>1619.55</v>
      </c>
    </row>
    <row r="153" spans="3:3" ht="13.2">
      <c r="C153" s="9">
        <f ca="1">IFERROR(__xludf.DUMMYFUNCTION("""COMPUTED_VALUE"""),10799.784)</f>
        <v>10799.784</v>
      </c>
    </row>
    <row r="154" spans="3:3" ht="13.2">
      <c r="C154" s="9">
        <f ca="1">IFERROR(__xludf.DUMMYFUNCTION("""COMPUTED_VALUE"""),9036.216)</f>
        <v>9036.2160000000003</v>
      </c>
    </row>
    <row r="155" spans="3:3" ht="13.2">
      <c r="C155" s="9">
        <f ca="1">IFERROR(__xludf.DUMMYFUNCTION("""COMPUTED_VALUE"""),503.82)</f>
        <v>503.82</v>
      </c>
    </row>
    <row r="156" spans="3:3" ht="13.2">
      <c r="C156" s="9">
        <f ca="1">IFERROR(__xludf.DUMMYFUNCTION("""COMPUTED_VALUE"""),12031.461)</f>
        <v>12031.460999999999</v>
      </c>
    </row>
    <row r="157" spans="3:3" ht="13.2">
      <c r="C157" s="9">
        <f ca="1">IFERROR(__xludf.DUMMYFUNCTION("""COMPUTED_VALUE"""),1022.112)</f>
        <v>1022.112</v>
      </c>
    </row>
    <row r="158" spans="3:3" ht="13.2">
      <c r="C158" s="9">
        <f ca="1">IFERROR(__xludf.DUMMYFUNCTION("""COMPUTED_VALUE"""),1258.74)</f>
        <v>1258.74</v>
      </c>
    </row>
    <row r="159" spans="3:3" ht="13.2">
      <c r="C159" s="9">
        <f ca="1">IFERROR(__xludf.DUMMYFUNCTION("""COMPUTED_VALUE"""),2764.224)</f>
        <v>2764.2240000000002</v>
      </c>
    </row>
    <row r="160" spans="3:3" ht="13.2">
      <c r="C160" s="9">
        <f ca="1">IFERROR(__xludf.DUMMYFUNCTION("""COMPUTED_VALUE"""),863.28)</f>
        <v>863.28</v>
      </c>
    </row>
    <row r="161" spans="3:3" ht="13.2">
      <c r="C161" s="9">
        <f ca="1">IFERROR(__xludf.DUMMYFUNCTION("""COMPUTED_VALUE"""),3454.2)</f>
        <v>3454.2</v>
      </c>
    </row>
    <row r="162" spans="3:3" ht="13.2">
      <c r="C162" s="9">
        <f ca="1">IFERROR(__xludf.DUMMYFUNCTION("""COMPUTED_VALUE"""),1574.016)</f>
        <v>1574.0160000000001</v>
      </c>
    </row>
    <row r="163" spans="3:3" ht="13.2">
      <c r="C163" s="9">
        <f ca="1">IFERROR(__xludf.DUMMYFUNCTION("""COMPUTED_VALUE"""),2599.2)</f>
        <v>2599.1999999999998</v>
      </c>
    </row>
    <row r="164" spans="3:3" ht="13.2">
      <c r="C164" s="9">
        <f ca="1">IFERROR(__xludf.DUMMYFUNCTION("""COMPUTED_VALUE"""),1151.68)</f>
        <v>1151.68</v>
      </c>
    </row>
    <row r="165" spans="3:3" ht="13.2">
      <c r="C165" s="9">
        <f ca="1">IFERROR(__xludf.DUMMYFUNCTION("""COMPUTED_VALUE"""),817.488)</f>
        <v>817.48800000000006</v>
      </c>
    </row>
    <row r="166" spans="3:3" ht="13.2">
      <c r="C166" s="9">
        <f ca="1">IFERROR(__xludf.DUMMYFUNCTION("""COMPUTED_VALUE"""),583.92)</f>
        <v>583.91999999999996</v>
      </c>
    </row>
    <row r="167" spans="3:3" ht="13.2">
      <c r="C167" s="9">
        <f ca="1">IFERROR(__xludf.DUMMYFUNCTION("""COMPUTED_VALUE"""),714.3)</f>
        <v>714.3</v>
      </c>
    </row>
    <row r="168" spans="3:3" ht="13.2">
      <c r="C168" s="9">
        <f ca="1">IFERROR(__xludf.DUMMYFUNCTION("""COMPUTED_VALUE"""),743.4)</f>
        <v>743.4</v>
      </c>
    </row>
    <row r="169" spans="3:3" ht="13.2">
      <c r="C169" s="9">
        <f ca="1">IFERROR(__xludf.DUMMYFUNCTION("""COMPUTED_VALUE"""),6047.874)</f>
        <v>6047.8739999999998</v>
      </c>
    </row>
    <row r="170" spans="3:3" ht="13.2">
      <c r="C170" s="9">
        <f ca="1">IFERROR(__xludf.DUMMYFUNCTION("""COMPUTED_VALUE"""),1880.92799999999)</f>
        <v>1880.9279999999901</v>
      </c>
    </row>
    <row r="171" spans="3:3" ht="13.2">
      <c r="C171" s="9">
        <f ca="1">IFERROR(__xludf.DUMMYFUNCTION("""COMPUTED_VALUE"""),779.76)</f>
        <v>779.76</v>
      </c>
    </row>
    <row r="172" spans="3:3" ht="13.2">
      <c r="C172" s="9">
        <f ca="1">IFERROR(__xludf.DUMMYFUNCTION("""COMPUTED_VALUE"""),971.76)</f>
        <v>971.76</v>
      </c>
    </row>
    <row r="173" spans="3:3" ht="13.2">
      <c r="C173" s="9">
        <f ca="1">IFERROR(__xludf.DUMMYFUNCTION("""COMPUTED_VALUE"""),1137.456)</f>
        <v>1137.4559999999999</v>
      </c>
    </row>
    <row r="174" spans="3:3" ht="13.2">
      <c r="C174" s="9">
        <f ca="1">IFERROR(__xludf.DUMMYFUNCTION("""COMPUTED_VALUE"""),2661.632)</f>
        <v>2661.6320000000001</v>
      </c>
    </row>
    <row r="175" spans="3:3" ht="13.2">
      <c r="C175" s="9">
        <f ca="1">IFERROR(__xludf.DUMMYFUNCTION("""COMPUTED_VALUE"""),1166.112)</f>
        <v>1166.1120000000001</v>
      </c>
    </row>
    <row r="176" spans="3:3" ht="13.2">
      <c r="C176" s="9">
        <f ca="1">IFERROR(__xludf.DUMMYFUNCTION("""COMPUTED_VALUE"""),4485.348)</f>
        <v>4485.348</v>
      </c>
    </row>
    <row r="177" spans="3:3" ht="13.2">
      <c r="C177" s="9">
        <f ca="1">IFERROR(__xludf.DUMMYFUNCTION("""COMPUTED_VALUE"""),935.28)</f>
        <v>935.28</v>
      </c>
    </row>
    <row r="178" spans="3:3" ht="13.2">
      <c r="C178" s="9">
        <f ca="1">IFERROR(__xludf.DUMMYFUNCTION("""COMPUTED_VALUE"""),8099.19)</f>
        <v>8099.19</v>
      </c>
    </row>
    <row r="179" spans="3:3" ht="13.2">
      <c r="C179" s="9">
        <f ca="1">IFERROR(__xludf.DUMMYFUNCTION("""COMPUTED_VALUE"""),10181.04)</f>
        <v>10181.040000000001</v>
      </c>
    </row>
    <row r="180" spans="3:3" ht="13.2">
      <c r="C180" s="9">
        <f ca="1">IFERROR(__xludf.DUMMYFUNCTION("""COMPUTED_VALUE"""),1483.008)</f>
        <v>1483.008</v>
      </c>
    </row>
    <row r="181" spans="3:3" ht="13.2">
      <c r="C181" s="9">
        <f ca="1">IFERROR(__xludf.DUMMYFUNCTION("""COMPUTED_VALUE"""),626.176)</f>
        <v>626.17600000000004</v>
      </c>
    </row>
    <row r="182" spans="3:3" ht="13.2">
      <c r="C182" s="9">
        <f ca="1">IFERROR(__xludf.DUMMYFUNCTION("""COMPUTED_VALUE"""),1528.464)</f>
        <v>1528.4639999999999</v>
      </c>
    </row>
    <row r="183" spans="3:3" ht="13.2">
      <c r="C183" s="9">
        <f ca="1">IFERROR(__xludf.DUMMYFUNCTION("""COMPUTED_VALUE"""),1437.3296)</f>
        <v>1437.3296</v>
      </c>
    </row>
    <row r="184" spans="3:3" ht="13.2">
      <c r="C184" s="9">
        <f ca="1">IFERROR(__xludf.DUMMYFUNCTION("""COMPUTED_VALUE"""),3068.28)</f>
        <v>3068.28</v>
      </c>
    </row>
    <row r="185" spans="3:3" ht="13.2">
      <c r="C185" s="9">
        <f ca="1">IFERROR(__xludf.DUMMYFUNCTION("""COMPUTED_VALUE"""),2003.994)</f>
        <v>2003.9939999999999</v>
      </c>
    </row>
    <row r="186" spans="3:3" ht="13.2">
      <c r="C186" s="9">
        <f ca="1">IFERROR(__xludf.DUMMYFUNCTION("""COMPUTED_VALUE"""),6335.71199999999)</f>
        <v>6335.7119999999904</v>
      </c>
    </row>
    <row r="187" spans="3:3" ht="13.2">
      <c r="C187" s="9">
        <f ca="1">IFERROR(__xludf.DUMMYFUNCTION("""COMPUTED_VALUE"""),832.68)</f>
        <v>832.68</v>
      </c>
    </row>
    <row r="188" spans="3:3" ht="13.2">
      <c r="C188" s="9">
        <f ca="1">IFERROR(__xludf.DUMMYFUNCTION("""COMPUTED_VALUE"""),563.85)</f>
        <v>563.85</v>
      </c>
    </row>
    <row r="189" spans="3:3" ht="13.2">
      <c r="C189" s="9">
        <f ca="1">IFERROR(__xludf.DUMMYFUNCTION("""COMPUTED_VALUE"""),853.65)</f>
        <v>853.65</v>
      </c>
    </row>
    <row r="190" spans="3:3" ht="13.2">
      <c r="C190" s="9">
        <f ca="1">IFERROR(__xludf.DUMMYFUNCTION("""COMPUTED_VALUE"""),861.84)</f>
        <v>861.84</v>
      </c>
    </row>
    <row r="191" spans="3:3" ht="13.2">
      <c r="C191" s="9">
        <f ca="1">IFERROR(__xludf.DUMMYFUNCTION("""COMPUTED_VALUE"""),704.25)</f>
        <v>704.25</v>
      </c>
    </row>
    <row r="192" spans="3:3" ht="13.2">
      <c r="C192" s="9">
        <f ca="1">IFERROR(__xludf.DUMMYFUNCTION("""COMPUTED_VALUE"""),4627.485)</f>
        <v>4627.4849999999997</v>
      </c>
    </row>
    <row r="193" spans="3:3" ht="13.2">
      <c r="C193" s="9">
        <f ca="1">IFERROR(__xludf.DUMMYFUNCTION("""COMPUTED_VALUE"""),2519.64)</f>
        <v>2519.64</v>
      </c>
    </row>
    <row r="194" spans="3:3" ht="13.2">
      <c r="C194" s="9">
        <f ca="1">IFERROR(__xludf.DUMMYFUNCTION("""COMPUTED_VALUE"""),16415.712)</f>
        <v>16415.712</v>
      </c>
    </row>
    <row r="195" spans="3:3" ht="13.2">
      <c r="C195" s="9">
        <f ca="1">IFERROR(__xludf.DUMMYFUNCTION("""COMPUTED_VALUE"""),845.82)</f>
        <v>845.82</v>
      </c>
    </row>
    <row r="196" spans="3:3" ht="13.2">
      <c r="C196" s="9">
        <f ca="1">IFERROR(__xludf.DUMMYFUNCTION("""COMPUTED_VALUE"""),569.646)</f>
        <v>569.64599999999996</v>
      </c>
    </row>
    <row r="197" spans="3:3" ht="13.2">
      <c r="C197" s="9">
        <f ca="1">IFERROR(__xludf.DUMMYFUNCTION("""COMPUTED_VALUE"""),737.94)</f>
        <v>737.94</v>
      </c>
    </row>
    <row r="198" spans="3:3" ht="13.2">
      <c r="C198" s="9">
        <f ca="1">IFERROR(__xludf.DUMMYFUNCTION("""COMPUTED_VALUE"""),1076.544)</f>
        <v>1076.5440000000001</v>
      </c>
    </row>
    <row r="199" spans="3:3" ht="13.2">
      <c r="C199" s="9">
        <f ca="1">IFERROR(__xludf.DUMMYFUNCTION("""COMPUTED_VALUE"""),2301.84)</f>
        <v>2301.84</v>
      </c>
    </row>
    <row r="200" spans="3:3" ht="13.2">
      <c r="C200" s="9">
        <f ca="1">IFERROR(__xludf.DUMMYFUNCTION("""COMPUTED_VALUE"""),2174.112)</f>
        <v>2174.1120000000001</v>
      </c>
    </row>
    <row r="201" spans="3:3" ht="13.2">
      <c r="C201" s="9">
        <f ca="1">IFERROR(__xludf.DUMMYFUNCTION("""COMPUTED_VALUE"""),623.699999999999)</f>
        <v>623.69999999999902</v>
      </c>
    </row>
    <row r="202" spans="3:3" ht="13.2">
      <c r="C202" s="9">
        <f ca="1">IFERROR(__xludf.DUMMYFUNCTION("""COMPUTED_VALUE"""),6412.544)</f>
        <v>6412.5439999999999</v>
      </c>
    </row>
    <row r="203" spans="3:3" ht="13.2">
      <c r="C203" s="9">
        <f ca="1">IFERROR(__xludf.DUMMYFUNCTION("""COMPUTED_VALUE"""),19064.85)</f>
        <v>19064.849999999999</v>
      </c>
    </row>
    <row r="204" spans="3:3" ht="13.2">
      <c r="C204" s="9">
        <f ca="1">IFERROR(__xludf.DUMMYFUNCTION("""COMPUTED_VALUE"""),757.8)</f>
        <v>757.8</v>
      </c>
    </row>
    <row r="205" spans="3:3" ht="13.2">
      <c r="C205" s="9">
        <f ca="1">IFERROR(__xludf.DUMMYFUNCTION("""COMPUTED_VALUE"""),14999.75)</f>
        <v>14999.75</v>
      </c>
    </row>
    <row r="206" spans="3:3" ht="13.2">
      <c r="C206" s="9">
        <f ca="1">IFERROR(__xludf.DUMMYFUNCTION("""COMPUTED_VALUE"""),5630.1)</f>
        <v>5630.1</v>
      </c>
    </row>
    <row r="207" spans="3:3" ht="13.2">
      <c r="C207" s="9">
        <f ca="1">IFERROR(__xludf.DUMMYFUNCTION("""COMPUTED_VALUE"""),906.976)</f>
        <v>906.976</v>
      </c>
    </row>
    <row r="208" spans="3:3" ht="13.2">
      <c r="C208" s="9">
        <f ca="1">IFERROR(__xludf.DUMMYFUNCTION("""COMPUTED_VALUE"""),843.92)</f>
        <v>843.92</v>
      </c>
    </row>
    <row r="209" spans="3:3" ht="13.2">
      <c r="C209" s="9">
        <f ca="1">IFERROR(__xludf.DUMMYFUNCTION("""COMPUTED_VALUE"""),596.34)</f>
        <v>596.34</v>
      </c>
    </row>
    <row r="210" spans="3:3" ht="13.2">
      <c r="C210" s="9">
        <f ca="1">IFERROR(__xludf.DUMMYFUNCTION("""COMPUTED_VALUE"""),2051.85599999999)</f>
        <v>2051.8559999999902</v>
      </c>
    </row>
    <row r="211" spans="3:3" ht="13.2">
      <c r="C211" s="9">
        <f ca="1">IFERROR(__xludf.DUMMYFUNCTION("""COMPUTED_VALUE"""),666.248)</f>
        <v>666.24800000000005</v>
      </c>
    </row>
    <row r="212" spans="3:3" ht="13.2">
      <c r="C212" s="9">
        <f ca="1">IFERROR(__xludf.DUMMYFUNCTION("""COMPUTED_VALUE"""),1716.48)</f>
        <v>1716.48</v>
      </c>
    </row>
    <row r="213" spans="3:3" ht="13.2">
      <c r="C213" s="9">
        <f ca="1">IFERROR(__xludf.DUMMYFUNCTION("""COMPUTED_VALUE"""),2939.85)</f>
        <v>2939.85</v>
      </c>
    </row>
    <row r="214" spans="3:3" ht="13.2">
      <c r="C214" s="9">
        <f ca="1">IFERROR(__xludf.DUMMYFUNCTION("""COMPUTED_VALUE"""),611.76)</f>
        <v>611.76</v>
      </c>
    </row>
    <row r="215" spans="3:3" ht="13.2">
      <c r="C215" s="9">
        <f ca="1">IFERROR(__xludf.DUMMYFUNCTION("""COMPUTED_VALUE"""),1135.68)</f>
        <v>1135.68</v>
      </c>
    </row>
    <row r="216" spans="3:3" ht="13.2">
      <c r="C216" s="9">
        <f ca="1">IFERROR(__xludf.DUMMYFUNCTION("""COMPUTED_VALUE"""),2344.5)</f>
        <v>2344.5</v>
      </c>
    </row>
    <row r="217" spans="3:3" ht="13.2">
      <c r="C217" s="9">
        <f ca="1">IFERROR(__xludf.DUMMYFUNCTION("""COMPUTED_VALUE"""),3046.912)</f>
        <v>3046.9119999999998</v>
      </c>
    </row>
    <row r="218" spans="3:3" ht="13.2">
      <c r="C218" s="9">
        <f ca="1">IFERROR(__xludf.DUMMYFUNCTION("""COMPUTED_VALUE"""),2587.104)</f>
        <v>2587.1039999999998</v>
      </c>
    </row>
    <row r="219" spans="3:3" ht="13.2">
      <c r="C219" s="9">
        <f ca="1">IFERROR(__xludf.DUMMYFUNCTION("""COMPUTED_VALUE"""),705.544)</f>
        <v>705.54399999999998</v>
      </c>
    </row>
    <row r="220" spans="3:3" ht="13.2">
      <c r="C220" s="9">
        <f ca="1">IFERROR(__xludf.DUMMYFUNCTION("""COMPUTED_VALUE"""),1501.632)</f>
        <v>1501.6320000000001</v>
      </c>
    </row>
    <row r="221" spans="3:3" ht="13.2">
      <c r="C221" s="9">
        <f ca="1">IFERROR(__xludf.DUMMYFUNCTION("""COMPUTED_VALUE"""),10094.112)</f>
        <v>10094.111999999999</v>
      </c>
    </row>
    <row r="222" spans="3:3" ht="13.2">
      <c r="C222" s="9">
        <f ca="1">IFERROR(__xludf.DUMMYFUNCTION("""COMPUTED_VALUE"""),11662.02)</f>
        <v>11662.02</v>
      </c>
    </row>
    <row r="223" spans="3:3" ht="13.2">
      <c r="C223" s="9">
        <f ca="1">IFERROR(__xludf.DUMMYFUNCTION("""COMPUTED_VALUE"""),12021.12)</f>
        <v>12021.12</v>
      </c>
    </row>
    <row r="224" spans="3:3" ht="13.2">
      <c r="C224" s="9">
        <f ca="1">IFERROR(__xludf.DUMMYFUNCTION("""COMPUTED_VALUE"""),756.504)</f>
        <v>756.50400000000002</v>
      </c>
    </row>
    <row r="225" spans="3:3" ht="13.2">
      <c r="C225" s="9">
        <f ca="1">IFERROR(__xludf.DUMMYFUNCTION("""COMPUTED_VALUE"""),3369.384)</f>
        <v>3369.384</v>
      </c>
    </row>
    <row r="226" spans="3:3" ht="13.2">
      <c r="C226" s="9">
        <f ca="1">IFERROR(__xludf.DUMMYFUNCTION("""COMPUTED_VALUE"""),826.56)</f>
        <v>826.56</v>
      </c>
    </row>
    <row r="227" spans="3:3" ht="13.2">
      <c r="C227" s="9">
        <f ca="1">IFERROR(__xludf.DUMMYFUNCTION("""COMPUTED_VALUE"""),729.791999999999)</f>
        <v>729.79199999999901</v>
      </c>
    </row>
    <row r="228" spans="3:3" ht="13.2">
      <c r="C228" s="9">
        <f ca="1">IFERROR(__xludf.DUMMYFUNCTION("""COMPUTED_VALUE"""),4060.368)</f>
        <v>4060.3679999999999</v>
      </c>
    </row>
    <row r="229" spans="3:3" ht="13.2">
      <c r="C229" s="9">
        <f ca="1">IFERROR(__xludf.DUMMYFUNCTION("""COMPUTED_VALUE"""),1446.48)</f>
        <v>1446.48</v>
      </c>
    </row>
    <row r="230" spans="3:3" ht="13.2">
      <c r="C230" s="9">
        <f ca="1">IFERROR(__xludf.DUMMYFUNCTION("""COMPUTED_VALUE"""),3763.008)</f>
        <v>3763.0079999999998</v>
      </c>
    </row>
    <row r="231" spans="3:3" ht="13.2">
      <c r="C231" s="9">
        <f ca="1">IFERROR(__xludf.DUMMYFUNCTION("""COMPUTED_VALUE"""),844.672)</f>
        <v>844.67200000000003</v>
      </c>
    </row>
    <row r="232" spans="3:3" ht="13.2">
      <c r="C232" s="9">
        <f ca="1">IFERROR(__xludf.DUMMYFUNCTION("""COMPUTED_VALUE"""),3250.944)</f>
        <v>3250.944</v>
      </c>
    </row>
    <row r="233" spans="3:3" ht="13.2">
      <c r="C233" s="9">
        <f ca="1">IFERROR(__xludf.DUMMYFUNCTION("""COMPUTED_VALUE"""),1179.72)</f>
        <v>1179.72</v>
      </c>
    </row>
    <row r="234" spans="3:3" ht="13.2">
      <c r="C234" s="9">
        <f ca="1">IFERROR(__xludf.DUMMYFUNCTION("""COMPUTED_VALUE"""),763.056)</f>
        <v>763.05600000000004</v>
      </c>
    </row>
    <row r="235" spans="3:3" ht="13.2">
      <c r="C235" s="9">
        <f ca="1">IFERROR(__xludf.DUMMYFUNCTION("""COMPUTED_VALUE"""),685.08)</f>
        <v>685.08</v>
      </c>
    </row>
    <row r="236" spans="3:3" ht="13.2">
      <c r="C236" s="9">
        <f ca="1">IFERROR(__xludf.DUMMYFUNCTION("""COMPUTED_VALUE"""),10799.784)</f>
        <v>10799.784</v>
      </c>
    </row>
    <row r="237" spans="3:3" ht="13.2">
      <c r="C237" s="9">
        <f ca="1">IFERROR(__xludf.DUMMYFUNCTION("""COMPUTED_VALUE"""),4013.64)</f>
        <v>4013.64</v>
      </c>
    </row>
    <row r="238" spans="3:3" ht="13.2">
      <c r="C238" s="9">
        <f ca="1">IFERROR(__xludf.DUMMYFUNCTION("""COMPUTED_VALUE"""),2949.84)</f>
        <v>2949.84</v>
      </c>
    </row>
    <row r="239" spans="3:3" ht="13.2">
      <c r="C239" s="9">
        <f ca="1">IFERROR(__xludf.DUMMYFUNCTION("""COMPUTED_VALUE"""),2587.032)</f>
        <v>2587.0320000000002</v>
      </c>
    </row>
    <row r="240" spans="3:3" ht="13.2">
      <c r="C240" s="9">
        <f ca="1">IFERROR(__xludf.DUMMYFUNCTION("""COMPUTED_VALUE"""),728.946)</f>
        <v>728.94600000000003</v>
      </c>
    </row>
    <row r="241" spans="3:3" ht="13.2">
      <c r="C241" s="9">
        <f ca="1">IFERROR(__xludf.DUMMYFUNCTION("""COMPUTED_VALUE"""),1207.84)</f>
        <v>1207.8399999999999</v>
      </c>
    </row>
    <row r="242" spans="3:3" ht="13.2">
      <c r="C242" s="9">
        <f ca="1">IFERROR(__xludf.DUMMYFUNCTION("""COMPUTED_VALUE"""),2220.84)</f>
        <v>2220.84</v>
      </c>
    </row>
    <row r="243" spans="3:3" ht="13.2">
      <c r="C243" s="9">
        <f ca="1">IFERROR(__xludf.DUMMYFUNCTION("""COMPUTED_VALUE"""),2093.92)</f>
        <v>2093.92</v>
      </c>
    </row>
    <row r="244" spans="3:3" ht="13.2">
      <c r="C244" s="9">
        <f ca="1">IFERROR(__xludf.DUMMYFUNCTION("""COMPUTED_VALUE"""),647.28)</f>
        <v>647.28</v>
      </c>
    </row>
    <row r="245" spans="3:3" ht="13.2">
      <c r="C245" s="9">
        <f ca="1">IFERROR(__xludf.DUMMYFUNCTION("""COMPUTED_VALUE"""),874.439999999999)</f>
        <v>874.43999999999903</v>
      </c>
    </row>
    <row r="246" spans="3:3" ht="13.2">
      <c r="C246" s="9">
        <f ca="1">IFERROR(__xludf.DUMMYFUNCTION("""COMPUTED_VALUE"""),1947.072)</f>
        <v>1947.0719999999999</v>
      </c>
    </row>
    <row r="247" spans="3:3" ht="13.2">
      <c r="C247" s="9">
        <f ca="1">IFERROR(__xludf.DUMMYFUNCTION("""COMPUTED_VALUE"""),958.4)</f>
        <v>958.4</v>
      </c>
    </row>
    <row r="248" spans="3:3" ht="13.2">
      <c r="C248" s="9">
        <f ca="1">IFERROR(__xludf.DUMMYFUNCTION("""COMPUTED_VALUE"""),2406.144)</f>
        <v>2406.1439999999998</v>
      </c>
    </row>
    <row r="249" spans="3:3" ht="13.2">
      <c r="C249" s="9">
        <f ca="1">IFERROR(__xludf.DUMMYFUNCTION("""COMPUTED_VALUE"""),707.832)</f>
        <v>707.83199999999999</v>
      </c>
    </row>
    <row r="250" spans="3:3" ht="13.2">
      <c r="C250" s="9">
        <f ca="1">IFERROR(__xludf.DUMMYFUNCTION("""COMPUTED_VALUE"""),1178.82)</f>
        <v>1178.82</v>
      </c>
    </row>
    <row r="251" spans="3:3" ht="13.2">
      <c r="C251" s="9">
        <f ca="1">IFERROR(__xludf.DUMMYFUNCTION("""COMPUTED_VALUE"""),978.624)</f>
        <v>978.62400000000002</v>
      </c>
    </row>
    <row r="252" spans="3:3" ht="13.2">
      <c r="C252" s="9">
        <f ca="1">IFERROR(__xludf.DUMMYFUNCTION("""COMPUTED_VALUE"""),9442.8)</f>
        <v>9442.7999999999993</v>
      </c>
    </row>
    <row r="253" spans="3:3" ht="13.2">
      <c r="C253" s="9">
        <f ca="1">IFERROR(__xludf.DUMMYFUNCTION("""COMPUTED_VALUE"""),2973.6)</f>
        <v>2973.6</v>
      </c>
    </row>
    <row r="254" spans="3:3" ht="13.2">
      <c r="C254" s="9">
        <f ca="1">IFERROR(__xludf.DUMMYFUNCTION("""COMPUTED_VALUE"""),530.08)</f>
        <v>530.08000000000004</v>
      </c>
    </row>
    <row r="255" spans="3:3" ht="13.2">
      <c r="C255" s="9">
        <f ca="1">IFERROR(__xludf.DUMMYFUNCTION("""COMPUTED_VALUE"""),837.2)</f>
        <v>837.2</v>
      </c>
    </row>
    <row r="256" spans="3:3" ht="13.2">
      <c r="C256" s="9">
        <f ca="1">IFERROR(__xludf.DUMMYFUNCTION("""COMPUTED_VALUE"""),2721.384)</f>
        <v>2721.384</v>
      </c>
    </row>
    <row r="257" spans="3:3" ht="13.2">
      <c r="C257" s="9">
        <f ca="1">IFERROR(__xludf.DUMMYFUNCTION("""COMPUTED_VALUE"""),2844)</f>
        <v>2844</v>
      </c>
    </row>
    <row r="258" spans="3:3" ht="13.2">
      <c r="C258" s="9">
        <f ca="1">IFERROR(__xludf.DUMMYFUNCTION("""COMPUTED_VALUE"""),537.152)</f>
        <v>537.15200000000004</v>
      </c>
    </row>
    <row r="259" spans="3:3" ht="13.2">
      <c r="C259" s="9">
        <f ca="1">IFERROR(__xludf.DUMMYFUNCTION("""COMPUTED_VALUE"""),4208.232)</f>
        <v>4208.232</v>
      </c>
    </row>
    <row r="260" spans="3:3" ht="13.2">
      <c r="C260" s="9">
        <f ca="1">IFERROR(__xludf.DUMMYFUNCTION("""COMPUTED_VALUE"""),6996.024)</f>
        <v>6996.0240000000003</v>
      </c>
    </row>
    <row r="261" spans="3:3" ht="13.2">
      <c r="C261" s="9">
        <f ca="1">IFERROR(__xludf.DUMMYFUNCTION("""COMPUTED_VALUE"""),5068.56)</f>
        <v>5068.5600000000004</v>
      </c>
    </row>
    <row r="262" spans="3:3" ht="13.2">
      <c r="C262" s="9">
        <f ca="1">IFERROR(__xludf.DUMMYFUNCTION("""COMPUTED_VALUE"""),6431.495)</f>
        <v>6431.4949999999999</v>
      </c>
    </row>
    <row r="263" spans="3:3" ht="13.2">
      <c r="C263" s="9">
        <f ca="1">IFERROR(__xludf.DUMMYFUNCTION("""COMPUTED_VALUE"""),595.391999999999)</f>
        <v>595.39199999999903</v>
      </c>
    </row>
    <row r="264" spans="3:3" ht="13.2">
      <c r="C264" s="9">
        <f ca="1">IFERROR(__xludf.DUMMYFUNCTION("""COMPUTED_VALUE"""),2671.032)</f>
        <v>2671.0320000000002</v>
      </c>
    </row>
    <row r="265" spans="3:3" ht="13.2">
      <c r="C265" s="9">
        <f ca="1">IFERROR(__xludf.DUMMYFUNCTION("""COMPUTED_VALUE"""),653.55)</f>
        <v>653.54999999999995</v>
      </c>
    </row>
    <row r="266" spans="3:3" ht="13.2">
      <c r="C266" s="9">
        <f ca="1">IFERROR(__xludf.DUMMYFUNCTION("""COMPUTED_VALUE"""),577.668)</f>
        <v>577.66800000000001</v>
      </c>
    </row>
    <row r="267" spans="3:3" ht="13.2">
      <c r="C267" s="9">
        <f ca="1">IFERROR(__xludf.DUMMYFUNCTION("""COMPUTED_VALUE"""),1280.958)</f>
        <v>1280.9580000000001</v>
      </c>
    </row>
    <row r="268" spans="3:3" ht="13.2">
      <c r="C268" s="9">
        <f ca="1">IFERROR(__xludf.DUMMYFUNCTION("""COMPUTED_VALUE"""),15999.96)</f>
        <v>15999.96</v>
      </c>
    </row>
    <row r="269" spans="3:3" ht="13.2">
      <c r="C269" s="9">
        <f ca="1">IFERROR(__xludf.DUMMYFUNCTION("""COMPUTED_VALUE"""),1439.91)</f>
        <v>1439.91</v>
      </c>
    </row>
    <row r="270" spans="3:3" ht="13.2">
      <c r="C270" s="9">
        <f ca="1">IFERROR(__xludf.DUMMYFUNCTION("""COMPUTED_VALUE"""),569.64)</f>
        <v>569.64</v>
      </c>
    </row>
    <row r="271" spans="3:3" ht="13.2">
      <c r="C271" s="9">
        <f ca="1">IFERROR(__xludf.DUMMYFUNCTION("""COMPUTED_VALUE"""),1496.16)</f>
        <v>1496.16</v>
      </c>
    </row>
    <row r="272" spans="3:3" ht="13.2">
      <c r="C272" s="9">
        <f ca="1">IFERROR(__xludf.DUMMYFUNCTION("""COMPUTED_VALUE"""),1888.92)</f>
        <v>1888.92</v>
      </c>
    </row>
    <row r="273" spans="3:3" ht="13.2">
      <c r="C273" s="9">
        <f ca="1">IFERROR(__xludf.DUMMYFUNCTION("""COMPUTED_VALUE"""),3329.20799999999)</f>
        <v>3329.2079999999901</v>
      </c>
    </row>
    <row r="274" spans="3:3" ht="13.2">
      <c r="C274" s="9">
        <f ca="1">IFERROR(__xludf.DUMMYFUNCTION("""COMPUTED_VALUE"""),883.92)</f>
        <v>883.92</v>
      </c>
    </row>
    <row r="275" spans="3:3" ht="13.2">
      <c r="C275" s="9">
        <f ca="1">IFERROR(__xludf.DUMMYFUNCTION("""COMPUTED_VALUE"""),586.56)</f>
        <v>586.55999999999995</v>
      </c>
    </row>
    <row r="276" spans="3:3" ht="13.2">
      <c r="C276" s="9">
        <f ca="1">IFERROR(__xludf.DUMMYFUNCTION("""COMPUTED_VALUE"""),1321.37999999999)</f>
        <v>1321.3799999999901</v>
      </c>
    </row>
    <row r="277" spans="3:3" ht="13.2">
      <c r="C277" s="9">
        <f ca="1">IFERROR(__xludf.DUMMYFUNCTION("""COMPUTED_VALUE"""),6611.76)</f>
        <v>6611.76</v>
      </c>
    </row>
    <row r="278" spans="3:3" ht="13.2">
      <c r="C278" s="9">
        <f ca="1">IFERROR(__xludf.DUMMYFUNCTION("""COMPUTED_VALUE"""),1185.48)</f>
        <v>1185.48</v>
      </c>
    </row>
    <row r="279" spans="3:3" ht="13.2">
      <c r="C279" s="9">
        <f ca="1">IFERROR(__xludf.DUMMYFUNCTION("""COMPUTED_VALUE"""),542.646)</f>
        <v>542.64599999999996</v>
      </c>
    </row>
    <row r="280" spans="3:3" ht="13.2">
      <c r="C280" s="9">
        <f ca="1">IFERROR(__xludf.DUMMYFUNCTION("""COMPUTED_VALUE"""),2186.46)</f>
        <v>2186.46</v>
      </c>
    </row>
    <row r="281" spans="3:3" ht="13.2">
      <c r="C281" s="9">
        <f ca="1">IFERROR(__xludf.DUMMYFUNCTION("""COMPUTED_VALUE"""),1619.73)</f>
        <v>1619.73</v>
      </c>
    </row>
    <row r="282" spans="3:3" ht="13.2">
      <c r="C282" s="9">
        <f ca="1">IFERROR(__xludf.DUMMYFUNCTION("""COMPUTED_VALUE"""),897.264)</f>
        <v>897.26400000000001</v>
      </c>
    </row>
    <row r="283" spans="3:3" ht="13.2">
      <c r="C283" s="9">
        <f ca="1">IFERROR(__xludf.DUMMYFUNCTION("""COMPUTED_VALUE"""),764.82)</f>
        <v>764.82</v>
      </c>
    </row>
    <row r="284" spans="3:3" ht="13.2">
      <c r="C284" s="9">
        <f ca="1">IFERROR(__xludf.DUMMYFUNCTION("""COMPUTED_VALUE"""),1636.416)</f>
        <v>1636.4159999999999</v>
      </c>
    </row>
    <row r="285" spans="3:3" ht="13.2">
      <c r="C285" s="9">
        <f ca="1">IFERROR(__xludf.DUMMYFUNCTION("""COMPUTED_VALUE"""),5104.08)</f>
        <v>5104.08</v>
      </c>
    </row>
    <row r="286" spans="3:3" ht="13.2">
      <c r="C286" s="9">
        <f ca="1">IFERROR(__xludf.DUMMYFUNCTION("""COMPUTED_VALUE"""),3233.88)</f>
        <v>3233.88</v>
      </c>
    </row>
    <row r="287" spans="3:3" ht="13.2">
      <c r="C287" s="9">
        <f ca="1">IFERROR(__xludf.DUMMYFUNCTION("""COMPUTED_VALUE"""),630.96)</f>
        <v>630.96</v>
      </c>
    </row>
    <row r="288" spans="3:3" ht="13.2">
      <c r="C288" s="9">
        <f ca="1">IFERROR(__xludf.DUMMYFUNCTION("""COMPUTED_VALUE"""),10799.784)</f>
        <v>10799.784</v>
      </c>
    </row>
    <row r="289" spans="3:3" ht="13.2">
      <c r="C289" s="9">
        <f ca="1">IFERROR(__xludf.DUMMYFUNCTION("""COMPUTED_VALUE"""),719.28)</f>
        <v>719.28</v>
      </c>
    </row>
    <row r="290" spans="3:3" ht="13.2">
      <c r="C290" s="9">
        <f ca="1">IFERROR(__xludf.DUMMYFUNCTION("""COMPUTED_VALUE"""),1150.31399999999)</f>
        <v>1150.3139999999901</v>
      </c>
    </row>
    <row r="291" spans="3:3" ht="13.2">
      <c r="C291" s="9">
        <f ca="1">IFERROR(__xludf.DUMMYFUNCTION("""COMPUTED_VALUE"""),599)</f>
        <v>599</v>
      </c>
    </row>
    <row r="292" spans="3:3" ht="13.2">
      <c r="C292" s="9">
        <f ca="1">IFERROR(__xludf.DUMMYFUNCTION("""COMPUTED_VALUE"""),524.88)</f>
        <v>524.88</v>
      </c>
    </row>
    <row r="293" spans="3:3" ht="13.2">
      <c r="C293" s="9">
        <f ca="1">IFERROR(__xludf.DUMMYFUNCTION("""COMPUTED_VALUE"""),4527.18)</f>
        <v>4527.18</v>
      </c>
    </row>
    <row r="294" spans="3:3" ht="13.2">
      <c r="C294" s="9">
        <f ca="1">IFERROR(__xludf.DUMMYFUNCTION("""COMPUTED_VALUE"""),4008.06)</f>
        <v>4008.06</v>
      </c>
    </row>
    <row r="295" spans="3:3" ht="13.2">
      <c r="C295" s="9">
        <f ca="1">IFERROR(__xludf.DUMMYFUNCTION("""COMPUTED_VALUE"""),932.64)</f>
        <v>932.64</v>
      </c>
    </row>
    <row r="296" spans="3:3" ht="13.2">
      <c r="C296" s="9">
        <f ca="1">IFERROR(__xludf.DUMMYFUNCTION("""COMPUTED_VALUE"""),1283.92)</f>
        <v>1283.92</v>
      </c>
    </row>
    <row r="297" spans="3:3" ht="13.2">
      <c r="C297" s="9">
        <f ca="1">IFERROR(__xludf.DUMMYFUNCTION("""COMPUTED_VALUE"""),1035)</f>
        <v>1035</v>
      </c>
    </row>
    <row r="298" spans="3:3" ht="13.2">
      <c r="C298" s="9">
        <f ca="1">IFERROR(__xludf.DUMMYFUNCTION("""COMPUTED_VALUE"""),4896.072)</f>
        <v>4896.0720000000001</v>
      </c>
    </row>
    <row r="299" spans="3:3" ht="13.2">
      <c r="C299" s="9">
        <f ca="1">IFERROR(__xludf.DUMMYFUNCTION("""COMPUTED_VALUE"""),539.46)</f>
        <v>539.46</v>
      </c>
    </row>
    <row r="300" spans="3:3" ht="13.2">
      <c r="C300" s="9">
        <f ca="1">IFERROR(__xludf.DUMMYFUNCTION("""COMPUTED_VALUE"""),3140.352)</f>
        <v>3140.3519999999999</v>
      </c>
    </row>
    <row r="301" spans="3:3" ht="13.2">
      <c r="C301" s="9">
        <f ca="1">IFERROR(__xludf.DUMMYFUNCTION("""COMPUTED_VALUE"""),665.88)</f>
        <v>665.88</v>
      </c>
    </row>
    <row r="302" spans="3:3" ht="13.2">
      <c r="C302" s="9">
        <f ca="1">IFERROR(__xludf.DUMMYFUNCTION("""COMPUTED_VALUE"""),2727.92)</f>
        <v>2727.92</v>
      </c>
    </row>
    <row r="303" spans="3:3" ht="13.2">
      <c r="C303" s="9">
        <f ca="1">IFERROR(__xludf.DUMMYFUNCTION("""COMPUTED_VALUE"""),2555.28)</f>
        <v>2555.2800000000002</v>
      </c>
    </row>
    <row r="304" spans="3:3" ht="13.2">
      <c r="C304" s="9">
        <f ca="1">IFERROR(__xludf.DUMMYFUNCTION("""COMPUTED_VALUE"""),1943.712)</f>
        <v>1943.712</v>
      </c>
    </row>
    <row r="305" spans="3:3" ht="13.2">
      <c r="C305" s="9">
        <f ca="1">IFERROR(__xludf.DUMMYFUNCTION("""COMPUTED_VALUE"""),15871.744)</f>
        <v>15871.744000000001</v>
      </c>
    </row>
    <row r="306" spans="3:3" ht="13.2">
      <c r="C306" s="9">
        <f ca="1">IFERROR(__xludf.DUMMYFUNCTION("""COMPUTED_VALUE"""),899.819999999999)</f>
        <v>899.81999999999903</v>
      </c>
    </row>
    <row r="307" spans="3:3" ht="13.2">
      <c r="C307" s="9">
        <f ca="1">IFERROR(__xludf.DUMMYFUNCTION("""COMPUTED_VALUE"""),11686.9499999999)</f>
        <v>11686.949999999901</v>
      </c>
    </row>
    <row r="308" spans="3:3" ht="13.2">
      <c r="C308" s="9">
        <f ca="1">IFERROR(__xludf.DUMMYFUNCTION("""COMPUTED_VALUE"""),1925.28)</f>
        <v>1925.28</v>
      </c>
    </row>
    <row r="309" spans="3:3" ht="13.2">
      <c r="C309" s="9">
        <f ca="1">IFERROR(__xludf.DUMMYFUNCTION("""COMPUTED_VALUE"""),12599.37)</f>
        <v>12599.37</v>
      </c>
    </row>
    <row r="310" spans="3:3" ht="13.2">
      <c r="C310" s="9">
        <f ca="1">IFERROR(__xludf.DUMMYFUNCTION("""COMPUTED_VALUE"""),1228.465)</f>
        <v>1228.4649999999999</v>
      </c>
    </row>
    <row r="311" spans="3:3" ht="13.2">
      <c r="C311" s="9">
        <f ca="1">IFERROR(__xludf.DUMMYFUNCTION("""COMPUTED_VALUE"""),1679.79)</f>
        <v>1679.79</v>
      </c>
    </row>
    <row r="312" spans="3:3" ht="13.2">
      <c r="C312" s="9">
        <f ca="1">IFERROR(__xludf.DUMMYFUNCTION("""COMPUTED_VALUE"""),610.199999999999)</f>
        <v>610.19999999999902</v>
      </c>
    </row>
    <row r="313" spans="3:3" ht="13.2">
      <c r="C313" s="9">
        <f ca="1">IFERROR(__xludf.DUMMYFUNCTION("""COMPUTED_VALUE"""),1511.73)</f>
        <v>1511.73</v>
      </c>
    </row>
    <row r="314" spans="3:3" ht="13.2">
      <c r="C314" s="9">
        <f ca="1">IFERROR(__xludf.DUMMYFUNCTION("""COMPUTED_VALUE"""),1207.84)</f>
        <v>1207.8399999999999</v>
      </c>
    </row>
    <row r="315" spans="3:3" ht="13.2">
      <c r="C315" s="9">
        <f ca="1">IFERROR(__xludf.DUMMYFUNCTION("""COMPUTED_VALUE"""),722.64)</f>
        <v>722.64</v>
      </c>
    </row>
    <row r="316" spans="3:3" ht="13.2">
      <c r="C316" s="9">
        <f ca="1">IFERROR(__xludf.DUMMYFUNCTION("""COMPUTED_VALUE"""),767.92)</f>
        <v>767.92</v>
      </c>
    </row>
    <row r="317" spans="3:3" ht="13.2">
      <c r="C317" s="9">
        <f ca="1">IFERROR(__xludf.DUMMYFUNCTION("""COMPUTED_VALUE"""),796.425)</f>
        <v>796.42499999999995</v>
      </c>
    </row>
    <row r="318" spans="3:3" ht="13.2">
      <c r="C318" s="9">
        <f ca="1">IFERROR(__xludf.DUMMYFUNCTION("""COMPUTED_VALUE"""),1151.76)</f>
        <v>1151.76</v>
      </c>
    </row>
    <row r="319" spans="3:3" ht="13.2">
      <c r="C319" s="9">
        <f ca="1">IFERROR(__xludf.DUMMYFUNCTION("""COMPUTED_VALUE"""),807.52)</f>
        <v>807.52</v>
      </c>
    </row>
    <row r="320" spans="3:3" ht="13.2">
      <c r="C320" s="9">
        <f ca="1">IFERROR(__xludf.DUMMYFUNCTION("""COMPUTED_VALUE"""),557.64)</f>
        <v>557.64</v>
      </c>
    </row>
    <row r="321" spans="3:3" ht="13.2">
      <c r="C321" s="9">
        <f ca="1">IFERROR(__xludf.DUMMYFUNCTION("""COMPUTED_VALUE"""),574.416)</f>
        <v>574.41600000000005</v>
      </c>
    </row>
    <row r="322" spans="3:3" ht="13.2">
      <c r="C322" s="9">
        <f ca="1">IFERROR(__xludf.DUMMYFUNCTION("""COMPUTED_VALUE"""),1141.47)</f>
        <v>1141.47</v>
      </c>
    </row>
    <row r="323" spans="3:3" ht="13.2">
      <c r="C323" s="9">
        <f ca="1">IFERROR(__xludf.DUMMYFUNCTION("""COMPUTED_VALUE"""),967.77)</f>
        <v>967.77</v>
      </c>
    </row>
    <row r="324" spans="3:3" ht="13.2">
      <c r="C324" s="9">
        <f ca="1">IFERROR(__xludf.DUMMYFUNCTION("""COMPUTED_VALUE"""),1115.91)</f>
        <v>1115.9100000000001</v>
      </c>
    </row>
    <row r="325" spans="3:3" ht="13.2">
      <c r="C325" s="9">
        <f ca="1">IFERROR(__xludf.DUMMYFUNCTION("""COMPUTED_VALUE"""),1242.9)</f>
        <v>1242.9000000000001</v>
      </c>
    </row>
    <row r="326" spans="3:3" ht="13.2">
      <c r="C326" s="9">
        <f ca="1">IFERROR(__xludf.DUMMYFUNCTION("""COMPUTED_VALUE"""),753.84)</f>
        <v>753.84</v>
      </c>
    </row>
    <row r="327" spans="3:3" ht="13.2">
      <c r="C327" s="9">
        <f ca="1">IFERROR(__xludf.DUMMYFUNCTION("""COMPUTED_VALUE"""),2175.68)</f>
        <v>2175.6799999999998</v>
      </c>
    </row>
    <row r="328" spans="3:3" ht="13.2">
      <c r="C328" s="9">
        <f ca="1">IFERROR(__xludf.DUMMYFUNCTION("""COMPUTED_VALUE"""),1402.37999999999)</f>
        <v>1402.3799999999901</v>
      </c>
    </row>
    <row r="329" spans="3:3" ht="13.2">
      <c r="C329" s="9">
        <f ca="1">IFERROR(__xludf.DUMMYFUNCTION("""COMPUTED_VALUE"""),630.072)</f>
        <v>630.072</v>
      </c>
    </row>
    <row r="330" spans="3:3" ht="13.2">
      <c r="C330" s="9">
        <f ca="1">IFERROR(__xludf.DUMMYFUNCTION("""COMPUTED_VALUE"""),1943.856)</f>
        <v>1943.856</v>
      </c>
    </row>
    <row r="331" spans="3:3" ht="13.2">
      <c r="C331" s="9">
        <f ca="1">IFERROR(__xludf.DUMMYFUNCTION("""COMPUTED_VALUE"""),584.64)</f>
        <v>584.64</v>
      </c>
    </row>
    <row r="332" spans="3:3" ht="13.2">
      <c r="C332" s="9">
        <f ca="1">IFERROR(__xludf.DUMMYFUNCTION("""COMPUTED_VALUE"""),4799.2)</f>
        <v>4799.2</v>
      </c>
    </row>
    <row r="333" spans="3:3" ht="13.2">
      <c r="C333" s="9">
        <f ca="1">IFERROR(__xludf.DUMMYFUNCTION("""COMPUTED_VALUE"""),7715.12)</f>
        <v>7715.12</v>
      </c>
    </row>
    <row r="334" spans="3:3" ht="13.2">
      <c r="C334" s="9">
        <f ca="1">IFERROR(__xludf.DUMMYFUNCTION("""COMPUTED_VALUE"""),1409.52)</f>
        <v>1409.52</v>
      </c>
    </row>
    <row r="335" spans="3:3" ht="13.2">
      <c r="C335" s="9">
        <f ca="1">IFERROR(__xludf.DUMMYFUNCTION("""COMPUTED_VALUE"""),718.65)</f>
        <v>718.65</v>
      </c>
    </row>
    <row r="336" spans="3:3" ht="13.2">
      <c r="C336" s="9">
        <f ca="1">IFERROR(__xludf.DUMMYFUNCTION("""COMPUTED_VALUE"""),699.426)</f>
        <v>699.42600000000004</v>
      </c>
    </row>
    <row r="337" spans="3:3" ht="13.2">
      <c r="C337" s="9">
        <f ca="1">IFERROR(__xludf.DUMMYFUNCTION("""COMPUTED_VALUE"""),5585.608)</f>
        <v>5585.6080000000002</v>
      </c>
    </row>
    <row r="338" spans="3:3" ht="13.2">
      <c r="C338" s="9">
        <f ca="1">IFERROR(__xludf.DUMMYFUNCTION("""COMPUTED_VALUE"""),1045.464)</f>
        <v>1045.4639999999999</v>
      </c>
    </row>
    <row r="339" spans="3:3" ht="13.2">
      <c r="C339" s="9">
        <f ca="1">IFERROR(__xludf.DUMMYFUNCTION("""COMPUTED_VALUE"""),841.568)</f>
        <v>841.56799999999998</v>
      </c>
    </row>
    <row r="340" spans="3:3" ht="13.2">
      <c r="C340" s="9">
        <f ca="1">IFERROR(__xludf.DUMMYFUNCTION("""COMPUTED_VALUE"""),1279.92)</f>
        <v>1279.92</v>
      </c>
    </row>
    <row r="341" spans="3:3" ht="13.2">
      <c r="C341" s="9">
        <f ca="1">IFERROR(__xludf.DUMMYFUNCTION("""COMPUTED_VALUE"""),1210.32)</f>
        <v>1210.32</v>
      </c>
    </row>
    <row r="342" spans="3:3" ht="13.2">
      <c r="C342" s="9">
        <f ca="1">IFERROR(__xludf.DUMMYFUNCTION("""COMPUTED_VALUE"""),10028.448)</f>
        <v>10028.448</v>
      </c>
    </row>
    <row r="343" spans="3:3" ht="13.2">
      <c r="C343" s="9">
        <f ca="1">IFERROR(__xludf.DUMMYFUNCTION("""COMPUTED_VALUE"""),4865.13)</f>
        <v>4865.13</v>
      </c>
    </row>
    <row r="344" spans="3:3" ht="13.2">
      <c r="C344" s="9">
        <f ca="1">IFERROR(__xludf.DUMMYFUNCTION("""COMPUTED_VALUE"""),1509.84)</f>
        <v>1509.84</v>
      </c>
    </row>
    <row r="345" spans="3:3" ht="13.2">
      <c r="C345" s="9">
        <f ca="1">IFERROR(__xludf.DUMMYFUNCTION("""COMPUTED_VALUE"""),3145.32)</f>
        <v>3145.32</v>
      </c>
    </row>
    <row r="346" spans="3:3" ht="13.2">
      <c r="C346" s="9">
        <f ca="1">IFERROR(__xludf.DUMMYFUNCTION("""COMPUTED_VALUE"""),516.488)</f>
        <v>516.48800000000006</v>
      </c>
    </row>
    <row r="347" spans="3:3" ht="13.2">
      <c r="C347" s="9">
        <f ca="1">IFERROR(__xludf.DUMMYFUNCTION("""COMPUTED_VALUE"""),1007.232)</f>
        <v>1007.232</v>
      </c>
    </row>
    <row r="348" spans="3:3" ht="13.2">
      <c r="C348" s="9">
        <f ca="1">IFERROR(__xludf.DUMMYFUNCTION("""COMPUTED_VALUE"""),2065.32)</f>
        <v>2065.3200000000002</v>
      </c>
    </row>
    <row r="349" spans="3:3" ht="13.2">
      <c r="C349" s="9">
        <f ca="1">IFERROR(__xludf.DUMMYFUNCTION("""COMPUTED_VALUE"""),551.9696)</f>
        <v>551.96960000000001</v>
      </c>
    </row>
    <row r="350" spans="3:3" ht="13.2">
      <c r="C350" s="9">
        <f ca="1">IFERROR(__xludf.DUMMYFUNCTION("""COMPUTED_VALUE"""),521.4)</f>
        <v>521.4</v>
      </c>
    </row>
    <row r="351" spans="3:3" ht="13.2">
      <c r="C351" s="9">
        <f ca="1">IFERROR(__xludf.DUMMYFUNCTION("""COMPUTED_VALUE"""),1841.39999999999)</f>
        <v>1841.3999999999901</v>
      </c>
    </row>
    <row r="352" spans="3:3" ht="13.2">
      <c r="C352" s="9">
        <f ca="1">IFERROR(__xludf.DUMMYFUNCTION("""COMPUTED_VALUE"""),2894.112)</f>
        <v>2894.1120000000001</v>
      </c>
    </row>
    <row r="353" spans="3:3" ht="13.2">
      <c r="C353" s="9">
        <f ca="1">IFERROR(__xludf.DUMMYFUNCTION("""COMPUTED_VALUE"""),501.81)</f>
        <v>501.81</v>
      </c>
    </row>
    <row r="354" spans="3:3" ht="13.2">
      <c r="C354" s="9">
        <f ca="1">IFERROR(__xludf.DUMMYFUNCTION("""COMPUTED_VALUE"""),12239.928)</f>
        <v>12239.928</v>
      </c>
    </row>
    <row r="355" spans="3:3" ht="13.2">
      <c r="C355" s="9">
        <f ca="1">IFERROR(__xludf.DUMMYFUNCTION("""COMPUTED_VALUE"""),599.292)</f>
        <v>599.29200000000003</v>
      </c>
    </row>
    <row r="356" spans="3:3" ht="13.2">
      <c r="C356" s="9">
        <f ca="1">IFERROR(__xludf.DUMMYFUNCTION("""COMPUTED_VALUE"""),4479.872)</f>
        <v>4479.8720000000003</v>
      </c>
    </row>
    <row r="357" spans="3:3" ht="13.2">
      <c r="C357" s="9">
        <f ca="1">IFERROR(__xludf.DUMMYFUNCTION("""COMPUTED_VALUE"""),4831.36)</f>
        <v>4831.3599999999997</v>
      </c>
    </row>
    <row r="358" spans="3:3" ht="13.2">
      <c r="C358" s="9">
        <f ca="1">IFERROR(__xludf.DUMMYFUNCTION("""COMPUTED_VALUE"""),2355.56999999999)</f>
        <v>2355.5699999999902</v>
      </c>
    </row>
    <row r="359" spans="3:3" ht="13.2">
      <c r="C359" s="9">
        <f ca="1">IFERROR(__xludf.DUMMYFUNCTION("""COMPUTED_VALUE"""),520.05)</f>
        <v>520.04999999999995</v>
      </c>
    </row>
    <row r="360" spans="3:3" ht="13.2">
      <c r="C360" s="9">
        <f ca="1">IFERROR(__xludf.DUMMYFUNCTION("""COMPUTED_VALUE"""),3500.76)</f>
        <v>3500.76</v>
      </c>
    </row>
    <row r="361" spans="3:3" ht="13.2">
      <c r="C361" s="9">
        <f ca="1">IFERROR(__xludf.DUMMYFUNCTION("""COMPUTED_VALUE"""),1394.1)</f>
        <v>1394.1</v>
      </c>
    </row>
    <row r="362" spans="3:3" ht="13.2">
      <c r="C362" s="9">
        <f ca="1">IFERROR(__xludf.DUMMYFUNCTION("""COMPUTED_VALUE"""),5431.86)</f>
        <v>5431.86</v>
      </c>
    </row>
    <row r="363" spans="3:3" ht="13.2">
      <c r="C363" s="9">
        <f ca="1">IFERROR(__xludf.DUMMYFUNCTION("""COMPUTED_VALUE"""),1235.94)</f>
        <v>1235.94</v>
      </c>
    </row>
    <row r="364" spans="3:3" ht="13.2">
      <c r="C364" s="9">
        <f ca="1">IFERROR(__xludf.DUMMYFUNCTION("""COMPUTED_VALUE"""),2309.65)</f>
        <v>2309.65</v>
      </c>
    </row>
    <row r="365" spans="3:3" ht="13.2">
      <c r="C365" s="9">
        <f ca="1">IFERROR(__xludf.DUMMYFUNCTION("""COMPUTED_VALUE"""),1090.782)</f>
        <v>1090.7819999999999</v>
      </c>
    </row>
    <row r="366" spans="3:3" ht="13.2">
      <c r="C366" s="9">
        <f ca="1">IFERROR(__xludf.DUMMYFUNCTION("""COMPUTED_VALUE"""),4361.84999999999)</f>
        <v>4361.8499999999904</v>
      </c>
    </row>
    <row r="367" spans="3:3" ht="13.2">
      <c r="C367" s="9">
        <f ca="1">IFERROR(__xludf.DUMMYFUNCTION("""COMPUTED_VALUE"""),575.904)</f>
        <v>575.904</v>
      </c>
    </row>
    <row r="368" spans="3:3" ht="13.2">
      <c r="C368" s="9">
        <f ca="1">IFERROR(__xludf.DUMMYFUNCTION("""COMPUTED_VALUE"""),1365.48)</f>
        <v>1365.48</v>
      </c>
    </row>
    <row r="369" spans="3:3" ht="13.2">
      <c r="C369" s="9">
        <f ca="1">IFERROR(__xludf.DUMMYFUNCTION("""COMPUTED_VALUE"""),1397.25)</f>
        <v>1397.25</v>
      </c>
    </row>
    <row r="370" spans="3:3" ht="13.2">
      <c r="C370" s="9">
        <f ca="1">IFERROR(__xludf.DUMMYFUNCTION("""COMPUTED_VALUE"""),14565.3299999999)</f>
        <v>14565.3299999999</v>
      </c>
    </row>
    <row r="371" spans="3:3" ht="13.2">
      <c r="C371" s="9">
        <f ca="1">IFERROR(__xludf.DUMMYFUNCTION("""COMPUTED_VALUE"""),896.4)</f>
        <v>896.4</v>
      </c>
    </row>
    <row r="372" spans="3:3" ht="13.2">
      <c r="C372" s="9">
        <f ca="1">IFERROR(__xludf.DUMMYFUNCTION("""COMPUTED_VALUE"""),601.65)</f>
        <v>601.65</v>
      </c>
    </row>
    <row r="373" spans="3:3" ht="13.2">
      <c r="C373" s="9">
        <f ca="1">IFERROR(__xludf.DUMMYFUNCTION("""COMPUTED_VALUE"""),2535.06)</f>
        <v>2535.06</v>
      </c>
    </row>
    <row r="374" spans="3:3" ht="13.2">
      <c r="C374" s="9">
        <f ca="1">IFERROR(__xludf.DUMMYFUNCTION("""COMPUTED_VALUE"""),2759.84)</f>
        <v>2759.84</v>
      </c>
    </row>
    <row r="375" spans="3:3" ht="13.2">
      <c r="C375" s="9">
        <f ca="1">IFERROR(__xludf.DUMMYFUNCTION("""COMPUTED_VALUE"""),1240.39999999999)</f>
        <v>1240.3999999999901</v>
      </c>
    </row>
    <row r="376" spans="3:3" ht="13.2">
      <c r="C376" s="9">
        <f ca="1">IFERROR(__xludf.DUMMYFUNCTION("""COMPUTED_VALUE"""),1385.79)</f>
        <v>1385.79</v>
      </c>
    </row>
    <row r="377" spans="3:3" ht="13.2">
      <c r="C377" s="9">
        <f ca="1">IFERROR(__xludf.DUMMYFUNCTION("""COMPUTED_VALUE"""),5984.58)</f>
        <v>5984.58</v>
      </c>
    </row>
    <row r="378" spans="3:3" ht="13.2">
      <c r="C378" s="9">
        <f ca="1">IFERROR(__xludf.DUMMYFUNCTION("""COMPUTED_VALUE"""),868.77)</f>
        <v>868.77</v>
      </c>
    </row>
    <row r="379" spans="3:3" ht="13.2">
      <c r="C379" s="9">
        <f ca="1">IFERROR(__xludf.DUMMYFUNCTION("""COMPUTED_VALUE"""),519.72)</f>
        <v>519.72</v>
      </c>
    </row>
    <row r="380" spans="3:3" ht="13.2">
      <c r="C380" s="9">
        <f ca="1">IFERROR(__xludf.DUMMYFUNCTION("""COMPUTED_VALUE"""),4182.96)</f>
        <v>4182.96</v>
      </c>
    </row>
    <row r="381" spans="3:3" ht="13.2">
      <c r="C381" s="9">
        <f ca="1">IFERROR(__xludf.DUMMYFUNCTION("""COMPUTED_VALUE"""),722.352)</f>
        <v>722.35199999999998</v>
      </c>
    </row>
    <row r="382" spans="3:3" ht="13.2">
      <c r="C382" s="9">
        <f ca="1">IFERROR(__xludf.DUMMYFUNCTION("""COMPUTED_VALUE"""),1527.624)</f>
        <v>1527.624</v>
      </c>
    </row>
    <row r="383" spans="3:3" ht="13.2">
      <c r="C383" s="9">
        <f ca="1">IFERROR(__xludf.DUMMYFUNCTION("""COMPUTED_VALUE"""),4091.88)</f>
        <v>4091.88</v>
      </c>
    </row>
    <row r="384" spans="3:3" ht="13.2">
      <c r="C384" s="9">
        <f ca="1">IFERROR(__xludf.DUMMYFUNCTION("""COMPUTED_VALUE"""),10021.536)</f>
        <v>10021.536</v>
      </c>
    </row>
    <row r="385" spans="3:3" ht="13.2">
      <c r="C385" s="9">
        <f ca="1">IFERROR(__xludf.DUMMYFUNCTION("""COMPUTED_VALUE"""),899.91)</f>
        <v>899.91</v>
      </c>
    </row>
    <row r="386" spans="3:3" ht="13.2">
      <c r="C386" s="9">
        <f ca="1">IFERROR(__xludf.DUMMYFUNCTION("""COMPUTED_VALUE"""),590.112)</f>
        <v>590.11199999999997</v>
      </c>
    </row>
    <row r="387" spans="3:3" ht="13.2">
      <c r="C387" s="9">
        <f ca="1">IFERROR(__xludf.DUMMYFUNCTION("""COMPUTED_VALUE"""),754.404)</f>
        <v>754.404</v>
      </c>
    </row>
    <row r="388" spans="3:3" ht="13.2">
      <c r="C388" s="9">
        <f ca="1">IFERROR(__xludf.DUMMYFUNCTION("""COMPUTED_VALUE"""),1753.632)</f>
        <v>1753.6320000000001</v>
      </c>
    </row>
    <row r="389" spans="3:3" ht="13.2">
      <c r="C389" s="9">
        <f ca="1">IFERROR(__xludf.DUMMYFUNCTION("""COMPUTED_VALUE"""),1079.63999999999)</f>
        <v>1079.6399999999901</v>
      </c>
    </row>
    <row r="390" spans="3:3" ht="13.2">
      <c r="C390" s="9">
        <f ca="1">IFERROR(__xludf.DUMMYFUNCTION("""COMPUTED_VALUE"""),4427.64)</f>
        <v>4427.6400000000003</v>
      </c>
    </row>
    <row r="391" spans="3:3" ht="13.2">
      <c r="C391" s="9">
        <f ca="1">IFERROR(__xludf.DUMMYFUNCTION("""COMPUTED_VALUE"""),836.592)</f>
        <v>836.59199999999998</v>
      </c>
    </row>
    <row r="392" spans="3:3" ht="13.2">
      <c r="C392" s="9">
        <f ca="1">IFERROR(__xludf.DUMMYFUNCTION("""COMPUTED_VALUE"""),4899.93)</f>
        <v>4899.93</v>
      </c>
    </row>
    <row r="393" spans="3:3" ht="13.2">
      <c r="C393" s="9">
        <f ca="1">IFERROR(__xludf.DUMMYFUNCTION("""COMPUTED_VALUE"""),647.784)</f>
        <v>647.78399999999999</v>
      </c>
    </row>
    <row r="394" spans="3:3" ht="13.2">
      <c r="C394" s="9">
        <f ca="1">IFERROR(__xludf.DUMMYFUNCTION("""COMPUTED_VALUE"""),1081.35)</f>
        <v>1081.3499999999999</v>
      </c>
    </row>
    <row r="395" spans="3:3" ht="13.2">
      <c r="C395" s="9">
        <f ca="1">IFERROR(__xludf.DUMMYFUNCTION("""COMPUTED_VALUE"""),1972.656)</f>
        <v>1972.6559999999999</v>
      </c>
    </row>
    <row r="396" spans="3:3" ht="13.2">
      <c r="C396" s="9">
        <f ca="1">IFERROR(__xludf.DUMMYFUNCTION("""COMPUTED_VALUE"""),711.92)</f>
        <v>711.92</v>
      </c>
    </row>
    <row r="397" spans="3:3" ht="13.2">
      <c r="C397" s="9">
        <f ca="1">IFERROR(__xludf.DUMMYFUNCTION("""COMPUTED_VALUE"""),696.416)</f>
        <v>696.41600000000005</v>
      </c>
    </row>
    <row r="398" spans="3:3" ht="13.2">
      <c r="C398" s="9">
        <f ca="1">IFERROR(__xludf.DUMMYFUNCTION("""COMPUTED_VALUE"""),4030.56)</f>
        <v>4030.56</v>
      </c>
    </row>
    <row r="399" spans="3:3" ht="13.2">
      <c r="C399" s="9">
        <f ca="1">IFERROR(__xludf.DUMMYFUNCTION("""COMPUTED_VALUE"""),704.928)</f>
        <v>704.928</v>
      </c>
    </row>
    <row r="400" spans="3:3" ht="13.2">
      <c r="C400" s="9">
        <f ca="1">IFERROR(__xludf.DUMMYFUNCTION("""COMPUTED_VALUE"""),503.719999999999)</f>
        <v>503.719999999999</v>
      </c>
    </row>
    <row r="401" spans="3:3" ht="13.2">
      <c r="C401" s="9">
        <f ca="1">IFERROR(__xludf.DUMMYFUNCTION("""COMPUTED_VALUE"""),1078.497)</f>
        <v>1078.4970000000001</v>
      </c>
    </row>
    <row r="402" spans="3:3" ht="13.2">
      <c r="C402" s="9">
        <f ca="1">IFERROR(__xludf.DUMMYFUNCTION("""COMPUTED_VALUE"""),1079.82)</f>
        <v>1079.82</v>
      </c>
    </row>
    <row r="403" spans="3:3" ht="13.2">
      <c r="C403" s="9">
        <f ca="1">IFERROR(__xludf.DUMMYFUNCTION("""COMPUTED_VALUE"""),839.699999999999)</f>
        <v>839.69999999999902</v>
      </c>
    </row>
    <row r="404" spans="3:3" ht="13.2">
      <c r="C404" s="9">
        <f ca="1">IFERROR(__xludf.DUMMYFUNCTION("""COMPUTED_VALUE"""),1859.85)</f>
        <v>1859.85</v>
      </c>
    </row>
    <row r="405" spans="3:3" ht="13.2">
      <c r="C405" s="9">
        <f ca="1">IFERROR(__xludf.DUMMYFUNCTION("""COMPUTED_VALUE"""),4899.50999999999)</f>
        <v>4899.5099999999902</v>
      </c>
    </row>
    <row r="406" spans="3:3" ht="13.2">
      <c r="C406" s="9">
        <f ca="1">IFERROR(__xludf.DUMMYFUNCTION("""COMPUTED_VALUE"""),7475.58)</f>
        <v>7475.58</v>
      </c>
    </row>
    <row r="407" spans="3:3" ht="13.2">
      <c r="C407" s="9">
        <f ca="1">IFERROR(__xludf.DUMMYFUNCTION("""COMPUTED_VALUE"""),687.84)</f>
        <v>687.84</v>
      </c>
    </row>
    <row r="408" spans="3:3" ht="13.2">
      <c r="C408" s="9">
        <f ca="1">IFERROR(__xludf.DUMMYFUNCTION("""COMPUTED_VALUE"""),1150.08)</f>
        <v>1150.08</v>
      </c>
    </row>
    <row r="409" spans="3:3" ht="13.2">
      <c r="C409" s="9">
        <f ca="1">IFERROR(__xludf.DUMMYFUNCTION("""COMPUTED_VALUE"""),1841.39999999999)</f>
        <v>1841.3999999999901</v>
      </c>
    </row>
    <row r="410" spans="3:3" ht="13.2">
      <c r="C410" s="9">
        <f ca="1">IFERROR(__xludf.DUMMYFUNCTION("""COMPUTED_VALUE"""),6176.88)</f>
        <v>6176.88</v>
      </c>
    </row>
    <row r="411" spans="3:3" ht="13.2">
      <c r="C411" s="9">
        <f ca="1">IFERROR(__xludf.DUMMYFUNCTION("""COMPUTED_VALUE"""),559.62)</f>
        <v>559.62</v>
      </c>
    </row>
    <row r="412" spans="3:3" ht="13.2">
      <c r="C412" s="9">
        <f ca="1">IFERROR(__xludf.DUMMYFUNCTION("""COMPUTED_VALUE"""),2576.304)</f>
        <v>2576.3040000000001</v>
      </c>
    </row>
    <row r="413" spans="3:3" ht="13.2">
      <c r="C413" s="9">
        <f ca="1">IFERROR(__xludf.DUMMYFUNCTION("""COMPUTED_VALUE"""),2399.92)</f>
        <v>2399.92</v>
      </c>
    </row>
    <row r="414" spans="3:3" ht="13.2">
      <c r="C414" s="9">
        <f ca="1">IFERROR(__xludf.DUMMYFUNCTION("""COMPUTED_VALUE"""),1278.144)</f>
        <v>1278.144</v>
      </c>
    </row>
    <row r="415" spans="3:3" ht="13.2">
      <c r="C415" s="9">
        <f ca="1">IFERROR(__xludf.DUMMYFUNCTION("""COMPUTED_VALUE"""),4488.96)</f>
        <v>4488.96</v>
      </c>
    </row>
    <row r="416" spans="3:3" ht="13.2">
      <c r="C416" s="9">
        <f ca="1">IFERROR(__xludf.DUMMYFUNCTION("""COMPUTED_VALUE"""),910.2)</f>
        <v>910.2</v>
      </c>
    </row>
    <row r="417" spans="3:3" ht="13.2">
      <c r="C417" s="9">
        <f ca="1">IFERROR(__xludf.DUMMYFUNCTION("""COMPUTED_VALUE"""),1756.656)</f>
        <v>1756.6559999999999</v>
      </c>
    </row>
    <row r="418" spans="3:3" ht="13.2">
      <c r="C418" s="9">
        <f ca="1">IFERROR(__xludf.DUMMYFUNCTION("""COMPUTED_VALUE"""),1814.7)</f>
        <v>1814.7</v>
      </c>
    </row>
    <row r="419" spans="3:3" ht="13.2">
      <c r="C419" s="9">
        <f ca="1">IFERROR(__xludf.DUMMYFUNCTION("""COMPUTED_VALUE"""),4031.37)</f>
        <v>4031.37</v>
      </c>
    </row>
    <row r="420" spans="3:3" ht="13.2">
      <c r="C420" s="9">
        <f ca="1">IFERROR(__xludf.DUMMYFUNCTION("""COMPUTED_VALUE"""),1810.872)</f>
        <v>1810.8720000000001</v>
      </c>
    </row>
    <row r="421" spans="3:3" ht="13.2">
      <c r="C421" s="9">
        <f ca="1">IFERROR(__xludf.DUMMYFUNCTION("""COMPUTED_VALUE"""),10583.44)</f>
        <v>10583.44</v>
      </c>
    </row>
    <row r="422" spans="3:3" ht="13.2">
      <c r="C422" s="9">
        <f ca="1">IFERROR(__xludf.DUMMYFUNCTION("""COMPUTED_VALUE"""),4372.92)</f>
        <v>4372.92</v>
      </c>
    </row>
    <row r="423" spans="3:3" ht="13.2">
      <c r="C423" s="9">
        <f ca="1">IFERROR(__xludf.DUMMYFUNCTION("""COMPUTED_VALUE"""),1778.22)</f>
        <v>1778.22</v>
      </c>
    </row>
    <row r="424" spans="3:3" ht="13.2">
      <c r="C424" s="9">
        <f ca="1">IFERROR(__xludf.DUMMYFUNCTION("""COMPUTED_VALUE"""),737.28)</f>
        <v>737.28</v>
      </c>
    </row>
    <row r="425" spans="3:3" ht="13.2">
      <c r="C425" s="9">
        <f ca="1">IFERROR(__xludf.DUMMYFUNCTION("""COMPUTED_VALUE"""),8005.824)</f>
        <v>8005.8239999999996</v>
      </c>
    </row>
    <row r="426" spans="3:3" ht="13.2">
      <c r="C426" s="9">
        <f ca="1">IFERROR(__xludf.DUMMYFUNCTION("""COMPUTED_VALUE"""),8030.016)</f>
        <v>8030.0159999999996</v>
      </c>
    </row>
    <row r="427" spans="3:3" ht="13.2">
      <c r="C427" s="9">
        <f ca="1">IFERROR(__xludf.DUMMYFUNCTION("""COMPUTED_VALUE"""),2015.28)</f>
        <v>2015.28</v>
      </c>
    </row>
    <row r="428" spans="3:3" ht="13.2">
      <c r="C428" s="9">
        <f ca="1">IFERROR(__xludf.DUMMYFUNCTION("""COMPUTED_VALUE"""),3023.496)</f>
        <v>3023.4960000000001</v>
      </c>
    </row>
    <row r="429" spans="3:3" ht="13.2">
      <c r="C429" s="9">
        <f ca="1">IFERROR(__xludf.DUMMYFUNCTION("""COMPUTED_VALUE"""),671.887999999999)</f>
        <v>671.88799999999901</v>
      </c>
    </row>
    <row r="430" spans="3:3" ht="13.2">
      <c r="C430" s="9">
        <f ca="1">IFERROR(__xludf.DUMMYFUNCTION("""COMPUTED_VALUE"""),7621.544)</f>
        <v>7621.5439999999999</v>
      </c>
    </row>
    <row r="431" spans="3:3" ht="13.2">
      <c r="C431" s="9">
        <f ca="1">IFERROR(__xludf.DUMMYFUNCTION("""COMPUTED_VALUE"""),4352.064)</f>
        <v>4352.0640000000003</v>
      </c>
    </row>
    <row r="432" spans="3:3" ht="13.2">
      <c r="C432" s="9">
        <f ca="1">IFERROR(__xludf.DUMMYFUNCTION("""COMPUTED_VALUE"""),6834.816)</f>
        <v>6834.8159999999998</v>
      </c>
    </row>
    <row r="433" spans="3:3" ht="13.2">
      <c r="C433" s="9">
        <f ca="1">IFERROR(__xludf.DUMMYFUNCTION("""COMPUTED_VALUE"""),4748.544)</f>
        <v>4748.5439999999999</v>
      </c>
    </row>
    <row r="434" spans="3:3" ht="13.2">
      <c r="C434" s="9">
        <f ca="1">IFERROR(__xludf.DUMMYFUNCTION("""COMPUTED_VALUE"""),2704.32)</f>
        <v>2704.32</v>
      </c>
    </row>
    <row r="435" spans="3:3" ht="13.2">
      <c r="C435" s="9">
        <f ca="1">IFERROR(__xludf.DUMMYFUNCTION("""COMPUTED_VALUE"""),543.92)</f>
        <v>543.91999999999996</v>
      </c>
    </row>
    <row r="436" spans="3:3" ht="13.2">
      <c r="C436" s="9">
        <f ca="1">IFERROR(__xludf.DUMMYFUNCTION("""COMPUTED_VALUE"""),579.136)</f>
        <v>579.13599999999997</v>
      </c>
    </row>
    <row r="437" spans="3:3" ht="13.2">
      <c r="C437" s="9">
        <f ca="1">IFERROR(__xludf.DUMMYFUNCTION("""COMPUTED_VALUE"""),1931.958)</f>
        <v>1931.9580000000001</v>
      </c>
    </row>
    <row r="438" spans="3:3" ht="13.2">
      <c r="C438" s="9">
        <f ca="1">IFERROR(__xludf.DUMMYFUNCTION("""COMPUTED_VALUE"""),2247.75)</f>
        <v>2247.75</v>
      </c>
    </row>
    <row r="439" spans="3:3" ht="13.2">
      <c r="C439" s="9">
        <f ca="1">IFERROR(__xludf.DUMMYFUNCTION("""COMPUTED_VALUE"""),2303.424)</f>
        <v>2303.424</v>
      </c>
    </row>
    <row r="440" spans="3:3" ht="13.2">
      <c r="C440" s="9">
        <f ca="1">IFERROR(__xludf.DUMMYFUNCTION("""COMPUTED_VALUE"""),3359.952)</f>
        <v>3359.9520000000002</v>
      </c>
    </row>
    <row r="441" spans="3:3" ht="13.2">
      <c r="C441" s="9">
        <f ca="1">IFERROR(__xludf.DUMMYFUNCTION("""COMPUTED_VALUE"""),6882.192)</f>
        <v>6882.192</v>
      </c>
    </row>
    <row r="442" spans="3:3" ht="13.2">
      <c r="C442" s="9">
        <f ca="1">IFERROR(__xludf.DUMMYFUNCTION("""COMPUTED_VALUE"""),32497.6319999999)</f>
        <v>32497.6319999999</v>
      </c>
    </row>
    <row r="443" spans="3:3" ht="13.2">
      <c r="C443" s="9">
        <f ca="1">IFERROR(__xludf.DUMMYFUNCTION("""COMPUTED_VALUE"""),2294.7705)</f>
        <v>2294.7705000000001</v>
      </c>
    </row>
    <row r="444" spans="3:3" ht="13.2">
      <c r="C444" s="9">
        <f ca="1">IFERROR(__xludf.DUMMYFUNCTION("""COMPUTED_VALUE"""),1141.938)</f>
        <v>1141.9380000000001</v>
      </c>
    </row>
    <row r="445" spans="3:3" ht="13.2">
      <c r="C445" s="9">
        <f ca="1">IFERROR(__xludf.DUMMYFUNCTION("""COMPUTED_VALUE"""),1704.56)</f>
        <v>1704.56</v>
      </c>
    </row>
    <row r="446" spans="3:3" ht="13.2">
      <c r="C446" s="9">
        <f ca="1">IFERROR(__xludf.DUMMYFUNCTION("""COMPUTED_VALUE"""),5499.8)</f>
        <v>5499.8</v>
      </c>
    </row>
    <row r="447" spans="3:3" ht="13.2">
      <c r="C447" s="9">
        <f ca="1">IFERROR(__xludf.DUMMYFUNCTION("""COMPUTED_VALUE"""),1080.096)</f>
        <v>1080.096</v>
      </c>
    </row>
    <row r="448" spans="3:3" ht="13.2">
      <c r="C448" s="9">
        <f ca="1">IFERROR(__xludf.DUMMYFUNCTION("""COMPUTED_VALUE"""),511.36)</f>
        <v>511.36</v>
      </c>
    </row>
    <row r="449" spans="3:3" ht="13.2">
      <c r="C449" s="9">
        <f ca="1">IFERROR(__xludf.DUMMYFUNCTION("""COMPUTED_VALUE"""),2591.64)</f>
        <v>2591.64</v>
      </c>
    </row>
    <row r="450" spans="3:3" ht="13.2">
      <c r="C450" s="9">
        <f ca="1">IFERROR(__xludf.DUMMYFUNCTION("""COMPUTED_VALUE"""),1285.74)</f>
        <v>1285.74</v>
      </c>
    </row>
    <row r="451" spans="3:3" ht="13.2">
      <c r="C451" s="9">
        <f ca="1">IFERROR(__xludf.DUMMYFUNCTION("""COMPUTED_VALUE"""),2630.448)</f>
        <v>2630.4479999999999</v>
      </c>
    </row>
    <row r="452" spans="3:3" ht="13.2">
      <c r="C452" s="9">
        <f ca="1">IFERROR(__xludf.DUMMYFUNCTION("""COMPUTED_VALUE"""),614.016)</f>
        <v>614.01599999999996</v>
      </c>
    </row>
    <row r="453" spans="3:3" ht="13.2">
      <c r="C453" s="9">
        <f ca="1">IFERROR(__xludf.DUMMYFUNCTION("""COMPUTED_VALUE"""),2719.01)</f>
        <v>2719.01</v>
      </c>
    </row>
    <row r="454" spans="3:3" ht="13.2">
      <c r="C454" s="9">
        <f ca="1">IFERROR(__xludf.DUMMYFUNCTION("""COMPUTED_VALUE"""),604.464)</f>
        <v>604.46400000000006</v>
      </c>
    </row>
    <row r="455" spans="3:3" ht="13.2">
      <c r="C455" s="9">
        <f ca="1">IFERROR(__xludf.DUMMYFUNCTION("""COMPUTED_VALUE"""),1392)</f>
        <v>1392</v>
      </c>
    </row>
    <row r="456" spans="3:3" ht="13.2">
      <c r="C456" s="9">
        <f ca="1">IFERROR(__xludf.DUMMYFUNCTION("""COMPUTED_VALUE"""),754.92)</f>
        <v>754.92</v>
      </c>
    </row>
    <row r="457" spans="3:3" ht="13.2">
      <c r="C457" s="9">
        <f ca="1">IFERROR(__xludf.DUMMYFUNCTION("""COMPUTED_VALUE"""),1027.8)</f>
        <v>1027.8</v>
      </c>
    </row>
    <row r="458" spans="3:3" ht="13.2">
      <c r="C458" s="9">
        <f ca="1">IFERROR(__xludf.DUMMYFUNCTION("""COMPUTED_VALUE"""),6765.824)</f>
        <v>6765.8239999999996</v>
      </c>
    </row>
    <row r="459" spans="3:3" ht="13.2">
      <c r="C459" s="9">
        <f ca="1">IFERROR(__xludf.DUMMYFUNCTION("""COMPUTED_VALUE"""),574.75)</f>
        <v>574.75</v>
      </c>
    </row>
    <row r="460" spans="3:3" ht="13.2">
      <c r="C460" s="9">
        <f ca="1">IFERROR(__xludf.DUMMYFUNCTION("""COMPUTED_VALUE"""),1145.52)</f>
        <v>1145.52</v>
      </c>
    </row>
    <row r="461" spans="3:3" ht="13.2">
      <c r="C461" s="9">
        <f ca="1">IFERROR(__xludf.DUMMYFUNCTION("""COMPUTED_VALUE"""),572.76)</f>
        <v>572.76</v>
      </c>
    </row>
    <row r="462" spans="3:3" ht="13.2">
      <c r="C462" s="9">
        <f ca="1">IFERROR(__xludf.DUMMYFUNCTION("""COMPUTED_VALUE"""),863.91)</f>
        <v>863.91</v>
      </c>
    </row>
    <row r="463" spans="3:3" ht="13.2">
      <c r="C463" s="9">
        <f ca="1">IFERROR(__xludf.DUMMYFUNCTION("""COMPUTED_VALUE"""),2939.608)</f>
        <v>2939.6080000000002</v>
      </c>
    </row>
    <row r="464" spans="3:3" ht="13.2">
      <c r="C464" s="9">
        <f ca="1">IFERROR(__xludf.DUMMYFUNCTION("""COMPUTED_VALUE"""),1457.46)</f>
        <v>1457.46</v>
      </c>
    </row>
    <row r="465" spans="3:3" ht="13.2">
      <c r="C465" s="9">
        <f ca="1">IFERROR(__xludf.DUMMYFUNCTION("""COMPUTED_VALUE"""),1454.112)</f>
        <v>1454.1120000000001</v>
      </c>
    </row>
    <row r="466" spans="3:3" ht="13.2">
      <c r="C466" s="9">
        <f ca="1">IFERROR(__xludf.DUMMYFUNCTION("""COMPUTED_VALUE"""),621.488)</f>
        <v>621.48800000000006</v>
      </c>
    </row>
    <row r="467" spans="3:3" ht="13.2">
      <c r="C467" s="9">
        <f ca="1">IFERROR(__xludf.DUMMYFUNCTION("""COMPUTED_VALUE"""),1654.56)</f>
        <v>1654.56</v>
      </c>
    </row>
    <row r="468" spans="3:3" ht="13.2">
      <c r="C468" s="9">
        <f ca="1">IFERROR(__xludf.DUMMYFUNCTION("""COMPUTED_VALUE"""),5213.7)</f>
        <v>5213.7</v>
      </c>
    </row>
    <row r="469" spans="3:3" ht="13.2">
      <c r="C469" s="9">
        <f ca="1">IFERROR(__xludf.DUMMYFUNCTION("""COMPUTED_VALUE"""),1727.75999999999)</f>
        <v>1727.75999999999</v>
      </c>
    </row>
    <row r="470" spans="3:3" ht="13.2">
      <c r="C470" s="9">
        <f ca="1">IFERROR(__xludf.DUMMYFUNCTION("""COMPUTED_VALUE"""),1142.208)</f>
        <v>1142.2080000000001</v>
      </c>
    </row>
    <row r="471" spans="3:3" ht="13.2">
      <c r="C471" s="9">
        <f ca="1">IFERROR(__xludf.DUMMYFUNCTION("""COMPUTED_VALUE"""),791.28)</f>
        <v>791.28</v>
      </c>
    </row>
    <row r="472" spans="3:3" ht="13.2">
      <c r="C472" s="9">
        <f ca="1">IFERROR(__xludf.DUMMYFUNCTION("""COMPUTED_VALUE"""),1266.62399999999)</f>
        <v>1266.62399999999</v>
      </c>
    </row>
    <row r="473" spans="3:3" ht="13.2">
      <c r="C473" s="9">
        <f ca="1">IFERROR(__xludf.DUMMYFUNCTION("""COMPUTED_VALUE"""),3315.35999999999)</f>
        <v>3315.3599999999901</v>
      </c>
    </row>
    <row r="474" spans="3:3" ht="13.2">
      <c r="C474" s="9">
        <f ca="1">IFERROR(__xludf.DUMMYFUNCTION("""COMPUTED_VALUE"""),677.58)</f>
        <v>677.58</v>
      </c>
    </row>
    <row r="475" spans="3:3" ht="13.2">
      <c r="C475" s="9">
        <f ca="1">IFERROR(__xludf.DUMMYFUNCTION("""COMPUTED_VALUE"""),1391.4)</f>
        <v>1391.4</v>
      </c>
    </row>
    <row r="476" spans="3:3" ht="13.2">
      <c r="C476" s="9">
        <f ca="1">IFERROR(__xludf.DUMMYFUNCTION("""COMPUTED_VALUE"""),1549.674)</f>
        <v>1549.674</v>
      </c>
    </row>
    <row r="477" spans="3:3" ht="13.2">
      <c r="C477" s="9">
        <f ca="1">IFERROR(__xludf.DUMMYFUNCTION("""COMPUTED_VALUE"""),1655.64)</f>
        <v>1655.64</v>
      </c>
    </row>
    <row r="478" spans="3:3" ht="13.2">
      <c r="C478" s="9">
        <f ca="1">IFERROR(__xludf.DUMMYFUNCTION("""COMPUTED_VALUE"""),2708.136)</f>
        <v>2708.136</v>
      </c>
    </row>
    <row r="479" spans="3:3" ht="13.2">
      <c r="C479" s="9">
        <f ca="1">IFERROR(__xludf.DUMMYFUNCTION("""COMPUTED_VALUE"""),1545.432)</f>
        <v>1545.432</v>
      </c>
    </row>
    <row r="480" spans="3:3" ht="13.2">
      <c r="C480" s="9">
        <f ca="1">IFERROR(__xludf.DUMMYFUNCTION("""COMPUTED_VALUE"""),1969.96799999999)</f>
        <v>1969.9679999999901</v>
      </c>
    </row>
    <row r="481" spans="3:3" ht="13.2">
      <c r="C481" s="9">
        <f ca="1">IFERROR(__xludf.DUMMYFUNCTION("""COMPUTED_VALUE"""),1310.112)</f>
        <v>1310.1120000000001</v>
      </c>
    </row>
    <row r="482" spans="3:3" ht="13.2">
      <c r="C482" s="9">
        <f ca="1">IFERROR(__xludf.DUMMYFUNCTION("""COMPUTED_VALUE"""),767.952)</f>
        <v>767.952</v>
      </c>
    </row>
    <row r="483" spans="3:3" ht="13.2">
      <c r="C483" s="9">
        <f ca="1">IFERROR(__xludf.DUMMYFUNCTION("""COMPUTED_VALUE"""),1919.616)</f>
        <v>1919.616</v>
      </c>
    </row>
    <row r="484" spans="3:3" ht="13.2">
      <c r="C484" s="9">
        <f ca="1">IFERROR(__xludf.DUMMYFUNCTION("""COMPUTED_VALUE"""),1612.672)</f>
        <v>1612.672</v>
      </c>
    </row>
    <row r="485" spans="3:3" ht="13.2">
      <c r="C485" s="9">
        <f ca="1">IFERROR(__xludf.DUMMYFUNCTION("""COMPUTED_VALUE"""),7193.088)</f>
        <v>7193.0879999999997</v>
      </c>
    </row>
    <row r="486" spans="3:3" ht="13.2">
      <c r="C486" s="9">
        <f ca="1">IFERROR(__xludf.DUMMYFUNCTION("""COMPUTED_VALUE"""),1313.1)</f>
        <v>1313.1</v>
      </c>
    </row>
    <row r="487" spans="3:3" ht="13.2">
      <c r="C487" s="9">
        <f ca="1">IFERROR(__xludf.DUMMYFUNCTION("""COMPUTED_VALUE"""),4720.464)</f>
        <v>4720.4639999999999</v>
      </c>
    </row>
    <row r="488" spans="3:3" ht="13.2">
      <c r="C488" s="9">
        <f ca="1">IFERROR(__xludf.DUMMYFUNCTION("""COMPUTED_VALUE"""),7302)</f>
        <v>7302</v>
      </c>
    </row>
    <row r="489" spans="3:3" ht="13.2">
      <c r="C489" s="9">
        <f ca="1">IFERROR(__xludf.DUMMYFUNCTION("""COMPUTED_VALUE"""),8718)</f>
        <v>8718</v>
      </c>
    </row>
    <row r="490" spans="3:3" ht="13.2">
      <c r="C490" s="9">
        <f ca="1">IFERROR(__xludf.DUMMYFUNCTION("""COMPUTED_VALUE"""),3582.72)</f>
        <v>3582.72</v>
      </c>
    </row>
    <row r="491" spans="3:3" ht="13.2">
      <c r="C491" s="9">
        <f ca="1">IFERROR(__xludf.DUMMYFUNCTION("""COMPUTED_VALUE"""),3199.68)</f>
        <v>3199.68</v>
      </c>
    </row>
    <row r="492" spans="3:3" ht="13.2">
      <c r="C492" s="9">
        <f ca="1">IFERROR(__xludf.DUMMYFUNCTION("""COMPUTED_VALUE"""),1271.2)</f>
        <v>1271.2</v>
      </c>
    </row>
    <row r="493" spans="3:3" ht="13.2">
      <c r="C493" s="9">
        <f ca="1">IFERROR(__xludf.DUMMYFUNCTION("""COMPUTED_VALUE"""),503.712)</f>
        <v>503.71199999999999</v>
      </c>
    </row>
    <row r="494" spans="3:3" ht="13.2">
      <c r="C494" s="9">
        <f ca="1">IFERROR(__xludf.DUMMYFUNCTION("""COMPUTED_VALUE"""),1046.52)</f>
        <v>1046.52</v>
      </c>
    </row>
    <row r="495" spans="3:3" ht="13.2">
      <c r="C495" s="9">
        <f ca="1">IFERROR(__xludf.DUMMYFUNCTION("""COMPUTED_VALUE"""),719.939999999999)</f>
        <v>719.93999999999903</v>
      </c>
    </row>
    <row r="496" spans="3:3" ht="13.2">
      <c r="C496" s="9">
        <f ca="1">IFERROR(__xludf.DUMMYFUNCTION("""COMPUTED_VALUE"""),503.88)</f>
        <v>503.88</v>
      </c>
    </row>
    <row r="497" spans="3:3" ht="13.2">
      <c r="C497" s="9">
        <f ca="1">IFERROR(__xludf.DUMMYFUNCTION("""COMPUTED_VALUE"""),1454.49)</f>
        <v>1454.49</v>
      </c>
    </row>
    <row r="498" spans="3:3" ht="13.2">
      <c r="C498" s="9">
        <f ca="1">IFERROR(__xludf.DUMMYFUNCTION("""COMPUTED_VALUE"""),1027.11)</f>
        <v>1027.1099999999999</v>
      </c>
    </row>
    <row r="499" spans="3:3" ht="13.2">
      <c r="C499" s="9">
        <f ca="1">IFERROR(__xludf.DUMMYFUNCTION("""COMPUTED_VALUE"""),3914.7)</f>
        <v>3914.7</v>
      </c>
    </row>
    <row r="500" spans="3:3" ht="13.2">
      <c r="C500" s="9">
        <f ca="1">IFERROR(__xludf.DUMMYFUNCTION("""COMPUTED_VALUE"""),503.58)</f>
        <v>503.58</v>
      </c>
    </row>
    <row r="501" spans="3:3" ht="13.2">
      <c r="C501" s="9">
        <f ca="1">IFERROR(__xludf.DUMMYFUNCTION("""COMPUTED_VALUE"""),820.704)</f>
        <v>820.70399999999995</v>
      </c>
    </row>
    <row r="502" spans="3:3" ht="13.2">
      <c r="C502" s="9">
        <f ca="1">IFERROR(__xludf.DUMMYFUNCTION("""COMPUTED_VALUE"""),1677.6)</f>
        <v>1677.6</v>
      </c>
    </row>
    <row r="503" spans="3:3" ht="13.2">
      <c r="C503" s="9">
        <f ca="1">IFERROR(__xludf.DUMMYFUNCTION("""COMPUTED_VALUE"""),3145.32)</f>
        <v>3145.32</v>
      </c>
    </row>
    <row r="504" spans="3:3" ht="13.2">
      <c r="C504" s="9">
        <f ca="1">IFERROR(__xludf.DUMMYFUNCTION("""COMPUTED_VALUE"""),2159.73)</f>
        <v>2159.73</v>
      </c>
    </row>
    <row r="505" spans="3:3" ht="13.2">
      <c r="C505" s="9">
        <f ca="1">IFERROR(__xludf.DUMMYFUNCTION("""COMPUTED_VALUE"""),6624.408)</f>
        <v>6624.4080000000004</v>
      </c>
    </row>
    <row r="506" spans="3:3" ht="13.2">
      <c r="C506" s="9">
        <f ca="1">IFERROR(__xludf.DUMMYFUNCTION("""COMPUTED_VALUE"""),1058.39999999999)</f>
        <v>1058.3999999999901</v>
      </c>
    </row>
    <row r="507" spans="3:3" ht="13.2">
      <c r="C507" s="9">
        <f ca="1">IFERROR(__xludf.DUMMYFUNCTION("""COMPUTED_VALUE"""),690.176)</f>
        <v>690.17600000000004</v>
      </c>
    </row>
    <row r="508" spans="3:3" ht="13.2">
      <c r="C508" s="9">
        <f ca="1">IFERROR(__xludf.DUMMYFUNCTION("""COMPUTED_VALUE"""),580.704)</f>
        <v>580.70399999999995</v>
      </c>
    </row>
    <row r="509" spans="3:3" ht="13.2">
      <c r="C509" s="9">
        <f ca="1">IFERROR(__xludf.DUMMYFUNCTION("""COMPUTED_VALUE"""),616.248)</f>
        <v>616.24800000000005</v>
      </c>
    </row>
    <row r="510" spans="3:3" ht="13.2">
      <c r="C510" s="9">
        <f ca="1">IFERROR(__xludf.DUMMYFUNCTION("""COMPUTED_VALUE"""),959.232)</f>
        <v>959.23199999999997</v>
      </c>
    </row>
    <row r="511" spans="3:3" ht="13.2">
      <c r="C511" s="9">
        <f ca="1">IFERROR(__xludf.DUMMYFUNCTION("""COMPUTED_VALUE"""),2111.68)</f>
        <v>2111.6799999999998</v>
      </c>
    </row>
    <row r="512" spans="3:3" ht="13.2">
      <c r="C512" s="9">
        <f ca="1">IFERROR(__xludf.DUMMYFUNCTION("""COMPUTED_VALUE"""),2909.184)</f>
        <v>2909.1840000000002</v>
      </c>
    </row>
    <row r="513" spans="3:3" ht="13.2">
      <c r="C513" s="9">
        <f ca="1">IFERROR(__xludf.DUMMYFUNCTION("""COMPUTED_VALUE"""),3846.78)</f>
        <v>3846.78</v>
      </c>
    </row>
    <row r="514" spans="3:3" ht="13.2">
      <c r="C514" s="9">
        <f ca="1">IFERROR(__xludf.DUMMYFUNCTION("""COMPUTED_VALUE"""),883.008)</f>
        <v>883.00800000000004</v>
      </c>
    </row>
    <row r="515" spans="3:3" ht="13.2">
      <c r="C515" s="9">
        <f ca="1">IFERROR(__xludf.DUMMYFUNCTION("""COMPUTED_VALUE"""),5459.58)</f>
        <v>5459.58</v>
      </c>
    </row>
    <row r="516" spans="3:3" ht="13.2">
      <c r="C516" s="9">
        <f ca="1">IFERROR(__xludf.DUMMYFUNCTION("""COMPUTED_VALUE"""),1847.15999999999)</f>
        <v>1847.1599999999901</v>
      </c>
    </row>
    <row r="517" spans="3:3" ht="13.2">
      <c r="C517" s="9">
        <f ca="1">IFERROR(__xludf.DUMMYFUNCTION("""COMPUTED_VALUE"""),17174.01)</f>
        <v>17174.009999999998</v>
      </c>
    </row>
    <row r="518" spans="3:3" ht="13.2">
      <c r="C518" s="9">
        <f ca="1">IFERROR(__xludf.DUMMYFUNCTION("""COMPUTED_VALUE"""),1115.392)</f>
        <v>1115.3920000000001</v>
      </c>
    </row>
    <row r="519" spans="3:3" ht="13.2">
      <c r="C519" s="9">
        <f ca="1">IFERROR(__xludf.DUMMYFUNCTION("""COMPUTED_VALUE"""),11879.568)</f>
        <v>11879.567999999999</v>
      </c>
    </row>
    <row r="520" spans="3:3" ht="13.2">
      <c r="C520" s="9">
        <f ca="1">IFERROR(__xludf.DUMMYFUNCTION("""COMPUTED_VALUE"""),988.415999999999)</f>
        <v>988.41599999999903</v>
      </c>
    </row>
    <row r="521" spans="3:3" ht="13.2">
      <c r="C521" s="9">
        <f ca="1">IFERROR(__xludf.DUMMYFUNCTION("""COMPUTED_VALUE"""),2821.812)</f>
        <v>2821.8119999999999</v>
      </c>
    </row>
    <row r="522" spans="3:3" ht="13.2">
      <c r="C522" s="9">
        <f ca="1">IFERROR(__xludf.DUMMYFUNCTION("""COMPUTED_VALUE"""),798.767999999999)</f>
        <v>798.76799999999901</v>
      </c>
    </row>
    <row r="523" spans="3:3" ht="13.2">
      <c r="C523" s="9">
        <f ca="1">IFERROR(__xludf.DUMMYFUNCTION("""COMPUTED_VALUE"""),9120)</f>
        <v>9120</v>
      </c>
    </row>
    <row r="524" spans="3:3" ht="13.2">
      <c r="C524" s="9">
        <f ca="1">IFERROR(__xludf.DUMMYFUNCTION("""COMPUTED_VALUE"""),1358.82)</f>
        <v>1358.82</v>
      </c>
    </row>
    <row r="525" spans="3:3" ht="13.2">
      <c r="C525" s="9">
        <f ca="1">IFERROR(__xludf.DUMMYFUNCTION("""COMPUTED_VALUE"""),1952.048)</f>
        <v>1952.048</v>
      </c>
    </row>
    <row r="526" spans="3:3" ht="13.2">
      <c r="C526" s="9">
        <f ca="1">IFERROR(__xludf.DUMMYFUNCTION("""COMPUTED_VALUE"""),1119.888)</f>
        <v>1119.8879999999999</v>
      </c>
    </row>
    <row r="527" spans="3:3" ht="13.2">
      <c r="C527" s="9">
        <f ca="1">IFERROR(__xludf.DUMMYFUNCTION("""COMPUTED_VALUE"""),7173.01199999999)</f>
        <v>7173.0119999999897</v>
      </c>
    </row>
    <row r="528" spans="3:3" ht="13.2">
      <c r="C528" s="9">
        <f ca="1">IFERROR(__xludf.DUMMYFUNCTION("""COMPUTED_VALUE"""),971.008)</f>
        <v>971.00800000000004</v>
      </c>
    </row>
    <row r="529" spans="3:3" ht="13.2">
      <c r="C529" s="9">
        <f ca="1">IFERROR(__xludf.DUMMYFUNCTION("""COMPUTED_VALUE"""),767.808)</f>
        <v>767.80799999999999</v>
      </c>
    </row>
    <row r="530" spans="3:3" ht="13.2">
      <c r="C530" s="9">
        <f ca="1">IFERROR(__xludf.DUMMYFUNCTION("""COMPUTED_VALUE"""),767.904)</f>
        <v>767.904</v>
      </c>
    </row>
    <row r="531" spans="3:3" ht="13.2">
      <c r="C531" s="9">
        <f ca="1">IFERROR(__xludf.DUMMYFUNCTION("""COMPUTED_VALUE"""),3491.76)</f>
        <v>3491.76</v>
      </c>
    </row>
    <row r="532" spans="3:3" ht="13.2">
      <c r="C532" s="9">
        <f ca="1">IFERROR(__xludf.DUMMYFUNCTION("""COMPUTED_VALUE"""),1593)</f>
        <v>1593</v>
      </c>
    </row>
    <row r="533" spans="3:3" ht="13.2">
      <c r="C533" s="9">
        <f ca="1">IFERROR(__xludf.DUMMYFUNCTION("""COMPUTED_VALUE"""),10915.632)</f>
        <v>10915.632</v>
      </c>
    </row>
    <row r="534" spans="3:3" ht="13.2">
      <c r="C534" s="9">
        <f ca="1">IFERROR(__xludf.DUMMYFUNCTION("""COMPUTED_VALUE"""),809.73)</f>
        <v>809.73</v>
      </c>
    </row>
    <row r="535" spans="3:3" ht="13.2">
      <c r="C535" s="9">
        <f ca="1">IFERROR(__xludf.DUMMYFUNCTION("""COMPUTED_VALUE"""),977.292)</f>
        <v>977.29200000000003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44"/>
  <sheetViews>
    <sheetView workbookViewId="0">
      <selection activeCell="A3" sqref="A3"/>
    </sheetView>
  </sheetViews>
  <sheetFormatPr defaultColWidth="12.6640625" defaultRowHeight="15.75" customHeight="1"/>
  <cols>
    <col min="1" max="1" width="15.88671875" customWidth="1"/>
  </cols>
  <sheetData>
    <row r="1" spans="1:6" ht="15.75" customHeight="1">
      <c r="A1" s="13" t="s">
        <v>4012</v>
      </c>
      <c r="D1" s="16"/>
      <c r="F1" s="14"/>
    </row>
    <row r="3" spans="1:6">
      <c r="A3" s="1" t="str">
        <f ca="1">IFERROR(__xludf.DUMMYFUNCTION("UNIQUE(QUERY(SalesData, ""Select N "",1))"),"State")</f>
        <v>State</v>
      </c>
    </row>
    <row r="4" spans="1:6">
      <c r="A4" s="14" t="str">
        <f ca="1">IFERROR(__xludf.DUMMYFUNCTION("""COMPUTED_VALUE"""),"Kentucky")</f>
        <v>Kentucky</v>
      </c>
    </row>
    <row r="5" spans="1:6">
      <c r="A5" s="1" t="str">
        <f ca="1">IFERROR(__xludf.DUMMYFUNCTION("""COMPUTED_VALUE"""),"California")</f>
        <v>California</v>
      </c>
      <c r="E5" s="1" t="str">
        <f ca="1">IFERROR(__xludf.DUMMYFUNCTION("QUERY(SalesData, ""SELECT DISTINCT N"",1)"),"#VALUE!")</f>
        <v>#VALUE!</v>
      </c>
      <c r="F5" s="1" t="s">
        <v>4013</v>
      </c>
    </row>
    <row r="6" spans="1:6">
      <c r="A6" s="1" t="str">
        <f ca="1">IFERROR(__xludf.DUMMYFUNCTION("""COMPUTED_VALUE"""),"Florida")</f>
        <v>Florida</v>
      </c>
    </row>
    <row r="7" spans="1:6">
      <c r="A7" s="1" t="str">
        <f ca="1">IFERROR(__xludf.DUMMYFUNCTION("""COMPUTED_VALUE"""),"North Carolina")</f>
        <v>North Carolina</v>
      </c>
    </row>
    <row r="8" spans="1:6">
      <c r="A8" s="1" t="str">
        <f ca="1">IFERROR(__xludf.DUMMYFUNCTION("""COMPUTED_VALUE"""),"Washington")</f>
        <v>Washington</v>
      </c>
    </row>
    <row r="9" spans="1:6">
      <c r="A9" s="1" t="str">
        <f ca="1">IFERROR(__xludf.DUMMYFUNCTION("""COMPUTED_VALUE"""),"Texas")</f>
        <v>Texas</v>
      </c>
    </row>
    <row r="10" spans="1:6">
      <c r="A10" s="1" t="str">
        <f ca="1">IFERROR(__xludf.DUMMYFUNCTION("""COMPUTED_VALUE"""),"Wisconsin")</f>
        <v>Wisconsin</v>
      </c>
    </row>
    <row r="11" spans="1:6">
      <c r="A11" s="1" t="str">
        <f ca="1">IFERROR(__xludf.DUMMYFUNCTION("""COMPUTED_VALUE"""),"Utah")</f>
        <v>Utah</v>
      </c>
    </row>
    <row r="12" spans="1:6">
      <c r="A12" s="1" t="str">
        <f ca="1">IFERROR(__xludf.DUMMYFUNCTION("""COMPUTED_VALUE"""),"Nebraska")</f>
        <v>Nebraska</v>
      </c>
    </row>
    <row r="13" spans="1:6">
      <c r="A13" s="1" t="str">
        <f ca="1">IFERROR(__xludf.DUMMYFUNCTION("""COMPUTED_VALUE"""),"Pennsylvania")</f>
        <v>Pennsylvania</v>
      </c>
    </row>
    <row r="14" spans="1:6">
      <c r="A14" s="1" t="str">
        <f ca="1">IFERROR(__xludf.DUMMYFUNCTION("""COMPUTED_VALUE"""),"Illinois")</f>
        <v>Illinois</v>
      </c>
    </row>
    <row r="15" spans="1:6">
      <c r="A15" s="1" t="str">
        <f ca="1">IFERROR(__xludf.DUMMYFUNCTION("""COMPUTED_VALUE"""),"Minnesota")</f>
        <v>Minnesota</v>
      </c>
    </row>
    <row r="16" spans="1:6">
      <c r="A16" s="1" t="str">
        <f ca="1">IFERROR(__xludf.DUMMYFUNCTION("""COMPUTED_VALUE"""),"Michigan")</f>
        <v>Michigan</v>
      </c>
    </row>
    <row r="17" spans="1:1">
      <c r="A17" s="1" t="str">
        <f ca="1">IFERROR(__xludf.DUMMYFUNCTION("""COMPUTED_VALUE"""),"Delaware")</f>
        <v>Delaware</v>
      </c>
    </row>
    <row r="18" spans="1:1">
      <c r="A18" s="1" t="str">
        <f ca="1">IFERROR(__xludf.DUMMYFUNCTION("""COMPUTED_VALUE"""),"Indiana")</f>
        <v>Indiana</v>
      </c>
    </row>
    <row r="19" spans="1:1">
      <c r="A19" s="1" t="str">
        <f ca="1">IFERROR(__xludf.DUMMYFUNCTION("""COMPUTED_VALUE"""),"New York")</f>
        <v>New York</v>
      </c>
    </row>
    <row r="20" spans="1:1">
      <c r="A20" s="1" t="str">
        <f ca="1">IFERROR(__xludf.DUMMYFUNCTION("""COMPUTED_VALUE"""),"Arizona")</f>
        <v>Arizona</v>
      </c>
    </row>
    <row r="21" spans="1:1">
      <c r="A21" s="1" t="str">
        <f ca="1">IFERROR(__xludf.DUMMYFUNCTION("""COMPUTED_VALUE"""),"Virginia")</f>
        <v>Virginia</v>
      </c>
    </row>
    <row r="22" spans="1:1">
      <c r="A22" s="1" t="str">
        <f ca="1">IFERROR(__xludf.DUMMYFUNCTION("""COMPUTED_VALUE"""),"Tennessee")</f>
        <v>Tennessee</v>
      </c>
    </row>
    <row r="23" spans="1:1">
      <c r="A23" s="1" t="str">
        <f ca="1">IFERROR(__xludf.DUMMYFUNCTION("""COMPUTED_VALUE"""),"Alabama")</f>
        <v>Alabama</v>
      </c>
    </row>
    <row r="24" spans="1:1">
      <c r="A24" s="1" t="str">
        <f ca="1">IFERROR(__xludf.DUMMYFUNCTION("""COMPUTED_VALUE"""),"South Carolina")</f>
        <v>South Carolina</v>
      </c>
    </row>
    <row r="25" spans="1:1">
      <c r="A25" s="1" t="str">
        <f ca="1">IFERROR(__xludf.DUMMYFUNCTION("""COMPUTED_VALUE"""),"Oregon")</f>
        <v>Oregon</v>
      </c>
    </row>
    <row r="26" spans="1:1">
      <c r="A26" s="1" t="str">
        <f ca="1">IFERROR(__xludf.DUMMYFUNCTION("""COMPUTED_VALUE"""),"Colorado")</f>
        <v>Colorado</v>
      </c>
    </row>
    <row r="27" spans="1:1" ht="13.2">
      <c r="A27" s="1" t="str">
        <f ca="1">IFERROR(__xludf.DUMMYFUNCTION("""COMPUTED_VALUE"""),"Iowa")</f>
        <v>Iowa</v>
      </c>
    </row>
    <row r="28" spans="1:1" ht="13.2">
      <c r="A28" s="1" t="str">
        <f ca="1">IFERROR(__xludf.DUMMYFUNCTION("""COMPUTED_VALUE"""),"Ohio")</f>
        <v>Ohio</v>
      </c>
    </row>
    <row r="29" spans="1:1" ht="13.2">
      <c r="A29" s="1" t="str">
        <f ca="1">IFERROR(__xludf.DUMMYFUNCTION("""COMPUTED_VALUE"""),"Missouri")</f>
        <v>Missouri</v>
      </c>
    </row>
    <row r="30" spans="1:1" ht="13.2">
      <c r="A30" s="1" t="str">
        <f ca="1">IFERROR(__xludf.DUMMYFUNCTION("""COMPUTED_VALUE"""),"Oklahoma")</f>
        <v>Oklahoma</v>
      </c>
    </row>
    <row r="31" spans="1:1" ht="13.2">
      <c r="A31" s="1" t="str">
        <f ca="1">IFERROR(__xludf.DUMMYFUNCTION("""COMPUTED_VALUE"""),"New Mexico")</f>
        <v>New Mexico</v>
      </c>
    </row>
    <row r="32" spans="1:1" ht="13.2">
      <c r="A32" s="1" t="str">
        <f ca="1">IFERROR(__xludf.DUMMYFUNCTION("""COMPUTED_VALUE"""),"Louisiana")</f>
        <v>Louisiana</v>
      </c>
    </row>
    <row r="33" spans="1:1" ht="13.2">
      <c r="A33" s="1" t="str">
        <f ca="1">IFERROR(__xludf.DUMMYFUNCTION("""COMPUTED_VALUE"""),"Connecticut")</f>
        <v>Connecticut</v>
      </c>
    </row>
    <row r="34" spans="1:1" ht="13.2">
      <c r="A34" s="1" t="str">
        <f ca="1">IFERROR(__xludf.DUMMYFUNCTION("""COMPUTED_VALUE"""),"New Jersey")</f>
        <v>New Jersey</v>
      </c>
    </row>
    <row r="35" spans="1:1" ht="13.2">
      <c r="A35" s="1" t="str">
        <f ca="1">IFERROR(__xludf.DUMMYFUNCTION("""COMPUTED_VALUE"""),"Massachusetts")</f>
        <v>Massachusetts</v>
      </c>
    </row>
    <row r="36" spans="1:1" ht="13.2">
      <c r="A36" s="1" t="str">
        <f ca="1">IFERROR(__xludf.DUMMYFUNCTION("""COMPUTED_VALUE"""),"Georgia")</f>
        <v>Georgia</v>
      </c>
    </row>
    <row r="37" spans="1:1" ht="13.2">
      <c r="A37" s="1" t="str">
        <f ca="1">IFERROR(__xludf.DUMMYFUNCTION("""COMPUTED_VALUE"""),"Nevada")</f>
        <v>Nevada</v>
      </c>
    </row>
    <row r="38" spans="1:1" ht="13.2">
      <c r="A38" s="1" t="str">
        <f ca="1">IFERROR(__xludf.DUMMYFUNCTION("""COMPUTED_VALUE"""),"Rhode Island")</f>
        <v>Rhode Island</v>
      </c>
    </row>
    <row r="39" spans="1:1" ht="13.2">
      <c r="A39" s="1" t="str">
        <f ca="1">IFERROR(__xludf.DUMMYFUNCTION("""COMPUTED_VALUE"""),"Mississippi")</f>
        <v>Mississippi</v>
      </c>
    </row>
    <row r="40" spans="1:1" ht="13.2">
      <c r="A40" s="1" t="str">
        <f ca="1">IFERROR(__xludf.DUMMYFUNCTION("""COMPUTED_VALUE"""),"Arkansas")</f>
        <v>Arkansas</v>
      </c>
    </row>
    <row r="41" spans="1:1" ht="13.2">
      <c r="A41" s="1" t="str">
        <f ca="1">IFERROR(__xludf.DUMMYFUNCTION("""COMPUTED_VALUE"""),"Montana")</f>
        <v>Montana</v>
      </c>
    </row>
    <row r="42" spans="1:1" ht="13.2">
      <c r="A42" s="1" t="str">
        <f ca="1">IFERROR(__xludf.DUMMYFUNCTION("""COMPUTED_VALUE"""),"New Hampshire")</f>
        <v>New Hampshire</v>
      </c>
    </row>
    <row r="43" spans="1:1" ht="13.2">
      <c r="A43" s="1" t="str">
        <f ca="1">IFERROR(__xludf.DUMMYFUNCTION("""COMPUTED_VALUE"""),"Maryland")</f>
        <v>Maryland</v>
      </c>
    </row>
    <row r="44" spans="1:1" ht="13.2">
      <c r="A44" s="1" t="str">
        <f ca="1">IFERROR(__xludf.DUMMYFUNCTION("""COMPUTED_VALUE"""),"District Of Columbia")</f>
        <v>District Of Columbia</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6"/>
  <sheetViews>
    <sheetView workbookViewId="0">
      <selection activeCell="A3" sqref="A3"/>
    </sheetView>
  </sheetViews>
  <sheetFormatPr defaultColWidth="12.6640625" defaultRowHeight="15.75" customHeight="1"/>
  <cols>
    <col min="1" max="1" width="16.21875" customWidth="1"/>
    <col min="4" max="4" width="20.88671875" customWidth="1"/>
  </cols>
  <sheetData>
    <row r="1" spans="1:5" ht="15.75" customHeight="1">
      <c r="A1" s="13" t="s">
        <v>4014</v>
      </c>
    </row>
    <row r="3" spans="1:5">
      <c r="A3" s="14" t="str">
        <f ca="1">IFERROR(__xludf.DUMMYFUNCTION("QUERY(SalesData, ""Select Q, Sum(T) Group by Q Order by Sum(T) desc limit 3"", 1)"),"Product ID")</f>
        <v>Product ID</v>
      </c>
      <c r="B3" s="1" t="str">
        <f ca="1">IFERROR(__xludf.DUMMYFUNCTION("""COMPUTED_VALUE"""),"sum Quantity")</f>
        <v>sum Quantity</v>
      </c>
      <c r="D3" s="1" t="str">
        <f ca="1">IFERROR(__xludf.DUMMYFUNCTION("QUERY(SalesData, ""Select Q, T order by T desc Limit 3"")"),"Product ID")</f>
        <v>Product ID</v>
      </c>
      <c r="E3" s="1" t="str">
        <f ca="1">IFERROR(__xludf.DUMMYFUNCTION("""COMPUTED_VALUE"""),"Quantity")</f>
        <v>Quantity</v>
      </c>
    </row>
    <row r="4" spans="1:5">
      <c r="A4" s="1" t="str">
        <f ca="1">IFERROR(__xludf.DUMMYFUNCTION("""COMPUTED_VALUE"""),"OFF-PA-10001970")</f>
        <v>OFF-PA-10001970</v>
      </c>
      <c r="B4" s="1">
        <f ca="1">IFERROR(__xludf.DUMMYFUNCTION("""COMPUTED_VALUE"""),37)</f>
        <v>37</v>
      </c>
      <c r="D4" s="1" t="str">
        <f ca="1">IFERROR(__xludf.DUMMYFUNCTION("""COMPUTED_VALUE"""),"OFF-LA-10000240")</f>
        <v>OFF-LA-10000240</v>
      </c>
      <c r="E4" s="1">
        <f ca="1">IFERROR(__xludf.DUMMYFUNCTION("""COMPUTED_VALUE"""),9)</f>
        <v>9</v>
      </c>
    </row>
    <row r="5" spans="1:5">
      <c r="A5" s="1" t="str">
        <f ca="1">IFERROR(__xludf.DUMMYFUNCTION("""COMPUTED_VALUE"""),"FUR-CH-10001146")</f>
        <v>FUR-CH-10001146</v>
      </c>
      <c r="B5" s="1">
        <f ca="1">IFERROR(__xludf.DUMMYFUNCTION("""COMPUTED_VALUE"""),33)</f>
        <v>33</v>
      </c>
      <c r="D5" s="1" t="str">
        <f ca="1">IFERROR(__xludf.DUMMYFUNCTION("""COMPUTED_VALUE"""),"FUR-FU-10001487")</f>
        <v>FUR-FU-10001487</v>
      </c>
      <c r="E5" s="1">
        <f ca="1">IFERROR(__xludf.DUMMYFUNCTION("""COMPUTED_VALUE"""),9)</f>
        <v>9</v>
      </c>
    </row>
    <row r="6" spans="1:5">
      <c r="A6" s="1" t="str">
        <f ca="1">IFERROR(__xludf.DUMMYFUNCTION("""COMPUTED_VALUE"""),"TEC-AC-10003832")</f>
        <v>TEC-AC-10003832</v>
      </c>
      <c r="B6" s="1">
        <f ca="1">IFERROR(__xludf.DUMMYFUNCTION("""COMPUTED_VALUE"""),29)</f>
        <v>29</v>
      </c>
      <c r="D6" s="1" t="str">
        <f ca="1">IFERROR(__xludf.DUMMYFUNCTION("""COMPUTED_VALUE"""),"OFF-AR-10002833")</f>
        <v>OFF-AR-10002833</v>
      </c>
      <c r="E6" s="1">
        <f ca="1">IFERROR(__xludf.DUMMYFUNCTION("""COMPUTED_VALUE"""),9)</f>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W282"/>
  <sheetViews>
    <sheetView workbookViewId="0">
      <selection activeCell="A4" sqref="A4"/>
    </sheetView>
  </sheetViews>
  <sheetFormatPr defaultColWidth="12.6640625" defaultRowHeight="15.75" customHeight="1"/>
  <sheetData>
    <row r="1" spans="1:23" ht="15.75" customHeight="1">
      <c r="A1" s="13" t="s">
        <v>4015</v>
      </c>
    </row>
    <row r="4" spans="1:23">
      <c r="A4" s="1" t="str">
        <f ca="1">IFERROR(__xludf.DUMMYFUNCTION("QUERY(SalesData, ""SELECT A,B,C,D,E,F,G,H,I,J,K,L,M,N,O,P,Q,R,S,T,V,W,X  where N = 'California' "",1)"),"Order ID")</f>
        <v>Order ID</v>
      </c>
      <c r="B4" s="1" t="str">
        <f ca="1">IFERROR(__xludf.DUMMYFUNCTION("""COMPUTED_VALUE"""),"Order Date")</f>
        <v>Order Date</v>
      </c>
      <c r="C4" s="1" t="str">
        <f ca="1">IFERROR(__xludf.DUMMYFUNCTION("""COMPUTED_VALUE"""),"Month")</f>
        <v>Month</v>
      </c>
      <c r="D4" s="1" t="str">
        <f ca="1">IFERROR(__xludf.DUMMYFUNCTION("""COMPUTED_VALUE"""),"Qtr")</f>
        <v>Qtr</v>
      </c>
      <c r="E4" s="1" t="str">
        <f ca="1">IFERROR(__xludf.DUMMYFUNCTION("""COMPUTED_VALUE"""),"Ship Date")</f>
        <v>Ship Date</v>
      </c>
      <c r="F4" s="1" t="str">
        <f ca="1">IFERROR(__xludf.DUMMYFUNCTION("""COMPUTED_VALUE"""),"Ship Mode")</f>
        <v>Ship Mode</v>
      </c>
      <c r="G4" s="1" t="str">
        <f ca="1">IFERROR(__xludf.DUMMYFUNCTION("""COMPUTED_VALUE"""),"Customer ID")</f>
        <v>Customer ID</v>
      </c>
      <c r="H4" s="1" t="str">
        <f ca="1">IFERROR(__xludf.DUMMYFUNCTION("""COMPUTED_VALUE"""),"First Name")</f>
        <v>First Name</v>
      </c>
      <c r="I4" s="1" t="str">
        <f ca="1">IFERROR(__xludf.DUMMYFUNCTION("""COMPUTED_VALUE"""),"Second Name")</f>
        <v>Second Name</v>
      </c>
      <c r="J4" s="1" t="str">
        <f ca="1">IFERROR(__xludf.DUMMYFUNCTION("""COMPUTED_VALUE"""),"")</f>
        <v/>
      </c>
      <c r="K4" s="1" t="str">
        <f ca="1">IFERROR(__xludf.DUMMYFUNCTION("""COMPUTED_VALUE"""),"Segment")</f>
        <v>Segment</v>
      </c>
      <c r="L4" s="1" t="str">
        <f ca="1">IFERROR(__xludf.DUMMYFUNCTION("""COMPUTED_VALUE"""),"Country")</f>
        <v>Country</v>
      </c>
      <c r="M4" s="1" t="str">
        <f ca="1">IFERROR(__xludf.DUMMYFUNCTION("""COMPUTED_VALUE"""),"City")</f>
        <v>City</v>
      </c>
      <c r="N4" s="1" t="str">
        <f ca="1">IFERROR(__xludf.DUMMYFUNCTION("""COMPUTED_VALUE"""),"State")</f>
        <v>State</v>
      </c>
      <c r="O4" s="1" t="str">
        <f ca="1">IFERROR(__xludf.DUMMYFUNCTION("""COMPUTED_VALUE"""),"Postal Code")</f>
        <v>Postal Code</v>
      </c>
      <c r="P4" s="1" t="str">
        <f ca="1">IFERROR(__xludf.DUMMYFUNCTION("""COMPUTED_VALUE"""),"Region")</f>
        <v>Region</v>
      </c>
      <c r="Q4" s="1" t="str">
        <f ca="1">IFERROR(__xludf.DUMMYFUNCTION("""COMPUTED_VALUE"""),"Product ID")</f>
        <v>Product ID</v>
      </c>
      <c r="R4" s="1" t="str">
        <f ca="1">IFERROR(__xludf.DUMMYFUNCTION("""COMPUTED_VALUE"""),"Category")</f>
        <v>Category</v>
      </c>
      <c r="S4" s="1" t="str">
        <f ca="1">IFERROR(__xludf.DUMMYFUNCTION("""COMPUTED_VALUE"""),"Sales")</f>
        <v>Sales</v>
      </c>
      <c r="T4" s="1" t="str">
        <f ca="1">IFERROR(__xludf.DUMMYFUNCTION("""COMPUTED_VALUE"""),"Quantity")</f>
        <v>Quantity</v>
      </c>
      <c r="U4" s="1" t="str">
        <f ca="1">IFERROR(__xludf.DUMMYFUNCTION("""COMPUTED_VALUE"""),"Total Sales")</f>
        <v>Total Sales</v>
      </c>
      <c r="V4" s="1" t="str">
        <f ca="1">IFERROR(__xludf.DUMMYFUNCTION("""COMPUTED_VALUE"""),"Total Costs")</f>
        <v>Total Costs</v>
      </c>
      <c r="W4" s="1" t="str">
        <f ca="1">IFERROR(__xludf.DUMMYFUNCTION("""COMPUTED_VALUE"""),"Total Profit")</f>
        <v>Total Profit</v>
      </c>
    </row>
    <row r="5" spans="1:23">
      <c r="A5" s="1" t="str">
        <f ca="1">IFERROR(__xludf.DUMMYFUNCTION("""COMPUTED_VALUE"""),"CA-2017-138688")</f>
        <v>CA-2017-138688</v>
      </c>
      <c r="B5" s="8">
        <f ca="1">IFERROR(__xludf.DUMMYFUNCTION("""COMPUTED_VALUE"""),43075)</f>
        <v>43075</v>
      </c>
      <c r="C5" s="1" t="str">
        <f ca="1">IFERROR(__xludf.DUMMYFUNCTION("""COMPUTED_VALUE"""),"Dec")</f>
        <v>Dec</v>
      </c>
      <c r="D5" s="1" t="str">
        <f ca="1">IFERROR(__xludf.DUMMYFUNCTION("""COMPUTED_VALUE"""),"Qtr 4")</f>
        <v>Qtr 4</v>
      </c>
      <c r="E5" s="1" t="str">
        <f ca="1">IFERROR(__xludf.DUMMYFUNCTION("""COMPUTED_VALUE"""),"16/06/2017")</f>
        <v>16/06/2017</v>
      </c>
      <c r="F5" s="1" t="str">
        <f ca="1">IFERROR(__xludf.DUMMYFUNCTION("""COMPUTED_VALUE"""),"Second Class")</f>
        <v>Second Class</v>
      </c>
      <c r="G5" s="1" t="str">
        <f ca="1">IFERROR(__xludf.DUMMYFUNCTION("""COMPUTED_VALUE"""),"DV-13045")</f>
        <v>DV-13045</v>
      </c>
      <c r="H5" s="1" t="str">
        <f ca="1">IFERROR(__xludf.DUMMYFUNCTION("""COMPUTED_VALUE"""),"Darrin")</f>
        <v>Darrin</v>
      </c>
      <c r="I5" s="1" t="str">
        <f ca="1">IFERROR(__xludf.DUMMYFUNCTION("""COMPUTED_VALUE"""),"Van")</f>
        <v>Van</v>
      </c>
      <c r="J5" s="1" t="str">
        <f ca="1">IFERROR(__xludf.DUMMYFUNCTION("""COMPUTED_VALUE"""),"Huff")</f>
        <v>Huff</v>
      </c>
      <c r="K5" s="1" t="str">
        <f ca="1">IFERROR(__xludf.DUMMYFUNCTION("""COMPUTED_VALUE"""),"Corporate")</f>
        <v>Corporate</v>
      </c>
      <c r="L5" s="1" t="str">
        <f ca="1">IFERROR(__xludf.DUMMYFUNCTION("""COMPUTED_VALUE"""),"United States")</f>
        <v>United States</v>
      </c>
      <c r="M5" s="1" t="str">
        <f ca="1">IFERROR(__xludf.DUMMYFUNCTION("""COMPUTED_VALUE"""),"Los Angeles")</f>
        <v>Los Angeles</v>
      </c>
      <c r="N5" s="1" t="str">
        <f ca="1">IFERROR(__xludf.DUMMYFUNCTION("""COMPUTED_VALUE"""),"California")</f>
        <v>California</v>
      </c>
      <c r="O5" s="1">
        <f ca="1">IFERROR(__xludf.DUMMYFUNCTION("""COMPUTED_VALUE"""),90036)</f>
        <v>90036</v>
      </c>
      <c r="P5" s="1" t="str">
        <f ca="1">IFERROR(__xludf.DUMMYFUNCTION("""COMPUTED_VALUE"""),"West")</f>
        <v>West</v>
      </c>
      <c r="Q5" s="1" t="str">
        <f ca="1">IFERROR(__xludf.DUMMYFUNCTION("""COMPUTED_VALUE"""),"OFF-LA-10000240")</f>
        <v>OFF-LA-10000240</v>
      </c>
      <c r="R5" s="1" t="str">
        <f ca="1">IFERROR(__xludf.DUMMYFUNCTION("""COMPUTED_VALUE"""),"Office Supplies")</f>
        <v>Office Supplies</v>
      </c>
      <c r="S5" s="7">
        <f ca="1">IFERROR(__xludf.DUMMYFUNCTION("""COMPUTED_VALUE"""),14.62)</f>
        <v>14.62</v>
      </c>
      <c r="T5" s="1">
        <f ca="1">IFERROR(__xludf.DUMMYFUNCTION("""COMPUTED_VALUE"""),9)</f>
        <v>9</v>
      </c>
      <c r="U5" s="9">
        <f ca="1">IFERROR(__xludf.DUMMYFUNCTION("""COMPUTED_VALUE"""),131.579999999999)</f>
        <v>131.57999999999899</v>
      </c>
      <c r="V5" s="9">
        <f ca="1">IFERROR(__xludf.DUMMYFUNCTION("""COMPUTED_VALUE"""),125.73)</f>
        <v>125.73</v>
      </c>
      <c r="W5" s="12">
        <f ca="1">IFERROR(__xludf.DUMMYFUNCTION("""COMPUTED_VALUE"""),5.84999999999998)</f>
        <v>5.8499999999999801</v>
      </c>
    </row>
    <row r="6" spans="1:23">
      <c r="A6" s="1" t="str">
        <f ca="1">IFERROR(__xludf.DUMMYFUNCTION("""COMPUTED_VALUE"""),"CA-2015-115812")</f>
        <v>CA-2015-115812</v>
      </c>
      <c r="B6" s="8">
        <f ca="1">IFERROR(__xludf.DUMMYFUNCTION("""COMPUTED_VALUE"""),42253)</f>
        <v>42253</v>
      </c>
      <c r="C6" s="1" t="str">
        <f ca="1">IFERROR(__xludf.DUMMYFUNCTION("""COMPUTED_VALUE"""),"Sep")</f>
        <v>Sep</v>
      </c>
      <c r="D6" s="1" t="str">
        <f ca="1">IFERROR(__xludf.DUMMYFUNCTION("""COMPUTED_VALUE"""),"Qtr 3")</f>
        <v>Qtr 3</v>
      </c>
      <c r="E6" s="1" t="str">
        <f ca="1">IFERROR(__xludf.DUMMYFUNCTION("""COMPUTED_VALUE"""),"14/06/2015")</f>
        <v>14/06/2015</v>
      </c>
      <c r="F6" s="1" t="str">
        <f ca="1">IFERROR(__xludf.DUMMYFUNCTION("""COMPUTED_VALUE"""),"Standard Class")</f>
        <v>Standard Class</v>
      </c>
      <c r="G6" s="1" t="str">
        <f ca="1">IFERROR(__xludf.DUMMYFUNCTION("""COMPUTED_VALUE"""),"BH-11710")</f>
        <v>BH-11710</v>
      </c>
      <c r="H6" s="1" t="str">
        <f ca="1">IFERROR(__xludf.DUMMYFUNCTION("""COMPUTED_VALUE"""),"Brosina")</f>
        <v>Brosina</v>
      </c>
      <c r="I6" s="1" t="str">
        <f ca="1">IFERROR(__xludf.DUMMYFUNCTION("""COMPUTED_VALUE"""),"Hoffman")</f>
        <v>Hoffman</v>
      </c>
      <c r="J6" s="1"/>
      <c r="K6" s="1" t="str">
        <f ca="1">IFERROR(__xludf.DUMMYFUNCTION("""COMPUTED_VALUE"""),"Consumer")</f>
        <v>Consumer</v>
      </c>
      <c r="L6" s="1" t="str">
        <f ca="1">IFERROR(__xludf.DUMMYFUNCTION("""COMPUTED_VALUE"""),"United States")</f>
        <v>United States</v>
      </c>
      <c r="M6" s="1" t="str">
        <f ca="1">IFERROR(__xludf.DUMMYFUNCTION("""COMPUTED_VALUE"""),"Los Angeles")</f>
        <v>Los Angeles</v>
      </c>
      <c r="N6" s="1" t="str">
        <f ca="1">IFERROR(__xludf.DUMMYFUNCTION("""COMPUTED_VALUE"""),"California")</f>
        <v>California</v>
      </c>
      <c r="O6" s="1">
        <f ca="1">IFERROR(__xludf.DUMMYFUNCTION("""COMPUTED_VALUE"""),90032)</f>
        <v>90032</v>
      </c>
      <c r="P6" s="1" t="str">
        <f ca="1">IFERROR(__xludf.DUMMYFUNCTION("""COMPUTED_VALUE"""),"West")</f>
        <v>West</v>
      </c>
      <c r="Q6" s="1" t="str">
        <f ca="1">IFERROR(__xludf.DUMMYFUNCTION("""COMPUTED_VALUE"""),"FUR-FU-10001487")</f>
        <v>FUR-FU-10001487</v>
      </c>
      <c r="R6" s="1" t="str">
        <f ca="1">IFERROR(__xludf.DUMMYFUNCTION("""COMPUTED_VALUE"""),"Furniture")</f>
        <v>Furniture</v>
      </c>
      <c r="S6" s="7">
        <f ca="1">IFERROR(__xludf.DUMMYFUNCTION("""COMPUTED_VALUE"""),48.86)</f>
        <v>48.86</v>
      </c>
      <c r="T6" s="1">
        <f ca="1">IFERROR(__xludf.DUMMYFUNCTION("""COMPUTED_VALUE"""),9)</f>
        <v>9</v>
      </c>
      <c r="U6" s="9">
        <f ca="1">IFERROR(__xludf.DUMMYFUNCTION("""COMPUTED_VALUE"""),439.74)</f>
        <v>439.74</v>
      </c>
      <c r="V6" s="9">
        <f ca="1">IFERROR(__xludf.DUMMYFUNCTION("""COMPUTED_VALUE"""),432.719999999999)</f>
        <v>432.719999999999</v>
      </c>
      <c r="W6" s="12">
        <f ca="1">IFERROR(__xludf.DUMMYFUNCTION("""COMPUTED_VALUE"""),7.02000000000003)</f>
        <v>7.0200000000000298</v>
      </c>
    </row>
    <row r="7" spans="1:23">
      <c r="A7" s="1" t="str">
        <f ca="1">IFERROR(__xludf.DUMMYFUNCTION("""COMPUTED_VALUE"""),"CA-2015-115812")</f>
        <v>CA-2015-115812</v>
      </c>
      <c r="B7" s="8">
        <f ca="1">IFERROR(__xludf.DUMMYFUNCTION("""COMPUTED_VALUE"""),42253)</f>
        <v>42253</v>
      </c>
      <c r="C7" s="1" t="str">
        <f ca="1">IFERROR(__xludf.DUMMYFUNCTION("""COMPUTED_VALUE"""),"Sep")</f>
        <v>Sep</v>
      </c>
      <c r="D7" s="1" t="str">
        <f ca="1">IFERROR(__xludf.DUMMYFUNCTION("""COMPUTED_VALUE"""),"Qtr 3")</f>
        <v>Qtr 3</v>
      </c>
      <c r="E7" s="1" t="str">
        <f ca="1">IFERROR(__xludf.DUMMYFUNCTION("""COMPUTED_VALUE"""),"14/06/2015")</f>
        <v>14/06/2015</v>
      </c>
      <c r="F7" s="1" t="str">
        <f ca="1">IFERROR(__xludf.DUMMYFUNCTION("""COMPUTED_VALUE"""),"Standard Class")</f>
        <v>Standard Class</v>
      </c>
      <c r="G7" s="1" t="str">
        <f ca="1">IFERROR(__xludf.DUMMYFUNCTION("""COMPUTED_VALUE"""),"BH-11710")</f>
        <v>BH-11710</v>
      </c>
      <c r="H7" s="1" t="str">
        <f ca="1">IFERROR(__xludf.DUMMYFUNCTION("""COMPUTED_VALUE"""),"Brosina")</f>
        <v>Brosina</v>
      </c>
      <c r="I7" s="1" t="str">
        <f ca="1">IFERROR(__xludf.DUMMYFUNCTION("""COMPUTED_VALUE"""),"Hoffman")</f>
        <v>Hoffman</v>
      </c>
      <c r="J7" s="1"/>
      <c r="K7" s="1" t="str">
        <f ca="1">IFERROR(__xludf.DUMMYFUNCTION("""COMPUTED_VALUE"""),"Consumer")</f>
        <v>Consumer</v>
      </c>
      <c r="L7" s="1" t="str">
        <f ca="1">IFERROR(__xludf.DUMMYFUNCTION("""COMPUTED_VALUE"""),"United States")</f>
        <v>United States</v>
      </c>
      <c r="M7" s="1" t="str">
        <f ca="1">IFERROR(__xludf.DUMMYFUNCTION("""COMPUTED_VALUE"""),"Los Angeles")</f>
        <v>Los Angeles</v>
      </c>
      <c r="N7" s="1" t="str">
        <f ca="1">IFERROR(__xludf.DUMMYFUNCTION("""COMPUTED_VALUE"""),"California")</f>
        <v>California</v>
      </c>
      <c r="O7" s="1">
        <f ca="1">IFERROR(__xludf.DUMMYFUNCTION("""COMPUTED_VALUE"""),90032)</f>
        <v>90032</v>
      </c>
      <c r="P7" s="1" t="str">
        <f ca="1">IFERROR(__xludf.DUMMYFUNCTION("""COMPUTED_VALUE"""),"West")</f>
        <v>West</v>
      </c>
      <c r="Q7" s="1" t="str">
        <f ca="1">IFERROR(__xludf.DUMMYFUNCTION("""COMPUTED_VALUE"""),"OFF-AR-10002833")</f>
        <v>OFF-AR-10002833</v>
      </c>
      <c r="R7" s="1" t="str">
        <f ca="1">IFERROR(__xludf.DUMMYFUNCTION("""COMPUTED_VALUE"""),"Office Supplies")</f>
        <v>Office Supplies</v>
      </c>
      <c r="S7" s="7">
        <f ca="1">IFERROR(__xludf.DUMMYFUNCTION("""COMPUTED_VALUE"""),7.28)</f>
        <v>7.28</v>
      </c>
      <c r="T7" s="1">
        <f ca="1">IFERROR(__xludf.DUMMYFUNCTION("""COMPUTED_VALUE"""),9)</f>
        <v>9</v>
      </c>
      <c r="U7" s="9">
        <f ca="1">IFERROR(__xludf.DUMMYFUNCTION("""COMPUTED_VALUE"""),65.52)</f>
        <v>65.52</v>
      </c>
      <c r="V7" s="9">
        <f ca="1">IFERROR(__xludf.DUMMYFUNCTION("""COMPUTED_VALUE"""),57.06)</f>
        <v>57.06</v>
      </c>
      <c r="W7" s="12">
        <f ca="1">IFERROR(__xludf.DUMMYFUNCTION("""COMPUTED_VALUE"""),8.45999999999999)</f>
        <v>8.4599999999999902</v>
      </c>
    </row>
    <row r="8" spans="1:23">
      <c r="A8" s="1" t="str">
        <f ca="1">IFERROR(__xludf.DUMMYFUNCTION("""COMPUTED_VALUE"""),"CA-2015-115812")</f>
        <v>CA-2015-115812</v>
      </c>
      <c r="B8" s="8">
        <f ca="1">IFERROR(__xludf.DUMMYFUNCTION("""COMPUTED_VALUE"""),42253)</f>
        <v>42253</v>
      </c>
      <c r="C8" s="1" t="str">
        <f ca="1">IFERROR(__xludf.DUMMYFUNCTION("""COMPUTED_VALUE"""),"Sep")</f>
        <v>Sep</v>
      </c>
      <c r="D8" s="1" t="str">
        <f ca="1">IFERROR(__xludf.DUMMYFUNCTION("""COMPUTED_VALUE"""),"Qtr 3")</f>
        <v>Qtr 3</v>
      </c>
      <c r="E8" s="1" t="str">
        <f ca="1">IFERROR(__xludf.DUMMYFUNCTION("""COMPUTED_VALUE"""),"14/06/2015")</f>
        <v>14/06/2015</v>
      </c>
      <c r="F8" s="1" t="str">
        <f ca="1">IFERROR(__xludf.DUMMYFUNCTION("""COMPUTED_VALUE"""),"Standard Class")</f>
        <v>Standard Class</v>
      </c>
      <c r="G8" s="1" t="str">
        <f ca="1">IFERROR(__xludf.DUMMYFUNCTION("""COMPUTED_VALUE"""),"BH-11710")</f>
        <v>BH-11710</v>
      </c>
      <c r="H8" s="1" t="str">
        <f ca="1">IFERROR(__xludf.DUMMYFUNCTION("""COMPUTED_VALUE"""),"Brosina")</f>
        <v>Brosina</v>
      </c>
      <c r="I8" s="1" t="str">
        <f ca="1">IFERROR(__xludf.DUMMYFUNCTION("""COMPUTED_VALUE"""),"Hoffman")</f>
        <v>Hoffman</v>
      </c>
      <c r="J8" s="1"/>
      <c r="K8" s="1" t="str">
        <f ca="1">IFERROR(__xludf.DUMMYFUNCTION("""COMPUTED_VALUE"""),"Consumer")</f>
        <v>Consumer</v>
      </c>
      <c r="L8" s="1" t="str">
        <f ca="1">IFERROR(__xludf.DUMMYFUNCTION("""COMPUTED_VALUE"""),"United States")</f>
        <v>United States</v>
      </c>
      <c r="M8" s="1" t="str">
        <f ca="1">IFERROR(__xludf.DUMMYFUNCTION("""COMPUTED_VALUE"""),"Los Angeles")</f>
        <v>Los Angeles</v>
      </c>
      <c r="N8" s="1" t="str">
        <f ca="1">IFERROR(__xludf.DUMMYFUNCTION("""COMPUTED_VALUE"""),"California")</f>
        <v>California</v>
      </c>
      <c r="O8" s="1">
        <f ca="1">IFERROR(__xludf.DUMMYFUNCTION("""COMPUTED_VALUE"""),90032)</f>
        <v>90032</v>
      </c>
      <c r="P8" s="1" t="str">
        <f ca="1">IFERROR(__xludf.DUMMYFUNCTION("""COMPUTED_VALUE"""),"West")</f>
        <v>West</v>
      </c>
      <c r="Q8" s="1" t="str">
        <f ca="1">IFERROR(__xludf.DUMMYFUNCTION("""COMPUTED_VALUE"""),"TEC-PH-10002275")</f>
        <v>TEC-PH-10002275</v>
      </c>
      <c r="R8" s="1" t="str">
        <f ca="1">IFERROR(__xludf.DUMMYFUNCTION("""COMPUTED_VALUE"""),"Technology")</f>
        <v>Technology</v>
      </c>
      <c r="S8" s="7">
        <f ca="1">IFERROR(__xludf.DUMMYFUNCTION("""COMPUTED_VALUE"""),907.152)</f>
        <v>907.15200000000004</v>
      </c>
      <c r="T8" s="1">
        <f ca="1">IFERROR(__xludf.DUMMYFUNCTION("""COMPUTED_VALUE"""),9)</f>
        <v>9</v>
      </c>
      <c r="U8" s="9">
        <f ca="1">IFERROR(__xludf.DUMMYFUNCTION("""COMPUTED_VALUE"""),8164.368)</f>
        <v>8164.3680000000004</v>
      </c>
      <c r="V8" s="9">
        <f ca="1">IFERROR(__xludf.DUMMYFUNCTION("""COMPUTED_VALUE"""),8161.01999999999)</f>
        <v>8161.0199999999904</v>
      </c>
      <c r="W8" s="12">
        <f ca="1">IFERROR(__xludf.DUMMYFUNCTION("""COMPUTED_VALUE"""),3.34800000000086)</f>
        <v>3.3480000000008601</v>
      </c>
    </row>
    <row r="9" spans="1:23">
      <c r="A9" s="1" t="str">
        <f ca="1">IFERROR(__xludf.DUMMYFUNCTION("""COMPUTED_VALUE"""),"CA-2015-115812")</f>
        <v>CA-2015-115812</v>
      </c>
      <c r="B9" s="8">
        <f ca="1">IFERROR(__xludf.DUMMYFUNCTION("""COMPUTED_VALUE"""),42253)</f>
        <v>42253</v>
      </c>
      <c r="C9" s="1" t="str">
        <f ca="1">IFERROR(__xludf.DUMMYFUNCTION("""COMPUTED_VALUE"""),"Sep")</f>
        <v>Sep</v>
      </c>
      <c r="D9" s="1" t="str">
        <f ca="1">IFERROR(__xludf.DUMMYFUNCTION("""COMPUTED_VALUE"""),"Qtr 3")</f>
        <v>Qtr 3</v>
      </c>
      <c r="E9" s="1" t="str">
        <f ca="1">IFERROR(__xludf.DUMMYFUNCTION("""COMPUTED_VALUE"""),"14/06/2015")</f>
        <v>14/06/2015</v>
      </c>
      <c r="F9" s="1" t="str">
        <f ca="1">IFERROR(__xludf.DUMMYFUNCTION("""COMPUTED_VALUE"""),"Standard Class")</f>
        <v>Standard Class</v>
      </c>
      <c r="G9" s="1" t="str">
        <f ca="1">IFERROR(__xludf.DUMMYFUNCTION("""COMPUTED_VALUE"""),"BH-11710")</f>
        <v>BH-11710</v>
      </c>
      <c r="H9" s="1" t="str">
        <f ca="1">IFERROR(__xludf.DUMMYFUNCTION("""COMPUTED_VALUE"""),"Brosina")</f>
        <v>Brosina</v>
      </c>
      <c r="I9" s="1" t="str">
        <f ca="1">IFERROR(__xludf.DUMMYFUNCTION("""COMPUTED_VALUE"""),"Hoffman")</f>
        <v>Hoffman</v>
      </c>
      <c r="J9" s="1"/>
      <c r="K9" s="1" t="str">
        <f ca="1">IFERROR(__xludf.DUMMYFUNCTION("""COMPUTED_VALUE"""),"Consumer")</f>
        <v>Consumer</v>
      </c>
      <c r="L9" s="1" t="str">
        <f ca="1">IFERROR(__xludf.DUMMYFUNCTION("""COMPUTED_VALUE"""),"United States")</f>
        <v>United States</v>
      </c>
      <c r="M9" s="1" t="str">
        <f ca="1">IFERROR(__xludf.DUMMYFUNCTION("""COMPUTED_VALUE"""),"Los Angeles")</f>
        <v>Los Angeles</v>
      </c>
      <c r="N9" s="1" t="str">
        <f ca="1">IFERROR(__xludf.DUMMYFUNCTION("""COMPUTED_VALUE"""),"California")</f>
        <v>California</v>
      </c>
      <c r="O9" s="1">
        <f ca="1">IFERROR(__xludf.DUMMYFUNCTION("""COMPUTED_VALUE"""),90032)</f>
        <v>90032</v>
      </c>
      <c r="P9" s="1" t="str">
        <f ca="1">IFERROR(__xludf.DUMMYFUNCTION("""COMPUTED_VALUE"""),"West")</f>
        <v>West</v>
      </c>
      <c r="Q9" s="1" t="str">
        <f ca="1">IFERROR(__xludf.DUMMYFUNCTION("""COMPUTED_VALUE"""),"OFF-BI-10003910")</f>
        <v>OFF-BI-10003910</v>
      </c>
      <c r="R9" s="1" t="str">
        <f ca="1">IFERROR(__xludf.DUMMYFUNCTION("""COMPUTED_VALUE"""),"Office Supplies")</f>
        <v>Office Supplies</v>
      </c>
      <c r="S9" s="7">
        <f ca="1">IFERROR(__xludf.DUMMYFUNCTION("""COMPUTED_VALUE"""),18.504)</f>
        <v>18.504000000000001</v>
      </c>
      <c r="T9" s="1">
        <f ca="1">IFERROR(__xludf.DUMMYFUNCTION("""COMPUTED_VALUE"""),9)</f>
        <v>9</v>
      </c>
      <c r="U9" s="9">
        <f ca="1">IFERROR(__xludf.DUMMYFUNCTION("""COMPUTED_VALUE"""),166.536)</f>
        <v>166.536</v>
      </c>
      <c r="V9" s="9">
        <f ca="1">IFERROR(__xludf.DUMMYFUNCTION("""COMPUTED_VALUE"""),165.24)</f>
        <v>165.24</v>
      </c>
      <c r="W9" s="12">
        <f ca="1">IFERROR(__xludf.DUMMYFUNCTION("""COMPUTED_VALUE"""),1.29599999999999)</f>
        <v>1.29599999999999</v>
      </c>
    </row>
    <row r="10" spans="1:23">
      <c r="A10" s="1" t="str">
        <f ca="1">IFERROR(__xludf.DUMMYFUNCTION("""COMPUTED_VALUE"""),"CA-2015-115812")</f>
        <v>CA-2015-115812</v>
      </c>
      <c r="B10" s="8">
        <f ca="1">IFERROR(__xludf.DUMMYFUNCTION("""COMPUTED_VALUE"""),42253)</f>
        <v>42253</v>
      </c>
      <c r="C10" s="1" t="str">
        <f ca="1">IFERROR(__xludf.DUMMYFUNCTION("""COMPUTED_VALUE"""),"Sep")</f>
        <v>Sep</v>
      </c>
      <c r="D10" s="1" t="str">
        <f ca="1">IFERROR(__xludf.DUMMYFUNCTION("""COMPUTED_VALUE"""),"Qtr 3")</f>
        <v>Qtr 3</v>
      </c>
      <c r="E10" s="1" t="str">
        <f ca="1">IFERROR(__xludf.DUMMYFUNCTION("""COMPUTED_VALUE"""),"14/06/2015")</f>
        <v>14/06/2015</v>
      </c>
      <c r="F10" s="1" t="str">
        <f ca="1">IFERROR(__xludf.DUMMYFUNCTION("""COMPUTED_VALUE"""),"Standard Class")</f>
        <v>Standard Class</v>
      </c>
      <c r="G10" s="1" t="str">
        <f ca="1">IFERROR(__xludf.DUMMYFUNCTION("""COMPUTED_VALUE"""),"BH-11710")</f>
        <v>BH-11710</v>
      </c>
      <c r="H10" s="1" t="str">
        <f ca="1">IFERROR(__xludf.DUMMYFUNCTION("""COMPUTED_VALUE"""),"Brosina")</f>
        <v>Brosina</v>
      </c>
      <c r="I10" s="1" t="str">
        <f ca="1">IFERROR(__xludf.DUMMYFUNCTION("""COMPUTED_VALUE"""),"Hoffman")</f>
        <v>Hoffman</v>
      </c>
      <c r="J10" s="1"/>
      <c r="K10" s="1" t="str">
        <f ca="1">IFERROR(__xludf.DUMMYFUNCTION("""COMPUTED_VALUE"""),"Consumer")</f>
        <v>Consumer</v>
      </c>
      <c r="L10" s="1" t="str">
        <f ca="1">IFERROR(__xludf.DUMMYFUNCTION("""COMPUTED_VALUE"""),"United States")</f>
        <v>United States</v>
      </c>
      <c r="M10" s="1" t="str">
        <f ca="1">IFERROR(__xludf.DUMMYFUNCTION("""COMPUTED_VALUE"""),"Los Angeles")</f>
        <v>Los Angeles</v>
      </c>
      <c r="N10" s="1" t="str">
        <f ca="1">IFERROR(__xludf.DUMMYFUNCTION("""COMPUTED_VALUE"""),"California")</f>
        <v>California</v>
      </c>
      <c r="O10" s="1">
        <f ca="1">IFERROR(__xludf.DUMMYFUNCTION("""COMPUTED_VALUE"""),90032)</f>
        <v>90032</v>
      </c>
      <c r="P10" s="1" t="str">
        <f ca="1">IFERROR(__xludf.DUMMYFUNCTION("""COMPUTED_VALUE"""),"West")</f>
        <v>West</v>
      </c>
      <c r="Q10" s="1" t="str">
        <f ca="1">IFERROR(__xludf.DUMMYFUNCTION("""COMPUTED_VALUE"""),"OFF-AP-10002892")</f>
        <v>OFF-AP-10002892</v>
      </c>
      <c r="R10" s="1" t="str">
        <f ca="1">IFERROR(__xludf.DUMMYFUNCTION("""COMPUTED_VALUE"""),"Office Supplies")</f>
        <v>Office Supplies</v>
      </c>
      <c r="S10" s="7">
        <f ca="1">IFERROR(__xludf.DUMMYFUNCTION("""COMPUTED_VALUE"""),114.9)</f>
        <v>114.9</v>
      </c>
      <c r="T10" s="1">
        <f ca="1">IFERROR(__xludf.DUMMYFUNCTION("""COMPUTED_VALUE"""),9)</f>
        <v>9</v>
      </c>
      <c r="U10" s="9">
        <f ca="1">IFERROR(__xludf.DUMMYFUNCTION("""COMPUTED_VALUE"""),1034.1)</f>
        <v>1034.0999999999999</v>
      </c>
      <c r="V10" s="9">
        <f ca="1">IFERROR(__xludf.DUMMYFUNCTION("""COMPUTED_VALUE"""),1031.58)</f>
        <v>1031.58</v>
      </c>
      <c r="W10" s="12">
        <f ca="1">IFERROR(__xludf.DUMMYFUNCTION("""COMPUTED_VALUE"""),2.5200000000002)</f>
        <v>2.5200000000001999</v>
      </c>
    </row>
    <row r="11" spans="1:23">
      <c r="A11" s="1" t="str">
        <f ca="1">IFERROR(__xludf.DUMMYFUNCTION("""COMPUTED_VALUE"""),"CA-2015-115812")</f>
        <v>CA-2015-115812</v>
      </c>
      <c r="B11" s="8">
        <f ca="1">IFERROR(__xludf.DUMMYFUNCTION("""COMPUTED_VALUE"""),42253)</f>
        <v>42253</v>
      </c>
      <c r="C11" s="1" t="str">
        <f ca="1">IFERROR(__xludf.DUMMYFUNCTION("""COMPUTED_VALUE"""),"Sep")</f>
        <v>Sep</v>
      </c>
      <c r="D11" s="1" t="str">
        <f ca="1">IFERROR(__xludf.DUMMYFUNCTION("""COMPUTED_VALUE"""),"Qtr 3")</f>
        <v>Qtr 3</v>
      </c>
      <c r="E11" s="1" t="str">
        <f ca="1">IFERROR(__xludf.DUMMYFUNCTION("""COMPUTED_VALUE"""),"14/06/2015")</f>
        <v>14/06/2015</v>
      </c>
      <c r="F11" s="1" t="str">
        <f ca="1">IFERROR(__xludf.DUMMYFUNCTION("""COMPUTED_VALUE"""),"Standard Class")</f>
        <v>Standard Class</v>
      </c>
      <c r="G11" s="1" t="str">
        <f ca="1">IFERROR(__xludf.DUMMYFUNCTION("""COMPUTED_VALUE"""),"BH-11710")</f>
        <v>BH-11710</v>
      </c>
      <c r="H11" s="1" t="str">
        <f ca="1">IFERROR(__xludf.DUMMYFUNCTION("""COMPUTED_VALUE"""),"Brosina")</f>
        <v>Brosina</v>
      </c>
      <c r="I11" s="1" t="str">
        <f ca="1">IFERROR(__xludf.DUMMYFUNCTION("""COMPUTED_VALUE"""),"Hoffman")</f>
        <v>Hoffman</v>
      </c>
      <c r="J11" s="1"/>
      <c r="K11" s="1" t="str">
        <f ca="1">IFERROR(__xludf.DUMMYFUNCTION("""COMPUTED_VALUE"""),"Consumer")</f>
        <v>Consumer</v>
      </c>
      <c r="L11" s="1" t="str">
        <f ca="1">IFERROR(__xludf.DUMMYFUNCTION("""COMPUTED_VALUE"""),"United States")</f>
        <v>United States</v>
      </c>
      <c r="M11" s="1" t="str">
        <f ca="1">IFERROR(__xludf.DUMMYFUNCTION("""COMPUTED_VALUE"""),"Los Angeles")</f>
        <v>Los Angeles</v>
      </c>
      <c r="N11" s="1" t="str">
        <f ca="1">IFERROR(__xludf.DUMMYFUNCTION("""COMPUTED_VALUE"""),"California")</f>
        <v>California</v>
      </c>
      <c r="O11" s="1">
        <f ca="1">IFERROR(__xludf.DUMMYFUNCTION("""COMPUTED_VALUE"""),90032)</f>
        <v>90032</v>
      </c>
      <c r="P11" s="1" t="str">
        <f ca="1">IFERROR(__xludf.DUMMYFUNCTION("""COMPUTED_VALUE"""),"West")</f>
        <v>West</v>
      </c>
      <c r="Q11" s="1" t="str">
        <f ca="1">IFERROR(__xludf.DUMMYFUNCTION("""COMPUTED_VALUE"""),"FUR-TA-10001539")</f>
        <v>FUR-TA-10001539</v>
      </c>
      <c r="R11" s="1" t="str">
        <f ca="1">IFERROR(__xludf.DUMMYFUNCTION("""COMPUTED_VALUE"""),"Furniture")</f>
        <v>Furniture</v>
      </c>
      <c r="S11" s="7">
        <f ca="1">IFERROR(__xludf.DUMMYFUNCTION("""COMPUTED_VALUE"""),1706.184)</f>
        <v>1706.184</v>
      </c>
      <c r="T11" s="1">
        <f ca="1">IFERROR(__xludf.DUMMYFUNCTION("""COMPUTED_VALUE"""),9)</f>
        <v>9</v>
      </c>
      <c r="U11" s="9">
        <f ca="1">IFERROR(__xludf.DUMMYFUNCTION("""COMPUTED_VALUE"""),15355.6559999999)</f>
        <v>15355.655999999901</v>
      </c>
      <c r="V11" s="9">
        <f ca="1">IFERROR(__xludf.DUMMYFUNCTION("""COMPUTED_VALUE"""),15351.39)</f>
        <v>15351.39</v>
      </c>
      <c r="W11" s="12">
        <f ca="1">IFERROR(__xludf.DUMMYFUNCTION("""COMPUTED_VALUE"""),4.26599999999962)</f>
        <v>4.2659999999996199</v>
      </c>
    </row>
    <row r="12" spans="1:23">
      <c r="A12" s="1" t="str">
        <f ca="1">IFERROR(__xludf.DUMMYFUNCTION("""COMPUTED_VALUE"""),"CA-2015-115812")</f>
        <v>CA-2015-115812</v>
      </c>
      <c r="B12" s="8">
        <f ca="1">IFERROR(__xludf.DUMMYFUNCTION("""COMPUTED_VALUE"""),42253)</f>
        <v>42253</v>
      </c>
      <c r="C12" s="1" t="str">
        <f ca="1">IFERROR(__xludf.DUMMYFUNCTION("""COMPUTED_VALUE"""),"Sep")</f>
        <v>Sep</v>
      </c>
      <c r="D12" s="1" t="str">
        <f ca="1">IFERROR(__xludf.DUMMYFUNCTION("""COMPUTED_VALUE"""),"Qtr 3")</f>
        <v>Qtr 3</v>
      </c>
      <c r="E12" s="1" t="str">
        <f ca="1">IFERROR(__xludf.DUMMYFUNCTION("""COMPUTED_VALUE"""),"14/06/2015")</f>
        <v>14/06/2015</v>
      </c>
      <c r="F12" s="1" t="str">
        <f ca="1">IFERROR(__xludf.DUMMYFUNCTION("""COMPUTED_VALUE"""),"Standard Class")</f>
        <v>Standard Class</v>
      </c>
      <c r="G12" s="1" t="str">
        <f ca="1">IFERROR(__xludf.DUMMYFUNCTION("""COMPUTED_VALUE"""),"BH-11710")</f>
        <v>BH-11710</v>
      </c>
      <c r="H12" s="1" t="str">
        <f ca="1">IFERROR(__xludf.DUMMYFUNCTION("""COMPUTED_VALUE"""),"Brosina")</f>
        <v>Brosina</v>
      </c>
      <c r="I12" s="1" t="str">
        <f ca="1">IFERROR(__xludf.DUMMYFUNCTION("""COMPUTED_VALUE"""),"Hoffman")</f>
        <v>Hoffman</v>
      </c>
      <c r="J12" s="1"/>
      <c r="K12" s="1" t="str">
        <f ca="1">IFERROR(__xludf.DUMMYFUNCTION("""COMPUTED_VALUE"""),"Consumer")</f>
        <v>Consumer</v>
      </c>
      <c r="L12" s="1" t="str">
        <f ca="1">IFERROR(__xludf.DUMMYFUNCTION("""COMPUTED_VALUE"""),"United States")</f>
        <v>United States</v>
      </c>
      <c r="M12" s="1" t="str">
        <f ca="1">IFERROR(__xludf.DUMMYFUNCTION("""COMPUTED_VALUE"""),"Los Angeles")</f>
        <v>Los Angeles</v>
      </c>
      <c r="N12" s="1" t="str">
        <f ca="1">IFERROR(__xludf.DUMMYFUNCTION("""COMPUTED_VALUE"""),"California")</f>
        <v>California</v>
      </c>
      <c r="O12" s="1">
        <f ca="1">IFERROR(__xludf.DUMMYFUNCTION("""COMPUTED_VALUE"""),90032)</f>
        <v>90032</v>
      </c>
      <c r="P12" s="1" t="str">
        <f ca="1">IFERROR(__xludf.DUMMYFUNCTION("""COMPUTED_VALUE"""),"West")</f>
        <v>West</v>
      </c>
      <c r="Q12" s="1" t="str">
        <f ca="1">IFERROR(__xludf.DUMMYFUNCTION("""COMPUTED_VALUE"""),"TEC-PH-10002033")</f>
        <v>TEC-PH-10002033</v>
      </c>
      <c r="R12" s="1" t="str">
        <f ca="1">IFERROR(__xludf.DUMMYFUNCTION("""COMPUTED_VALUE"""),"Technology")</f>
        <v>Technology</v>
      </c>
      <c r="S12" s="7">
        <f ca="1">IFERROR(__xludf.DUMMYFUNCTION("""COMPUTED_VALUE"""),911.424)</f>
        <v>911.42399999999998</v>
      </c>
      <c r="T12" s="1">
        <f ca="1">IFERROR(__xludf.DUMMYFUNCTION("""COMPUTED_VALUE"""),9)</f>
        <v>9</v>
      </c>
      <c r="U12" s="9">
        <f ca="1">IFERROR(__xludf.DUMMYFUNCTION("""COMPUTED_VALUE"""),8202.81599999999)</f>
        <v>8202.8159999999898</v>
      </c>
      <c r="V12" s="9">
        <f ca="1">IFERROR(__xludf.DUMMYFUNCTION("""COMPUTED_VALUE"""),8200.52999999999)</f>
        <v>8200.5299999999897</v>
      </c>
      <c r="W12" s="12">
        <f ca="1">IFERROR(__xludf.DUMMYFUNCTION("""COMPUTED_VALUE"""),2.28600000000005)</f>
        <v>2.2860000000000502</v>
      </c>
    </row>
    <row r="13" spans="1:23">
      <c r="A13" s="1" t="str">
        <f ca="1">IFERROR(__xludf.DUMMYFUNCTION("""COMPUTED_VALUE"""),"CA-2015-143336")</f>
        <v>CA-2015-143336</v>
      </c>
      <c r="B13" s="8">
        <f ca="1">IFERROR(__xludf.DUMMYFUNCTION("""COMPUTED_VALUE"""),42243)</f>
        <v>42243</v>
      </c>
      <c r="C13" s="1" t="str">
        <f ca="1">IFERROR(__xludf.DUMMYFUNCTION("""COMPUTED_VALUE"""),"Aug")</f>
        <v>Aug</v>
      </c>
      <c r="D13" s="1" t="str">
        <f ca="1">IFERROR(__xludf.DUMMYFUNCTION("""COMPUTED_VALUE"""),"Qtr 3")</f>
        <v>Qtr 3</v>
      </c>
      <c r="E13" s="1" t="str">
        <f ca="1">IFERROR(__xludf.DUMMYFUNCTION("""COMPUTED_VALUE"""),"1/9/2015")</f>
        <v>1/9/2015</v>
      </c>
      <c r="F13" s="1" t="str">
        <f ca="1">IFERROR(__xludf.DUMMYFUNCTION("""COMPUTED_VALUE"""),"Second Class")</f>
        <v>Second Class</v>
      </c>
      <c r="G13" s="1" t="str">
        <f ca="1">IFERROR(__xludf.DUMMYFUNCTION("""COMPUTED_VALUE"""),"ZD-21925")</f>
        <v>ZD-21925</v>
      </c>
      <c r="H13" s="1" t="str">
        <f ca="1">IFERROR(__xludf.DUMMYFUNCTION("""COMPUTED_VALUE"""),"Zuschuss")</f>
        <v>Zuschuss</v>
      </c>
      <c r="I13" s="1" t="str">
        <f ca="1">IFERROR(__xludf.DUMMYFUNCTION("""COMPUTED_VALUE"""),"Donatelli")</f>
        <v>Donatelli</v>
      </c>
      <c r="J13" s="1"/>
      <c r="K13" s="1" t="str">
        <f ca="1">IFERROR(__xludf.DUMMYFUNCTION("""COMPUTED_VALUE"""),"Consumer")</f>
        <v>Consumer</v>
      </c>
      <c r="L13" s="1" t="str">
        <f ca="1">IFERROR(__xludf.DUMMYFUNCTION("""COMPUTED_VALUE"""),"United States")</f>
        <v>United States</v>
      </c>
      <c r="M13" s="1" t="str">
        <f ca="1">IFERROR(__xludf.DUMMYFUNCTION("""COMPUTED_VALUE"""),"San Francisco")</f>
        <v>San Francisco</v>
      </c>
      <c r="N13" s="1" t="str">
        <f ca="1">IFERROR(__xludf.DUMMYFUNCTION("""COMPUTED_VALUE"""),"California")</f>
        <v>California</v>
      </c>
      <c r="O13" s="1">
        <f ca="1">IFERROR(__xludf.DUMMYFUNCTION("""COMPUTED_VALUE"""),94109)</f>
        <v>94109</v>
      </c>
      <c r="P13" s="1" t="str">
        <f ca="1">IFERROR(__xludf.DUMMYFUNCTION("""COMPUTED_VALUE"""),"West")</f>
        <v>West</v>
      </c>
      <c r="Q13" s="1" t="str">
        <f ca="1">IFERROR(__xludf.DUMMYFUNCTION("""COMPUTED_VALUE"""),"OFF-AR-10003056")</f>
        <v>OFF-AR-10003056</v>
      </c>
      <c r="R13" s="1" t="str">
        <f ca="1">IFERROR(__xludf.DUMMYFUNCTION("""COMPUTED_VALUE"""),"Office Supplies")</f>
        <v>Office Supplies</v>
      </c>
      <c r="S13" s="7">
        <f ca="1">IFERROR(__xludf.DUMMYFUNCTION("""COMPUTED_VALUE"""),8.56)</f>
        <v>8.56</v>
      </c>
      <c r="T13" s="1">
        <f ca="1">IFERROR(__xludf.DUMMYFUNCTION("""COMPUTED_VALUE"""),9)</f>
        <v>9</v>
      </c>
      <c r="U13" s="9">
        <f ca="1">IFERROR(__xludf.DUMMYFUNCTION("""COMPUTED_VALUE"""),77.04)</f>
        <v>77.040000000000006</v>
      </c>
      <c r="V13" s="9">
        <f ca="1">IFERROR(__xludf.DUMMYFUNCTION("""COMPUTED_VALUE"""),69.48)</f>
        <v>69.48</v>
      </c>
      <c r="W13" s="12">
        <f ca="1">IFERROR(__xludf.DUMMYFUNCTION("""COMPUTED_VALUE"""),7.56)</f>
        <v>7.56</v>
      </c>
    </row>
    <row r="14" spans="1:23">
      <c r="A14" s="1" t="str">
        <f ca="1">IFERROR(__xludf.DUMMYFUNCTION("""COMPUTED_VALUE"""),"CA-2015-143336")</f>
        <v>CA-2015-143336</v>
      </c>
      <c r="B14" s="8">
        <f ca="1">IFERROR(__xludf.DUMMYFUNCTION("""COMPUTED_VALUE"""),42243)</f>
        <v>42243</v>
      </c>
      <c r="C14" s="1" t="str">
        <f ca="1">IFERROR(__xludf.DUMMYFUNCTION("""COMPUTED_VALUE"""),"Aug")</f>
        <v>Aug</v>
      </c>
      <c r="D14" s="1" t="str">
        <f ca="1">IFERROR(__xludf.DUMMYFUNCTION("""COMPUTED_VALUE"""),"Qtr 3")</f>
        <v>Qtr 3</v>
      </c>
      <c r="E14" s="1" t="str">
        <f ca="1">IFERROR(__xludf.DUMMYFUNCTION("""COMPUTED_VALUE"""),"1/9/2015")</f>
        <v>1/9/2015</v>
      </c>
      <c r="F14" s="1" t="str">
        <f ca="1">IFERROR(__xludf.DUMMYFUNCTION("""COMPUTED_VALUE"""),"Second Class")</f>
        <v>Second Class</v>
      </c>
      <c r="G14" s="1" t="str">
        <f ca="1">IFERROR(__xludf.DUMMYFUNCTION("""COMPUTED_VALUE"""),"ZD-21925")</f>
        <v>ZD-21925</v>
      </c>
      <c r="H14" s="1" t="str">
        <f ca="1">IFERROR(__xludf.DUMMYFUNCTION("""COMPUTED_VALUE"""),"Zuschuss")</f>
        <v>Zuschuss</v>
      </c>
      <c r="I14" s="1" t="str">
        <f ca="1">IFERROR(__xludf.DUMMYFUNCTION("""COMPUTED_VALUE"""),"Donatelli")</f>
        <v>Donatelli</v>
      </c>
      <c r="J14" s="1"/>
      <c r="K14" s="1" t="str">
        <f ca="1">IFERROR(__xludf.DUMMYFUNCTION("""COMPUTED_VALUE"""),"Consumer")</f>
        <v>Consumer</v>
      </c>
      <c r="L14" s="1" t="str">
        <f ca="1">IFERROR(__xludf.DUMMYFUNCTION("""COMPUTED_VALUE"""),"United States")</f>
        <v>United States</v>
      </c>
      <c r="M14" s="1" t="str">
        <f ca="1">IFERROR(__xludf.DUMMYFUNCTION("""COMPUTED_VALUE"""),"San Francisco")</f>
        <v>San Francisco</v>
      </c>
      <c r="N14" s="1" t="str">
        <f ca="1">IFERROR(__xludf.DUMMYFUNCTION("""COMPUTED_VALUE"""),"California")</f>
        <v>California</v>
      </c>
      <c r="O14" s="1">
        <f ca="1">IFERROR(__xludf.DUMMYFUNCTION("""COMPUTED_VALUE"""),94109)</f>
        <v>94109</v>
      </c>
      <c r="P14" s="1" t="str">
        <f ca="1">IFERROR(__xludf.DUMMYFUNCTION("""COMPUTED_VALUE"""),"West")</f>
        <v>West</v>
      </c>
      <c r="Q14" s="1" t="str">
        <f ca="1">IFERROR(__xludf.DUMMYFUNCTION("""COMPUTED_VALUE"""),"TEC-PH-10001949")</f>
        <v>TEC-PH-10001949</v>
      </c>
      <c r="R14" s="1" t="str">
        <f ca="1">IFERROR(__xludf.DUMMYFUNCTION("""COMPUTED_VALUE"""),"Technology")</f>
        <v>Technology</v>
      </c>
      <c r="S14" s="7">
        <f ca="1">IFERROR(__xludf.DUMMYFUNCTION("""COMPUTED_VALUE"""),213.48)</f>
        <v>213.48</v>
      </c>
      <c r="T14" s="1">
        <f ca="1">IFERROR(__xludf.DUMMYFUNCTION("""COMPUTED_VALUE"""),9)</f>
        <v>9</v>
      </c>
      <c r="U14" s="9">
        <f ca="1">IFERROR(__xludf.DUMMYFUNCTION("""COMPUTED_VALUE"""),1921.32)</f>
        <v>1921.32</v>
      </c>
      <c r="V14" s="9">
        <f ca="1">IFERROR(__xludf.DUMMYFUNCTION("""COMPUTED_VALUE"""),1915.11)</f>
        <v>1915.11</v>
      </c>
      <c r="W14" s="12">
        <f ca="1">IFERROR(__xludf.DUMMYFUNCTION("""COMPUTED_VALUE"""),6.21000000000003)</f>
        <v>6.2100000000000302</v>
      </c>
    </row>
    <row r="15" spans="1:23">
      <c r="A15" s="1" t="str">
        <f ca="1">IFERROR(__xludf.DUMMYFUNCTION("""COMPUTED_VALUE"""),"CA-2015-143336")</f>
        <v>CA-2015-143336</v>
      </c>
      <c r="B15" s="8">
        <f ca="1">IFERROR(__xludf.DUMMYFUNCTION("""COMPUTED_VALUE"""),42243)</f>
        <v>42243</v>
      </c>
      <c r="C15" s="1" t="str">
        <f ca="1">IFERROR(__xludf.DUMMYFUNCTION("""COMPUTED_VALUE"""),"Aug")</f>
        <v>Aug</v>
      </c>
      <c r="D15" s="1" t="str">
        <f ca="1">IFERROR(__xludf.DUMMYFUNCTION("""COMPUTED_VALUE"""),"Qtr 3")</f>
        <v>Qtr 3</v>
      </c>
      <c r="E15" s="1" t="str">
        <f ca="1">IFERROR(__xludf.DUMMYFUNCTION("""COMPUTED_VALUE"""),"1/9/2015")</f>
        <v>1/9/2015</v>
      </c>
      <c r="F15" s="1" t="str">
        <f ca="1">IFERROR(__xludf.DUMMYFUNCTION("""COMPUTED_VALUE"""),"Second Class")</f>
        <v>Second Class</v>
      </c>
      <c r="G15" s="1" t="str">
        <f ca="1">IFERROR(__xludf.DUMMYFUNCTION("""COMPUTED_VALUE"""),"ZD-21925")</f>
        <v>ZD-21925</v>
      </c>
      <c r="H15" s="1" t="str">
        <f ca="1">IFERROR(__xludf.DUMMYFUNCTION("""COMPUTED_VALUE"""),"Zuschuss")</f>
        <v>Zuschuss</v>
      </c>
      <c r="I15" s="1" t="str">
        <f ca="1">IFERROR(__xludf.DUMMYFUNCTION("""COMPUTED_VALUE"""),"Donatelli")</f>
        <v>Donatelli</v>
      </c>
      <c r="J15" s="1"/>
      <c r="K15" s="1" t="str">
        <f ca="1">IFERROR(__xludf.DUMMYFUNCTION("""COMPUTED_VALUE"""),"Consumer")</f>
        <v>Consumer</v>
      </c>
      <c r="L15" s="1" t="str">
        <f ca="1">IFERROR(__xludf.DUMMYFUNCTION("""COMPUTED_VALUE"""),"United States")</f>
        <v>United States</v>
      </c>
      <c r="M15" s="1" t="str">
        <f ca="1">IFERROR(__xludf.DUMMYFUNCTION("""COMPUTED_VALUE"""),"San Francisco")</f>
        <v>San Francisco</v>
      </c>
      <c r="N15" s="1" t="str">
        <f ca="1">IFERROR(__xludf.DUMMYFUNCTION("""COMPUTED_VALUE"""),"California")</f>
        <v>California</v>
      </c>
      <c r="O15" s="1">
        <f ca="1">IFERROR(__xludf.DUMMYFUNCTION("""COMPUTED_VALUE"""),94109)</f>
        <v>94109</v>
      </c>
      <c r="P15" s="1" t="str">
        <f ca="1">IFERROR(__xludf.DUMMYFUNCTION("""COMPUTED_VALUE"""),"West")</f>
        <v>West</v>
      </c>
      <c r="Q15" s="1" t="str">
        <f ca="1">IFERROR(__xludf.DUMMYFUNCTION("""COMPUTED_VALUE"""),"OFF-BI-10002215")</f>
        <v>OFF-BI-10002215</v>
      </c>
      <c r="R15" s="1" t="str">
        <f ca="1">IFERROR(__xludf.DUMMYFUNCTION("""COMPUTED_VALUE"""),"Office Supplies")</f>
        <v>Office Supplies</v>
      </c>
      <c r="S15" s="7">
        <f ca="1">IFERROR(__xludf.DUMMYFUNCTION("""COMPUTED_VALUE"""),22.72)</f>
        <v>22.72</v>
      </c>
      <c r="T15" s="1">
        <f ca="1">IFERROR(__xludf.DUMMYFUNCTION("""COMPUTED_VALUE"""),9)</f>
        <v>9</v>
      </c>
      <c r="U15" s="9">
        <f ca="1">IFERROR(__xludf.DUMMYFUNCTION("""COMPUTED_VALUE"""),204.48)</f>
        <v>204.48</v>
      </c>
      <c r="V15" s="9">
        <f ca="1">IFERROR(__xludf.DUMMYFUNCTION("""COMPUTED_VALUE"""),201.69)</f>
        <v>201.69</v>
      </c>
      <c r="W15" s="12">
        <f ca="1">IFERROR(__xludf.DUMMYFUNCTION("""COMPUTED_VALUE"""),2.78999999999999)</f>
        <v>2.7899999999999898</v>
      </c>
    </row>
    <row r="16" spans="1:23">
      <c r="A16" s="1" t="str">
        <f ca="1">IFERROR(__xludf.DUMMYFUNCTION("""COMPUTED_VALUE"""),"CA-2017-121755")</f>
        <v>CA-2017-121755</v>
      </c>
      <c r="B16" s="8">
        <f ca="1">IFERROR(__xludf.DUMMYFUNCTION("""COMPUTED_VALUE"""),42751)</f>
        <v>42751</v>
      </c>
      <c r="C16" s="1" t="str">
        <f ca="1">IFERROR(__xludf.DUMMYFUNCTION("""COMPUTED_VALUE"""),"Jan")</f>
        <v>Jan</v>
      </c>
      <c r="D16" s="1" t="str">
        <f ca="1">IFERROR(__xludf.DUMMYFUNCTION("""COMPUTED_VALUE"""),"Qtr 1")</f>
        <v>Qtr 1</v>
      </c>
      <c r="E16" s="1" t="str">
        <f ca="1">IFERROR(__xludf.DUMMYFUNCTION("""COMPUTED_VALUE"""),"20/01/2017")</f>
        <v>20/01/2017</v>
      </c>
      <c r="F16" s="1" t="str">
        <f ca="1">IFERROR(__xludf.DUMMYFUNCTION("""COMPUTED_VALUE"""),"Second Class")</f>
        <v>Second Class</v>
      </c>
      <c r="G16" s="1" t="str">
        <f ca="1">IFERROR(__xludf.DUMMYFUNCTION("""COMPUTED_VALUE"""),"EH-13945")</f>
        <v>EH-13945</v>
      </c>
      <c r="H16" s="1" t="str">
        <f ca="1">IFERROR(__xludf.DUMMYFUNCTION("""COMPUTED_VALUE"""),"Eric")</f>
        <v>Eric</v>
      </c>
      <c r="I16" s="1" t="str">
        <f ca="1">IFERROR(__xludf.DUMMYFUNCTION("""COMPUTED_VALUE"""),"Hoffmann")</f>
        <v>Hoffmann</v>
      </c>
      <c r="J16" s="1"/>
      <c r="K16" s="1" t="str">
        <f ca="1">IFERROR(__xludf.DUMMYFUNCTION("""COMPUTED_VALUE"""),"Consumer")</f>
        <v>Consumer</v>
      </c>
      <c r="L16" s="1" t="str">
        <f ca="1">IFERROR(__xludf.DUMMYFUNCTION("""COMPUTED_VALUE"""),"United States")</f>
        <v>United States</v>
      </c>
      <c r="M16" s="1" t="str">
        <f ca="1">IFERROR(__xludf.DUMMYFUNCTION("""COMPUTED_VALUE"""),"Los Angeles")</f>
        <v>Los Angeles</v>
      </c>
      <c r="N16" s="1" t="str">
        <f ca="1">IFERROR(__xludf.DUMMYFUNCTION("""COMPUTED_VALUE"""),"California")</f>
        <v>California</v>
      </c>
      <c r="O16" s="1">
        <f ca="1">IFERROR(__xludf.DUMMYFUNCTION("""COMPUTED_VALUE"""),90049)</f>
        <v>90049</v>
      </c>
      <c r="P16" s="1" t="str">
        <f ca="1">IFERROR(__xludf.DUMMYFUNCTION("""COMPUTED_VALUE"""),"West")</f>
        <v>West</v>
      </c>
      <c r="Q16" s="1" t="str">
        <f ca="1">IFERROR(__xludf.DUMMYFUNCTION("""COMPUTED_VALUE"""),"OFF-BI-10001634")</f>
        <v>OFF-BI-10001634</v>
      </c>
      <c r="R16" s="1" t="str">
        <f ca="1">IFERROR(__xludf.DUMMYFUNCTION("""COMPUTED_VALUE"""),"Office Supplies")</f>
        <v>Office Supplies</v>
      </c>
      <c r="S16" s="7">
        <f ca="1">IFERROR(__xludf.DUMMYFUNCTION("""COMPUTED_VALUE"""),11.648)</f>
        <v>11.648</v>
      </c>
      <c r="T16" s="1">
        <f ca="1">IFERROR(__xludf.DUMMYFUNCTION("""COMPUTED_VALUE"""),9)</f>
        <v>9</v>
      </c>
      <c r="U16" s="9">
        <f ca="1">IFERROR(__xludf.DUMMYFUNCTION("""COMPUTED_VALUE"""),104.832)</f>
        <v>104.83199999999999</v>
      </c>
      <c r="V16" s="9">
        <f ca="1">IFERROR(__xludf.DUMMYFUNCTION("""COMPUTED_VALUE"""),102.51)</f>
        <v>102.51</v>
      </c>
      <c r="W16" s="12">
        <f ca="1">IFERROR(__xludf.DUMMYFUNCTION("""COMPUTED_VALUE"""),2.32199999999998)</f>
        <v>2.3219999999999801</v>
      </c>
    </row>
    <row r="17" spans="1:23">
      <c r="A17" s="1" t="str">
        <f ca="1">IFERROR(__xludf.DUMMYFUNCTION("""COMPUTED_VALUE"""),"CA-2017-121755")</f>
        <v>CA-2017-121755</v>
      </c>
      <c r="B17" s="8">
        <f ca="1">IFERROR(__xludf.DUMMYFUNCTION("""COMPUTED_VALUE"""),42751)</f>
        <v>42751</v>
      </c>
      <c r="C17" s="1" t="str">
        <f ca="1">IFERROR(__xludf.DUMMYFUNCTION("""COMPUTED_VALUE"""),"Jan")</f>
        <v>Jan</v>
      </c>
      <c r="D17" s="1" t="str">
        <f ca="1">IFERROR(__xludf.DUMMYFUNCTION("""COMPUTED_VALUE"""),"Qtr 1")</f>
        <v>Qtr 1</v>
      </c>
      <c r="E17" s="1" t="str">
        <f ca="1">IFERROR(__xludf.DUMMYFUNCTION("""COMPUTED_VALUE"""),"20/01/2017")</f>
        <v>20/01/2017</v>
      </c>
      <c r="F17" s="1" t="str">
        <f ca="1">IFERROR(__xludf.DUMMYFUNCTION("""COMPUTED_VALUE"""),"Second Class")</f>
        <v>Second Class</v>
      </c>
      <c r="G17" s="1" t="str">
        <f ca="1">IFERROR(__xludf.DUMMYFUNCTION("""COMPUTED_VALUE"""),"EH-13945")</f>
        <v>EH-13945</v>
      </c>
      <c r="H17" s="1" t="str">
        <f ca="1">IFERROR(__xludf.DUMMYFUNCTION("""COMPUTED_VALUE"""),"Eric")</f>
        <v>Eric</v>
      </c>
      <c r="I17" s="1" t="str">
        <f ca="1">IFERROR(__xludf.DUMMYFUNCTION("""COMPUTED_VALUE"""),"Hoffmann")</f>
        <v>Hoffmann</v>
      </c>
      <c r="J17" s="1"/>
      <c r="K17" s="1" t="str">
        <f ca="1">IFERROR(__xludf.DUMMYFUNCTION("""COMPUTED_VALUE"""),"Consumer")</f>
        <v>Consumer</v>
      </c>
      <c r="L17" s="1" t="str">
        <f ca="1">IFERROR(__xludf.DUMMYFUNCTION("""COMPUTED_VALUE"""),"United States")</f>
        <v>United States</v>
      </c>
      <c r="M17" s="1" t="str">
        <f ca="1">IFERROR(__xludf.DUMMYFUNCTION("""COMPUTED_VALUE"""),"Los Angeles")</f>
        <v>Los Angeles</v>
      </c>
      <c r="N17" s="1" t="str">
        <f ca="1">IFERROR(__xludf.DUMMYFUNCTION("""COMPUTED_VALUE"""),"California")</f>
        <v>California</v>
      </c>
      <c r="O17" s="1">
        <f ca="1">IFERROR(__xludf.DUMMYFUNCTION("""COMPUTED_VALUE"""),90049)</f>
        <v>90049</v>
      </c>
      <c r="P17" s="1" t="str">
        <f ca="1">IFERROR(__xludf.DUMMYFUNCTION("""COMPUTED_VALUE"""),"West")</f>
        <v>West</v>
      </c>
      <c r="Q17" s="1" t="str">
        <f ca="1">IFERROR(__xludf.DUMMYFUNCTION("""COMPUTED_VALUE"""),"TEC-AC-10003027")</f>
        <v>TEC-AC-10003027</v>
      </c>
      <c r="R17" s="1" t="str">
        <f ca="1">IFERROR(__xludf.DUMMYFUNCTION("""COMPUTED_VALUE"""),"Technology")</f>
        <v>Technology</v>
      </c>
      <c r="S17" s="7">
        <f ca="1">IFERROR(__xludf.DUMMYFUNCTION("""COMPUTED_VALUE"""),90.57)</f>
        <v>90.57</v>
      </c>
      <c r="T17" s="1">
        <f ca="1">IFERROR(__xludf.DUMMYFUNCTION("""COMPUTED_VALUE"""),9)</f>
        <v>9</v>
      </c>
      <c r="U17" s="9">
        <f ca="1">IFERROR(__xludf.DUMMYFUNCTION("""COMPUTED_VALUE"""),815.129999999999)</f>
        <v>815.12999999999897</v>
      </c>
      <c r="V17" s="9">
        <f ca="1">IFERROR(__xludf.DUMMYFUNCTION("""COMPUTED_VALUE"""),806.76)</f>
        <v>806.76</v>
      </c>
      <c r="W17" s="12">
        <f ca="1">IFERROR(__xludf.DUMMYFUNCTION("""COMPUTED_VALUE"""),8.36999999999989)</f>
        <v>8.3699999999998909</v>
      </c>
    </row>
    <row r="18" spans="1:23">
      <c r="A18" s="1" t="str">
        <f ca="1">IFERROR(__xludf.DUMMYFUNCTION("""COMPUTED_VALUE"""),"CA-2017-101343")</f>
        <v>CA-2017-101343</v>
      </c>
      <c r="B18" s="8">
        <f ca="1">IFERROR(__xludf.DUMMYFUNCTION("""COMPUTED_VALUE"""),42933)</f>
        <v>42933</v>
      </c>
      <c r="C18" s="1" t="str">
        <f ca="1">IFERROR(__xludf.DUMMYFUNCTION("""COMPUTED_VALUE"""),"Jul")</f>
        <v>Jul</v>
      </c>
      <c r="D18" s="1" t="str">
        <f ca="1">IFERROR(__xludf.DUMMYFUNCTION("""COMPUTED_VALUE"""),"Qtr 3")</f>
        <v>Qtr 3</v>
      </c>
      <c r="E18" s="1" t="str">
        <f ca="1">IFERROR(__xludf.DUMMYFUNCTION("""COMPUTED_VALUE"""),"22/07/2017")</f>
        <v>22/07/2017</v>
      </c>
      <c r="F18" s="1" t="str">
        <f ca="1">IFERROR(__xludf.DUMMYFUNCTION("""COMPUTED_VALUE"""),"Standard Class")</f>
        <v>Standard Class</v>
      </c>
      <c r="G18" s="1" t="str">
        <f ca="1">IFERROR(__xludf.DUMMYFUNCTION("""COMPUTED_VALUE"""),"RA-19885")</f>
        <v>RA-19885</v>
      </c>
      <c r="H18" s="1" t="str">
        <f ca="1">IFERROR(__xludf.DUMMYFUNCTION("""COMPUTED_VALUE"""),"Ruben")</f>
        <v>Ruben</v>
      </c>
      <c r="I18" s="1" t="str">
        <f ca="1">IFERROR(__xludf.DUMMYFUNCTION("""COMPUTED_VALUE"""),"Ausman")</f>
        <v>Ausman</v>
      </c>
      <c r="J18" s="1"/>
      <c r="K18" s="1" t="str">
        <f ca="1">IFERROR(__xludf.DUMMYFUNCTION("""COMPUTED_VALUE"""),"Corporate")</f>
        <v>Corporate</v>
      </c>
      <c r="L18" s="1" t="str">
        <f ca="1">IFERROR(__xludf.DUMMYFUNCTION("""COMPUTED_VALUE"""),"United States")</f>
        <v>United States</v>
      </c>
      <c r="M18" s="1" t="str">
        <f ca="1">IFERROR(__xludf.DUMMYFUNCTION("""COMPUTED_VALUE"""),"Los Angeles")</f>
        <v>Los Angeles</v>
      </c>
      <c r="N18" s="1" t="str">
        <f ca="1">IFERROR(__xludf.DUMMYFUNCTION("""COMPUTED_VALUE"""),"California")</f>
        <v>California</v>
      </c>
      <c r="O18" s="1">
        <f ca="1">IFERROR(__xludf.DUMMYFUNCTION("""COMPUTED_VALUE"""),90049)</f>
        <v>90049</v>
      </c>
      <c r="P18" s="1" t="str">
        <f ca="1">IFERROR(__xludf.DUMMYFUNCTION("""COMPUTED_VALUE"""),"West")</f>
        <v>West</v>
      </c>
      <c r="Q18" s="1" t="str">
        <f ca="1">IFERROR(__xludf.DUMMYFUNCTION("""COMPUTED_VALUE"""),"OFF-ST-10003479")</f>
        <v>OFF-ST-10003479</v>
      </c>
      <c r="R18" s="1" t="str">
        <f ca="1">IFERROR(__xludf.DUMMYFUNCTION("""COMPUTED_VALUE"""),"Office Supplies")</f>
        <v>Office Supplies</v>
      </c>
      <c r="S18" s="7">
        <f ca="1">IFERROR(__xludf.DUMMYFUNCTION("""COMPUTED_VALUE"""),77.88)</f>
        <v>77.88</v>
      </c>
      <c r="T18" s="1">
        <f ca="1">IFERROR(__xludf.DUMMYFUNCTION("""COMPUTED_VALUE"""),9)</f>
        <v>9</v>
      </c>
      <c r="U18" s="9">
        <f ca="1">IFERROR(__xludf.DUMMYFUNCTION("""COMPUTED_VALUE"""),700.92)</f>
        <v>700.92</v>
      </c>
      <c r="V18" s="9">
        <f ca="1">IFERROR(__xludf.DUMMYFUNCTION("""COMPUTED_VALUE"""),696.87)</f>
        <v>696.87</v>
      </c>
      <c r="W18" s="12">
        <f ca="1">IFERROR(__xludf.DUMMYFUNCTION("""COMPUTED_VALUE"""),4.04999999999984)</f>
        <v>4.04999999999984</v>
      </c>
    </row>
    <row r="19" spans="1:23">
      <c r="A19" s="1" t="str">
        <f ca="1">IFERROR(__xludf.DUMMYFUNCTION("""COMPUTED_VALUE"""),"CA-2016-135545")</f>
        <v>CA-2016-135545</v>
      </c>
      <c r="B19" s="8">
        <f ca="1">IFERROR(__xludf.DUMMYFUNCTION("""COMPUTED_VALUE"""),42698)</f>
        <v>42698</v>
      </c>
      <c r="C19" s="1" t="str">
        <f ca="1">IFERROR(__xludf.DUMMYFUNCTION("""COMPUTED_VALUE"""),"Nov")</f>
        <v>Nov</v>
      </c>
      <c r="D19" s="1" t="str">
        <f ca="1">IFERROR(__xludf.DUMMYFUNCTION("""COMPUTED_VALUE"""),"Qtr 4")</f>
        <v>Qtr 4</v>
      </c>
      <c r="E19" s="1" t="str">
        <f ca="1">IFERROR(__xludf.DUMMYFUNCTION("""COMPUTED_VALUE"""),"30/11/2016")</f>
        <v>30/11/2016</v>
      </c>
      <c r="F19" s="1" t="str">
        <f ca="1">IFERROR(__xludf.DUMMYFUNCTION("""COMPUTED_VALUE"""),"Standard Class")</f>
        <v>Standard Class</v>
      </c>
      <c r="G19" s="1" t="str">
        <f ca="1">IFERROR(__xludf.DUMMYFUNCTION("""COMPUTED_VALUE"""),"KM-16720")</f>
        <v>KM-16720</v>
      </c>
      <c r="H19" s="1" t="str">
        <f ca="1">IFERROR(__xludf.DUMMYFUNCTION("""COMPUTED_VALUE"""),"Kunst")</f>
        <v>Kunst</v>
      </c>
      <c r="I19" s="1" t="str">
        <f ca="1">IFERROR(__xludf.DUMMYFUNCTION("""COMPUTED_VALUE"""),"Miller")</f>
        <v>Miller</v>
      </c>
      <c r="J19" s="1"/>
      <c r="K19" s="1" t="str">
        <f ca="1">IFERROR(__xludf.DUMMYFUNCTION("""COMPUTED_VALUE"""),"Consumer")</f>
        <v>Consumer</v>
      </c>
      <c r="L19" s="1" t="str">
        <f ca="1">IFERROR(__xludf.DUMMYFUNCTION("""COMPUTED_VALUE"""),"United States")</f>
        <v>United States</v>
      </c>
      <c r="M19" s="1" t="str">
        <f ca="1">IFERROR(__xludf.DUMMYFUNCTION("""COMPUTED_VALUE"""),"Los Angeles")</f>
        <v>Los Angeles</v>
      </c>
      <c r="N19" s="1" t="str">
        <f ca="1">IFERROR(__xludf.DUMMYFUNCTION("""COMPUTED_VALUE"""),"California")</f>
        <v>California</v>
      </c>
      <c r="O19" s="1">
        <f ca="1">IFERROR(__xludf.DUMMYFUNCTION("""COMPUTED_VALUE"""),90004)</f>
        <v>90004</v>
      </c>
      <c r="P19" s="1" t="str">
        <f ca="1">IFERROR(__xludf.DUMMYFUNCTION("""COMPUTED_VALUE"""),"West")</f>
        <v>West</v>
      </c>
      <c r="Q19" s="1" t="str">
        <f ca="1">IFERROR(__xludf.DUMMYFUNCTION("""COMPUTED_VALUE"""),"TEC-AC-10004633")</f>
        <v>TEC-AC-10004633</v>
      </c>
      <c r="R19" s="1" t="str">
        <f ca="1">IFERROR(__xludf.DUMMYFUNCTION("""COMPUTED_VALUE"""),"Technology")</f>
        <v>Technology</v>
      </c>
      <c r="S19" s="7">
        <f ca="1">IFERROR(__xludf.DUMMYFUNCTION("""COMPUTED_VALUE"""),13.98)</f>
        <v>13.98</v>
      </c>
      <c r="T19" s="1">
        <f ca="1">IFERROR(__xludf.DUMMYFUNCTION("""COMPUTED_VALUE"""),9)</f>
        <v>9</v>
      </c>
      <c r="U19" s="9">
        <f ca="1">IFERROR(__xludf.DUMMYFUNCTION("""COMPUTED_VALUE"""),125.82)</f>
        <v>125.82</v>
      </c>
      <c r="V19" s="9">
        <f ca="1">IFERROR(__xludf.DUMMYFUNCTION("""COMPUTED_VALUE"""),123.21)</f>
        <v>123.21</v>
      </c>
      <c r="W19" s="12">
        <f ca="1">IFERROR(__xludf.DUMMYFUNCTION("""COMPUTED_VALUE"""),2.61000000000001)</f>
        <v>2.6100000000000101</v>
      </c>
    </row>
    <row r="20" spans="1:23">
      <c r="A20" s="1" t="str">
        <f ca="1">IFERROR(__xludf.DUMMYFUNCTION("""COMPUTED_VALUE"""),"CA-2016-135545")</f>
        <v>CA-2016-135545</v>
      </c>
      <c r="B20" s="8">
        <f ca="1">IFERROR(__xludf.DUMMYFUNCTION("""COMPUTED_VALUE"""),42698)</f>
        <v>42698</v>
      </c>
      <c r="C20" s="1" t="str">
        <f ca="1">IFERROR(__xludf.DUMMYFUNCTION("""COMPUTED_VALUE"""),"Nov")</f>
        <v>Nov</v>
      </c>
      <c r="D20" s="1" t="str">
        <f ca="1">IFERROR(__xludf.DUMMYFUNCTION("""COMPUTED_VALUE"""),"Qtr 4")</f>
        <v>Qtr 4</v>
      </c>
      <c r="E20" s="1" t="str">
        <f ca="1">IFERROR(__xludf.DUMMYFUNCTION("""COMPUTED_VALUE"""),"30/11/2016")</f>
        <v>30/11/2016</v>
      </c>
      <c r="F20" s="1" t="str">
        <f ca="1">IFERROR(__xludf.DUMMYFUNCTION("""COMPUTED_VALUE"""),"Standard Class")</f>
        <v>Standard Class</v>
      </c>
      <c r="G20" s="1" t="str">
        <f ca="1">IFERROR(__xludf.DUMMYFUNCTION("""COMPUTED_VALUE"""),"KM-16720")</f>
        <v>KM-16720</v>
      </c>
      <c r="H20" s="1" t="str">
        <f ca="1">IFERROR(__xludf.DUMMYFUNCTION("""COMPUTED_VALUE"""),"Kunst")</f>
        <v>Kunst</v>
      </c>
      <c r="I20" s="1" t="str">
        <f ca="1">IFERROR(__xludf.DUMMYFUNCTION("""COMPUTED_VALUE"""),"Miller")</f>
        <v>Miller</v>
      </c>
      <c r="J20" s="1"/>
      <c r="K20" s="1" t="str">
        <f ca="1">IFERROR(__xludf.DUMMYFUNCTION("""COMPUTED_VALUE"""),"Consumer")</f>
        <v>Consumer</v>
      </c>
      <c r="L20" s="1" t="str">
        <f ca="1">IFERROR(__xludf.DUMMYFUNCTION("""COMPUTED_VALUE"""),"United States")</f>
        <v>United States</v>
      </c>
      <c r="M20" s="1" t="str">
        <f ca="1">IFERROR(__xludf.DUMMYFUNCTION("""COMPUTED_VALUE"""),"Los Angeles")</f>
        <v>Los Angeles</v>
      </c>
      <c r="N20" s="1" t="str">
        <f ca="1">IFERROR(__xludf.DUMMYFUNCTION("""COMPUTED_VALUE"""),"California")</f>
        <v>California</v>
      </c>
      <c r="O20" s="1">
        <f ca="1">IFERROR(__xludf.DUMMYFUNCTION("""COMPUTED_VALUE"""),90004)</f>
        <v>90004</v>
      </c>
      <c r="P20" s="1" t="str">
        <f ca="1">IFERROR(__xludf.DUMMYFUNCTION("""COMPUTED_VALUE"""),"West")</f>
        <v>West</v>
      </c>
      <c r="Q20" s="1" t="str">
        <f ca="1">IFERROR(__xludf.DUMMYFUNCTION("""COMPUTED_VALUE"""),"OFF-BI-10001078")</f>
        <v>OFF-BI-10001078</v>
      </c>
      <c r="R20" s="1" t="str">
        <f ca="1">IFERROR(__xludf.DUMMYFUNCTION("""COMPUTED_VALUE"""),"Office Supplies")</f>
        <v>Office Supplies</v>
      </c>
      <c r="S20" s="7">
        <f ca="1">IFERROR(__xludf.DUMMYFUNCTION("""COMPUTED_VALUE"""),25.824)</f>
        <v>25.824000000000002</v>
      </c>
      <c r="T20" s="1">
        <f ca="1">IFERROR(__xludf.DUMMYFUNCTION("""COMPUTED_VALUE"""),9)</f>
        <v>9</v>
      </c>
      <c r="U20" s="9">
        <f ca="1">IFERROR(__xludf.DUMMYFUNCTION("""COMPUTED_VALUE"""),232.416)</f>
        <v>232.416</v>
      </c>
      <c r="V20" s="9">
        <f ca="1">IFERROR(__xludf.DUMMYFUNCTION("""COMPUTED_VALUE"""),227.7)</f>
        <v>227.7</v>
      </c>
      <c r="W20" s="12">
        <f ca="1">IFERROR(__xludf.DUMMYFUNCTION("""COMPUTED_VALUE"""),4.716)</f>
        <v>4.7160000000000002</v>
      </c>
    </row>
    <row r="21" spans="1:23">
      <c r="A21" s="1" t="str">
        <f ca="1">IFERROR(__xludf.DUMMYFUNCTION("""COMPUTED_VALUE"""),"CA-2016-135545")</f>
        <v>CA-2016-135545</v>
      </c>
      <c r="B21" s="8">
        <f ca="1">IFERROR(__xludf.DUMMYFUNCTION("""COMPUTED_VALUE"""),42698)</f>
        <v>42698</v>
      </c>
      <c r="C21" s="1" t="str">
        <f ca="1">IFERROR(__xludf.DUMMYFUNCTION("""COMPUTED_VALUE"""),"Nov")</f>
        <v>Nov</v>
      </c>
      <c r="D21" s="1" t="str">
        <f ca="1">IFERROR(__xludf.DUMMYFUNCTION("""COMPUTED_VALUE"""),"Qtr 4")</f>
        <v>Qtr 4</v>
      </c>
      <c r="E21" s="1" t="str">
        <f ca="1">IFERROR(__xludf.DUMMYFUNCTION("""COMPUTED_VALUE"""),"30/11/2016")</f>
        <v>30/11/2016</v>
      </c>
      <c r="F21" s="1" t="str">
        <f ca="1">IFERROR(__xludf.DUMMYFUNCTION("""COMPUTED_VALUE"""),"Standard Class")</f>
        <v>Standard Class</v>
      </c>
      <c r="G21" s="1" t="str">
        <f ca="1">IFERROR(__xludf.DUMMYFUNCTION("""COMPUTED_VALUE"""),"KM-16720")</f>
        <v>KM-16720</v>
      </c>
      <c r="H21" s="1" t="str">
        <f ca="1">IFERROR(__xludf.DUMMYFUNCTION("""COMPUTED_VALUE"""),"Kunst")</f>
        <v>Kunst</v>
      </c>
      <c r="I21" s="1" t="str">
        <f ca="1">IFERROR(__xludf.DUMMYFUNCTION("""COMPUTED_VALUE"""),"Miller")</f>
        <v>Miller</v>
      </c>
      <c r="J21" s="1"/>
      <c r="K21" s="1" t="str">
        <f ca="1">IFERROR(__xludf.DUMMYFUNCTION("""COMPUTED_VALUE"""),"Consumer")</f>
        <v>Consumer</v>
      </c>
      <c r="L21" s="1" t="str">
        <f ca="1">IFERROR(__xludf.DUMMYFUNCTION("""COMPUTED_VALUE"""),"United States")</f>
        <v>United States</v>
      </c>
      <c r="M21" s="1" t="str">
        <f ca="1">IFERROR(__xludf.DUMMYFUNCTION("""COMPUTED_VALUE"""),"Los Angeles")</f>
        <v>Los Angeles</v>
      </c>
      <c r="N21" s="1" t="str">
        <f ca="1">IFERROR(__xludf.DUMMYFUNCTION("""COMPUTED_VALUE"""),"California")</f>
        <v>California</v>
      </c>
      <c r="O21" s="1">
        <f ca="1">IFERROR(__xludf.DUMMYFUNCTION("""COMPUTED_VALUE"""),90004)</f>
        <v>90004</v>
      </c>
      <c r="P21" s="1" t="str">
        <f ca="1">IFERROR(__xludf.DUMMYFUNCTION("""COMPUTED_VALUE"""),"West")</f>
        <v>West</v>
      </c>
      <c r="Q21" s="1" t="str">
        <f ca="1">IFERROR(__xludf.DUMMYFUNCTION("""COMPUTED_VALUE"""),"OFF-PA-10003892")</f>
        <v>OFF-PA-10003892</v>
      </c>
      <c r="R21" s="1" t="str">
        <f ca="1">IFERROR(__xludf.DUMMYFUNCTION("""COMPUTED_VALUE"""),"Office Supplies")</f>
        <v>Office Supplies</v>
      </c>
      <c r="S21" s="7">
        <f ca="1">IFERROR(__xludf.DUMMYFUNCTION("""COMPUTED_VALUE"""),146.73)</f>
        <v>146.72999999999999</v>
      </c>
      <c r="T21" s="1">
        <f ca="1">IFERROR(__xludf.DUMMYFUNCTION("""COMPUTED_VALUE"""),9)</f>
        <v>9</v>
      </c>
      <c r="U21" s="9">
        <f ca="1">IFERROR(__xludf.DUMMYFUNCTION("""COMPUTED_VALUE"""),1320.57)</f>
        <v>1320.57</v>
      </c>
      <c r="V21" s="9">
        <f ca="1">IFERROR(__xludf.DUMMYFUNCTION("""COMPUTED_VALUE"""),1316.87999999999)</f>
        <v>1316.8799999999901</v>
      </c>
      <c r="W21" s="12">
        <f ca="1">IFERROR(__xludf.DUMMYFUNCTION("""COMPUTED_VALUE"""),3.69000000000005)</f>
        <v>3.6900000000000501</v>
      </c>
    </row>
    <row r="22" spans="1:23">
      <c r="A22" s="1" t="str">
        <f ca="1">IFERROR(__xludf.DUMMYFUNCTION("""COMPUTED_VALUE"""),"CA-2016-135545")</f>
        <v>CA-2016-135545</v>
      </c>
      <c r="B22" s="8">
        <f ca="1">IFERROR(__xludf.DUMMYFUNCTION("""COMPUTED_VALUE"""),42698)</f>
        <v>42698</v>
      </c>
      <c r="C22" s="1" t="str">
        <f ca="1">IFERROR(__xludf.DUMMYFUNCTION("""COMPUTED_VALUE"""),"Nov")</f>
        <v>Nov</v>
      </c>
      <c r="D22" s="1" t="str">
        <f ca="1">IFERROR(__xludf.DUMMYFUNCTION("""COMPUTED_VALUE"""),"Qtr 4")</f>
        <v>Qtr 4</v>
      </c>
      <c r="E22" s="1" t="str">
        <f ca="1">IFERROR(__xludf.DUMMYFUNCTION("""COMPUTED_VALUE"""),"30/11/2016")</f>
        <v>30/11/2016</v>
      </c>
      <c r="F22" s="1" t="str">
        <f ca="1">IFERROR(__xludf.DUMMYFUNCTION("""COMPUTED_VALUE"""),"Standard Class")</f>
        <v>Standard Class</v>
      </c>
      <c r="G22" s="1" t="str">
        <f ca="1">IFERROR(__xludf.DUMMYFUNCTION("""COMPUTED_VALUE"""),"KM-16720")</f>
        <v>KM-16720</v>
      </c>
      <c r="H22" s="1" t="str">
        <f ca="1">IFERROR(__xludf.DUMMYFUNCTION("""COMPUTED_VALUE"""),"Kunst")</f>
        <v>Kunst</v>
      </c>
      <c r="I22" s="1" t="str">
        <f ca="1">IFERROR(__xludf.DUMMYFUNCTION("""COMPUTED_VALUE"""),"Miller")</f>
        <v>Miller</v>
      </c>
      <c r="J22" s="1"/>
      <c r="K22" s="1" t="str">
        <f ca="1">IFERROR(__xludf.DUMMYFUNCTION("""COMPUTED_VALUE"""),"Consumer")</f>
        <v>Consumer</v>
      </c>
      <c r="L22" s="1" t="str">
        <f ca="1">IFERROR(__xludf.DUMMYFUNCTION("""COMPUTED_VALUE"""),"United States")</f>
        <v>United States</v>
      </c>
      <c r="M22" s="1" t="str">
        <f ca="1">IFERROR(__xludf.DUMMYFUNCTION("""COMPUTED_VALUE"""),"Los Angeles")</f>
        <v>Los Angeles</v>
      </c>
      <c r="N22" s="1" t="str">
        <f ca="1">IFERROR(__xludf.DUMMYFUNCTION("""COMPUTED_VALUE"""),"California")</f>
        <v>California</v>
      </c>
      <c r="O22" s="1">
        <f ca="1">IFERROR(__xludf.DUMMYFUNCTION("""COMPUTED_VALUE"""),90004)</f>
        <v>90004</v>
      </c>
      <c r="P22" s="1" t="str">
        <f ca="1">IFERROR(__xludf.DUMMYFUNCTION("""COMPUTED_VALUE"""),"West")</f>
        <v>West</v>
      </c>
      <c r="Q22" s="1" t="str">
        <f ca="1">IFERROR(__xludf.DUMMYFUNCTION("""COMPUTED_VALUE"""),"FUR-FU-10000397")</f>
        <v>FUR-FU-10000397</v>
      </c>
      <c r="R22" s="1" t="str">
        <f ca="1">IFERROR(__xludf.DUMMYFUNCTION("""COMPUTED_VALUE"""),"Furniture")</f>
        <v>Furniture</v>
      </c>
      <c r="S22" s="7">
        <f ca="1">IFERROR(__xludf.DUMMYFUNCTION("""COMPUTED_VALUE"""),79.76)</f>
        <v>79.760000000000005</v>
      </c>
      <c r="T22" s="1">
        <f ca="1">IFERROR(__xludf.DUMMYFUNCTION("""COMPUTED_VALUE"""),9)</f>
        <v>9</v>
      </c>
      <c r="U22" s="9">
        <f ca="1">IFERROR(__xludf.DUMMYFUNCTION("""COMPUTED_VALUE"""),717.84)</f>
        <v>717.84</v>
      </c>
      <c r="V22" s="9">
        <f ca="1">IFERROR(__xludf.DUMMYFUNCTION("""COMPUTED_VALUE"""),716.04)</f>
        <v>716.04</v>
      </c>
      <c r="W22" s="12">
        <f ca="1">IFERROR(__xludf.DUMMYFUNCTION("""COMPUTED_VALUE"""),1.80000000000006)</f>
        <v>1.80000000000006</v>
      </c>
    </row>
    <row r="23" spans="1:23">
      <c r="A23" s="1" t="str">
        <f ca="1">IFERROR(__xludf.DUMMYFUNCTION("""COMPUTED_VALUE"""),"CA-2015-139451")</f>
        <v>CA-2015-139451</v>
      </c>
      <c r="B23" s="8">
        <f ca="1">IFERROR(__xludf.DUMMYFUNCTION("""COMPUTED_VALUE"""),42348)</f>
        <v>42348</v>
      </c>
      <c r="C23" s="1" t="str">
        <f ca="1">IFERROR(__xludf.DUMMYFUNCTION("""COMPUTED_VALUE"""),"Dec")</f>
        <v>Dec</v>
      </c>
      <c r="D23" s="1" t="str">
        <f ca="1">IFERROR(__xludf.DUMMYFUNCTION("""COMPUTED_VALUE"""),"Qtr 4")</f>
        <v>Qtr 4</v>
      </c>
      <c r="E23" s="1" t="str">
        <f ca="1">IFERROR(__xludf.DUMMYFUNCTION("""COMPUTED_VALUE"""),"16/10/2015")</f>
        <v>16/10/2015</v>
      </c>
      <c r="F23" s="1" t="str">
        <f ca="1">IFERROR(__xludf.DUMMYFUNCTION("""COMPUTED_VALUE"""),"Standard Class")</f>
        <v>Standard Class</v>
      </c>
      <c r="G23" s="1" t="str">
        <f ca="1">IFERROR(__xludf.DUMMYFUNCTION("""COMPUTED_VALUE"""),"DN-13690")</f>
        <v>DN-13690</v>
      </c>
      <c r="H23" s="1" t="str">
        <f ca="1">IFERROR(__xludf.DUMMYFUNCTION("""COMPUTED_VALUE"""),"Duane")</f>
        <v>Duane</v>
      </c>
      <c r="I23" s="1" t="str">
        <f ca="1">IFERROR(__xludf.DUMMYFUNCTION("""COMPUTED_VALUE"""),"Noonan")</f>
        <v>Noonan</v>
      </c>
      <c r="J23" s="1"/>
      <c r="K23" s="1" t="str">
        <f ca="1">IFERROR(__xludf.DUMMYFUNCTION("""COMPUTED_VALUE"""),"Consumer")</f>
        <v>Consumer</v>
      </c>
      <c r="L23" s="1" t="str">
        <f ca="1">IFERROR(__xludf.DUMMYFUNCTION("""COMPUTED_VALUE"""),"United States")</f>
        <v>United States</v>
      </c>
      <c r="M23" s="1" t="str">
        <f ca="1">IFERROR(__xludf.DUMMYFUNCTION("""COMPUTED_VALUE"""),"San Francisco")</f>
        <v>San Francisco</v>
      </c>
      <c r="N23" s="1" t="str">
        <f ca="1">IFERROR(__xludf.DUMMYFUNCTION("""COMPUTED_VALUE"""),"California")</f>
        <v>California</v>
      </c>
      <c r="O23" s="1">
        <f ca="1">IFERROR(__xludf.DUMMYFUNCTION("""COMPUTED_VALUE"""),94122)</f>
        <v>94122</v>
      </c>
      <c r="P23" s="1" t="str">
        <f ca="1">IFERROR(__xludf.DUMMYFUNCTION("""COMPUTED_VALUE"""),"West")</f>
        <v>West</v>
      </c>
      <c r="Q23" s="1" t="str">
        <f ca="1">IFERROR(__xludf.DUMMYFUNCTION("""COMPUTED_VALUE"""),"OFF-AR-10002053")</f>
        <v>OFF-AR-10002053</v>
      </c>
      <c r="R23" s="1" t="str">
        <f ca="1">IFERROR(__xludf.DUMMYFUNCTION("""COMPUTED_VALUE"""),"Office Supplies")</f>
        <v>Office Supplies</v>
      </c>
      <c r="S23" s="7">
        <f ca="1">IFERROR(__xludf.DUMMYFUNCTION("""COMPUTED_VALUE"""),14.9)</f>
        <v>14.9</v>
      </c>
      <c r="T23" s="1">
        <f ca="1">IFERROR(__xludf.DUMMYFUNCTION("""COMPUTED_VALUE"""),9)</f>
        <v>9</v>
      </c>
      <c r="U23" s="9">
        <f ca="1">IFERROR(__xludf.DUMMYFUNCTION("""COMPUTED_VALUE"""),134.1)</f>
        <v>134.1</v>
      </c>
      <c r="V23" s="9">
        <f ca="1">IFERROR(__xludf.DUMMYFUNCTION("""COMPUTED_VALUE"""),131.49)</f>
        <v>131.49</v>
      </c>
      <c r="W23" s="12">
        <f ca="1">IFERROR(__xludf.DUMMYFUNCTION("""COMPUTED_VALUE"""),2.60999999999998)</f>
        <v>2.6099999999999799</v>
      </c>
    </row>
    <row r="24" spans="1:23">
      <c r="A24" s="1" t="str">
        <f ca="1">IFERROR(__xludf.DUMMYFUNCTION("""COMPUTED_VALUE"""),"CA-2015-139451")</f>
        <v>CA-2015-139451</v>
      </c>
      <c r="B24" s="8">
        <f ca="1">IFERROR(__xludf.DUMMYFUNCTION("""COMPUTED_VALUE"""),42348)</f>
        <v>42348</v>
      </c>
      <c r="C24" s="1" t="str">
        <f ca="1">IFERROR(__xludf.DUMMYFUNCTION("""COMPUTED_VALUE"""),"Dec")</f>
        <v>Dec</v>
      </c>
      <c r="D24" s="1" t="str">
        <f ca="1">IFERROR(__xludf.DUMMYFUNCTION("""COMPUTED_VALUE"""),"Qtr 4")</f>
        <v>Qtr 4</v>
      </c>
      <c r="E24" s="1" t="str">
        <f ca="1">IFERROR(__xludf.DUMMYFUNCTION("""COMPUTED_VALUE"""),"16/10/2015")</f>
        <v>16/10/2015</v>
      </c>
      <c r="F24" s="1" t="str">
        <f ca="1">IFERROR(__xludf.DUMMYFUNCTION("""COMPUTED_VALUE"""),"Standard Class")</f>
        <v>Standard Class</v>
      </c>
      <c r="G24" s="1" t="str">
        <f ca="1">IFERROR(__xludf.DUMMYFUNCTION("""COMPUTED_VALUE"""),"DN-13690")</f>
        <v>DN-13690</v>
      </c>
      <c r="H24" s="1" t="str">
        <f ca="1">IFERROR(__xludf.DUMMYFUNCTION("""COMPUTED_VALUE"""),"Duane")</f>
        <v>Duane</v>
      </c>
      <c r="I24" s="1" t="str">
        <f ca="1">IFERROR(__xludf.DUMMYFUNCTION("""COMPUTED_VALUE"""),"Noonan")</f>
        <v>Noonan</v>
      </c>
      <c r="J24" s="1"/>
      <c r="K24" s="1" t="str">
        <f ca="1">IFERROR(__xludf.DUMMYFUNCTION("""COMPUTED_VALUE"""),"Consumer")</f>
        <v>Consumer</v>
      </c>
      <c r="L24" s="1" t="str">
        <f ca="1">IFERROR(__xludf.DUMMYFUNCTION("""COMPUTED_VALUE"""),"United States")</f>
        <v>United States</v>
      </c>
      <c r="M24" s="1" t="str">
        <f ca="1">IFERROR(__xludf.DUMMYFUNCTION("""COMPUTED_VALUE"""),"San Francisco")</f>
        <v>San Francisco</v>
      </c>
      <c r="N24" s="1" t="str">
        <f ca="1">IFERROR(__xludf.DUMMYFUNCTION("""COMPUTED_VALUE"""),"California")</f>
        <v>California</v>
      </c>
      <c r="O24" s="1">
        <f ca="1">IFERROR(__xludf.DUMMYFUNCTION("""COMPUTED_VALUE"""),94122)</f>
        <v>94122</v>
      </c>
      <c r="P24" s="1" t="str">
        <f ca="1">IFERROR(__xludf.DUMMYFUNCTION("""COMPUTED_VALUE"""),"West")</f>
        <v>West</v>
      </c>
      <c r="Q24" s="1" t="str">
        <f ca="1">IFERROR(__xludf.DUMMYFUNCTION("""COMPUTED_VALUE"""),"OFF-ST-10002370")</f>
        <v>OFF-ST-10002370</v>
      </c>
      <c r="R24" s="1" t="str">
        <f ca="1">IFERROR(__xludf.DUMMYFUNCTION("""COMPUTED_VALUE"""),"Office Supplies")</f>
        <v>Office Supplies</v>
      </c>
      <c r="S24" s="7">
        <f ca="1">IFERROR(__xludf.DUMMYFUNCTION("""COMPUTED_VALUE"""),21.39)</f>
        <v>21.39</v>
      </c>
      <c r="T24" s="1">
        <f ca="1">IFERROR(__xludf.DUMMYFUNCTION("""COMPUTED_VALUE"""),9)</f>
        <v>9</v>
      </c>
      <c r="U24" s="9">
        <f ca="1">IFERROR(__xludf.DUMMYFUNCTION("""COMPUTED_VALUE"""),192.51)</f>
        <v>192.51</v>
      </c>
      <c r="V24" s="9">
        <f ca="1">IFERROR(__xludf.DUMMYFUNCTION("""COMPUTED_VALUE"""),186.12)</f>
        <v>186.12</v>
      </c>
      <c r="W24" s="12">
        <f ca="1">IFERROR(__xludf.DUMMYFUNCTION("""COMPUTED_VALUE"""),6.38999999999998)</f>
        <v>6.3899999999999801</v>
      </c>
    </row>
    <row r="25" spans="1:23">
      <c r="A25" s="1" t="str">
        <f ca="1">IFERROR(__xludf.DUMMYFUNCTION("""COMPUTED_VALUE"""),"CA-2017-109806")</f>
        <v>CA-2017-109806</v>
      </c>
      <c r="B25" s="8">
        <f ca="1">IFERROR(__xludf.DUMMYFUNCTION("""COMPUTED_VALUE"""),42995)</f>
        <v>42995</v>
      </c>
      <c r="C25" s="1" t="str">
        <f ca="1">IFERROR(__xludf.DUMMYFUNCTION("""COMPUTED_VALUE"""),"Sep")</f>
        <v>Sep</v>
      </c>
      <c r="D25" s="1" t="str">
        <f ca="1">IFERROR(__xludf.DUMMYFUNCTION("""COMPUTED_VALUE"""),"Qtr 3")</f>
        <v>Qtr 3</v>
      </c>
      <c r="E25" s="1" t="str">
        <f ca="1">IFERROR(__xludf.DUMMYFUNCTION("""COMPUTED_VALUE"""),"22/09/2017")</f>
        <v>22/09/2017</v>
      </c>
      <c r="F25" s="1" t="str">
        <f ca="1">IFERROR(__xludf.DUMMYFUNCTION("""COMPUTED_VALUE"""),"Standard Class")</f>
        <v>Standard Class</v>
      </c>
      <c r="G25" s="1" t="str">
        <f ca="1">IFERROR(__xludf.DUMMYFUNCTION("""COMPUTED_VALUE"""),"JS-15685")</f>
        <v>JS-15685</v>
      </c>
      <c r="H25" s="1" t="str">
        <f ca="1">IFERROR(__xludf.DUMMYFUNCTION("""COMPUTED_VALUE"""),"Jim")</f>
        <v>Jim</v>
      </c>
      <c r="I25" s="1" t="str">
        <f ca="1">IFERROR(__xludf.DUMMYFUNCTION("""COMPUTED_VALUE"""),"Sink")</f>
        <v>Sink</v>
      </c>
      <c r="J25" s="1"/>
      <c r="K25" s="1" t="str">
        <f ca="1">IFERROR(__xludf.DUMMYFUNCTION("""COMPUTED_VALUE"""),"Corporate")</f>
        <v>Corporate</v>
      </c>
      <c r="L25" s="1" t="str">
        <f ca="1">IFERROR(__xludf.DUMMYFUNCTION("""COMPUTED_VALUE"""),"United States")</f>
        <v>United States</v>
      </c>
      <c r="M25" s="1" t="str">
        <f ca="1">IFERROR(__xludf.DUMMYFUNCTION("""COMPUTED_VALUE"""),"Los Angeles")</f>
        <v>Los Angeles</v>
      </c>
      <c r="N25" s="1" t="str">
        <f ca="1">IFERROR(__xludf.DUMMYFUNCTION("""COMPUTED_VALUE"""),"California")</f>
        <v>California</v>
      </c>
      <c r="O25" s="1">
        <f ca="1">IFERROR(__xludf.DUMMYFUNCTION("""COMPUTED_VALUE"""),90036)</f>
        <v>90036</v>
      </c>
      <c r="P25" s="1" t="str">
        <f ca="1">IFERROR(__xludf.DUMMYFUNCTION("""COMPUTED_VALUE"""),"West")</f>
        <v>West</v>
      </c>
      <c r="Q25" s="1" t="str">
        <f ca="1">IFERROR(__xludf.DUMMYFUNCTION("""COMPUTED_VALUE"""),"OFF-AR-10004930")</f>
        <v>OFF-AR-10004930</v>
      </c>
      <c r="R25" s="1" t="str">
        <f ca="1">IFERROR(__xludf.DUMMYFUNCTION("""COMPUTED_VALUE"""),"Office Supplies")</f>
        <v>Office Supplies</v>
      </c>
      <c r="S25" s="7">
        <f ca="1">IFERROR(__xludf.DUMMYFUNCTION("""COMPUTED_VALUE"""),20.1)</f>
        <v>20.100000000000001</v>
      </c>
      <c r="T25" s="1">
        <f ca="1">IFERROR(__xludf.DUMMYFUNCTION("""COMPUTED_VALUE"""),9)</f>
        <v>9</v>
      </c>
      <c r="U25" s="9">
        <f ca="1">IFERROR(__xludf.DUMMYFUNCTION("""COMPUTED_VALUE"""),180.9)</f>
        <v>180.9</v>
      </c>
      <c r="V25" s="9">
        <f ca="1">IFERROR(__xludf.DUMMYFUNCTION("""COMPUTED_VALUE"""),174.69)</f>
        <v>174.69</v>
      </c>
      <c r="W25" s="12">
        <f ca="1">IFERROR(__xludf.DUMMYFUNCTION("""COMPUTED_VALUE"""),6.21)</f>
        <v>6.21</v>
      </c>
    </row>
    <row r="26" spans="1:23">
      <c r="A26" s="1" t="str">
        <f ca="1">IFERROR(__xludf.DUMMYFUNCTION("""COMPUTED_VALUE"""),"CA-2017-109806")</f>
        <v>CA-2017-109806</v>
      </c>
      <c r="B26" s="8">
        <f ca="1">IFERROR(__xludf.DUMMYFUNCTION("""COMPUTED_VALUE"""),42995)</f>
        <v>42995</v>
      </c>
      <c r="C26" s="1" t="str">
        <f ca="1">IFERROR(__xludf.DUMMYFUNCTION("""COMPUTED_VALUE"""),"Sep")</f>
        <v>Sep</v>
      </c>
      <c r="D26" s="1" t="str">
        <f ca="1">IFERROR(__xludf.DUMMYFUNCTION("""COMPUTED_VALUE"""),"Qtr 3")</f>
        <v>Qtr 3</v>
      </c>
      <c r="E26" s="1" t="str">
        <f ca="1">IFERROR(__xludf.DUMMYFUNCTION("""COMPUTED_VALUE"""),"22/09/2017")</f>
        <v>22/09/2017</v>
      </c>
      <c r="F26" s="1" t="str">
        <f ca="1">IFERROR(__xludf.DUMMYFUNCTION("""COMPUTED_VALUE"""),"Standard Class")</f>
        <v>Standard Class</v>
      </c>
      <c r="G26" s="1" t="str">
        <f ca="1">IFERROR(__xludf.DUMMYFUNCTION("""COMPUTED_VALUE"""),"JS-15685")</f>
        <v>JS-15685</v>
      </c>
      <c r="H26" s="1" t="str">
        <f ca="1">IFERROR(__xludf.DUMMYFUNCTION("""COMPUTED_VALUE"""),"Jim")</f>
        <v>Jim</v>
      </c>
      <c r="I26" s="1" t="str">
        <f ca="1">IFERROR(__xludf.DUMMYFUNCTION("""COMPUTED_VALUE"""),"Sink")</f>
        <v>Sink</v>
      </c>
      <c r="J26" s="1"/>
      <c r="K26" s="1" t="str">
        <f ca="1">IFERROR(__xludf.DUMMYFUNCTION("""COMPUTED_VALUE"""),"Corporate")</f>
        <v>Corporate</v>
      </c>
      <c r="L26" s="1" t="str">
        <f ca="1">IFERROR(__xludf.DUMMYFUNCTION("""COMPUTED_VALUE"""),"United States")</f>
        <v>United States</v>
      </c>
      <c r="M26" s="1" t="str">
        <f ca="1">IFERROR(__xludf.DUMMYFUNCTION("""COMPUTED_VALUE"""),"Los Angeles")</f>
        <v>Los Angeles</v>
      </c>
      <c r="N26" s="1" t="str">
        <f ca="1">IFERROR(__xludf.DUMMYFUNCTION("""COMPUTED_VALUE"""),"California")</f>
        <v>California</v>
      </c>
      <c r="O26" s="1">
        <f ca="1">IFERROR(__xludf.DUMMYFUNCTION("""COMPUTED_VALUE"""),90036)</f>
        <v>90036</v>
      </c>
      <c r="P26" s="1" t="str">
        <f ca="1">IFERROR(__xludf.DUMMYFUNCTION("""COMPUTED_VALUE"""),"West")</f>
        <v>West</v>
      </c>
      <c r="Q26" s="1" t="str">
        <f ca="1">IFERROR(__xludf.DUMMYFUNCTION("""COMPUTED_VALUE"""),"TEC-PH-10004093")</f>
        <v>TEC-PH-10004093</v>
      </c>
      <c r="R26" s="1" t="str">
        <f ca="1">IFERROR(__xludf.DUMMYFUNCTION("""COMPUTED_VALUE"""),"Technology")</f>
        <v>Technology</v>
      </c>
      <c r="S26" s="7">
        <f ca="1">IFERROR(__xludf.DUMMYFUNCTION("""COMPUTED_VALUE"""),73.584)</f>
        <v>73.584000000000003</v>
      </c>
      <c r="T26" s="1">
        <f ca="1">IFERROR(__xludf.DUMMYFUNCTION("""COMPUTED_VALUE"""),9)</f>
        <v>9</v>
      </c>
      <c r="U26" s="9">
        <f ca="1">IFERROR(__xludf.DUMMYFUNCTION("""COMPUTED_VALUE"""),662.256)</f>
        <v>662.25599999999997</v>
      </c>
      <c r="V26" s="9">
        <f ca="1">IFERROR(__xludf.DUMMYFUNCTION("""COMPUTED_VALUE"""),661.77)</f>
        <v>661.77</v>
      </c>
      <c r="W26" s="12">
        <f ca="1">IFERROR(__xludf.DUMMYFUNCTION("""COMPUTED_VALUE"""),0.486000000000103)</f>
        <v>0.48600000000010302</v>
      </c>
    </row>
    <row r="27" spans="1:23" ht="13.2">
      <c r="A27" s="1" t="str">
        <f ca="1">IFERROR(__xludf.DUMMYFUNCTION("""COMPUTED_VALUE"""),"CA-2017-109806")</f>
        <v>CA-2017-109806</v>
      </c>
      <c r="B27" s="8">
        <f ca="1">IFERROR(__xludf.DUMMYFUNCTION("""COMPUTED_VALUE"""),42995)</f>
        <v>42995</v>
      </c>
      <c r="C27" s="1" t="str">
        <f ca="1">IFERROR(__xludf.DUMMYFUNCTION("""COMPUTED_VALUE"""),"Sep")</f>
        <v>Sep</v>
      </c>
      <c r="D27" s="1" t="str">
        <f ca="1">IFERROR(__xludf.DUMMYFUNCTION("""COMPUTED_VALUE"""),"Qtr 3")</f>
        <v>Qtr 3</v>
      </c>
      <c r="E27" s="1" t="str">
        <f ca="1">IFERROR(__xludf.DUMMYFUNCTION("""COMPUTED_VALUE"""),"22/09/2017")</f>
        <v>22/09/2017</v>
      </c>
      <c r="F27" s="1" t="str">
        <f ca="1">IFERROR(__xludf.DUMMYFUNCTION("""COMPUTED_VALUE"""),"Standard Class")</f>
        <v>Standard Class</v>
      </c>
      <c r="G27" s="1" t="str">
        <f ca="1">IFERROR(__xludf.DUMMYFUNCTION("""COMPUTED_VALUE"""),"JS-15685")</f>
        <v>JS-15685</v>
      </c>
      <c r="H27" s="1" t="str">
        <f ca="1">IFERROR(__xludf.DUMMYFUNCTION("""COMPUTED_VALUE"""),"Jim")</f>
        <v>Jim</v>
      </c>
      <c r="I27" s="1" t="str">
        <f ca="1">IFERROR(__xludf.DUMMYFUNCTION("""COMPUTED_VALUE"""),"Sink")</f>
        <v>Sink</v>
      </c>
      <c r="J27" s="1"/>
      <c r="K27" s="1" t="str">
        <f ca="1">IFERROR(__xludf.DUMMYFUNCTION("""COMPUTED_VALUE"""),"Corporate")</f>
        <v>Corporate</v>
      </c>
      <c r="L27" s="1" t="str">
        <f ca="1">IFERROR(__xludf.DUMMYFUNCTION("""COMPUTED_VALUE"""),"United States")</f>
        <v>United States</v>
      </c>
      <c r="M27" s="1" t="str">
        <f ca="1">IFERROR(__xludf.DUMMYFUNCTION("""COMPUTED_VALUE"""),"Los Angeles")</f>
        <v>Los Angeles</v>
      </c>
      <c r="N27" s="1" t="str">
        <f ca="1">IFERROR(__xludf.DUMMYFUNCTION("""COMPUTED_VALUE"""),"California")</f>
        <v>California</v>
      </c>
      <c r="O27" s="1">
        <f ca="1">IFERROR(__xludf.DUMMYFUNCTION("""COMPUTED_VALUE"""),90036)</f>
        <v>90036</v>
      </c>
      <c r="P27" s="1" t="str">
        <f ca="1">IFERROR(__xludf.DUMMYFUNCTION("""COMPUTED_VALUE"""),"West")</f>
        <v>West</v>
      </c>
      <c r="Q27" s="1" t="str">
        <f ca="1">IFERROR(__xludf.DUMMYFUNCTION("""COMPUTED_VALUE"""),"OFF-PA-10000304")</f>
        <v>OFF-PA-10000304</v>
      </c>
      <c r="R27" s="1" t="str">
        <f ca="1">IFERROR(__xludf.DUMMYFUNCTION("""COMPUTED_VALUE"""),"Office Supplies")</f>
        <v>Office Supplies</v>
      </c>
      <c r="S27" s="7">
        <f ca="1">IFERROR(__xludf.DUMMYFUNCTION("""COMPUTED_VALUE"""),6.48)</f>
        <v>6.48</v>
      </c>
      <c r="T27" s="1">
        <f ca="1">IFERROR(__xludf.DUMMYFUNCTION("""COMPUTED_VALUE"""),9)</f>
        <v>9</v>
      </c>
      <c r="U27" s="9">
        <f ca="1">IFERROR(__xludf.DUMMYFUNCTION("""COMPUTED_VALUE"""),58.32)</f>
        <v>58.32</v>
      </c>
      <c r="V27" s="9">
        <f ca="1">IFERROR(__xludf.DUMMYFUNCTION("""COMPUTED_VALUE"""),56.4299999999999)</f>
        <v>56.4299999999999</v>
      </c>
      <c r="W27" s="12">
        <f ca="1">IFERROR(__xludf.DUMMYFUNCTION("""COMPUTED_VALUE"""),1.89000000000001)</f>
        <v>1.8900000000000099</v>
      </c>
    </row>
    <row r="28" spans="1:23" ht="13.2">
      <c r="A28" s="1" t="str">
        <f ca="1">IFERROR(__xludf.DUMMYFUNCTION("""COMPUTED_VALUE"""),"CA-2018-157833")</f>
        <v>CA-2018-157833</v>
      </c>
      <c r="B28" s="8">
        <f ca="1">IFERROR(__xludf.DUMMYFUNCTION("""COMPUTED_VALUE"""),43268)</f>
        <v>43268</v>
      </c>
      <c r="C28" s="1" t="str">
        <f ca="1">IFERROR(__xludf.DUMMYFUNCTION("""COMPUTED_VALUE"""),"Jun")</f>
        <v>Jun</v>
      </c>
      <c r="D28" s="1" t="str">
        <f ca="1">IFERROR(__xludf.DUMMYFUNCTION("""COMPUTED_VALUE"""),"Qtr 2")</f>
        <v>Qtr 2</v>
      </c>
      <c r="E28" s="1" t="str">
        <f ca="1">IFERROR(__xludf.DUMMYFUNCTION("""COMPUTED_VALUE"""),"20/06/2018")</f>
        <v>20/06/2018</v>
      </c>
      <c r="F28" s="1" t="str">
        <f ca="1">IFERROR(__xludf.DUMMYFUNCTION("""COMPUTED_VALUE"""),"First Class")</f>
        <v>First Class</v>
      </c>
      <c r="G28" s="1" t="str">
        <f ca="1">IFERROR(__xludf.DUMMYFUNCTION("""COMPUTED_VALUE"""),"KD-16345")</f>
        <v>KD-16345</v>
      </c>
      <c r="H28" s="1" t="str">
        <f ca="1">IFERROR(__xludf.DUMMYFUNCTION("""COMPUTED_VALUE"""),"Katherine")</f>
        <v>Katherine</v>
      </c>
      <c r="I28" s="1" t="str">
        <f ca="1">IFERROR(__xludf.DUMMYFUNCTION("""COMPUTED_VALUE"""),"Ducich")</f>
        <v>Ducich</v>
      </c>
      <c r="J28" s="1"/>
      <c r="K28" s="1" t="str">
        <f ca="1">IFERROR(__xludf.DUMMYFUNCTION("""COMPUTED_VALUE"""),"Consumer")</f>
        <v>Consumer</v>
      </c>
      <c r="L28" s="1" t="str">
        <f ca="1">IFERROR(__xludf.DUMMYFUNCTION("""COMPUTED_VALUE"""),"United States")</f>
        <v>United States</v>
      </c>
      <c r="M28" s="1" t="str">
        <f ca="1">IFERROR(__xludf.DUMMYFUNCTION("""COMPUTED_VALUE"""),"San Francisco")</f>
        <v>San Francisco</v>
      </c>
      <c r="N28" s="1" t="str">
        <f ca="1">IFERROR(__xludf.DUMMYFUNCTION("""COMPUTED_VALUE"""),"California")</f>
        <v>California</v>
      </c>
      <c r="O28" s="1">
        <f ca="1">IFERROR(__xludf.DUMMYFUNCTION("""COMPUTED_VALUE"""),94122)</f>
        <v>94122</v>
      </c>
      <c r="P28" s="1" t="str">
        <f ca="1">IFERROR(__xludf.DUMMYFUNCTION("""COMPUTED_VALUE"""),"West")</f>
        <v>West</v>
      </c>
      <c r="Q28" s="1" t="str">
        <f ca="1">IFERROR(__xludf.DUMMYFUNCTION("""COMPUTED_VALUE"""),"OFF-BI-10001721")</f>
        <v>OFF-BI-10001721</v>
      </c>
      <c r="R28" s="1" t="str">
        <f ca="1">IFERROR(__xludf.DUMMYFUNCTION("""COMPUTED_VALUE"""),"Office Supplies")</f>
        <v>Office Supplies</v>
      </c>
      <c r="S28" s="7">
        <f ca="1">IFERROR(__xludf.DUMMYFUNCTION("""COMPUTED_VALUE"""),51.312)</f>
        <v>51.311999999999998</v>
      </c>
      <c r="T28" s="1">
        <f ca="1">IFERROR(__xludf.DUMMYFUNCTION("""COMPUTED_VALUE"""),9)</f>
        <v>9</v>
      </c>
      <c r="U28" s="9">
        <f ca="1">IFERROR(__xludf.DUMMYFUNCTION("""COMPUTED_VALUE"""),461.808)</f>
        <v>461.80799999999999</v>
      </c>
      <c r="V28" s="9">
        <f ca="1">IFERROR(__xludf.DUMMYFUNCTION("""COMPUTED_VALUE"""),455.31)</f>
        <v>455.31</v>
      </c>
      <c r="W28" s="12">
        <f ca="1">IFERROR(__xludf.DUMMYFUNCTION("""COMPUTED_VALUE"""),6.49799999999993)</f>
        <v>6.4979999999999301</v>
      </c>
    </row>
    <row r="29" spans="1:23" ht="13.2">
      <c r="A29" s="1" t="str">
        <f ca="1">IFERROR(__xludf.DUMMYFUNCTION("""COMPUTED_VALUE"""),"US-2017-125969")</f>
        <v>US-2017-125969</v>
      </c>
      <c r="B29" s="8">
        <f ca="1">IFERROR(__xludf.DUMMYFUNCTION("""COMPUTED_VALUE"""),42897)</f>
        <v>42897</v>
      </c>
      <c r="C29" s="1" t="str">
        <f ca="1">IFERROR(__xludf.DUMMYFUNCTION("""COMPUTED_VALUE"""),"Jun")</f>
        <v>Jun</v>
      </c>
      <c r="D29" s="1" t="str">
        <f ca="1">IFERROR(__xludf.DUMMYFUNCTION("""COMPUTED_VALUE"""),"Qtr 2")</f>
        <v>Qtr 2</v>
      </c>
      <c r="E29" s="1" t="str">
        <f ca="1">IFERROR(__xludf.DUMMYFUNCTION("""COMPUTED_VALUE"""),"10/11/2017")</f>
        <v>10/11/2017</v>
      </c>
      <c r="F29" s="1" t="str">
        <f ca="1">IFERROR(__xludf.DUMMYFUNCTION("""COMPUTED_VALUE"""),"Second Class")</f>
        <v>Second Class</v>
      </c>
      <c r="G29" s="1" t="str">
        <f ca="1">IFERROR(__xludf.DUMMYFUNCTION("""COMPUTED_VALUE"""),"LS-16975")</f>
        <v>LS-16975</v>
      </c>
      <c r="H29" s="1" t="str">
        <f ca="1">IFERROR(__xludf.DUMMYFUNCTION("""COMPUTED_VALUE"""),"Lindsay")</f>
        <v>Lindsay</v>
      </c>
      <c r="I29" s="1" t="str">
        <f ca="1">IFERROR(__xludf.DUMMYFUNCTION("""COMPUTED_VALUE"""),"Shagiari")</f>
        <v>Shagiari</v>
      </c>
      <c r="J29" s="1"/>
      <c r="K29" s="1" t="str">
        <f ca="1">IFERROR(__xludf.DUMMYFUNCTION("""COMPUTED_VALUE"""),"Home Office")</f>
        <v>Home Office</v>
      </c>
      <c r="L29" s="1" t="str">
        <f ca="1">IFERROR(__xludf.DUMMYFUNCTION("""COMPUTED_VALUE"""),"United States")</f>
        <v>United States</v>
      </c>
      <c r="M29" s="1" t="str">
        <f ca="1">IFERROR(__xludf.DUMMYFUNCTION("""COMPUTED_VALUE"""),"Los Angeles")</f>
        <v>Los Angeles</v>
      </c>
      <c r="N29" s="1" t="str">
        <f ca="1">IFERROR(__xludf.DUMMYFUNCTION("""COMPUTED_VALUE"""),"California")</f>
        <v>California</v>
      </c>
      <c r="O29" s="1">
        <f ca="1">IFERROR(__xludf.DUMMYFUNCTION("""COMPUTED_VALUE"""),90004)</f>
        <v>90004</v>
      </c>
      <c r="P29" s="1" t="str">
        <f ca="1">IFERROR(__xludf.DUMMYFUNCTION("""COMPUTED_VALUE"""),"West")</f>
        <v>West</v>
      </c>
      <c r="Q29" s="1" t="str">
        <f ca="1">IFERROR(__xludf.DUMMYFUNCTION("""COMPUTED_VALUE"""),"FUR-CH-10001146")</f>
        <v>FUR-CH-10001146</v>
      </c>
      <c r="R29" s="1" t="str">
        <f ca="1">IFERROR(__xludf.DUMMYFUNCTION("""COMPUTED_VALUE"""),"Furniture")</f>
        <v>Furniture</v>
      </c>
      <c r="S29" s="7">
        <f ca="1">IFERROR(__xludf.DUMMYFUNCTION("""COMPUTED_VALUE"""),81.424)</f>
        <v>81.424000000000007</v>
      </c>
      <c r="T29" s="1">
        <f ca="1">IFERROR(__xludf.DUMMYFUNCTION("""COMPUTED_VALUE"""),9)</f>
        <v>9</v>
      </c>
      <c r="U29" s="9">
        <f ca="1">IFERROR(__xludf.DUMMYFUNCTION("""COMPUTED_VALUE"""),732.816)</f>
        <v>732.81600000000003</v>
      </c>
      <c r="V29" s="9">
        <f ca="1">IFERROR(__xludf.DUMMYFUNCTION("""COMPUTED_VALUE"""),725.49)</f>
        <v>725.49</v>
      </c>
      <c r="W29" s="12">
        <f ca="1">IFERROR(__xludf.DUMMYFUNCTION("""COMPUTED_VALUE"""),7.32600000000002)</f>
        <v>7.3260000000000201</v>
      </c>
    </row>
    <row r="30" spans="1:23" ht="13.2">
      <c r="A30" s="1" t="str">
        <f ca="1">IFERROR(__xludf.DUMMYFUNCTION("""COMPUTED_VALUE"""),"US-2017-125969")</f>
        <v>US-2017-125969</v>
      </c>
      <c r="B30" s="8">
        <f ca="1">IFERROR(__xludf.DUMMYFUNCTION("""COMPUTED_VALUE"""),42897)</f>
        <v>42897</v>
      </c>
      <c r="C30" s="1" t="str">
        <f ca="1">IFERROR(__xludf.DUMMYFUNCTION("""COMPUTED_VALUE"""),"Jun")</f>
        <v>Jun</v>
      </c>
      <c r="D30" s="1" t="str">
        <f ca="1">IFERROR(__xludf.DUMMYFUNCTION("""COMPUTED_VALUE"""),"Qtr 2")</f>
        <v>Qtr 2</v>
      </c>
      <c r="E30" s="1" t="str">
        <f ca="1">IFERROR(__xludf.DUMMYFUNCTION("""COMPUTED_VALUE"""),"10/11/2017")</f>
        <v>10/11/2017</v>
      </c>
      <c r="F30" s="1" t="str">
        <f ca="1">IFERROR(__xludf.DUMMYFUNCTION("""COMPUTED_VALUE"""),"Second Class")</f>
        <v>Second Class</v>
      </c>
      <c r="G30" s="1" t="str">
        <f ca="1">IFERROR(__xludf.DUMMYFUNCTION("""COMPUTED_VALUE"""),"LS-16975")</f>
        <v>LS-16975</v>
      </c>
      <c r="H30" s="1" t="str">
        <f ca="1">IFERROR(__xludf.DUMMYFUNCTION("""COMPUTED_VALUE"""),"Lindsay")</f>
        <v>Lindsay</v>
      </c>
      <c r="I30" s="1" t="str">
        <f ca="1">IFERROR(__xludf.DUMMYFUNCTION("""COMPUTED_VALUE"""),"Shagiari")</f>
        <v>Shagiari</v>
      </c>
      <c r="J30" s="1"/>
      <c r="K30" s="1" t="str">
        <f ca="1">IFERROR(__xludf.DUMMYFUNCTION("""COMPUTED_VALUE"""),"Home Office")</f>
        <v>Home Office</v>
      </c>
      <c r="L30" s="1" t="str">
        <f ca="1">IFERROR(__xludf.DUMMYFUNCTION("""COMPUTED_VALUE"""),"United States")</f>
        <v>United States</v>
      </c>
      <c r="M30" s="1" t="str">
        <f ca="1">IFERROR(__xludf.DUMMYFUNCTION("""COMPUTED_VALUE"""),"Los Angeles")</f>
        <v>Los Angeles</v>
      </c>
      <c r="N30" s="1" t="str">
        <f ca="1">IFERROR(__xludf.DUMMYFUNCTION("""COMPUTED_VALUE"""),"California")</f>
        <v>California</v>
      </c>
      <c r="O30" s="1">
        <f ca="1">IFERROR(__xludf.DUMMYFUNCTION("""COMPUTED_VALUE"""),90004)</f>
        <v>90004</v>
      </c>
      <c r="P30" s="1" t="str">
        <f ca="1">IFERROR(__xludf.DUMMYFUNCTION("""COMPUTED_VALUE"""),"West")</f>
        <v>West</v>
      </c>
      <c r="Q30" s="1" t="str">
        <f ca="1">IFERROR(__xludf.DUMMYFUNCTION("""COMPUTED_VALUE"""),"FUR-FU-10003773")</f>
        <v>FUR-FU-10003773</v>
      </c>
      <c r="R30" s="1" t="str">
        <f ca="1">IFERROR(__xludf.DUMMYFUNCTION("""COMPUTED_VALUE"""),"Furniture")</f>
        <v>Furniture</v>
      </c>
      <c r="S30" s="7">
        <f ca="1">IFERROR(__xludf.DUMMYFUNCTION("""COMPUTED_VALUE"""),238.56)</f>
        <v>238.56</v>
      </c>
      <c r="T30" s="1">
        <f ca="1">IFERROR(__xludf.DUMMYFUNCTION("""COMPUTED_VALUE"""),9)</f>
        <v>9</v>
      </c>
      <c r="U30" s="9">
        <f ca="1">IFERROR(__xludf.DUMMYFUNCTION("""COMPUTED_VALUE"""),2147.04)</f>
        <v>2147.04</v>
      </c>
      <c r="V30" s="9">
        <f ca="1">IFERROR(__xludf.DUMMYFUNCTION("""COMPUTED_VALUE"""),2142.99)</f>
        <v>2142.9899999999998</v>
      </c>
      <c r="W30" s="12">
        <f ca="1">IFERROR(__xludf.DUMMYFUNCTION("""COMPUTED_VALUE"""),4.04999999999972)</f>
        <v>4.04999999999972</v>
      </c>
    </row>
    <row r="31" spans="1:23" ht="13.2">
      <c r="A31" s="1" t="str">
        <f ca="1">IFERROR(__xludf.DUMMYFUNCTION("""COMPUTED_VALUE"""),"CA-2017-145583")</f>
        <v>CA-2017-145583</v>
      </c>
      <c r="B31" s="8">
        <f ca="1">IFERROR(__xludf.DUMMYFUNCTION("""COMPUTED_VALUE"""),43021)</f>
        <v>43021</v>
      </c>
      <c r="C31" s="1" t="str">
        <f ca="1">IFERROR(__xludf.DUMMYFUNCTION("""COMPUTED_VALUE"""),"Oct")</f>
        <v>Oct</v>
      </c>
      <c r="D31" s="1" t="str">
        <f ca="1">IFERROR(__xludf.DUMMYFUNCTION("""COMPUTED_VALUE"""),"Qtr 4")</f>
        <v>Qtr 4</v>
      </c>
      <c r="E31" s="1" t="str">
        <f ca="1">IFERROR(__xludf.DUMMYFUNCTION("""COMPUTED_VALUE"""),"19/10/2017")</f>
        <v>19/10/2017</v>
      </c>
      <c r="F31" s="1" t="str">
        <f ca="1">IFERROR(__xludf.DUMMYFUNCTION("""COMPUTED_VALUE"""),"Standard Class")</f>
        <v>Standard Class</v>
      </c>
      <c r="G31" s="1" t="str">
        <f ca="1">IFERROR(__xludf.DUMMYFUNCTION("""COMPUTED_VALUE"""),"LC-16885")</f>
        <v>LC-16885</v>
      </c>
      <c r="H31" s="1" t="str">
        <f ca="1">IFERROR(__xludf.DUMMYFUNCTION("""COMPUTED_VALUE"""),"Lena")</f>
        <v>Lena</v>
      </c>
      <c r="I31" s="1" t="str">
        <f ca="1">IFERROR(__xludf.DUMMYFUNCTION("""COMPUTED_VALUE"""),"Creighton")</f>
        <v>Creighton</v>
      </c>
      <c r="J31" s="1"/>
      <c r="K31" s="1" t="str">
        <f ca="1">IFERROR(__xludf.DUMMYFUNCTION("""COMPUTED_VALUE"""),"Consumer")</f>
        <v>Consumer</v>
      </c>
      <c r="L31" s="1" t="str">
        <f ca="1">IFERROR(__xludf.DUMMYFUNCTION("""COMPUTED_VALUE"""),"United States")</f>
        <v>United States</v>
      </c>
      <c r="M31" s="1" t="str">
        <f ca="1">IFERROR(__xludf.DUMMYFUNCTION("""COMPUTED_VALUE"""),"Roseville")</f>
        <v>Roseville</v>
      </c>
      <c r="N31" s="1" t="str">
        <f ca="1">IFERROR(__xludf.DUMMYFUNCTION("""COMPUTED_VALUE"""),"California")</f>
        <v>California</v>
      </c>
      <c r="O31" s="1">
        <f ca="1">IFERROR(__xludf.DUMMYFUNCTION("""COMPUTED_VALUE"""),95661)</f>
        <v>95661</v>
      </c>
      <c r="P31" s="1" t="str">
        <f ca="1">IFERROR(__xludf.DUMMYFUNCTION("""COMPUTED_VALUE"""),"West")</f>
        <v>West</v>
      </c>
      <c r="Q31" s="1" t="str">
        <f ca="1">IFERROR(__xludf.DUMMYFUNCTION("""COMPUTED_VALUE"""),"OFF-PA-10001804")</f>
        <v>OFF-PA-10001804</v>
      </c>
      <c r="R31" s="1" t="str">
        <f ca="1">IFERROR(__xludf.DUMMYFUNCTION("""COMPUTED_VALUE"""),"Office Supplies")</f>
        <v>Office Supplies</v>
      </c>
      <c r="S31" s="7">
        <f ca="1">IFERROR(__xludf.DUMMYFUNCTION("""COMPUTED_VALUE"""),20.04)</f>
        <v>20.04</v>
      </c>
      <c r="T31" s="1">
        <f ca="1">IFERROR(__xludf.DUMMYFUNCTION("""COMPUTED_VALUE"""),9)</f>
        <v>9</v>
      </c>
      <c r="U31" s="9">
        <f ca="1">IFERROR(__xludf.DUMMYFUNCTION("""COMPUTED_VALUE"""),180.359999999999)</f>
        <v>180.35999999999899</v>
      </c>
      <c r="V31" s="9">
        <f ca="1">IFERROR(__xludf.DUMMYFUNCTION("""COMPUTED_VALUE"""),180)</f>
        <v>180</v>
      </c>
      <c r="W31" s="12">
        <f ca="1">IFERROR(__xludf.DUMMYFUNCTION("""COMPUTED_VALUE"""),0.359999999999985)</f>
        <v>0.359999999999985</v>
      </c>
    </row>
    <row r="32" spans="1:23" ht="13.2">
      <c r="A32" s="1" t="str">
        <f ca="1">IFERROR(__xludf.DUMMYFUNCTION("""COMPUTED_VALUE"""),"CA-2017-145583")</f>
        <v>CA-2017-145583</v>
      </c>
      <c r="B32" s="8">
        <f ca="1">IFERROR(__xludf.DUMMYFUNCTION("""COMPUTED_VALUE"""),43021)</f>
        <v>43021</v>
      </c>
      <c r="C32" s="1" t="str">
        <f ca="1">IFERROR(__xludf.DUMMYFUNCTION("""COMPUTED_VALUE"""),"Oct")</f>
        <v>Oct</v>
      </c>
      <c r="D32" s="1" t="str">
        <f ca="1">IFERROR(__xludf.DUMMYFUNCTION("""COMPUTED_VALUE"""),"Qtr 4")</f>
        <v>Qtr 4</v>
      </c>
      <c r="E32" s="1" t="str">
        <f ca="1">IFERROR(__xludf.DUMMYFUNCTION("""COMPUTED_VALUE"""),"19/10/2017")</f>
        <v>19/10/2017</v>
      </c>
      <c r="F32" s="1" t="str">
        <f ca="1">IFERROR(__xludf.DUMMYFUNCTION("""COMPUTED_VALUE"""),"Standard Class")</f>
        <v>Standard Class</v>
      </c>
      <c r="G32" s="1" t="str">
        <f ca="1">IFERROR(__xludf.DUMMYFUNCTION("""COMPUTED_VALUE"""),"LC-16885")</f>
        <v>LC-16885</v>
      </c>
      <c r="H32" s="1" t="str">
        <f ca="1">IFERROR(__xludf.DUMMYFUNCTION("""COMPUTED_VALUE"""),"Lena")</f>
        <v>Lena</v>
      </c>
      <c r="I32" s="1" t="str">
        <f ca="1">IFERROR(__xludf.DUMMYFUNCTION("""COMPUTED_VALUE"""),"Creighton")</f>
        <v>Creighton</v>
      </c>
      <c r="J32" s="1"/>
      <c r="K32" s="1" t="str">
        <f ca="1">IFERROR(__xludf.DUMMYFUNCTION("""COMPUTED_VALUE"""),"Consumer")</f>
        <v>Consumer</v>
      </c>
      <c r="L32" s="1" t="str">
        <f ca="1">IFERROR(__xludf.DUMMYFUNCTION("""COMPUTED_VALUE"""),"United States")</f>
        <v>United States</v>
      </c>
      <c r="M32" s="1" t="str">
        <f ca="1">IFERROR(__xludf.DUMMYFUNCTION("""COMPUTED_VALUE"""),"Roseville")</f>
        <v>Roseville</v>
      </c>
      <c r="N32" s="1" t="str">
        <f ca="1">IFERROR(__xludf.DUMMYFUNCTION("""COMPUTED_VALUE"""),"California")</f>
        <v>California</v>
      </c>
      <c r="O32" s="1">
        <f ca="1">IFERROR(__xludf.DUMMYFUNCTION("""COMPUTED_VALUE"""),95661)</f>
        <v>95661</v>
      </c>
      <c r="P32" s="1" t="str">
        <f ca="1">IFERROR(__xludf.DUMMYFUNCTION("""COMPUTED_VALUE"""),"West")</f>
        <v>West</v>
      </c>
      <c r="Q32" s="1" t="str">
        <f ca="1">IFERROR(__xludf.DUMMYFUNCTION("""COMPUTED_VALUE"""),"OFF-PA-10001736")</f>
        <v>OFF-PA-10001736</v>
      </c>
      <c r="R32" s="1" t="str">
        <f ca="1">IFERROR(__xludf.DUMMYFUNCTION("""COMPUTED_VALUE"""),"Office Supplies")</f>
        <v>Office Supplies</v>
      </c>
      <c r="S32" s="7">
        <f ca="1">IFERROR(__xludf.DUMMYFUNCTION("""COMPUTED_VALUE"""),35.44)</f>
        <v>35.44</v>
      </c>
      <c r="T32" s="1">
        <f ca="1">IFERROR(__xludf.DUMMYFUNCTION("""COMPUTED_VALUE"""),9)</f>
        <v>9</v>
      </c>
      <c r="U32" s="9">
        <f ca="1">IFERROR(__xludf.DUMMYFUNCTION("""COMPUTED_VALUE"""),318.96)</f>
        <v>318.95999999999998</v>
      </c>
      <c r="V32" s="9">
        <f ca="1">IFERROR(__xludf.DUMMYFUNCTION("""COMPUTED_VALUE"""),317.34)</f>
        <v>317.33999999999997</v>
      </c>
      <c r="W32" s="12">
        <f ca="1">IFERROR(__xludf.DUMMYFUNCTION("""COMPUTED_VALUE"""),1.62)</f>
        <v>1.62</v>
      </c>
    </row>
    <row r="33" spans="1:23" ht="13.2">
      <c r="A33" s="1" t="str">
        <f ca="1">IFERROR(__xludf.DUMMYFUNCTION("""COMPUTED_VALUE"""),"CA-2017-145583")</f>
        <v>CA-2017-145583</v>
      </c>
      <c r="B33" s="8">
        <f ca="1">IFERROR(__xludf.DUMMYFUNCTION("""COMPUTED_VALUE"""),43021)</f>
        <v>43021</v>
      </c>
      <c r="C33" s="1" t="str">
        <f ca="1">IFERROR(__xludf.DUMMYFUNCTION("""COMPUTED_VALUE"""),"Oct")</f>
        <v>Oct</v>
      </c>
      <c r="D33" s="1" t="str">
        <f ca="1">IFERROR(__xludf.DUMMYFUNCTION("""COMPUTED_VALUE"""),"Qtr 4")</f>
        <v>Qtr 4</v>
      </c>
      <c r="E33" s="1" t="str">
        <f ca="1">IFERROR(__xludf.DUMMYFUNCTION("""COMPUTED_VALUE"""),"19/10/2017")</f>
        <v>19/10/2017</v>
      </c>
      <c r="F33" s="1" t="str">
        <f ca="1">IFERROR(__xludf.DUMMYFUNCTION("""COMPUTED_VALUE"""),"Standard Class")</f>
        <v>Standard Class</v>
      </c>
      <c r="G33" s="1" t="str">
        <f ca="1">IFERROR(__xludf.DUMMYFUNCTION("""COMPUTED_VALUE"""),"LC-16885")</f>
        <v>LC-16885</v>
      </c>
      <c r="H33" s="1" t="str">
        <f ca="1">IFERROR(__xludf.DUMMYFUNCTION("""COMPUTED_VALUE"""),"Lena")</f>
        <v>Lena</v>
      </c>
      <c r="I33" s="1" t="str">
        <f ca="1">IFERROR(__xludf.DUMMYFUNCTION("""COMPUTED_VALUE"""),"Creighton")</f>
        <v>Creighton</v>
      </c>
      <c r="J33" s="1"/>
      <c r="K33" s="1" t="str">
        <f ca="1">IFERROR(__xludf.DUMMYFUNCTION("""COMPUTED_VALUE"""),"Consumer")</f>
        <v>Consumer</v>
      </c>
      <c r="L33" s="1" t="str">
        <f ca="1">IFERROR(__xludf.DUMMYFUNCTION("""COMPUTED_VALUE"""),"United States")</f>
        <v>United States</v>
      </c>
      <c r="M33" s="1" t="str">
        <f ca="1">IFERROR(__xludf.DUMMYFUNCTION("""COMPUTED_VALUE"""),"Roseville")</f>
        <v>Roseville</v>
      </c>
      <c r="N33" s="1" t="str">
        <f ca="1">IFERROR(__xludf.DUMMYFUNCTION("""COMPUTED_VALUE"""),"California")</f>
        <v>California</v>
      </c>
      <c r="O33" s="1">
        <f ca="1">IFERROR(__xludf.DUMMYFUNCTION("""COMPUTED_VALUE"""),95661)</f>
        <v>95661</v>
      </c>
      <c r="P33" s="1" t="str">
        <f ca="1">IFERROR(__xludf.DUMMYFUNCTION("""COMPUTED_VALUE"""),"West")</f>
        <v>West</v>
      </c>
      <c r="Q33" s="1" t="str">
        <f ca="1">IFERROR(__xludf.DUMMYFUNCTION("""COMPUTED_VALUE"""),"OFF-AR-10001149")</f>
        <v>OFF-AR-10001149</v>
      </c>
      <c r="R33" s="1" t="str">
        <f ca="1">IFERROR(__xludf.DUMMYFUNCTION("""COMPUTED_VALUE"""),"Office Supplies")</f>
        <v>Office Supplies</v>
      </c>
      <c r="S33" s="7">
        <f ca="1">IFERROR(__xludf.DUMMYFUNCTION("""COMPUTED_VALUE"""),11.52)</f>
        <v>11.52</v>
      </c>
      <c r="T33" s="1">
        <f ca="1">IFERROR(__xludf.DUMMYFUNCTION("""COMPUTED_VALUE"""),9)</f>
        <v>9</v>
      </c>
      <c r="U33" s="9">
        <f ca="1">IFERROR(__xludf.DUMMYFUNCTION("""COMPUTED_VALUE"""),103.679999999999)</f>
        <v>103.679999999999</v>
      </c>
      <c r="V33" s="9">
        <f ca="1">IFERROR(__xludf.DUMMYFUNCTION("""COMPUTED_VALUE"""),97.92)</f>
        <v>97.92</v>
      </c>
      <c r="W33" s="12">
        <f ca="1">IFERROR(__xludf.DUMMYFUNCTION("""COMPUTED_VALUE"""),5.75999999999999)</f>
        <v>5.75999999999999</v>
      </c>
    </row>
    <row r="34" spans="1:23" ht="13.2">
      <c r="A34" s="1" t="str">
        <f ca="1">IFERROR(__xludf.DUMMYFUNCTION("""COMPUTED_VALUE"""),"CA-2017-145583")</f>
        <v>CA-2017-145583</v>
      </c>
      <c r="B34" s="8">
        <f ca="1">IFERROR(__xludf.DUMMYFUNCTION("""COMPUTED_VALUE"""),43021)</f>
        <v>43021</v>
      </c>
      <c r="C34" s="1" t="str">
        <f ca="1">IFERROR(__xludf.DUMMYFUNCTION("""COMPUTED_VALUE"""),"Oct")</f>
        <v>Oct</v>
      </c>
      <c r="D34" s="1" t="str">
        <f ca="1">IFERROR(__xludf.DUMMYFUNCTION("""COMPUTED_VALUE"""),"Qtr 4")</f>
        <v>Qtr 4</v>
      </c>
      <c r="E34" s="1" t="str">
        <f ca="1">IFERROR(__xludf.DUMMYFUNCTION("""COMPUTED_VALUE"""),"19/10/2017")</f>
        <v>19/10/2017</v>
      </c>
      <c r="F34" s="1" t="str">
        <f ca="1">IFERROR(__xludf.DUMMYFUNCTION("""COMPUTED_VALUE"""),"Standard Class")</f>
        <v>Standard Class</v>
      </c>
      <c r="G34" s="1" t="str">
        <f ca="1">IFERROR(__xludf.DUMMYFUNCTION("""COMPUTED_VALUE"""),"LC-16885")</f>
        <v>LC-16885</v>
      </c>
      <c r="H34" s="1" t="str">
        <f ca="1">IFERROR(__xludf.DUMMYFUNCTION("""COMPUTED_VALUE"""),"Lena")</f>
        <v>Lena</v>
      </c>
      <c r="I34" s="1" t="str">
        <f ca="1">IFERROR(__xludf.DUMMYFUNCTION("""COMPUTED_VALUE"""),"Creighton")</f>
        <v>Creighton</v>
      </c>
      <c r="J34" s="1"/>
      <c r="K34" s="1" t="str">
        <f ca="1">IFERROR(__xludf.DUMMYFUNCTION("""COMPUTED_VALUE"""),"Consumer")</f>
        <v>Consumer</v>
      </c>
      <c r="L34" s="1" t="str">
        <f ca="1">IFERROR(__xludf.DUMMYFUNCTION("""COMPUTED_VALUE"""),"United States")</f>
        <v>United States</v>
      </c>
      <c r="M34" s="1" t="str">
        <f ca="1">IFERROR(__xludf.DUMMYFUNCTION("""COMPUTED_VALUE"""),"Roseville")</f>
        <v>Roseville</v>
      </c>
      <c r="N34" s="1" t="str">
        <f ca="1">IFERROR(__xludf.DUMMYFUNCTION("""COMPUTED_VALUE"""),"California")</f>
        <v>California</v>
      </c>
      <c r="O34" s="1">
        <f ca="1">IFERROR(__xludf.DUMMYFUNCTION("""COMPUTED_VALUE"""),95661)</f>
        <v>95661</v>
      </c>
      <c r="P34" s="1" t="str">
        <f ca="1">IFERROR(__xludf.DUMMYFUNCTION("""COMPUTED_VALUE"""),"West")</f>
        <v>West</v>
      </c>
      <c r="Q34" s="1" t="str">
        <f ca="1">IFERROR(__xludf.DUMMYFUNCTION("""COMPUTED_VALUE"""),"OFF-FA-10002988")</f>
        <v>OFF-FA-10002988</v>
      </c>
      <c r="R34" s="1" t="str">
        <f ca="1">IFERROR(__xludf.DUMMYFUNCTION("""COMPUTED_VALUE"""),"Office Supplies")</f>
        <v>Office Supplies</v>
      </c>
      <c r="S34" s="7">
        <f ca="1">IFERROR(__xludf.DUMMYFUNCTION("""COMPUTED_VALUE"""),4.02)</f>
        <v>4.0199999999999996</v>
      </c>
      <c r="T34" s="1">
        <f ca="1">IFERROR(__xludf.DUMMYFUNCTION("""COMPUTED_VALUE"""),9)</f>
        <v>9</v>
      </c>
      <c r="U34" s="9">
        <f ca="1">IFERROR(__xludf.DUMMYFUNCTION("""COMPUTED_VALUE"""),36.1799999999999)</f>
        <v>36.1799999999999</v>
      </c>
      <c r="V34" s="9">
        <f ca="1">IFERROR(__xludf.DUMMYFUNCTION("""COMPUTED_VALUE"""),33.93)</f>
        <v>33.93</v>
      </c>
      <c r="W34" s="12">
        <f ca="1">IFERROR(__xludf.DUMMYFUNCTION("""COMPUTED_VALUE"""),2.24999999999999)</f>
        <v>2.2499999999999898</v>
      </c>
    </row>
    <row r="35" spans="1:23" ht="13.2">
      <c r="A35" s="1" t="str">
        <f ca="1">IFERROR(__xludf.DUMMYFUNCTION("""COMPUTED_VALUE"""),"CA-2017-145583")</f>
        <v>CA-2017-145583</v>
      </c>
      <c r="B35" s="8">
        <f ca="1">IFERROR(__xludf.DUMMYFUNCTION("""COMPUTED_VALUE"""),43021)</f>
        <v>43021</v>
      </c>
      <c r="C35" s="1" t="str">
        <f ca="1">IFERROR(__xludf.DUMMYFUNCTION("""COMPUTED_VALUE"""),"Oct")</f>
        <v>Oct</v>
      </c>
      <c r="D35" s="1" t="str">
        <f ca="1">IFERROR(__xludf.DUMMYFUNCTION("""COMPUTED_VALUE"""),"Qtr 4")</f>
        <v>Qtr 4</v>
      </c>
      <c r="E35" s="1" t="str">
        <f ca="1">IFERROR(__xludf.DUMMYFUNCTION("""COMPUTED_VALUE"""),"19/10/2017")</f>
        <v>19/10/2017</v>
      </c>
      <c r="F35" s="1" t="str">
        <f ca="1">IFERROR(__xludf.DUMMYFUNCTION("""COMPUTED_VALUE"""),"Standard Class")</f>
        <v>Standard Class</v>
      </c>
      <c r="G35" s="1" t="str">
        <f ca="1">IFERROR(__xludf.DUMMYFUNCTION("""COMPUTED_VALUE"""),"LC-16885")</f>
        <v>LC-16885</v>
      </c>
      <c r="H35" s="1" t="str">
        <f ca="1">IFERROR(__xludf.DUMMYFUNCTION("""COMPUTED_VALUE"""),"Lena")</f>
        <v>Lena</v>
      </c>
      <c r="I35" s="1" t="str">
        <f ca="1">IFERROR(__xludf.DUMMYFUNCTION("""COMPUTED_VALUE"""),"Creighton")</f>
        <v>Creighton</v>
      </c>
      <c r="J35" s="1"/>
      <c r="K35" s="1" t="str">
        <f ca="1">IFERROR(__xludf.DUMMYFUNCTION("""COMPUTED_VALUE"""),"Consumer")</f>
        <v>Consumer</v>
      </c>
      <c r="L35" s="1" t="str">
        <f ca="1">IFERROR(__xludf.DUMMYFUNCTION("""COMPUTED_VALUE"""),"United States")</f>
        <v>United States</v>
      </c>
      <c r="M35" s="1" t="str">
        <f ca="1">IFERROR(__xludf.DUMMYFUNCTION("""COMPUTED_VALUE"""),"Roseville")</f>
        <v>Roseville</v>
      </c>
      <c r="N35" s="1" t="str">
        <f ca="1">IFERROR(__xludf.DUMMYFUNCTION("""COMPUTED_VALUE"""),"California")</f>
        <v>California</v>
      </c>
      <c r="O35" s="1">
        <f ca="1">IFERROR(__xludf.DUMMYFUNCTION("""COMPUTED_VALUE"""),95661)</f>
        <v>95661</v>
      </c>
      <c r="P35" s="1" t="str">
        <f ca="1">IFERROR(__xludf.DUMMYFUNCTION("""COMPUTED_VALUE"""),"West")</f>
        <v>West</v>
      </c>
      <c r="Q35" s="1" t="str">
        <f ca="1">IFERROR(__xludf.DUMMYFUNCTION("""COMPUTED_VALUE"""),"OFF-BI-10004781")</f>
        <v>OFF-BI-10004781</v>
      </c>
      <c r="R35" s="1" t="str">
        <f ca="1">IFERROR(__xludf.DUMMYFUNCTION("""COMPUTED_VALUE"""),"Office Supplies")</f>
        <v>Office Supplies</v>
      </c>
      <c r="S35" s="7">
        <f ca="1">IFERROR(__xludf.DUMMYFUNCTION("""COMPUTED_VALUE"""),76.176)</f>
        <v>76.176000000000002</v>
      </c>
      <c r="T35" s="1">
        <f ca="1">IFERROR(__xludf.DUMMYFUNCTION("""COMPUTED_VALUE"""),9)</f>
        <v>9</v>
      </c>
      <c r="U35" s="9">
        <f ca="1">IFERROR(__xludf.DUMMYFUNCTION("""COMPUTED_VALUE"""),685.584)</f>
        <v>685.58399999999995</v>
      </c>
      <c r="V35" s="9">
        <f ca="1">IFERROR(__xludf.DUMMYFUNCTION("""COMPUTED_VALUE"""),684.18)</f>
        <v>684.18</v>
      </c>
      <c r="W35" s="12">
        <f ca="1">IFERROR(__xludf.DUMMYFUNCTION("""COMPUTED_VALUE"""),1.40400000000011)</f>
        <v>1.40400000000011</v>
      </c>
    </row>
    <row r="36" spans="1:23" ht="13.2">
      <c r="A36" s="1" t="str">
        <f ca="1">IFERROR(__xludf.DUMMYFUNCTION("""COMPUTED_VALUE"""),"CA-2017-145583")</f>
        <v>CA-2017-145583</v>
      </c>
      <c r="B36" s="8">
        <f ca="1">IFERROR(__xludf.DUMMYFUNCTION("""COMPUTED_VALUE"""),43021)</f>
        <v>43021</v>
      </c>
      <c r="C36" s="1" t="str">
        <f ca="1">IFERROR(__xludf.DUMMYFUNCTION("""COMPUTED_VALUE"""),"Oct")</f>
        <v>Oct</v>
      </c>
      <c r="D36" s="1" t="str">
        <f ca="1">IFERROR(__xludf.DUMMYFUNCTION("""COMPUTED_VALUE"""),"Qtr 4")</f>
        <v>Qtr 4</v>
      </c>
      <c r="E36" s="1" t="str">
        <f ca="1">IFERROR(__xludf.DUMMYFUNCTION("""COMPUTED_VALUE"""),"19/10/2017")</f>
        <v>19/10/2017</v>
      </c>
      <c r="F36" s="1" t="str">
        <f ca="1">IFERROR(__xludf.DUMMYFUNCTION("""COMPUTED_VALUE"""),"Standard Class")</f>
        <v>Standard Class</v>
      </c>
      <c r="G36" s="1" t="str">
        <f ca="1">IFERROR(__xludf.DUMMYFUNCTION("""COMPUTED_VALUE"""),"LC-16885")</f>
        <v>LC-16885</v>
      </c>
      <c r="H36" s="1" t="str">
        <f ca="1">IFERROR(__xludf.DUMMYFUNCTION("""COMPUTED_VALUE"""),"Lena")</f>
        <v>Lena</v>
      </c>
      <c r="I36" s="1" t="str">
        <f ca="1">IFERROR(__xludf.DUMMYFUNCTION("""COMPUTED_VALUE"""),"Creighton")</f>
        <v>Creighton</v>
      </c>
      <c r="J36" s="1"/>
      <c r="K36" s="1" t="str">
        <f ca="1">IFERROR(__xludf.DUMMYFUNCTION("""COMPUTED_VALUE"""),"Consumer")</f>
        <v>Consumer</v>
      </c>
      <c r="L36" s="1" t="str">
        <f ca="1">IFERROR(__xludf.DUMMYFUNCTION("""COMPUTED_VALUE"""),"United States")</f>
        <v>United States</v>
      </c>
      <c r="M36" s="1" t="str">
        <f ca="1">IFERROR(__xludf.DUMMYFUNCTION("""COMPUTED_VALUE"""),"Roseville")</f>
        <v>Roseville</v>
      </c>
      <c r="N36" s="1" t="str">
        <f ca="1">IFERROR(__xludf.DUMMYFUNCTION("""COMPUTED_VALUE"""),"California")</f>
        <v>California</v>
      </c>
      <c r="O36" s="1">
        <f ca="1">IFERROR(__xludf.DUMMYFUNCTION("""COMPUTED_VALUE"""),95661)</f>
        <v>95661</v>
      </c>
      <c r="P36" s="1" t="str">
        <f ca="1">IFERROR(__xludf.DUMMYFUNCTION("""COMPUTED_VALUE"""),"West")</f>
        <v>West</v>
      </c>
      <c r="Q36" s="1" t="str">
        <f ca="1">IFERROR(__xludf.DUMMYFUNCTION("""COMPUTED_VALUE"""),"OFF-SU-10001218")</f>
        <v>OFF-SU-10001218</v>
      </c>
      <c r="R36" s="1" t="str">
        <f ca="1">IFERROR(__xludf.DUMMYFUNCTION("""COMPUTED_VALUE"""),"Office Supplies")</f>
        <v>Office Supplies</v>
      </c>
      <c r="S36" s="7">
        <f ca="1">IFERROR(__xludf.DUMMYFUNCTION("""COMPUTED_VALUE"""),65.88)</f>
        <v>65.88</v>
      </c>
      <c r="T36" s="1">
        <f ca="1">IFERROR(__xludf.DUMMYFUNCTION("""COMPUTED_VALUE"""),9)</f>
        <v>9</v>
      </c>
      <c r="U36" s="9">
        <f ca="1">IFERROR(__xludf.DUMMYFUNCTION("""COMPUTED_VALUE"""),592.92)</f>
        <v>592.91999999999996</v>
      </c>
      <c r="V36" s="9">
        <f ca="1">IFERROR(__xludf.DUMMYFUNCTION("""COMPUTED_VALUE"""),587.43)</f>
        <v>587.42999999999995</v>
      </c>
      <c r="W36" s="12">
        <f ca="1">IFERROR(__xludf.DUMMYFUNCTION("""COMPUTED_VALUE"""),5.49)</f>
        <v>5.49</v>
      </c>
    </row>
    <row r="37" spans="1:23" ht="13.2">
      <c r="A37" s="1" t="str">
        <f ca="1">IFERROR(__xludf.DUMMYFUNCTION("""COMPUTED_VALUE"""),"CA-2017-145583")</f>
        <v>CA-2017-145583</v>
      </c>
      <c r="B37" s="8">
        <f ca="1">IFERROR(__xludf.DUMMYFUNCTION("""COMPUTED_VALUE"""),43021)</f>
        <v>43021</v>
      </c>
      <c r="C37" s="1" t="str">
        <f ca="1">IFERROR(__xludf.DUMMYFUNCTION("""COMPUTED_VALUE"""),"Oct")</f>
        <v>Oct</v>
      </c>
      <c r="D37" s="1" t="str">
        <f ca="1">IFERROR(__xludf.DUMMYFUNCTION("""COMPUTED_VALUE"""),"Qtr 4")</f>
        <v>Qtr 4</v>
      </c>
      <c r="E37" s="1" t="str">
        <f ca="1">IFERROR(__xludf.DUMMYFUNCTION("""COMPUTED_VALUE"""),"19/10/2017")</f>
        <v>19/10/2017</v>
      </c>
      <c r="F37" s="1" t="str">
        <f ca="1">IFERROR(__xludf.DUMMYFUNCTION("""COMPUTED_VALUE"""),"Standard Class")</f>
        <v>Standard Class</v>
      </c>
      <c r="G37" s="1" t="str">
        <f ca="1">IFERROR(__xludf.DUMMYFUNCTION("""COMPUTED_VALUE"""),"LC-16885")</f>
        <v>LC-16885</v>
      </c>
      <c r="H37" s="1" t="str">
        <f ca="1">IFERROR(__xludf.DUMMYFUNCTION("""COMPUTED_VALUE"""),"Lena")</f>
        <v>Lena</v>
      </c>
      <c r="I37" s="1" t="str">
        <f ca="1">IFERROR(__xludf.DUMMYFUNCTION("""COMPUTED_VALUE"""),"Creighton")</f>
        <v>Creighton</v>
      </c>
      <c r="J37" s="1"/>
      <c r="K37" s="1" t="str">
        <f ca="1">IFERROR(__xludf.DUMMYFUNCTION("""COMPUTED_VALUE"""),"Consumer")</f>
        <v>Consumer</v>
      </c>
      <c r="L37" s="1" t="str">
        <f ca="1">IFERROR(__xludf.DUMMYFUNCTION("""COMPUTED_VALUE"""),"United States")</f>
        <v>United States</v>
      </c>
      <c r="M37" s="1" t="str">
        <f ca="1">IFERROR(__xludf.DUMMYFUNCTION("""COMPUTED_VALUE"""),"Roseville")</f>
        <v>Roseville</v>
      </c>
      <c r="N37" s="1" t="str">
        <f ca="1">IFERROR(__xludf.DUMMYFUNCTION("""COMPUTED_VALUE"""),"California")</f>
        <v>California</v>
      </c>
      <c r="O37" s="1">
        <f ca="1">IFERROR(__xludf.DUMMYFUNCTION("""COMPUTED_VALUE"""),95661)</f>
        <v>95661</v>
      </c>
      <c r="P37" s="1" t="str">
        <f ca="1">IFERROR(__xludf.DUMMYFUNCTION("""COMPUTED_VALUE"""),"West")</f>
        <v>West</v>
      </c>
      <c r="Q37" s="1" t="str">
        <f ca="1">IFERROR(__xludf.DUMMYFUNCTION("""COMPUTED_VALUE"""),"FUR-FU-10001706")</f>
        <v>FUR-FU-10001706</v>
      </c>
      <c r="R37" s="1" t="str">
        <f ca="1">IFERROR(__xludf.DUMMYFUNCTION("""COMPUTED_VALUE"""),"Furniture")</f>
        <v>Furniture</v>
      </c>
      <c r="S37" s="7">
        <f ca="1">IFERROR(__xludf.DUMMYFUNCTION("""COMPUTED_VALUE"""),43.12)</f>
        <v>43.12</v>
      </c>
      <c r="T37" s="1">
        <f ca="1">IFERROR(__xludf.DUMMYFUNCTION("""COMPUTED_VALUE"""),9)</f>
        <v>9</v>
      </c>
      <c r="U37" s="9">
        <f ca="1">IFERROR(__xludf.DUMMYFUNCTION("""COMPUTED_VALUE"""),388.08)</f>
        <v>388.08</v>
      </c>
      <c r="V37" s="9">
        <f ca="1">IFERROR(__xludf.DUMMYFUNCTION("""COMPUTED_VALUE"""),380.43)</f>
        <v>380.43</v>
      </c>
      <c r="W37" s="12">
        <f ca="1">IFERROR(__xludf.DUMMYFUNCTION("""COMPUTED_VALUE"""),7.64999999999997)</f>
        <v>7.6499999999999702</v>
      </c>
    </row>
    <row r="38" spans="1:23" ht="13.2">
      <c r="A38" s="1" t="str">
        <f ca="1">IFERROR(__xludf.DUMMYFUNCTION("""COMPUTED_VALUE"""),"CA-2018-106180")</f>
        <v>CA-2018-106180</v>
      </c>
      <c r="B38" s="8">
        <f ca="1">IFERROR(__xludf.DUMMYFUNCTION("""COMPUTED_VALUE"""),43361)</f>
        <v>43361</v>
      </c>
      <c r="C38" s="1" t="str">
        <f ca="1">IFERROR(__xludf.DUMMYFUNCTION("""COMPUTED_VALUE"""),"Sep")</f>
        <v>Sep</v>
      </c>
      <c r="D38" s="1" t="str">
        <f ca="1">IFERROR(__xludf.DUMMYFUNCTION("""COMPUTED_VALUE"""),"Qtr 3")</f>
        <v>Qtr 3</v>
      </c>
      <c r="E38" s="1" t="str">
        <f ca="1">IFERROR(__xludf.DUMMYFUNCTION("""COMPUTED_VALUE"""),"23/09/2018")</f>
        <v>23/09/2018</v>
      </c>
      <c r="F38" s="1" t="str">
        <f ca="1">IFERROR(__xludf.DUMMYFUNCTION("""COMPUTED_VALUE"""),"Standard Class")</f>
        <v>Standard Class</v>
      </c>
      <c r="G38" s="1" t="str">
        <f ca="1">IFERROR(__xludf.DUMMYFUNCTION("""COMPUTED_VALUE"""),"SH-19975")</f>
        <v>SH-19975</v>
      </c>
      <c r="H38" s="1" t="str">
        <f ca="1">IFERROR(__xludf.DUMMYFUNCTION("""COMPUTED_VALUE"""),"Sally")</f>
        <v>Sally</v>
      </c>
      <c r="I38" s="1" t="str">
        <f ca="1">IFERROR(__xludf.DUMMYFUNCTION("""COMPUTED_VALUE"""),"Hughsby")</f>
        <v>Hughsby</v>
      </c>
      <c r="J38" s="1"/>
      <c r="K38" s="1" t="str">
        <f ca="1">IFERROR(__xludf.DUMMYFUNCTION("""COMPUTED_VALUE"""),"Corporate")</f>
        <v>Corporate</v>
      </c>
      <c r="L38" s="1" t="str">
        <f ca="1">IFERROR(__xludf.DUMMYFUNCTION("""COMPUTED_VALUE"""),"United States")</f>
        <v>United States</v>
      </c>
      <c r="M38" s="1" t="str">
        <f ca="1">IFERROR(__xludf.DUMMYFUNCTION("""COMPUTED_VALUE"""),"San Francisco")</f>
        <v>San Francisco</v>
      </c>
      <c r="N38" s="1" t="str">
        <f ca="1">IFERROR(__xludf.DUMMYFUNCTION("""COMPUTED_VALUE"""),"California")</f>
        <v>California</v>
      </c>
      <c r="O38" s="1">
        <f ca="1">IFERROR(__xludf.DUMMYFUNCTION("""COMPUTED_VALUE"""),94122)</f>
        <v>94122</v>
      </c>
      <c r="P38" s="1" t="str">
        <f ca="1">IFERROR(__xludf.DUMMYFUNCTION("""COMPUTED_VALUE"""),"West")</f>
        <v>West</v>
      </c>
      <c r="Q38" s="1" t="str">
        <f ca="1">IFERROR(__xludf.DUMMYFUNCTION("""COMPUTED_VALUE"""),"OFF-AR-10000940")</f>
        <v>OFF-AR-10000940</v>
      </c>
      <c r="R38" s="1" t="str">
        <f ca="1">IFERROR(__xludf.DUMMYFUNCTION("""COMPUTED_VALUE"""),"Office Supplies")</f>
        <v>Office Supplies</v>
      </c>
      <c r="S38" s="7">
        <f ca="1">IFERROR(__xludf.DUMMYFUNCTION("""COMPUTED_VALUE"""),8.82)</f>
        <v>8.82</v>
      </c>
      <c r="T38" s="1">
        <f ca="1">IFERROR(__xludf.DUMMYFUNCTION("""COMPUTED_VALUE"""),9)</f>
        <v>9</v>
      </c>
      <c r="U38" s="9">
        <f ca="1">IFERROR(__xludf.DUMMYFUNCTION("""COMPUTED_VALUE"""),79.38)</f>
        <v>79.38</v>
      </c>
      <c r="V38" s="9">
        <f ca="1">IFERROR(__xludf.DUMMYFUNCTION("""COMPUTED_VALUE"""),78.84)</f>
        <v>78.84</v>
      </c>
      <c r="W38" s="12">
        <f ca="1">IFERROR(__xludf.DUMMYFUNCTION("""COMPUTED_VALUE"""),0.539999999999992)</f>
        <v>0.53999999999999204</v>
      </c>
    </row>
    <row r="39" spans="1:23" ht="13.2">
      <c r="A39" s="1" t="str">
        <f ca="1">IFERROR(__xludf.DUMMYFUNCTION("""COMPUTED_VALUE"""),"CA-2018-106180")</f>
        <v>CA-2018-106180</v>
      </c>
      <c r="B39" s="8">
        <f ca="1">IFERROR(__xludf.DUMMYFUNCTION("""COMPUTED_VALUE"""),43361)</f>
        <v>43361</v>
      </c>
      <c r="C39" s="1" t="str">
        <f ca="1">IFERROR(__xludf.DUMMYFUNCTION("""COMPUTED_VALUE"""),"Sep")</f>
        <v>Sep</v>
      </c>
      <c r="D39" s="1" t="str">
        <f ca="1">IFERROR(__xludf.DUMMYFUNCTION("""COMPUTED_VALUE"""),"Qtr 3")</f>
        <v>Qtr 3</v>
      </c>
      <c r="E39" s="1" t="str">
        <f ca="1">IFERROR(__xludf.DUMMYFUNCTION("""COMPUTED_VALUE"""),"23/09/2018")</f>
        <v>23/09/2018</v>
      </c>
      <c r="F39" s="1" t="str">
        <f ca="1">IFERROR(__xludf.DUMMYFUNCTION("""COMPUTED_VALUE"""),"Standard Class")</f>
        <v>Standard Class</v>
      </c>
      <c r="G39" s="1" t="str">
        <f ca="1">IFERROR(__xludf.DUMMYFUNCTION("""COMPUTED_VALUE"""),"SH-19975")</f>
        <v>SH-19975</v>
      </c>
      <c r="H39" s="1" t="str">
        <f ca="1">IFERROR(__xludf.DUMMYFUNCTION("""COMPUTED_VALUE"""),"Sally")</f>
        <v>Sally</v>
      </c>
      <c r="I39" s="1" t="str">
        <f ca="1">IFERROR(__xludf.DUMMYFUNCTION("""COMPUTED_VALUE"""),"Hughsby")</f>
        <v>Hughsby</v>
      </c>
      <c r="J39" s="1"/>
      <c r="K39" s="1" t="str">
        <f ca="1">IFERROR(__xludf.DUMMYFUNCTION("""COMPUTED_VALUE"""),"Corporate")</f>
        <v>Corporate</v>
      </c>
      <c r="L39" s="1" t="str">
        <f ca="1">IFERROR(__xludf.DUMMYFUNCTION("""COMPUTED_VALUE"""),"United States")</f>
        <v>United States</v>
      </c>
      <c r="M39" s="1" t="str">
        <f ca="1">IFERROR(__xludf.DUMMYFUNCTION("""COMPUTED_VALUE"""),"San Francisco")</f>
        <v>San Francisco</v>
      </c>
      <c r="N39" s="1" t="str">
        <f ca="1">IFERROR(__xludf.DUMMYFUNCTION("""COMPUTED_VALUE"""),"California")</f>
        <v>California</v>
      </c>
      <c r="O39" s="1">
        <f ca="1">IFERROR(__xludf.DUMMYFUNCTION("""COMPUTED_VALUE"""),94122)</f>
        <v>94122</v>
      </c>
      <c r="P39" s="1" t="str">
        <f ca="1">IFERROR(__xludf.DUMMYFUNCTION("""COMPUTED_VALUE"""),"West")</f>
        <v>West</v>
      </c>
      <c r="Q39" s="1" t="str">
        <f ca="1">IFERROR(__xludf.DUMMYFUNCTION("""COMPUTED_VALUE"""),"OFF-EN-10004030")</f>
        <v>OFF-EN-10004030</v>
      </c>
      <c r="R39" s="1" t="str">
        <f ca="1">IFERROR(__xludf.DUMMYFUNCTION("""COMPUTED_VALUE"""),"Office Supplies")</f>
        <v>Office Supplies</v>
      </c>
      <c r="S39" s="7">
        <f ca="1">IFERROR(__xludf.DUMMYFUNCTION("""COMPUTED_VALUE"""),10.86)</f>
        <v>10.86</v>
      </c>
      <c r="T39" s="1">
        <f ca="1">IFERROR(__xludf.DUMMYFUNCTION("""COMPUTED_VALUE"""),9)</f>
        <v>9</v>
      </c>
      <c r="U39" s="9">
        <f ca="1">IFERROR(__xludf.DUMMYFUNCTION("""COMPUTED_VALUE"""),97.74)</f>
        <v>97.74</v>
      </c>
      <c r="V39" s="9">
        <f ca="1">IFERROR(__xludf.DUMMYFUNCTION("""COMPUTED_VALUE"""),95.04)</f>
        <v>95.04</v>
      </c>
      <c r="W39" s="12">
        <f ca="1">IFERROR(__xludf.DUMMYFUNCTION("""COMPUTED_VALUE"""),2.69999999999998)</f>
        <v>2.6999999999999802</v>
      </c>
    </row>
    <row r="40" spans="1:23" ht="13.2">
      <c r="A40" s="1" t="str">
        <f ca="1">IFERROR(__xludf.DUMMYFUNCTION("""COMPUTED_VALUE"""),"CA-2018-106180")</f>
        <v>CA-2018-106180</v>
      </c>
      <c r="B40" s="8">
        <f ca="1">IFERROR(__xludf.DUMMYFUNCTION("""COMPUTED_VALUE"""),43361)</f>
        <v>43361</v>
      </c>
      <c r="C40" s="1" t="str">
        <f ca="1">IFERROR(__xludf.DUMMYFUNCTION("""COMPUTED_VALUE"""),"Sep")</f>
        <v>Sep</v>
      </c>
      <c r="D40" s="1" t="str">
        <f ca="1">IFERROR(__xludf.DUMMYFUNCTION("""COMPUTED_VALUE"""),"Qtr 3")</f>
        <v>Qtr 3</v>
      </c>
      <c r="E40" s="1" t="str">
        <f ca="1">IFERROR(__xludf.DUMMYFUNCTION("""COMPUTED_VALUE"""),"23/09/2018")</f>
        <v>23/09/2018</v>
      </c>
      <c r="F40" s="1" t="str">
        <f ca="1">IFERROR(__xludf.DUMMYFUNCTION("""COMPUTED_VALUE"""),"Standard Class")</f>
        <v>Standard Class</v>
      </c>
      <c r="G40" s="1" t="str">
        <f ca="1">IFERROR(__xludf.DUMMYFUNCTION("""COMPUTED_VALUE"""),"SH-19975")</f>
        <v>SH-19975</v>
      </c>
      <c r="H40" s="1" t="str">
        <f ca="1">IFERROR(__xludf.DUMMYFUNCTION("""COMPUTED_VALUE"""),"Sally")</f>
        <v>Sally</v>
      </c>
      <c r="I40" s="1" t="str">
        <f ca="1">IFERROR(__xludf.DUMMYFUNCTION("""COMPUTED_VALUE"""),"Hughsby")</f>
        <v>Hughsby</v>
      </c>
      <c r="J40" s="1"/>
      <c r="K40" s="1" t="str">
        <f ca="1">IFERROR(__xludf.DUMMYFUNCTION("""COMPUTED_VALUE"""),"Corporate")</f>
        <v>Corporate</v>
      </c>
      <c r="L40" s="1" t="str">
        <f ca="1">IFERROR(__xludf.DUMMYFUNCTION("""COMPUTED_VALUE"""),"United States")</f>
        <v>United States</v>
      </c>
      <c r="M40" s="1" t="str">
        <f ca="1">IFERROR(__xludf.DUMMYFUNCTION("""COMPUTED_VALUE"""),"San Francisco")</f>
        <v>San Francisco</v>
      </c>
      <c r="N40" s="1" t="str">
        <f ca="1">IFERROR(__xludf.DUMMYFUNCTION("""COMPUTED_VALUE"""),"California")</f>
        <v>California</v>
      </c>
      <c r="O40" s="1">
        <f ca="1">IFERROR(__xludf.DUMMYFUNCTION("""COMPUTED_VALUE"""),94122)</f>
        <v>94122</v>
      </c>
      <c r="P40" s="1" t="str">
        <f ca="1">IFERROR(__xludf.DUMMYFUNCTION("""COMPUTED_VALUE"""),"West")</f>
        <v>West</v>
      </c>
      <c r="Q40" s="1" t="str">
        <f ca="1">IFERROR(__xludf.DUMMYFUNCTION("""COMPUTED_VALUE"""),"OFF-PA-10004327")</f>
        <v>OFF-PA-10004327</v>
      </c>
      <c r="R40" s="1" t="str">
        <f ca="1">IFERROR(__xludf.DUMMYFUNCTION("""COMPUTED_VALUE"""),"Office Supplies")</f>
        <v>Office Supplies</v>
      </c>
      <c r="S40" s="7">
        <f ca="1">IFERROR(__xludf.DUMMYFUNCTION("""COMPUTED_VALUE"""),143.7)</f>
        <v>143.69999999999999</v>
      </c>
      <c r="T40" s="1">
        <f ca="1">IFERROR(__xludf.DUMMYFUNCTION("""COMPUTED_VALUE"""),9)</f>
        <v>9</v>
      </c>
      <c r="U40" s="9">
        <f ca="1">IFERROR(__xludf.DUMMYFUNCTION("""COMPUTED_VALUE"""),1293.3)</f>
        <v>1293.3</v>
      </c>
      <c r="V40" s="9">
        <f ca="1">IFERROR(__xludf.DUMMYFUNCTION("""COMPUTED_VALUE"""),1291.68)</f>
        <v>1291.68</v>
      </c>
      <c r="W40" s="12">
        <f ca="1">IFERROR(__xludf.DUMMYFUNCTION("""COMPUTED_VALUE"""),1.61999999999989)</f>
        <v>1.61999999999989</v>
      </c>
    </row>
    <row r="41" spans="1:23" ht="13.2">
      <c r="A41" s="1" t="str">
        <f ca="1">IFERROR(__xludf.DUMMYFUNCTION("""COMPUTED_VALUE"""),"CA-2016-110744")</f>
        <v>CA-2016-110744</v>
      </c>
      <c r="B41" s="8">
        <f ca="1">IFERROR(__xludf.DUMMYFUNCTION("""COMPUTED_VALUE"""),42560)</f>
        <v>42560</v>
      </c>
      <c r="C41" s="1" t="str">
        <f ca="1">IFERROR(__xludf.DUMMYFUNCTION("""COMPUTED_VALUE"""),"Jul")</f>
        <v>Jul</v>
      </c>
      <c r="D41" s="1" t="str">
        <f ca="1">IFERROR(__xludf.DUMMYFUNCTION("""COMPUTED_VALUE"""),"Qtr 3")</f>
        <v>Qtr 3</v>
      </c>
      <c r="E41" s="1" t="str">
        <f ca="1">IFERROR(__xludf.DUMMYFUNCTION("""COMPUTED_VALUE"""),"12/9/2016")</f>
        <v>12/9/2016</v>
      </c>
      <c r="F41" s="1" t="str">
        <f ca="1">IFERROR(__xludf.DUMMYFUNCTION("""COMPUTED_VALUE"""),"Standard Class")</f>
        <v>Standard Class</v>
      </c>
      <c r="G41" s="1" t="str">
        <f ca="1">IFERROR(__xludf.DUMMYFUNCTION("""COMPUTED_VALUE"""),"HA-14920")</f>
        <v>HA-14920</v>
      </c>
      <c r="H41" s="1" t="str">
        <f ca="1">IFERROR(__xludf.DUMMYFUNCTION("""COMPUTED_VALUE"""),"Helen")</f>
        <v>Helen</v>
      </c>
      <c r="I41" s="1" t="str">
        <f ca="1">IFERROR(__xludf.DUMMYFUNCTION("""COMPUTED_VALUE"""),"Andreada")</f>
        <v>Andreada</v>
      </c>
      <c r="J41" s="1"/>
      <c r="K41" s="1" t="str">
        <f ca="1">IFERROR(__xludf.DUMMYFUNCTION("""COMPUTED_VALUE"""),"Consumer")</f>
        <v>Consumer</v>
      </c>
      <c r="L41" s="1" t="str">
        <f ca="1">IFERROR(__xludf.DUMMYFUNCTION("""COMPUTED_VALUE"""),"United States")</f>
        <v>United States</v>
      </c>
      <c r="M41" s="1" t="str">
        <f ca="1">IFERROR(__xludf.DUMMYFUNCTION("""COMPUTED_VALUE"""),"Pasadena")</f>
        <v>Pasadena</v>
      </c>
      <c r="N41" s="1" t="str">
        <f ca="1">IFERROR(__xludf.DUMMYFUNCTION("""COMPUTED_VALUE"""),"California")</f>
        <v>California</v>
      </c>
      <c r="O41" s="1">
        <f ca="1">IFERROR(__xludf.DUMMYFUNCTION("""COMPUTED_VALUE"""),91104)</f>
        <v>91104</v>
      </c>
      <c r="P41" s="1" t="str">
        <f ca="1">IFERROR(__xludf.DUMMYFUNCTION("""COMPUTED_VALUE"""),"West")</f>
        <v>West</v>
      </c>
      <c r="Q41" s="1" t="str">
        <f ca="1">IFERROR(__xludf.DUMMYFUNCTION("""COMPUTED_VALUE"""),"OFF-ST-10003656")</f>
        <v>OFF-ST-10003656</v>
      </c>
      <c r="R41" s="1" t="str">
        <f ca="1">IFERROR(__xludf.DUMMYFUNCTION("""COMPUTED_VALUE"""),"Office Supplies")</f>
        <v>Office Supplies</v>
      </c>
      <c r="S41" s="7">
        <f ca="1">IFERROR(__xludf.DUMMYFUNCTION("""COMPUTED_VALUE"""),671.93)</f>
        <v>671.93</v>
      </c>
      <c r="T41" s="1">
        <f ca="1">IFERROR(__xludf.DUMMYFUNCTION("""COMPUTED_VALUE"""),9)</f>
        <v>9</v>
      </c>
      <c r="U41" s="9">
        <f ca="1">IFERROR(__xludf.DUMMYFUNCTION("""COMPUTED_VALUE"""),6047.37)</f>
        <v>6047.37</v>
      </c>
      <c r="V41" s="9">
        <f ca="1">IFERROR(__xludf.DUMMYFUNCTION("""COMPUTED_VALUE"""),6039.99)</f>
        <v>6039.99</v>
      </c>
      <c r="W41" s="12">
        <f ca="1">IFERROR(__xludf.DUMMYFUNCTION("""COMPUTED_VALUE"""),7.3800000000001)</f>
        <v>7.3800000000001003</v>
      </c>
    </row>
    <row r="42" spans="1:23" ht="13.2">
      <c r="A42" s="1" t="str">
        <f ca="1">IFERROR(__xludf.DUMMYFUNCTION("""COMPUTED_VALUE"""),"CA-2016-124919")</f>
        <v>CA-2016-124919</v>
      </c>
      <c r="B42" s="8">
        <f ca="1">IFERROR(__xludf.DUMMYFUNCTION("""COMPUTED_VALUE"""),42521)</f>
        <v>42521</v>
      </c>
      <c r="C42" s="1" t="str">
        <f ca="1">IFERROR(__xludf.DUMMYFUNCTION("""COMPUTED_VALUE"""),"May")</f>
        <v>May</v>
      </c>
      <c r="D42" s="1" t="str">
        <f ca="1">IFERROR(__xludf.DUMMYFUNCTION("""COMPUTED_VALUE"""),"Qtr 2")</f>
        <v>Qtr 2</v>
      </c>
      <c r="E42" s="1" t="str">
        <f ca="1">IFERROR(__xludf.DUMMYFUNCTION("""COMPUTED_VALUE"""),"2/6/2016")</f>
        <v>2/6/2016</v>
      </c>
      <c r="F42" s="1" t="str">
        <f ca="1">IFERROR(__xludf.DUMMYFUNCTION("""COMPUTED_VALUE"""),"First Class")</f>
        <v>First Class</v>
      </c>
      <c r="G42" s="1" t="str">
        <f ca="1">IFERROR(__xludf.DUMMYFUNCTION("""COMPUTED_VALUE"""),"SP-20650")</f>
        <v>SP-20650</v>
      </c>
      <c r="H42" s="1" t="str">
        <f ca="1">IFERROR(__xludf.DUMMYFUNCTION("""COMPUTED_VALUE"""),"Stephanie")</f>
        <v>Stephanie</v>
      </c>
      <c r="I42" s="1" t="str">
        <f ca="1">IFERROR(__xludf.DUMMYFUNCTION("""COMPUTED_VALUE"""),"Phelps")</f>
        <v>Phelps</v>
      </c>
      <c r="J42" s="1"/>
      <c r="K42" s="1" t="str">
        <f ca="1">IFERROR(__xludf.DUMMYFUNCTION("""COMPUTED_VALUE"""),"Corporate")</f>
        <v>Corporate</v>
      </c>
      <c r="L42" s="1" t="str">
        <f ca="1">IFERROR(__xludf.DUMMYFUNCTION("""COMPUTED_VALUE"""),"United States")</f>
        <v>United States</v>
      </c>
      <c r="M42" s="1" t="str">
        <f ca="1">IFERROR(__xludf.DUMMYFUNCTION("""COMPUTED_VALUE"""),"San Jose")</f>
        <v>San Jose</v>
      </c>
      <c r="N42" s="1" t="str">
        <f ca="1">IFERROR(__xludf.DUMMYFUNCTION("""COMPUTED_VALUE"""),"California")</f>
        <v>California</v>
      </c>
      <c r="O42" s="1">
        <f ca="1">IFERROR(__xludf.DUMMYFUNCTION("""COMPUTED_VALUE"""),95123)</f>
        <v>95123</v>
      </c>
      <c r="P42" s="1" t="str">
        <f ca="1">IFERROR(__xludf.DUMMYFUNCTION("""COMPUTED_VALUE"""),"West")</f>
        <v>West</v>
      </c>
      <c r="Q42" s="1" t="str">
        <f ca="1">IFERROR(__xludf.DUMMYFUNCTION("""COMPUTED_VALUE"""),"OFF-PA-10001950")</f>
        <v>OFF-PA-10001950</v>
      </c>
      <c r="R42" s="1" t="str">
        <f ca="1">IFERROR(__xludf.DUMMYFUNCTION("""COMPUTED_VALUE"""),"Office Supplies")</f>
        <v>Office Supplies</v>
      </c>
      <c r="S42" s="7">
        <f ca="1">IFERROR(__xludf.DUMMYFUNCTION("""COMPUTED_VALUE"""),58.38)</f>
        <v>58.38</v>
      </c>
      <c r="T42" s="1">
        <f ca="1">IFERROR(__xludf.DUMMYFUNCTION("""COMPUTED_VALUE"""),9)</f>
        <v>9</v>
      </c>
      <c r="U42" s="9">
        <f ca="1">IFERROR(__xludf.DUMMYFUNCTION("""COMPUTED_VALUE"""),525.42)</f>
        <v>525.41999999999996</v>
      </c>
      <c r="V42" s="9">
        <f ca="1">IFERROR(__xludf.DUMMYFUNCTION("""COMPUTED_VALUE"""),521.1)</f>
        <v>521.1</v>
      </c>
      <c r="W42" s="12">
        <f ca="1">IFERROR(__xludf.DUMMYFUNCTION("""COMPUTED_VALUE"""),4.32000000000005)</f>
        <v>4.32000000000005</v>
      </c>
    </row>
    <row r="43" spans="1:23" ht="13.2">
      <c r="A43" s="1" t="str">
        <f ca="1">IFERROR(__xludf.DUMMYFUNCTION("""COMPUTED_VALUE"""),"CA-2016-124919")</f>
        <v>CA-2016-124919</v>
      </c>
      <c r="B43" s="8">
        <f ca="1">IFERROR(__xludf.DUMMYFUNCTION("""COMPUTED_VALUE"""),42521)</f>
        <v>42521</v>
      </c>
      <c r="C43" s="1" t="str">
        <f ca="1">IFERROR(__xludf.DUMMYFUNCTION("""COMPUTED_VALUE"""),"May")</f>
        <v>May</v>
      </c>
      <c r="D43" s="1" t="str">
        <f ca="1">IFERROR(__xludf.DUMMYFUNCTION("""COMPUTED_VALUE"""),"Qtr 2")</f>
        <v>Qtr 2</v>
      </c>
      <c r="E43" s="1" t="str">
        <f ca="1">IFERROR(__xludf.DUMMYFUNCTION("""COMPUTED_VALUE"""),"2/6/2016")</f>
        <v>2/6/2016</v>
      </c>
      <c r="F43" s="1" t="str">
        <f ca="1">IFERROR(__xludf.DUMMYFUNCTION("""COMPUTED_VALUE"""),"First Class")</f>
        <v>First Class</v>
      </c>
      <c r="G43" s="1" t="str">
        <f ca="1">IFERROR(__xludf.DUMMYFUNCTION("""COMPUTED_VALUE"""),"SP-20650")</f>
        <v>SP-20650</v>
      </c>
      <c r="H43" s="1" t="str">
        <f ca="1">IFERROR(__xludf.DUMMYFUNCTION("""COMPUTED_VALUE"""),"Stephanie")</f>
        <v>Stephanie</v>
      </c>
      <c r="I43" s="1" t="str">
        <f ca="1">IFERROR(__xludf.DUMMYFUNCTION("""COMPUTED_VALUE"""),"Phelps")</f>
        <v>Phelps</v>
      </c>
      <c r="J43" s="1"/>
      <c r="K43" s="1" t="str">
        <f ca="1">IFERROR(__xludf.DUMMYFUNCTION("""COMPUTED_VALUE"""),"Corporate")</f>
        <v>Corporate</v>
      </c>
      <c r="L43" s="1" t="str">
        <f ca="1">IFERROR(__xludf.DUMMYFUNCTION("""COMPUTED_VALUE"""),"United States")</f>
        <v>United States</v>
      </c>
      <c r="M43" s="1" t="str">
        <f ca="1">IFERROR(__xludf.DUMMYFUNCTION("""COMPUTED_VALUE"""),"San Jose")</f>
        <v>San Jose</v>
      </c>
      <c r="N43" s="1" t="str">
        <f ca="1">IFERROR(__xludf.DUMMYFUNCTION("""COMPUTED_VALUE"""),"California")</f>
        <v>California</v>
      </c>
      <c r="O43" s="1">
        <f ca="1">IFERROR(__xludf.DUMMYFUNCTION("""COMPUTED_VALUE"""),95123)</f>
        <v>95123</v>
      </c>
      <c r="P43" s="1" t="str">
        <f ca="1">IFERROR(__xludf.DUMMYFUNCTION("""COMPUTED_VALUE"""),"West")</f>
        <v>West</v>
      </c>
      <c r="Q43" s="1" t="str">
        <f ca="1">IFERROR(__xludf.DUMMYFUNCTION("""COMPUTED_VALUE"""),"OFF-PA-10002254")</f>
        <v>OFF-PA-10002254</v>
      </c>
      <c r="R43" s="1" t="str">
        <f ca="1">IFERROR(__xludf.DUMMYFUNCTION("""COMPUTED_VALUE"""),"Office Supplies")</f>
        <v>Office Supplies</v>
      </c>
      <c r="S43" s="7">
        <f ca="1">IFERROR(__xludf.DUMMYFUNCTION("""COMPUTED_VALUE"""),105.52)</f>
        <v>105.52</v>
      </c>
      <c r="T43" s="1">
        <f ca="1">IFERROR(__xludf.DUMMYFUNCTION("""COMPUTED_VALUE"""),9)</f>
        <v>9</v>
      </c>
      <c r="U43" s="9">
        <f ca="1">IFERROR(__xludf.DUMMYFUNCTION("""COMPUTED_VALUE"""),949.68)</f>
        <v>949.68</v>
      </c>
      <c r="V43" s="9">
        <f ca="1">IFERROR(__xludf.DUMMYFUNCTION("""COMPUTED_VALUE"""),941.67)</f>
        <v>941.67</v>
      </c>
      <c r="W43" s="12">
        <f ca="1">IFERROR(__xludf.DUMMYFUNCTION("""COMPUTED_VALUE"""),8.00999999999999)</f>
        <v>8.0099999999999891</v>
      </c>
    </row>
    <row r="44" spans="1:23" ht="13.2">
      <c r="A44" s="1" t="str">
        <f ca="1">IFERROR(__xludf.DUMMYFUNCTION("""COMPUTED_VALUE"""),"CA-2016-124919")</f>
        <v>CA-2016-124919</v>
      </c>
      <c r="B44" s="8">
        <f ca="1">IFERROR(__xludf.DUMMYFUNCTION("""COMPUTED_VALUE"""),42521)</f>
        <v>42521</v>
      </c>
      <c r="C44" s="1" t="str">
        <f ca="1">IFERROR(__xludf.DUMMYFUNCTION("""COMPUTED_VALUE"""),"May")</f>
        <v>May</v>
      </c>
      <c r="D44" s="1" t="str">
        <f ca="1">IFERROR(__xludf.DUMMYFUNCTION("""COMPUTED_VALUE"""),"Qtr 2")</f>
        <v>Qtr 2</v>
      </c>
      <c r="E44" s="1" t="str">
        <f ca="1">IFERROR(__xludf.DUMMYFUNCTION("""COMPUTED_VALUE"""),"2/6/2016")</f>
        <v>2/6/2016</v>
      </c>
      <c r="F44" s="1" t="str">
        <f ca="1">IFERROR(__xludf.DUMMYFUNCTION("""COMPUTED_VALUE"""),"First Class")</f>
        <v>First Class</v>
      </c>
      <c r="G44" s="1" t="str">
        <f ca="1">IFERROR(__xludf.DUMMYFUNCTION("""COMPUTED_VALUE"""),"SP-20650")</f>
        <v>SP-20650</v>
      </c>
      <c r="H44" s="1" t="str">
        <f ca="1">IFERROR(__xludf.DUMMYFUNCTION("""COMPUTED_VALUE"""),"Stephanie")</f>
        <v>Stephanie</v>
      </c>
      <c r="I44" s="1" t="str">
        <f ca="1">IFERROR(__xludf.DUMMYFUNCTION("""COMPUTED_VALUE"""),"Phelps")</f>
        <v>Phelps</v>
      </c>
      <c r="J44" s="1"/>
      <c r="K44" s="1" t="str">
        <f ca="1">IFERROR(__xludf.DUMMYFUNCTION("""COMPUTED_VALUE"""),"Corporate")</f>
        <v>Corporate</v>
      </c>
      <c r="L44" s="1" t="str">
        <f ca="1">IFERROR(__xludf.DUMMYFUNCTION("""COMPUTED_VALUE"""),"United States")</f>
        <v>United States</v>
      </c>
      <c r="M44" s="1" t="str">
        <f ca="1">IFERROR(__xludf.DUMMYFUNCTION("""COMPUTED_VALUE"""),"San Jose")</f>
        <v>San Jose</v>
      </c>
      <c r="N44" s="1" t="str">
        <f ca="1">IFERROR(__xludf.DUMMYFUNCTION("""COMPUTED_VALUE"""),"California")</f>
        <v>California</v>
      </c>
      <c r="O44" s="1">
        <f ca="1">IFERROR(__xludf.DUMMYFUNCTION("""COMPUTED_VALUE"""),95123)</f>
        <v>95123</v>
      </c>
      <c r="P44" s="1" t="str">
        <f ca="1">IFERROR(__xludf.DUMMYFUNCTION("""COMPUTED_VALUE"""),"West")</f>
        <v>West</v>
      </c>
      <c r="Q44" s="1" t="str">
        <f ca="1">IFERROR(__xludf.DUMMYFUNCTION("""COMPUTED_VALUE"""),"OFF-ST-10001590")</f>
        <v>OFF-ST-10001590</v>
      </c>
      <c r="R44" s="1" t="str">
        <f ca="1">IFERROR(__xludf.DUMMYFUNCTION("""COMPUTED_VALUE"""),"Office Supplies")</f>
        <v>Office Supplies</v>
      </c>
      <c r="S44" s="7">
        <f ca="1">IFERROR(__xludf.DUMMYFUNCTION("""COMPUTED_VALUE"""),80.88)</f>
        <v>80.88</v>
      </c>
      <c r="T44" s="1">
        <f ca="1">IFERROR(__xludf.DUMMYFUNCTION("""COMPUTED_VALUE"""),9)</f>
        <v>9</v>
      </c>
      <c r="U44" s="9">
        <f ca="1">IFERROR(__xludf.DUMMYFUNCTION("""COMPUTED_VALUE"""),727.92)</f>
        <v>727.92</v>
      </c>
      <c r="V44" s="9">
        <f ca="1">IFERROR(__xludf.DUMMYFUNCTION("""COMPUTED_VALUE"""),724.77)</f>
        <v>724.77</v>
      </c>
      <c r="W44" s="12">
        <f ca="1">IFERROR(__xludf.DUMMYFUNCTION("""COMPUTED_VALUE"""),3.14999999999997)</f>
        <v>3.1499999999999702</v>
      </c>
    </row>
    <row r="45" spans="1:23" ht="13.2">
      <c r="A45" s="1" t="str">
        <f ca="1">IFERROR(__xludf.DUMMYFUNCTION("""COMPUTED_VALUE"""),"CA-2017-162733")</f>
        <v>CA-2017-162733</v>
      </c>
      <c r="B45" s="8">
        <f ca="1">IFERROR(__xludf.DUMMYFUNCTION("""COMPUTED_VALUE"""),43044)</f>
        <v>43044</v>
      </c>
      <c r="C45" s="1" t="str">
        <f ca="1">IFERROR(__xludf.DUMMYFUNCTION("""COMPUTED_VALUE"""),"Nov")</f>
        <v>Nov</v>
      </c>
      <c r="D45" s="1" t="str">
        <f ca="1">IFERROR(__xludf.DUMMYFUNCTION("""COMPUTED_VALUE"""),"Qtr 4")</f>
        <v>Qtr 4</v>
      </c>
      <c r="E45" s="1" t="str">
        <f ca="1">IFERROR(__xludf.DUMMYFUNCTION("""COMPUTED_VALUE"""),"12/5/2017")</f>
        <v>12/5/2017</v>
      </c>
      <c r="F45" s="1" t="str">
        <f ca="1">IFERROR(__xludf.DUMMYFUNCTION("""COMPUTED_VALUE"""),"First Class")</f>
        <v>First Class</v>
      </c>
      <c r="G45" s="1" t="str">
        <f ca="1">IFERROR(__xludf.DUMMYFUNCTION("""COMPUTED_VALUE"""),"TT-21070")</f>
        <v>TT-21070</v>
      </c>
      <c r="H45" s="1" t="str">
        <f ca="1">IFERROR(__xludf.DUMMYFUNCTION("""COMPUTED_VALUE"""),"Ted")</f>
        <v>Ted</v>
      </c>
      <c r="I45" s="1" t="str">
        <f ca="1">IFERROR(__xludf.DUMMYFUNCTION("""COMPUTED_VALUE"""),"Trevino")</f>
        <v>Trevino</v>
      </c>
      <c r="J45" s="1"/>
      <c r="K45" s="1" t="str">
        <f ca="1">IFERROR(__xludf.DUMMYFUNCTION("""COMPUTED_VALUE"""),"Consumer")</f>
        <v>Consumer</v>
      </c>
      <c r="L45" s="1" t="str">
        <f ca="1">IFERROR(__xludf.DUMMYFUNCTION("""COMPUTED_VALUE"""),"United States")</f>
        <v>United States</v>
      </c>
      <c r="M45" s="1" t="str">
        <f ca="1">IFERROR(__xludf.DUMMYFUNCTION("""COMPUTED_VALUE"""),"Los Angeles")</f>
        <v>Los Angeles</v>
      </c>
      <c r="N45" s="1" t="str">
        <f ca="1">IFERROR(__xludf.DUMMYFUNCTION("""COMPUTED_VALUE"""),"California")</f>
        <v>California</v>
      </c>
      <c r="O45" s="1">
        <f ca="1">IFERROR(__xludf.DUMMYFUNCTION("""COMPUTED_VALUE"""),90045)</f>
        <v>90045</v>
      </c>
      <c r="P45" s="1" t="str">
        <f ca="1">IFERROR(__xludf.DUMMYFUNCTION("""COMPUTED_VALUE"""),"West")</f>
        <v>West</v>
      </c>
      <c r="Q45" s="1" t="str">
        <f ca="1">IFERROR(__xludf.DUMMYFUNCTION("""COMPUTED_VALUE"""),"OFF-PA-10002751")</f>
        <v>OFF-PA-10002751</v>
      </c>
      <c r="R45" s="1" t="str">
        <f ca="1">IFERROR(__xludf.DUMMYFUNCTION("""COMPUTED_VALUE"""),"Office Supplies")</f>
        <v>Office Supplies</v>
      </c>
      <c r="S45" s="7">
        <f ca="1">IFERROR(__xludf.DUMMYFUNCTION("""COMPUTED_VALUE"""),5.98)</f>
        <v>5.98</v>
      </c>
      <c r="T45" s="1">
        <f ca="1">IFERROR(__xludf.DUMMYFUNCTION("""COMPUTED_VALUE"""),9)</f>
        <v>9</v>
      </c>
      <c r="U45" s="9">
        <f ca="1">IFERROR(__xludf.DUMMYFUNCTION("""COMPUTED_VALUE"""),53.82)</f>
        <v>53.82</v>
      </c>
      <c r="V45" s="9">
        <f ca="1">IFERROR(__xludf.DUMMYFUNCTION("""COMPUTED_VALUE"""),52.11)</f>
        <v>52.11</v>
      </c>
      <c r="W45" s="12">
        <f ca="1">IFERROR(__xludf.DUMMYFUNCTION("""COMPUTED_VALUE"""),1.71)</f>
        <v>1.71</v>
      </c>
    </row>
    <row r="46" spans="1:23" ht="13.2">
      <c r="A46" s="1" t="str">
        <f ca="1">IFERROR(__xludf.DUMMYFUNCTION("""COMPUTED_VALUE"""),"CA-2015-118962")</f>
        <v>CA-2015-118962</v>
      </c>
      <c r="B46" s="8">
        <f ca="1">IFERROR(__xludf.DUMMYFUNCTION("""COMPUTED_VALUE"""),42132)</f>
        <v>42132</v>
      </c>
      <c r="C46" s="1" t="str">
        <f ca="1">IFERROR(__xludf.DUMMYFUNCTION("""COMPUTED_VALUE"""),"May")</f>
        <v>May</v>
      </c>
      <c r="D46" s="1" t="str">
        <f ca="1">IFERROR(__xludf.DUMMYFUNCTION("""COMPUTED_VALUE"""),"Qtr 2")</f>
        <v>Qtr 2</v>
      </c>
      <c r="E46" s="1" t="str">
        <f ca="1">IFERROR(__xludf.DUMMYFUNCTION("""COMPUTED_VALUE"""),"9/8/2015")</f>
        <v>9/8/2015</v>
      </c>
      <c r="F46" s="1" t="str">
        <f ca="1">IFERROR(__xludf.DUMMYFUNCTION("""COMPUTED_VALUE"""),"Standard Class")</f>
        <v>Standard Class</v>
      </c>
      <c r="G46" s="1" t="str">
        <f ca="1">IFERROR(__xludf.DUMMYFUNCTION("""COMPUTED_VALUE"""),"CS-12130")</f>
        <v>CS-12130</v>
      </c>
      <c r="H46" s="1" t="str">
        <f ca="1">IFERROR(__xludf.DUMMYFUNCTION("""COMPUTED_VALUE"""),"Chad")</f>
        <v>Chad</v>
      </c>
      <c r="I46" s="1" t="str">
        <f ca="1">IFERROR(__xludf.DUMMYFUNCTION("""COMPUTED_VALUE"""),"Sievert")</f>
        <v>Sievert</v>
      </c>
      <c r="J46" s="1"/>
      <c r="K46" s="1" t="str">
        <f ca="1">IFERROR(__xludf.DUMMYFUNCTION("""COMPUTED_VALUE"""),"Consumer")</f>
        <v>Consumer</v>
      </c>
      <c r="L46" s="1" t="str">
        <f ca="1">IFERROR(__xludf.DUMMYFUNCTION("""COMPUTED_VALUE"""),"United States")</f>
        <v>United States</v>
      </c>
      <c r="M46" s="1" t="str">
        <f ca="1">IFERROR(__xludf.DUMMYFUNCTION("""COMPUTED_VALUE"""),"Los Angeles")</f>
        <v>Los Angeles</v>
      </c>
      <c r="N46" s="1" t="str">
        <f ca="1">IFERROR(__xludf.DUMMYFUNCTION("""COMPUTED_VALUE"""),"California")</f>
        <v>California</v>
      </c>
      <c r="O46" s="1">
        <f ca="1">IFERROR(__xludf.DUMMYFUNCTION("""COMPUTED_VALUE"""),90004)</f>
        <v>90004</v>
      </c>
      <c r="P46" s="1" t="str">
        <f ca="1">IFERROR(__xludf.DUMMYFUNCTION("""COMPUTED_VALUE"""),"West")</f>
        <v>West</v>
      </c>
      <c r="Q46" s="1" t="str">
        <f ca="1">IFERROR(__xludf.DUMMYFUNCTION("""COMPUTED_VALUE"""),"OFF-PA-10000659")</f>
        <v>OFF-PA-10000659</v>
      </c>
      <c r="R46" s="1" t="str">
        <f ca="1">IFERROR(__xludf.DUMMYFUNCTION("""COMPUTED_VALUE"""),"Office Supplies")</f>
        <v>Office Supplies</v>
      </c>
      <c r="S46" s="7">
        <f ca="1">IFERROR(__xludf.DUMMYFUNCTION("""COMPUTED_VALUE"""),20.94)</f>
        <v>20.94</v>
      </c>
      <c r="T46" s="1">
        <f ca="1">IFERROR(__xludf.DUMMYFUNCTION("""COMPUTED_VALUE"""),9)</f>
        <v>9</v>
      </c>
      <c r="U46" s="9">
        <f ca="1">IFERROR(__xludf.DUMMYFUNCTION("""COMPUTED_VALUE"""),188.46)</f>
        <v>188.46</v>
      </c>
      <c r="V46" s="9">
        <f ca="1">IFERROR(__xludf.DUMMYFUNCTION("""COMPUTED_VALUE"""),182.88)</f>
        <v>182.88</v>
      </c>
      <c r="W46" s="12">
        <f ca="1">IFERROR(__xludf.DUMMYFUNCTION("""COMPUTED_VALUE"""),5.58000000000001)</f>
        <v>5.5800000000000098</v>
      </c>
    </row>
    <row r="47" spans="1:23" ht="13.2">
      <c r="A47" s="1" t="str">
        <f ca="1">IFERROR(__xludf.DUMMYFUNCTION("""COMPUTED_VALUE"""),"CA-2015-118962")</f>
        <v>CA-2015-118962</v>
      </c>
      <c r="B47" s="8">
        <f ca="1">IFERROR(__xludf.DUMMYFUNCTION("""COMPUTED_VALUE"""),42132)</f>
        <v>42132</v>
      </c>
      <c r="C47" s="1" t="str">
        <f ca="1">IFERROR(__xludf.DUMMYFUNCTION("""COMPUTED_VALUE"""),"May")</f>
        <v>May</v>
      </c>
      <c r="D47" s="1" t="str">
        <f ca="1">IFERROR(__xludf.DUMMYFUNCTION("""COMPUTED_VALUE"""),"Qtr 2")</f>
        <v>Qtr 2</v>
      </c>
      <c r="E47" s="1" t="str">
        <f ca="1">IFERROR(__xludf.DUMMYFUNCTION("""COMPUTED_VALUE"""),"9/8/2015")</f>
        <v>9/8/2015</v>
      </c>
      <c r="F47" s="1" t="str">
        <f ca="1">IFERROR(__xludf.DUMMYFUNCTION("""COMPUTED_VALUE"""),"Standard Class")</f>
        <v>Standard Class</v>
      </c>
      <c r="G47" s="1" t="str">
        <f ca="1">IFERROR(__xludf.DUMMYFUNCTION("""COMPUTED_VALUE"""),"CS-12130")</f>
        <v>CS-12130</v>
      </c>
      <c r="H47" s="1" t="str">
        <f ca="1">IFERROR(__xludf.DUMMYFUNCTION("""COMPUTED_VALUE"""),"Chad")</f>
        <v>Chad</v>
      </c>
      <c r="I47" s="1" t="str">
        <f ca="1">IFERROR(__xludf.DUMMYFUNCTION("""COMPUTED_VALUE"""),"Sievert")</f>
        <v>Sievert</v>
      </c>
      <c r="J47" s="1"/>
      <c r="K47" s="1" t="str">
        <f ca="1">IFERROR(__xludf.DUMMYFUNCTION("""COMPUTED_VALUE"""),"Consumer")</f>
        <v>Consumer</v>
      </c>
      <c r="L47" s="1" t="str">
        <f ca="1">IFERROR(__xludf.DUMMYFUNCTION("""COMPUTED_VALUE"""),"United States")</f>
        <v>United States</v>
      </c>
      <c r="M47" s="1" t="str">
        <f ca="1">IFERROR(__xludf.DUMMYFUNCTION("""COMPUTED_VALUE"""),"Los Angeles")</f>
        <v>Los Angeles</v>
      </c>
      <c r="N47" s="1" t="str">
        <f ca="1">IFERROR(__xludf.DUMMYFUNCTION("""COMPUTED_VALUE"""),"California")</f>
        <v>California</v>
      </c>
      <c r="O47" s="1">
        <f ca="1">IFERROR(__xludf.DUMMYFUNCTION("""COMPUTED_VALUE"""),90004)</f>
        <v>90004</v>
      </c>
      <c r="P47" s="1" t="str">
        <f ca="1">IFERROR(__xludf.DUMMYFUNCTION("""COMPUTED_VALUE"""),"West")</f>
        <v>West</v>
      </c>
      <c r="Q47" s="1" t="str">
        <f ca="1">IFERROR(__xludf.DUMMYFUNCTION("""COMPUTED_VALUE"""),"OFF-PA-10001144")</f>
        <v>OFF-PA-10001144</v>
      </c>
      <c r="R47" s="1" t="str">
        <f ca="1">IFERROR(__xludf.DUMMYFUNCTION("""COMPUTED_VALUE"""),"Office Supplies")</f>
        <v>Office Supplies</v>
      </c>
      <c r="S47" s="7">
        <f ca="1">IFERROR(__xludf.DUMMYFUNCTION("""COMPUTED_VALUE"""),110.96)</f>
        <v>110.96</v>
      </c>
      <c r="T47" s="1">
        <f ca="1">IFERROR(__xludf.DUMMYFUNCTION("""COMPUTED_VALUE"""),9)</f>
        <v>9</v>
      </c>
      <c r="U47" s="9">
        <f ca="1">IFERROR(__xludf.DUMMYFUNCTION("""COMPUTED_VALUE"""),998.64)</f>
        <v>998.64</v>
      </c>
      <c r="V47" s="9">
        <f ca="1">IFERROR(__xludf.DUMMYFUNCTION("""COMPUTED_VALUE"""),992.699999999999)</f>
        <v>992.69999999999902</v>
      </c>
      <c r="W47" s="12">
        <f ca="1">IFERROR(__xludf.DUMMYFUNCTION("""COMPUTED_VALUE"""),5.94000000000005)</f>
        <v>5.9400000000000501</v>
      </c>
    </row>
    <row r="48" spans="1:23" ht="13.2">
      <c r="A48" s="1" t="str">
        <f ca="1">IFERROR(__xludf.DUMMYFUNCTION("""COMPUTED_VALUE"""),"CA-2015-118962")</f>
        <v>CA-2015-118962</v>
      </c>
      <c r="B48" s="8">
        <f ca="1">IFERROR(__xludf.DUMMYFUNCTION("""COMPUTED_VALUE"""),42132)</f>
        <v>42132</v>
      </c>
      <c r="C48" s="1" t="str">
        <f ca="1">IFERROR(__xludf.DUMMYFUNCTION("""COMPUTED_VALUE"""),"May")</f>
        <v>May</v>
      </c>
      <c r="D48" s="1" t="str">
        <f ca="1">IFERROR(__xludf.DUMMYFUNCTION("""COMPUTED_VALUE"""),"Qtr 2")</f>
        <v>Qtr 2</v>
      </c>
      <c r="E48" s="1" t="str">
        <f ca="1">IFERROR(__xludf.DUMMYFUNCTION("""COMPUTED_VALUE"""),"9/8/2015")</f>
        <v>9/8/2015</v>
      </c>
      <c r="F48" s="1" t="str">
        <f ca="1">IFERROR(__xludf.DUMMYFUNCTION("""COMPUTED_VALUE"""),"Standard Class")</f>
        <v>Standard Class</v>
      </c>
      <c r="G48" s="1" t="str">
        <f ca="1">IFERROR(__xludf.DUMMYFUNCTION("""COMPUTED_VALUE"""),"CS-12130")</f>
        <v>CS-12130</v>
      </c>
      <c r="H48" s="1" t="str">
        <f ca="1">IFERROR(__xludf.DUMMYFUNCTION("""COMPUTED_VALUE"""),"Chad")</f>
        <v>Chad</v>
      </c>
      <c r="I48" s="1" t="str">
        <f ca="1">IFERROR(__xludf.DUMMYFUNCTION("""COMPUTED_VALUE"""),"Sievert")</f>
        <v>Sievert</v>
      </c>
      <c r="J48" s="1"/>
      <c r="K48" s="1" t="str">
        <f ca="1">IFERROR(__xludf.DUMMYFUNCTION("""COMPUTED_VALUE"""),"Consumer")</f>
        <v>Consumer</v>
      </c>
      <c r="L48" s="1" t="str">
        <f ca="1">IFERROR(__xludf.DUMMYFUNCTION("""COMPUTED_VALUE"""),"United States")</f>
        <v>United States</v>
      </c>
      <c r="M48" s="1" t="str">
        <f ca="1">IFERROR(__xludf.DUMMYFUNCTION("""COMPUTED_VALUE"""),"Los Angeles")</f>
        <v>Los Angeles</v>
      </c>
      <c r="N48" s="1" t="str">
        <f ca="1">IFERROR(__xludf.DUMMYFUNCTION("""COMPUTED_VALUE"""),"California")</f>
        <v>California</v>
      </c>
      <c r="O48" s="1">
        <f ca="1">IFERROR(__xludf.DUMMYFUNCTION("""COMPUTED_VALUE"""),90004)</f>
        <v>90004</v>
      </c>
      <c r="P48" s="1" t="str">
        <f ca="1">IFERROR(__xludf.DUMMYFUNCTION("""COMPUTED_VALUE"""),"West")</f>
        <v>West</v>
      </c>
      <c r="Q48" s="1" t="str">
        <f ca="1">IFERROR(__xludf.DUMMYFUNCTION("""COMPUTED_VALUE"""),"FUR-CH-10003817")</f>
        <v>FUR-CH-10003817</v>
      </c>
      <c r="R48" s="1" t="str">
        <f ca="1">IFERROR(__xludf.DUMMYFUNCTION("""COMPUTED_VALUE"""),"Furniture")</f>
        <v>Furniture</v>
      </c>
      <c r="S48" s="7">
        <f ca="1">IFERROR(__xludf.DUMMYFUNCTION("""COMPUTED_VALUE"""),340.144)</f>
        <v>340.14400000000001</v>
      </c>
      <c r="T48" s="1">
        <f ca="1">IFERROR(__xludf.DUMMYFUNCTION("""COMPUTED_VALUE"""),9)</f>
        <v>9</v>
      </c>
      <c r="U48" s="9">
        <f ca="1">IFERROR(__xludf.DUMMYFUNCTION("""COMPUTED_VALUE"""),3061.296)</f>
        <v>3061.2959999999998</v>
      </c>
      <c r="V48" s="9">
        <f ca="1">IFERROR(__xludf.DUMMYFUNCTION("""COMPUTED_VALUE"""),3055.14)</f>
        <v>3055.14</v>
      </c>
      <c r="W48" s="12">
        <f ca="1">IFERROR(__xludf.DUMMYFUNCTION("""COMPUTED_VALUE"""),6.1560000000004)</f>
        <v>6.1560000000004003</v>
      </c>
    </row>
    <row r="49" spans="1:23" ht="13.2">
      <c r="A49" s="1" t="str">
        <f ca="1">IFERROR(__xludf.DUMMYFUNCTION("""COMPUTED_VALUE"""),"CA-2015-123260")</f>
        <v>CA-2015-123260</v>
      </c>
      <c r="B49" s="8">
        <f ca="1">IFERROR(__xludf.DUMMYFUNCTION("""COMPUTED_VALUE"""),42242)</f>
        <v>42242</v>
      </c>
      <c r="C49" s="1" t="str">
        <f ca="1">IFERROR(__xludf.DUMMYFUNCTION("""COMPUTED_VALUE"""),"Aug")</f>
        <v>Aug</v>
      </c>
      <c r="D49" s="1" t="str">
        <f ca="1">IFERROR(__xludf.DUMMYFUNCTION("""COMPUTED_VALUE"""),"Qtr 3")</f>
        <v>Qtr 3</v>
      </c>
      <c r="E49" s="1" t="str">
        <f ca="1">IFERROR(__xludf.DUMMYFUNCTION("""COMPUTED_VALUE"""),"30/08/2015")</f>
        <v>30/08/2015</v>
      </c>
      <c r="F49" s="1" t="str">
        <f ca="1">IFERROR(__xludf.DUMMYFUNCTION("""COMPUTED_VALUE"""),"Standard Class")</f>
        <v>Standard Class</v>
      </c>
      <c r="G49" s="1" t="str">
        <f ca="1">IFERROR(__xludf.DUMMYFUNCTION("""COMPUTED_VALUE"""),"FM-14290")</f>
        <v>FM-14290</v>
      </c>
      <c r="H49" s="1" t="str">
        <f ca="1">IFERROR(__xludf.DUMMYFUNCTION("""COMPUTED_VALUE"""),"Frank")</f>
        <v>Frank</v>
      </c>
      <c r="I49" s="1" t="str">
        <f ca="1">IFERROR(__xludf.DUMMYFUNCTION("""COMPUTED_VALUE"""),"Merwin")</f>
        <v>Merwin</v>
      </c>
      <c r="J49" s="1"/>
      <c r="K49" s="1" t="str">
        <f ca="1">IFERROR(__xludf.DUMMYFUNCTION("""COMPUTED_VALUE"""),"Home Office")</f>
        <v>Home Office</v>
      </c>
      <c r="L49" s="1" t="str">
        <f ca="1">IFERROR(__xludf.DUMMYFUNCTION("""COMPUTED_VALUE"""),"United States")</f>
        <v>United States</v>
      </c>
      <c r="M49" s="1" t="str">
        <f ca="1">IFERROR(__xludf.DUMMYFUNCTION("""COMPUTED_VALUE"""),"Los Angeles")</f>
        <v>Los Angeles</v>
      </c>
      <c r="N49" s="1" t="str">
        <f ca="1">IFERROR(__xludf.DUMMYFUNCTION("""COMPUTED_VALUE"""),"California")</f>
        <v>California</v>
      </c>
      <c r="O49" s="1">
        <f ca="1">IFERROR(__xludf.DUMMYFUNCTION("""COMPUTED_VALUE"""),90032)</f>
        <v>90032</v>
      </c>
      <c r="P49" s="1" t="str">
        <f ca="1">IFERROR(__xludf.DUMMYFUNCTION("""COMPUTED_VALUE"""),"West")</f>
        <v>West</v>
      </c>
      <c r="Q49" s="1" t="str">
        <f ca="1">IFERROR(__xludf.DUMMYFUNCTION("""COMPUTED_VALUE"""),"TEC-AC-10002323")</f>
        <v>TEC-AC-10002323</v>
      </c>
      <c r="R49" s="1" t="str">
        <f ca="1">IFERROR(__xludf.DUMMYFUNCTION("""COMPUTED_VALUE"""),"Technology")</f>
        <v>Technology</v>
      </c>
      <c r="S49" s="7">
        <f ca="1">IFERROR(__xludf.DUMMYFUNCTION("""COMPUTED_VALUE"""),176.8)</f>
        <v>176.8</v>
      </c>
      <c r="T49" s="1">
        <f ca="1">IFERROR(__xludf.DUMMYFUNCTION("""COMPUTED_VALUE"""),9)</f>
        <v>9</v>
      </c>
      <c r="U49" s="9">
        <f ca="1">IFERROR(__xludf.DUMMYFUNCTION("""COMPUTED_VALUE"""),1591.2)</f>
        <v>1591.2</v>
      </c>
      <c r="V49" s="9">
        <f ca="1">IFERROR(__xludf.DUMMYFUNCTION("""COMPUTED_VALUE"""),1588.41)</f>
        <v>1588.41</v>
      </c>
      <c r="W49" s="12">
        <f ca="1">IFERROR(__xludf.DUMMYFUNCTION("""COMPUTED_VALUE"""),2.78999999999996)</f>
        <v>2.7899999999999601</v>
      </c>
    </row>
    <row r="50" spans="1:23" ht="13.2">
      <c r="A50" s="1" t="str">
        <f ca="1">IFERROR(__xludf.DUMMYFUNCTION("""COMPUTED_VALUE"""),"CA-2016-131457")</f>
        <v>CA-2016-131457</v>
      </c>
      <c r="B50" s="8">
        <f ca="1">IFERROR(__xludf.DUMMYFUNCTION("""COMPUTED_VALUE"""),42674)</f>
        <v>42674</v>
      </c>
      <c r="C50" s="1" t="str">
        <f ca="1">IFERROR(__xludf.DUMMYFUNCTION("""COMPUTED_VALUE"""),"Oct")</f>
        <v>Oct</v>
      </c>
      <c r="D50" s="1" t="str">
        <f ca="1">IFERROR(__xludf.DUMMYFUNCTION("""COMPUTED_VALUE"""),"Qtr 4")</f>
        <v>Qtr 4</v>
      </c>
      <c r="E50" s="1" t="str">
        <f ca="1">IFERROR(__xludf.DUMMYFUNCTION("""COMPUTED_VALUE"""),"6/11/2016")</f>
        <v>6/11/2016</v>
      </c>
      <c r="F50" s="1" t="str">
        <f ca="1">IFERROR(__xludf.DUMMYFUNCTION("""COMPUTED_VALUE"""),"Standard Class")</f>
        <v>Standard Class</v>
      </c>
      <c r="G50" s="1" t="str">
        <f ca="1">IFERROR(__xludf.DUMMYFUNCTION("""COMPUTED_VALUE"""),"MZ-17515")</f>
        <v>MZ-17515</v>
      </c>
      <c r="H50" s="1" t="str">
        <f ca="1">IFERROR(__xludf.DUMMYFUNCTION("""COMPUTED_VALUE"""),"Mary")</f>
        <v>Mary</v>
      </c>
      <c r="I50" s="1" t="str">
        <f ca="1">IFERROR(__xludf.DUMMYFUNCTION("""COMPUTED_VALUE"""),"Zewe")</f>
        <v>Zewe</v>
      </c>
      <c r="J50" s="1"/>
      <c r="K50" s="1" t="str">
        <f ca="1">IFERROR(__xludf.DUMMYFUNCTION("""COMPUTED_VALUE"""),"Corporate")</f>
        <v>Corporate</v>
      </c>
      <c r="L50" s="1" t="str">
        <f ca="1">IFERROR(__xludf.DUMMYFUNCTION("""COMPUTED_VALUE"""),"United States")</f>
        <v>United States</v>
      </c>
      <c r="M50" s="1" t="str">
        <f ca="1">IFERROR(__xludf.DUMMYFUNCTION("""COMPUTED_VALUE"""),"Redlands")</f>
        <v>Redlands</v>
      </c>
      <c r="N50" s="1" t="str">
        <f ca="1">IFERROR(__xludf.DUMMYFUNCTION("""COMPUTED_VALUE"""),"California")</f>
        <v>California</v>
      </c>
      <c r="O50" s="1">
        <f ca="1">IFERROR(__xludf.DUMMYFUNCTION("""COMPUTED_VALUE"""),92374)</f>
        <v>92374</v>
      </c>
      <c r="P50" s="1" t="str">
        <f ca="1">IFERROR(__xludf.DUMMYFUNCTION("""COMPUTED_VALUE"""),"West")</f>
        <v>West</v>
      </c>
      <c r="Q50" s="1" t="str">
        <f ca="1">IFERROR(__xludf.DUMMYFUNCTION("""COMPUTED_VALUE"""),"OFF-EN-10001509")</f>
        <v>OFF-EN-10001509</v>
      </c>
      <c r="R50" s="1" t="str">
        <f ca="1">IFERROR(__xludf.DUMMYFUNCTION("""COMPUTED_VALUE"""),"Office Supplies")</f>
        <v>Office Supplies</v>
      </c>
      <c r="S50" s="7">
        <f ca="1">IFERROR(__xludf.DUMMYFUNCTION("""COMPUTED_VALUE"""),14.28)</f>
        <v>14.28</v>
      </c>
      <c r="T50" s="1">
        <f ca="1">IFERROR(__xludf.DUMMYFUNCTION("""COMPUTED_VALUE"""),9)</f>
        <v>9</v>
      </c>
      <c r="U50" s="9">
        <f ca="1">IFERROR(__xludf.DUMMYFUNCTION("""COMPUTED_VALUE"""),128.519999999999)</f>
        <v>128.51999999999899</v>
      </c>
      <c r="V50" s="9">
        <f ca="1">IFERROR(__xludf.DUMMYFUNCTION("""COMPUTED_VALUE"""),127.71)</f>
        <v>127.71</v>
      </c>
      <c r="W50" s="12">
        <f ca="1">IFERROR(__xludf.DUMMYFUNCTION("""COMPUTED_VALUE"""),0.809999999999988)</f>
        <v>0.80999999999998795</v>
      </c>
    </row>
    <row r="51" spans="1:23" ht="13.2">
      <c r="A51" s="1" t="str">
        <f ca="1">IFERROR(__xludf.DUMMYFUNCTION("""COMPUTED_VALUE"""),"CA-2018-108329")</f>
        <v>CA-2018-108329</v>
      </c>
      <c r="B51" s="8">
        <f ca="1">IFERROR(__xludf.DUMMYFUNCTION("""COMPUTED_VALUE"""),43355)</f>
        <v>43355</v>
      </c>
      <c r="C51" s="1" t="str">
        <f ca="1">IFERROR(__xludf.DUMMYFUNCTION("""COMPUTED_VALUE"""),"Sep")</f>
        <v>Sep</v>
      </c>
      <c r="D51" s="1" t="str">
        <f ca="1">IFERROR(__xludf.DUMMYFUNCTION("""COMPUTED_VALUE"""),"Qtr 3")</f>
        <v>Qtr 3</v>
      </c>
      <c r="E51" s="1" t="str">
        <f ca="1">IFERROR(__xludf.DUMMYFUNCTION("""COMPUTED_VALUE"""),"14/12/2018")</f>
        <v>14/12/2018</v>
      </c>
      <c r="F51" s="1" t="str">
        <f ca="1">IFERROR(__xludf.DUMMYFUNCTION("""COMPUTED_VALUE"""),"Standard Class")</f>
        <v>Standard Class</v>
      </c>
      <c r="G51" s="1" t="str">
        <f ca="1">IFERROR(__xludf.DUMMYFUNCTION("""COMPUTED_VALUE"""),"LE-16810")</f>
        <v>LE-16810</v>
      </c>
      <c r="H51" s="1" t="str">
        <f ca="1">IFERROR(__xludf.DUMMYFUNCTION("""COMPUTED_VALUE"""),"Laurel")</f>
        <v>Laurel</v>
      </c>
      <c r="I51" s="1" t="str">
        <f ca="1">IFERROR(__xludf.DUMMYFUNCTION("""COMPUTED_VALUE"""),"Elliston")</f>
        <v>Elliston</v>
      </c>
      <c r="J51" s="1"/>
      <c r="K51" s="1" t="str">
        <f ca="1">IFERROR(__xludf.DUMMYFUNCTION("""COMPUTED_VALUE"""),"Consumer")</f>
        <v>Consumer</v>
      </c>
      <c r="L51" s="1" t="str">
        <f ca="1">IFERROR(__xludf.DUMMYFUNCTION("""COMPUTED_VALUE"""),"United States")</f>
        <v>United States</v>
      </c>
      <c r="M51" s="1" t="str">
        <f ca="1">IFERROR(__xludf.DUMMYFUNCTION("""COMPUTED_VALUE"""),"Whittier")</f>
        <v>Whittier</v>
      </c>
      <c r="N51" s="1" t="str">
        <f ca="1">IFERROR(__xludf.DUMMYFUNCTION("""COMPUTED_VALUE"""),"California")</f>
        <v>California</v>
      </c>
      <c r="O51" s="1">
        <f ca="1">IFERROR(__xludf.DUMMYFUNCTION("""COMPUTED_VALUE"""),90604)</f>
        <v>90604</v>
      </c>
      <c r="P51" s="1" t="str">
        <f ca="1">IFERROR(__xludf.DUMMYFUNCTION("""COMPUTED_VALUE"""),"West")</f>
        <v>West</v>
      </c>
      <c r="Q51" s="1" t="str">
        <f ca="1">IFERROR(__xludf.DUMMYFUNCTION("""COMPUTED_VALUE"""),"TEC-PH-10001918")</f>
        <v>TEC-PH-10001918</v>
      </c>
      <c r="R51" s="1" t="str">
        <f ca="1">IFERROR(__xludf.DUMMYFUNCTION("""COMPUTED_VALUE"""),"Technology")</f>
        <v>Technology</v>
      </c>
      <c r="S51" s="7">
        <f ca="1">IFERROR(__xludf.DUMMYFUNCTION("""COMPUTED_VALUE"""),444.768)</f>
        <v>444.76799999999997</v>
      </c>
      <c r="T51" s="1">
        <f ca="1">IFERROR(__xludf.DUMMYFUNCTION("""COMPUTED_VALUE"""),9)</f>
        <v>9</v>
      </c>
      <c r="U51" s="9">
        <f ca="1">IFERROR(__xludf.DUMMYFUNCTION("""COMPUTED_VALUE"""),4002.912)</f>
        <v>4002.9119999999998</v>
      </c>
      <c r="V51" s="9">
        <f ca="1">IFERROR(__xludf.DUMMYFUNCTION("""COMPUTED_VALUE"""),3996.18)</f>
        <v>3996.18</v>
      </c>
      <c r="W51" s="12">
        <f ca="1">IFERROR(__xludf.DUMMYFUNCTION("""COMPUTED_VALUE"""),6.73199999999997)</f>
        <v>6.73199999999997</v>
      </c>
    </row>
    <row r="52" spans="1:23" ht="13.2">
      <c r="A52" s="1" t="str">
        <f ca="1">IFERROR(__xludf.DUMMYFUNCTION("""COMPUTED_VALUE"""),"CA-2017-130162")</f>
        <v>CA-2017-130162</v>
      </c>
      <c r="B52" s="8">
        <f ca="1">IFERROR(__xludf.DUMMYFUNCTION("""COMPUTED_VALUE"""),43036)</f>
        <v>43036</v>
      </c>
      <c r="C52" s="1" t="str">
        <f ca="1">IFERROR(__xludf.DUMMYFUNCTION("""COMPUTED_VALUE"""),"Oct")</f>
        <v>Oct</v>
      </c>
      <c r="D52" s="1" t="str">
        <f ca="1">IFERROR(__xludf.DUMMYFUNCTION("""COMPUTED_VALUE"""),"Qtr 4")</f>
        <v>Qtr 4</v>
      </c>
      <c r="E52" s="1" t="str">
        <f ca="1">IFERROR(__xludf.DUMMYFUNCTION("""COMPUTED_VALUE"""),"1/11/2017")</f>
        <v>1/11/2017</v>
      </c>
      <c r="F52" s="1" t="str">
        <f ca="1">IFERROR(__xludf.DUMMYFUNCTION("""COMPUTED_VALUE"""),"Standard Class")</f>
        <v>Standard Class</v>
      </c>
      <c r="G52" s="1" t="str">
        <f ca="1">IFERROR(__xludf.DUMMYFUNCTION("""COMPUTED_VALUE"""),"JH-15910")</f>
        <v>JH-15910</v>
      </c>
      <c r="H52" s="1" t="str">
        <f ca="1">IFERROR(__xludf.DUMMYFUNCTION("""COMPUTED_VALUE"""),"Jonathan")</f>
        <v>Jonathan</v>
      </c>
      <c r="I52" s="1" t="str">
        <f ca="1">IFERROR(__xludf.DUMMYFUNCTION("""COMPUTED_VALUE"""),"Howell")</f>
        <v>Howell</v>
      </c>
      <c r="J52" s="1"/>
      <c r="K52" s="1" t="str">
        <f ca="1">IFERROR(__xludf.DUMMYFUNCTION("""COMPUTED_VALUE"""),"Consumer")</f>
        <v>Consumer</v>
      </c>
      <c r="L52" s="1" t="str">
        <f ca="1">IFERROR(__xludf.DUMMYFUNCTION("""COMPUTED_VALUE"""),"United States")</f>
        <v>United States</v>
      </c>
      <c r="M52" s="1" t="str">
        <f ca="1">IFERROR(__xludf.DUMMYFUNCTION("""COMPUTED_VALUE"""),"Los Angeles")</f>
        <v>Los Angeles</v>
      </c>
      <c r="N52" s="1" t="str">
        <f ca="1">IFERROR(__xludf.DUMMYFUNCTION("""COMPUTED_VALUE"""),"California")</f>
        <v>California</v>
      </c>
      <c r="O52" s="1">
        <f ca="1">IFERROR(__xludf.DUMMYFUNCTION("""COMPUTED_VALUE"""),90032)</f>
        <v>90032</v>
      </c>
      <c r="P52" s="1" t="str">
        <f ca="1">IFERROR(__xludf.DUMMYFUNCTION("""COMPUTED_VALUE"""),"West")</f>
        <v>West</v>
      </c>
      <c r="Q52" s="1" t="str">
        <f ca="1">IFERROR(__xludf.DUMMYFUNCTION("""COMPUTED_VALUE"""),"OFF-ST-10001328")</f>
        <v>OFF-ST-10001328</v>
      </c>
      <c r="R52" s="1" t="str">
        <f ca="1">IFERROR(__xludf.DUMMYFUNCTION("""COMPUTED_VALUE"""),"Office Supplies")</f>
        <v>Office Supplies</v>
      </c>
      <c r="S52" s="7">
        <f ca="1">IFERROR(__xludf.DUMMYFUNCTION("""COMPUTED_VALUE"""),93.06)</f>
        <v>93.06</v>
      </c>
      <c r="T52" s="1">
        <f ca="1">IFERROR(__xludf.DUMMYFUNCTION("""COMPUTED_VALUE"""),9)</f>
        <v>9</v>
      </c>
      <c r="U52" s="9">
        <f ca="1">IFERROR(__xludf.DUMMYFUNCTION("""COMPUTED_VALUE"""),837.54)</f>
        <v>837.54</v>
      </c>
      <c r="V52" s="9">
        <f ca="1">IFERROR(__xludf.DUMMYFUNCTION("""COMPUTED_VALUE"""),831.33)</f>
        <v>831.33</v>
      </c>
      <c r="W52" s="12">
        <f ca="1">IFERROR(__xludf.DUMMYFUNCTION("""COMPUTED_VALUE"""),6.20999999999992)</f>
        <v>6.20999999999992</v>
      </c>
    </row>
    <row r="53" spans="1:23" ht="13.2">
      <c r="A53" s="1" t="str">
        <f ca="1">IFERROR(__xludf.DUMMYFUNCTION("""COMPUTED_VALUE"""),"CA-2017-130162")</f>
        <v>CA-2017-130162</v>
      </c>
      <c r="B53" s="8">
        <f ca="1">IFERROR(__xludf.DUMMYFUNCTION("""COMPUTED_VALUE"""),43036)</f>
        <v>43036</v>
      </c>
      <c r="C53" s="1" t="str">
        <f ca="1">IFERROR(__xludf.DUMMYFUNCTION("""COMPUTED_VALUE"""),"Oct")</f>
        <v>Oct</v>
      </c>
      <c r="D53" s="1" t="str">
        <f ca="1">IFERROR(__xludf.DUMMYFUNCTION("""COMPUTED_VALUE"""),"Qtr 4")</f>
        <v>Qtr 4</v>
      </c>
      <c r="E53" s="1" t="str">
        <f ca="1">IFERROR(__xludf.DUMMYFUNCTION("""COMPUTED_VALUE"""),"1/11/2017")</f>
        <v>1/11/2017</v>
      </c>
      <c r="F53" s="1" t="str">
        <f ca="1">IFERROR(__xludf.DUMMYFUNCTION("""COMPUTED_VALUE"""),"Standard Class")</f>
        <v>Standard Class</v>
      </c>
      <c r="G53" s="1" t="str">
        <f ca="1">IFERROR(__xludf.DUMMYFUNCTION("""COMPUTED_VALUE"""),"JH-15910")</f>
        <v>JH-15910</v>
      </c>
      <c r="H53" s="1" t="str">
        <f ca="1">IFERROR(__xludf.DUMMYFUNCTION("""COMPUTED_VALUE"""),"Jonathan")</f>
        <v>Jonathan</v>
      </c>
      <c r="I53" s="1" t="str">
        <f ca="1">IFERROR(__xludf.DUMMYFUNCTION("""COMPUTED_VALUE"""),"Howell")</f>
        <v>Howell</v>
      </c>
      <c r="J53" s="1"/>
      <c r="K53" s="1" t="str">
        <f ca="1">IFERROR(__xludf.DUMMYFUNCTION("""COMPUTED_VALUE"""),"Consumer")</f>
        <v>Consumer</v>
      </c>
      <c r="L53" s="1" t="str">
        <f ca="1">IFERROR(__xludf.DUMMYFUNCTION("""COMPUTED_VALUE"""),"United States")</f>
        <v>United States</v>
      </c>
      <c r="M53" s="1" t="str">
        <f ca="1">IFERROR(__xludf.DUMMYFUNCTION("""COMPUTED_VALUE"""),"Los Angeles")</f>
        <v>Los Angeles</v>
      </c>
      <c r="N53" s="1" t="str">
        <f ca="1">IFERROR(__xludf.DUMMYFUNCTION("""COMPUTED_VALUE"""),"California")</f>
        <v>California</v>
      </c>
      <c r="O53" s="1">
        <f ca="1">IFERROR(__xludf.DUMMYFUNCTION("""COMPUTED_VALUE"""),90032)</f>
        <v>90032</v>
      </c>
      <c r="P53" s="1" t="str">
        <f ca="1">IFERROR(__xludf.DUMMYFUNCTION("""COMPUTED_VALUE"""),"West")</f>
        <v>West</v>
      </c>
      <c r="Q53" s="1" t="str">
        <f ca="1">IFERROR(__xludf.DUMMYFUNCTION("""COMPUTED_VALUE"""),"TEC-PH-10002563")</f>
        <v>TEC-PH-10002563</v>
      </c>
      <c r="R53" s="1" t="str">
        <f ca="1">IFERROR(__xludf.DUMMYFUNCTION("""COMPUTED_VALUE"""),"Technology")</f>
        <v>Technology</v>
      </c>
      <c r="S53" s="7">
        <f ca="1">IFERROR(__xludf.DUMMYFUNCTION("""COMPUTED_VALUE"""),302.376)</f>
        <v>302.37599999999998</v>
      </c>
      <c r="T53" s="1">
        <f ca="1">IFERROR(__xludf.DUMMYFUNCTION("""COMPUTED_VALUE"""),9)</f>
        <v>9</v>
      </c>
      <c r="U53" s="9">
        <f ca="1">IFERROR(__xludf.DUMMYFUNCTION("""COMPUTED_VALUE"""),2721.384)</f>
        <v>2721.384</v>
      </c>
      <c r="V53" s="9">
        <f ca="1">IFERROR(__xludf.DUMMYFUNCTION("""COMPUTED_VALUE"""),2717.00999999999)</f>
        <v>2717.0099999999902</v>
      </c>
      <c r="W53" s="12">
        <f ca="1">IFERROR(__xludf.DUMMYFUNCTION("""COMPUTED_VALUE"""),4.37400000000025)</f>
        <v>4.3740000000002501</v>
      </c>
    </row>
    <row r="54" spans="1:23" ht="13.2">
      <c r="A54" s="1" t="str">
        <f ca="1">IFERROR(__xludf.DUMMYFUNCTION("""COMPUTED_VALUE"""),"CA-2018-160514")</f>
        <v>CA-2018-160514</v>
      </c>
      <c r="B54" s="8">
        <f ca="1">IFERROR(__xludf.DUMMYFUNCTION("""COMPUTED_VALUE"""),43445)</f>
        <v>43445</v>
      </c>
      <c r="C54" s="1" t="str">
        <f ca="1">IFERROR(__xludf.DUMMYFUNCTION("""COMPUTED_VALUE"""),"Dec")</f>
        <v>Dec</v>
      </c>
      <c r="D54" s="1" t="str">
        <f ca="1">IFERROR(__xludf.DUMMYFUNCTION("""COMPUTED_VALUE"""),"Qtr 4")</f>
        <v>Qtr 4</v>
      </c>
      <c r="E54" s="1" t="str">
        <f ca="1">IFERROR(__xludf.DUMMYFUNCTION("""COMPUTED_VALUE"""),"16/11/2018")</f>
        <v>16/11/2018</v>
      </c>
      <c r="F54" s="1" t="str">
        <f ca="1">IFERROR(__xludf.DUMMYFUNCTION("""COMPUTED_VALUE"""),"Standard Class")</f>
        <v>Standard Class</v>
      </c>
      <c r="G54" s="1" t="str">
        <f ca="1">IFERROR(__xludf.DUMMYFUNCTION("""COMPUTED_VALUE"""),"DB-13120")</f>
        <v>DB-13120</v>
      </c>
      <c r="H54" s="1" t="str">
        <f ca="1">IFERROR(__xludf.DUMMYFUNCTION("""COMPUTED_VALUE"""),"David")</f>
        <v>David</v>
      </c>
      <c r="I54" s="1" t="str">
        <f ca="1">IFERROR(__xludf.DUMMYFUNCTION("""COMPUTED_VALUE"""),"Bremer")</f>
        <v>Bremer</v>
      </c>
      <c r="J54" s="1"/>
      <c r="K54" s="1" t="str">
        <f ca="1">IFERROR(__xludf.DUMMYFUNCTION("""COMPUTED_VALUE"""),"Corporate")</f>
        <v>Corporate</v>
      </c>
      <c r="L54" s="1" t="str">
        <f ca="1">IFERROR(__xludf.DUMMYFUNCTION("""COMPUTED_VALUE"""),"United States")</f>
        <v>United States</v>
      </c>
      <c r="M54" s="1" t="str">
        <f ca="1">IFERROR(__xludf.DUMMYFUNCTION("""COMPUTED_VALUE"""),"Santa Clara")</f>
        <v>Santa Clara</v>
      </c>
      <c r="N54" s="1" t="str">
        <f ca="1">IFERROR(__xludf.DUMMYFUNCTION("""COMPUTED_VALUE"""),"California")</f>
        <v>California</v>
      </c>
      <c r="O54" s="1">
        <f ca="1">IFERROR(__xludf.DUMMYFUNCTION("""COMPUTED_VALUE"""),95051)</f>
        <v>95051</v>
      </c>
      <c r="P54" s="1" t="str">
        <f ca="1">IFERROR(__xludf.DUMMYFUNCTION("""COMPUTED_VALUE"""),"West")</f>
        <v>West</v>
      </c>
      <c r="Q54" s="1" t="str">
        <f ca="1">IFERROR(__xludf.DUMMYFUNCTION("""COMPUTED_VALUE"""),"OFF-PA-10002479")</f>
        <v>OFF-PA-10002479</v>
      </c>
      <c r="R54" s="1" t="str">
        <f ca="1">IFERROR(__xludf.DUMMYFUNCTION("""COMPUTED_VALUE"""),"Office Supplies")</f>
        <v>Office Supplies</v>
      </c>
      <c r="S54" s="7">
        <f ca="1">IFERROR(__xludf.DUMMYFUNCTION("""COMPUTED_VALUE"""),10.56)</f>
        <v>10.56</v>
      </c>
      <c r="T54" s="1">
        <f ca="1">IFERROR(__xludf.DUMMYFUNCTION("""COMPUTED_VALUE"""),9)</f>
        <v>9</v>
      </c>
      <c r="U54" s="9">
        <f ca="1">IFERROR(__xludf.DUMMYFUNCTION("""COMPUTED_VALUE"""),95.04)</f>
        <v>95.04</v>
      </c>
      <c r="V54" s="9">
        <f ca="1">IFERROR(__xludf.DUMMYFUNCTION("""COMPUTED_VALUE"""),87.39)</f>
        <v>87.39</v>
      </c>
      <c r="W54" s="12">
        <f ca="1">IFERROR(__xludf.DUMMYFUNCTION("""COMPUTED_VALUE"""),7.64999999999999)</f>
        <v>7.6499999999999897</v>
      </c>
    </row>
    <row r="55" spans="1:23" ht="13.2">
      <c r="A55" s="1" t="str">
        <f ca="1">IFERROR(__xludf.DUMMYFUNCTION("""COMPUTED_VALUE"""),"CA-2017-154739")</f>
        <v>CA-2017-154739</v>
      </c>
      <c r="B55" s="8">
        <f ca="1">IFERROR(__xludf.DUMMYFUNCTION("""COMPUTED_VALUE"""),43020)</f>
        <v>43020</v>
      </c>
      <c r="C55" s="1" t="str">
        <f ca="1">IFERROR(__xludf.DUMMYFUNCTION("""COMPUTED_VALUE"""),"Oct")</f>
        <v>Oct</v>
      </c>
      <c r="D55" s="1" t="str">
        <f ca="1">IFERROR(__xludf.DUMMYFUNCTION("""COMPUTED_VALUE"""),"Qtr 4")</f>
        <v>Qtr 4</v>
      </c>
      <c r="E55" s="1" t="str">
        <f ca="1">IFERROR(__xludf.DUMMYFUNCTION("""COMPUTED_VALUE"""),"15/12/2017")</f>
        <v>15/12/2017</v>
      </c>
      <c r="F55" s="1" t="str">
        <f ca="1">IFERROR(__xludf.DUMMYFUNCTION("""COMPUTED_VALUE"""),"Second Class")</f>
        <v>Second Class</v>
      </c>
      <c r="G55" s="1" t="str">
        <f ca="1">IFERROR(__xludf.DUMMYFUNCTION("""COMPUTED_VALUE"""),"LH-17155")</f>
        <v>LH-17155</v>
      </c>
      <c r="H55" s="1" t="str">
        <f ca="1">IFERROR(__xludf.DUMMYFUNCTION("""COMPUTED_VALUE"""),"Logan")</f>
        <v>Logan</v>
      </c>
      <c r="I55" s="1" t="str">
        <f ca="1">IFERROR(__xludf.DUMMYFUNCTION("""COMPUTED_VALUE"""),"Haushalter")</f>
        <v>Haushalter</v>
      </c>
      <c r="J55" s="1"/>
      <c r="K55" s="1" t="str">
        <f ca="1">IFERROR(__xludf.DUMMYFUNCTION("""COMPUTED_VALUE"""),"Consumer")</f>
        <v>Consumer</v>
      </c>
      <c r="L55" s="1" t="str">
        <f ca="1">IFERROR(__xludf.DUMMYFUNCTION("""COMPUTED_VALUE"""),"United States")</f>
        <v>United States</v>
      </c>
      <c r="M55" s="1" t="str">
        <f ca="1">IFERROR(__xludf.DUMMYFUNCTION("""COMPUTED_VALUE"""),"San Francisco")</f>
        <v>San Francisco</v>
      </c>
      <c r="N55" s="1" t="str">
        <f ca="1">IFERROR(__xludf.DUMMYFUNCTION("""COMPUTED_VALUE"""),"California")</f>
        <v>California</v>
      </c>
      <c r="O55" s="1">
        <f ca="1">IFERROR(__xludf.DUMMYFUNCTION("""COMPUTED_VALUE"""),94109)</f>
        <v>94109</v>
      </c>
      <c r="P55" s="1" t="str">
        <f ca="1">IFERROR(__xludf.DUMMYFUNCTION("""COMPUTED_VALUE"""),"West")</f>
        <v>West</v>
      </c>
      <c r="Q55" s="1" t="str">
        <f ca="1">IFERROR(__xludf.DUMMYFUNCTION("""COMPUTED_VALUE"""),"FUR-CH-10002965")</f>
        <v>FUR-CH-10002965</v>
      </c>
      <c r="R55" s="1" t="str">
        <f ca="1">IFERROR(__xludf.DUMMYFUNCTION("""COMPUTED_VALUE"""),"Furniture")</f>
        <v>Furniture</v>
      </c>
      <c r="S55" s="7">
        <f ca="1">IFERROR(__xludf.DUMMYFUNCTION("""COMPUTED_VALUE"""),321.568)</f>
        <v>321.56799999999998</v>
      </c>
      <c r="T55" s="1">
        <f ca="1">IFERROR(__xludf.DUMMYFUNCTION("""COMPUTED_VALUE"""),9)</f>
        <v>9</v>
      </c>
      <c r="U55" s="9">
        <f ca="1">IFERROR(__xludf.DUMMYFUNCTION("""COMPUTED_VALUE"""),2894.112)</f>
        <v>2894.1120000000001</v>
      </c>
      <c r="V55" s="9">
        <f ca="1">IFERROR(__xludf.DUMMYFUNCTION("""COMPUTED_VALUE"""),2887.65)</f>
        <v>2887.65</v>
      </c>
      <c r="W55" s="12">
        <f ca="1">IFERROR(__xludf.DUMMYFUNCTION("""COMPUTED_VALUE"""),6.46199999999998)</f>
        <v>6.4619999999999802</v>
      </c>
    </row>
    <row r="56" spans="1:23" ht="13.2">
      <c r="A56" s="1" t="str">
        <f ca="1">IFERROR(__xludf.DUMMYFUNCTION("""COMPUTED_VALUE"""),"CA-2017-145625")</f>
        <v>CA-2017-145625</v>
      </c>
      <c r="B56" s="8">
        <f ca="1">IFERROR(__xludf.DUMMYFUNCTION("""COMPUTED_VALUE"""),43048)</f>
        <v>43048</v>
      </c>
      <c r="C56" s="1" t="str">
        <f ca="1">IFERROR(__xludf.DUMMYFUNCTION("""COMPUTED_VALUE"""),"Nov")</f>
        <v>Nov</v>
      </c>
      <c r="D56" s="1" t="str">
        <f ca="1">IFERROR(__xludf.DUMMYFUNCTION("""COMPUTED_VALUE"""),"Qtr 4")</f>
        <v>Qtr 4</v>
      </c>
      <c r="E56" s="1" t="str">
        <f ca="1">IFERROR(__xludf.DUMMYFUNCTION("""COMPUTED_VALUE"""),"17/09/2017")</f>
        <v>17/09/2017</v>
      </c>
      <c r="F56" s="1" t="str">
        <f ca="1">IFERROR(__xludf.DUMMYFUNCTION("""COMPUTED_VALUE"""),"Standard Class")</f>
        <v>Standard Class</v>
      </c>
      <c r="G56" s="1" t="str">
        <f ca="1">IFERROR(__xludf.DUMMYFUNCTION("""COMPUTED_VALUE"""),"KC-16540")</f>
        <v>KC-16540</v>
      </c>
      <c r="H56" s="1" t="str">
        <f ca="1">IFERROR(__xludf.DUMMYFUNCTION("""COMPUTED_VALUE"""),"Kelly")</f>
        <v>Kelly</v>
      </c>
      <c r="I56" s="1" t="str">
        <f ca="1">IFERROR(__xludf.DUMMYFUNCTION("""COMPUTED_VALUE"""),"Collister")</f>
        <v>Collister</v>
      </c>
      <c r="J56" s="1"/>
      <c r="K56" s="1" t="str">
        <f ca="1">IFERROR(__xludf.DUMMYFUNCTION("""COMPUTED_VALUE"""),"Consumer")</f>
        <v>Consumer</v>
      </c>
      <c r="L56" s="1" t="str">
        <f ca="1">IFERROR(__xludf.DUMMYFUNCTION("""COMPUTED_VALUE"""),"United States")</f>
        <v>United States</v>
      </c>
      <c r="M56" s="1" t="str">
        <f ca="1">IFERROR(__xludf.DUMMYFUNCTION("""COMPUTED_VALUE"""),"San Diego")</f>
        <v>San Diego</v>
      </c>
      <c r="N56" s="1" t="str">
        <f ca="1">IFERROR(__xludf.DUMMYFUNCTION("""COMPUTED_VALUE"""),"California")</f>
        <v>California</v>
      </c>
      <c r="O56" s="1">
        <f ca="1">IFERROR(__xludf.DUMMYFUNCTION("""COMPUTED_VALUE"""),92037)</f>
        <v>92037</v>
      </c>
      <c r="P56" s="1" t="str">
        <f ca="1">IFERROR(__xludf.DUMMYFUNCTION("""COMPUTED_VALUE"""),"West")</f>
        <v>West</v>
      </c>
      <c r="Q56" s="1" t="str">
        <f ca="1">IFERROR(__xludf.DUMMYFUNCTION("""COMPUTED_VALUE"""),"OFF-PA-10004569")</f>
        <v>OFF-PA-10004569</v>
      </c>
      <c r="R56" s="1" t="str">
        <f ca="1">IFERROR(__xludf.DUMMYFUNCTION("""COMPUTED_VALUE"""),"Office Supplies")</f>
        <v>Office Supplies</v>
      </c>
      <c r="S56" s="7">
        <f ca="1">IFERROR(__xludf.DUMMYFUNCTION("""COMPUTED_VALUE"""),7.61)</f>
        <v>7.61</v>
      </c>
      <c r="T56" s="1">
        <f ca="1">IFERROR(__xludf.DUMMYFUNCTION("""COMPUTED_VALUE"""),9)</f>
        <v>9</v>
      </c>
      <c r="U56" s="9">
        <f ca="1">IFERROR(__xludf.DUMMYFUNCTION("""COMPUTED_VALUE"""),68.49)</f>
        <v>68.489999999999995</v>
      </c>
      <c r="V56" s="9">
        <f ca="1">IFERROR(__xludf.DUMMYFUNCTION("""COMPUTED_VALUE"""),65.7)</f>
        <v>65.7</v>
      </c>
      <c r="W56" s="12">
        <f ca="1">IFERROR(__xludf.DUMMYFUNCTION("""COMPUTED_VALUE"""),2.79)</f>
        <v>2.79</v>
      </c>
    </row>
    <row r="57" spans="1:23" ht="13.2">
      <c r="A57" s="1" t="str">
        <f ca="1">IFERROR(__xludf.DUMMYFUNCTION("""COMPUTED_VALUE"""),"CA-2017-145625")</f>
        <v>CA-2017-145625</v>
      </c>
      <c r="B57" s="8">
        <f ca="1">IFERROR(__xludf.DUMMYFUNCTION("""COMPUTED_VALUE"""),43048)</f>
        <v>43048</v>
      </c>
      <c r="C57" s="1" t="str">
        <f ca="1">IFERROR(__xludf.DUMMYFUNCTION("""COMPUTED_VALUE"""),"Nov")</f>
        <v>Nov</v>
      </c>
      <c r="D57" s="1" t="str">
        <f ca="1">IFERROR(__xludf.DUMMYFUNCTION("""COMPUTED_VALUE"""),"Qtr 4")</f>
        <v>Qtr 4</v>
      </c>
      <c r="E57" s="1" t="str">
        <f ca="1">IFERROR(__xludf.DUMMYFUNCTION("""COMPUTED_VALUE"""),"17/09/2017")</f>
        <v>17/09/2017</v>
      </c>
      <c r="F57" s="1" t="str">
        <f ca="1">IFERROR(__xludf.DUMMYFUNCTION("""COMPUTED_VALUE"""),"Standard Class")</f>
        <v>Standard Class</v>
      </c>
      <c r="G57" s="1" t="str">
        <f ca="1">IFERROR(__xludf.DUMMYFUNCTION("""COMPUTED_VALUE"""),"KC-16540")</f>
        <v>KC-16540</v>
      </c>
      <c r="H57" s="1" t="str">
        <f ca="1">IFERROR(__xludf.DUMMYFUNCTION("""COMPUTED_VALUE"""),"Kelly")</f>
        <v>Kelly</v>
      </c>
      <c r="I57" s="1" t="str">
        <f ca="1">IFERROR(__xludf.DUMMYFUNCTION("""COMPUTED_VALUE"""),"Collister")</f>
        <v>Collister</v>
      </c>
      <c r="J57" s="1"/>
      <c r="K57" s="1" t="str">
        <f ca="1">IFERROR(__xludf.DUMMYFUNCTION("""COMPUTED_VALUE"""),"Consumer")</f>
        <v>Consumer</v>
      </c>
      <c r="L57" s="1" t="str">
        <f ca="1">IFERROR(__xludf.DUMMYFUNCTION("""COMPUTED_VALUE"""),"United States")</f>
        <v>United States</v>
      </c>
      <c r="M57" s="1" t="str">
        <f ca="1">IFERROR(__xludf.DUMMYFUNCTION("""COMPUTED_VALUE"""),"San Diego")</f>
        <v>San Diego</v>
      </c>
      <c r="N57" s="1" t="str">
        <f ca="1">IFERROR(__xludf.DUMMYFUNCTION("""COMPUTED_VALUE"""),"California")</f>
        <v>California</v>
      </c>
      <c r="O57" s="1">
        <f ca="1">IFERROR(__xludf.DUMMYFUNCTION("""COMPUTED_VALUE"""),92037)</f>
        <v>92037</v>
      </c>
      <c r="P57" s="1" t="str">
        <f ca="1">IFERROR(__xludf.DUMMYFUNCTION("""COMPUTED_VALUE"""),"West")</f>
        <v>West</v>
      </c>
      <c r="Q57" s="1" t="str">
        <f ca="1">IFERROR(__xludf.DUMMYFUNCTION("""COMPUTED_VALUE"""),"TEC-AC-10003832")</f>
        <v>TEC-AC-10003832</v>
      </c>
      <c r="R57" s="1" t="str">
        <f ca="1">IFERROR(__xludf.DUMMYFUNCTION("""COMPUTED_VALUE"""),"Technology")</f>
        <v>Technology</v>
      </c>
      <c r="S57" s="7">
        <f ca="1">IFERROR(__xludf.DUMMYFUNCTION("""COMPUTED_VALUE"""),3347.37)</f>
        <v>3347.37</v>
      </c>
      <c r="T57" s="1">
        <f ca="1">IFERROR(__xludf.DUMMYFUNCTION("""COMPUTED_VALUE"""),9)</f>
        <v>9</v>
      </c>
      <c r="U57" s="9">
        <f ca="1">IFERROR(__xludf.DUMMYFUNCTION("""COMPUTED_VALUE"""),30126.3299999999)</f>
        <v>30126.3299999999</v>
      </c>
      <c r="V57" s="9">
        <f ca="1">IFERROR(__xludf.DUMMYFUNCTION("""COMPUTED_VALUE"""),30125.97)</f>
        <v>30125.97</v>
      </c>
      <c r="W57" s="12">
        <f ca="1">IFERROR(__xludf.DUMMYFUNCTION("""COMPUTED_VALUE"""),0.359999999996944)</f>
        <v>0.35999999999694399</v>
      </c>
    </row>
    <row r="58" spans="1:23" ht="13.2">
      <c r="A58" s="1" t="str">
        <f ca="1">IFERROR(__xludf.DUMMYFUNCTION("""COMPUTED_VALUE"""),"CA-2016-155040")</f>
        <v>CA-2016-155040</v>
      </c>
      <c r="B58" s="8">
        <f ca="1">IFERROR(__xludf.DUMMYFUNCTION("""COMPUTED_VALUE"""),42654)</f>
        <v>42654</v>
      </c>
      <c r="C58" s="1" t="str">
        <f ca="1">IFERROR(__xludf.DUMMYFUNCTION("""COMPUTED_VALUE"""),"Oct")</f>
        <v>Oct</v>
      </c>
      <c r="D58" s="1" t="str">
        <f ca="1">IFERROR(__xludf.DUMMYFUNCTION("""COMPUTED_VALUE"""),"Qtr 4")</f>
        <v>Qtr 4</v>
      </c>
      <c r="E58" s="1" t="str">
        <f ca="1">IFERROR(__xludf.DUMMYFUNCTION("""COMPUTED_VALUE"""),"15/11/2016")</f>
        <v>15/11/2016</v>
      </c>
      <c r="F58" s="1" t="str">
        <f ca="1">IFERROR(__xludf.DUMMYFUNCTION("""COMPUTED_VALUE"""),"Standard Class")</f>
        <v>Standard Class</v>
      </c>
      <c r="G58" s="1" t="str">
        <f ca="1">IFERROR(__xludf.DUMMYFUNCTION("""COMPUTED_VALUE"""),"AH-10210")</f>
        <v>AH-10210</v>
      </c>
      <c r="H58" s="1" t="str">
        <f ca="1">IFERROR(__xludf.DUMMYFUNCTION("""COMPUTED_VALUE"""),"Alan")</f>
        <v>Alan</v>
      </c>
      <c r="I58" s="1" t="str">
        <f ca="1">IFERROR(__xludf.DUMMYFUNCTION("""COMPUTED_VALUE"""),"Hwang")</f>
        <v>Hwang</v>
      </c>
      <c r="J58" s="1"/>
      <c r="K58" s="1" t="str">
        <f ca="1">IFERROR(__xludf.DUMMYFUNCTION("""COMPUTED_VALUE"""),"Consumer")</f>
        <v>Consumer</v>
      </c>
      <c r="L58" s="1" t="str">
        <f ca="1">IFERROR(__xludf.DUMMYFUNCTION("""COMPUTED_VALUE"""),"United States")</f>
        <v>United States</v>
      </c>
      <c r="M58" s="1" t="str">
        <f ca="1">IFERROR(__xludf.DUMMYFUNCTION("""COMPUTED_VALUE"""),"Brentwood")</f>
        <v>Brentwood</v>
      </c>
      <c r="N58" s="1" t="str">
        <f ca="1">IFERROR(__xludf.DUMMYFUNCTION("""COMPUTED_VALUE"""),"California")</f>
        <v>California</v>
      </c>
      <c r="O58" s="1">
        <f ca="1">IFERROR(__xludf.DUMMYFUNCTION("""COMPUTED_VALUE"""),94513)</f>
        <v>94513</v>
      </c>
      <c r="P58" s="1" t="str">
        <f ca="1">IFERROR(__xludf.DUMMYFUNCTION("""COMPUTED_VALUE"""),"West")</f>
        <v>West</v>
      </c>
      <c r="Q58" s="1" t="str">
        <f ca="1">IFERROR(__xludf.DUMMYFUNCTION("""COMPUTED_VALUE"""),"TEC-AC-10004469")</f>
        <v>TEC-AC-10004469</v>
      </c>
      <c r="R58" s="1" t="str">
        <f ca="1">IFERROR(__xludf.DUMMYFUNCTION("""COMPUTED_VALUE"""),"Technology")</f>
        <v>Technology</v>
      </c>
      <c r="S58" s="7">
        <f ca="1">IFERROR(__xludf.DUMMYFUNCTION("""COMPUTED_VALUE"""),79.9)</f>
        <v>79.900000000000006</v>
      </c>
      <c r="T58" s="1">
        <f ca="1">IFERROR(__xludf.DUMMYFUNCTION("""COMPUTED_VALUE"""),9)</f>
        <v>9</v>
      </c>
      <c r="U58" s="9">
        <f ca="1">IFERROR(__xludf.DUMMYFUNCTION("""COMPUTED_VALUE"""),719.1)</f>
        <v>719.1</v>
      </c>
      <c r="V58" s="9">
        <f ca="1">IFERROR(__xludf.DUMMYFUNCTION("""COMPUTED_VALUE"""),712.8)</f>
        <v>712.8</v>
      </c>
      <c r="W58" s="12">
        <f ca="1">IFERROR(__xludf.DUMMYFUNCTION("""COMPUTED_VALUE"""),6.29999999999995)</f>
        <v>6.2999999999999501</v>
      </c>
    </row>
    <row r="59" spans="1:23" ht="13.2">
      <c r="A59" s="1" t="str">
        <f ca="1">IFERROR(__xludf.DUMMYFUNCTION("""COMPUTED_VALUE"""),"CA-2018-163979")</f>
        <v>CA-2018-163979</v>
      </c>
      <c r="B59" s="8">
        <f ca="1">IFERROR(__xludf.DUMMYFUNCTION("""COMPUTED_VALUE"""),43462)</f>
        <v>43462</v>
      </c>
      <c r="C59" s="1" t="str">
        <f ca="1">IFERROR(__xludf.DUMMYFUNCTION("""COMPUTED_VALUE"""),"Dec")</f>
        <v>Dec</v>
      </c>
      <c r="D59" s="1" t="str">
        <f ca="1">IFERROR(__xludf.DUMMYFUNCTION("""COMPUTED_VALUE"""),"Qtr 4")</f>
        <v>Qtr 4</v>
      </c>
      <c r="E59" s="1" t="str">
        <f ca="1">IFERROR(__xludf.DUMMYFUNCTION("""COMPUTED_VALUE"""),"2/1/2019")</f>
        <v>2/1/2019</v>
      </c>
      <c r="F59" s="1" t="str">
        <f ca="1">IFERROR(__xludf.DUMMYFUNCTION("""COMPUTED_VALUE"""),"Second Class")</f>
        <v>Second Class</v>
      </c>
      <c r="G59" s="1" t="str">
        <f ca="1">IFERROR(__xludf.DUMMYFUNCTION("""COMPUTED_VALUE"""),"KH-16690")</f>
        <v>KH-16690</v>
      </c>
      <c r="H59" s="1" t="str">
        <f ca="1">IFERROR(__xludf.DUMMYFUNCTION("""COMPUTED_VALUE"""),"Kristen")</f>
        <v>Kristen</v>
      </c>
      <c r="I59" s="1" t="str">
        <f ca="1">IFERROR(__xludf.DUMMYFUNCTION("""COMPUTED_VALUE"""),"Hastings")</f>
        <v>Hastings</v>
      </c>
      <c r="J59" s="1"/>
      <c r="K59" s="1" t="str">
        <f ca="1">IFERROR(__xludf.DUMMYFUNCTION("""COMPUTED_VALUE"""),"Corporate")</f>
        <v>Corporate</v>
      </c>
      <c r="L59" s="1" t="str">
        <f ca="1">IFERROR(__xludf.DUMMYFUNCTION("""COMPUTED_VALUE"""),"United States")</f>
        <v>United States</v>
      </c>
      <c r="M59" s="1" t="str">
        <f ca="1">IFERROR(__xludf.DUMMYFUNCTION("""COMPUTED_VALUE"""),"San Francisco")</f>
        <v>San Francisco</v>
      </c>
      <c r="N59" s="1" t="str">
        <f ca="1">IFERROR(__xludf.DUMMYFUNCTION("""COMPUTED_VALUE"""),"California")</f>
        <v>California</v>
      </c>
      <c r="O59" s="1">
        <f ca="1">IFERROR(__xludf.DUMMYFUNCTION("""COMPUTED_VALUE"""),94110)</f>
        <v>94110</v>
      </c>
      <c r="P59" s="1" t="str">
        <f ca="1">IFERROR(__xludf.DUMMYFUNCTION("""COMPUTED_VALUE"""),"West")</f>
        <v>West</v>
      </c>
      <c r="Q59" s="1" t="str">
        <f ca="1">IFERROR(__xludf.DUMMYFUNCTION("""COMPUTED_VALUE"""),"OFF-ST-10003208")</f>
        <v>OFF-ST-10003208</v>
      </c>
      <c r="R59" s="1" t="str">
        <f ca="1">IFERROR(__xludf.DUMMYFUNCTION("""COMPUTED_VALUE"""),"Office Supplies")</f>
        <v>Office Supplies</v>
      </c>
      <c r="S59" s="7">
        <f ca="1">IFERROR(__xludf.DUMMYFUNCTION("""COMPUTED_VALUE"""),725.84)</f>
        <v>725.84</v>
      </c>
      <c r="T59" s="1">
        <f ca="1">IFERROR(__xludf.DUMMYFUNCTION("""COMPUTED_VALUE"""),9)</f>
        <v>9</v>
      </c>
      <c r="U59" s="9">
        <f ca="1">IFERROR(__xludf.DUMMYFUNCTION("""COMPUTED_VALUE"""),6532.56)</f>
        <v>6532.56</v>
      </c>
      <c r="V59" s="9">
        <f ca="1">IFERROR(__xludf.DUMMYFUNCTION("""COMPUTED_VALUE"""),6525.99)</f>
        <v>6525.99</v>
      </c>
      <c r="W59" s="12">
        <f ca="1">IFERROR(__xludf.DUMMYFUNCTION("""COMPUTED_VALUE"""),6.57000000000061)</f>
        <v>6.5700000000006096</v>
      </c>
    </row>
    <row r="60" spans="1:23" ht="13.2">
      <c r="A60" s="1" t="str">
        <f ca="1">IFERROR(__xludf.DUMMYFUNCTION("""COMPUTED_VALUE"""),"CA-2016-155334")</f>
        <v>CA-2016-155334</v>
      </c>
      <c r="B60" s="8">
        <f ca="1">IFERROR(__xludf.DUMMYFUNCTION("""COMPUTED_VALUE"""),42581)</f>
        <v>42581</v>
      </c>
      <c r="C60" s="1" t="str">
        <f ca="1">IFERROR(__xludf.DUMMYFUNCTION("""COMPUTED_VALUE"""),"Jul")</f>
        <v>Jul</v>
      </c>
      <c r="D60" s="1" t="str">
        <f ca="1">IFERROR(__xludf.DUMMYFUNCTION("""COMPUTED_VALUE"""),"Qtr 3")</f>
        <v>Qtr 3</v>
      </c>
      <c r="E60" s="1" t="str">
        <f ca="1">IFERROR(__xludf.DUMMYFUNCTION("""COMPUTED_VALUE"""),"31/07/2016")</f>
        <v>31/07/2016</v>
      </c>
      <c r="F60" s="1" t="str">
        <f ca="1">IFERROR(__xludf.DUMMYFUNCTION("""COMPUTED_VALUE"""),"First Class")</f>
        <v>First Class</v>
      </c>
      <c r="G60" s="1" t="str">
        <f ca="1">IFERROR(__xludf.DUMMYFUNCTION("""COMPUTED_VALUE"""),"HA-14920")</f>
        <v>HA-14920</v>
      </c>
      <c r="H60" s="1" t="str">
        <f ca="1">IFERROR(__xludf.DUMMYFUNCTION("""COMPUTED_VALUE"""),"Helen")</f>
        <v>Helen</v>
      </c>
      <c r="I60" s="1" t="str">
        <f ca="1">IFERROR(__xludf.DUMMYFUNCTION("""COMPUTED_VALUE"""),"Andreada")</f>
        <v>Andreada</v>
      </c>
      <c r="J60" s="1"/>
      <c r="K60" s="1" t="str">
        <f ca="1">IFERROR(__xludf.DUMMYFUNCTION("""COMPUTED_VALUE"""),"Consumer")</f>
        <v>Consumer</v>
      </c>
      <c r="L60" s="1" t="str">
        <f ca="1">IFERROR(__xludf.DUMMYFUNCTION("""COMPUTED_VALUE"""),"United States")</f>
        <v>United States</v>
      </c>
      <c r="M60" s="1" t="str">
        <f ca="1">IFERROR(__xludf.DUMMYFUNCTION("""COMPUTED_VALUE"""),"San Francisco")</f>
        <v>San Francisco</v>
      </c>
      <c r="N60" s="1" t="str">
        <f ca="1">IFERROR(__xludf.DUMMYFUNCTION("""COMPUTED_VALUE"""),"California")</f>
        <v>California</v>
      </c>
      <c r="O60" s="1">
        <f ca="1">IFERROR(__xludf.DUMMYFUNCTION("""COMPUTED_VALUE"""),94109)</f>
        <v>94109</v>
      </c>
      <c r="P60" s="1" t="str">
        <f ca="1">IFERROR(__xludf.DUMMYFUNCTION("""COMPUTED_VALUE"""),"West")</f>
        <v>West</v>
      </c>
      <c r="Q60" s="1" t="str">
        <f ca="1">IFERROR(__xludf.DUMMYFUNCTION("""COMPUTED_VALUE"""),"TEC-AC-10003628")</f>
        <v>TEC-AC-10003628</v>
      </c>
      <c r="R60" s="1" t="str">
        <f ca="1">IFERROR(__xludf.DUMMYFUNCTION("""COMPUTED_VALUE"""),"Technology")</f>
        <v>Technology</v>
      </c>
      <c r="S60" s="7">
        <f ca="1">IFERROR(__xludf.DUMMYFUNCTION("""COMPUTED_VALUE"""),209.93)</f>
        <v>209.93</v>
      </c>
      <c r="T60" s="1">
        <f ca="1">IFERROR(__xludf.DUMMYFUNCTION("""COMPUTED_VALUE"""),9)</f>
        <v>9</v>
      </c>
      <c r="U60" s="9">
        <f ca="1">IFERROR(__xludf.DUMMYFUNCTION("""COMPUTED_VALUE"""),1889.37)</f>
        <v>1889.37</v>
      </c>
      <c r="V60" s="9">
        <f ca="1">IFERROR(__xludf.DUMMYFUNCTION("""COMPUTED_VALUE"""),1882.35)</f>
        <v>1882.35</v>
      </c>
      <c r="W60" s="12">
        <f ca="1">IFERROR(__xludf.DUMMYFUNCTION("""COMPUTED_VALUE"""),7.01999999999998)</f>
        <v>7.01999999999998</v>
      </c>
    </row>
    <row r="61" spans="1:23" ht="13.2">
      <c r="A61" s="1" t="str">
        <f ca="1">IFERROR(__xludf.DUMMYFUNCTION("""COMPUTED_VALUE"""),"CA-2016-155334")</f>
        <v>CA-2016-155334</v>
      </c>
      <c r="B61" s="8">
        <f ca="1">IFERROR(__xludf.DUMMYFUNCTION("""COMPUTED_VALUE"""),42581)</f>
        <v>42581</v>
      </c>
      <c r="C61" s="1" t="str">
        <f ca="1">IFERROR(__xludf.DUMMYFUNCTION("""COMPUTED_VALUE"""),"Jul")</f>
        <v>Jul</v>
      </c>
      <c r="D61" s="1" t="str">
        <f ca="1">IFERROR(__xludf.DUMMYFUNCTION("""COMPUTED_VALUE"""),"Qtr 3")</f>
        <v>Qtr 3</v>
      </c>
      <c r="E61" s="1" t="str">
        <f ca="1">IFERROR(__xludf.DUMMYFUNCTION("""COMPUTED_VALUE"""),"31/07/2016")</f>
        <v>31/07/2016</v>
      </c>
      <c r="F61" s="1" t="str">
        <f ca="1">IFERROR(__xludf.DUMMYFUNCTION("""COMPUTED_VALUE"""),"First Class")</f>
        <v>First Class</v>
      </c>
      <c r="G61" s="1" t="str">
        <f ca="1">IFERROR(__xludf.DUMMYFUNCTION("""COMPUTED_VALUE"""),"HA-14920")</f>
        <v>HA-14920</v>
      </c>
      <c r="H61" s="1" t="str">
        <f ca="1">IFERROR(__xludf.DUMMYFUNCTION("""COMPUTED_VALUE"""),"Helen")</f>
        <v>Helen</v>
      </c>
      <c r="I61" s="1" t="str">
        <f ca="1">IFERROR(__xludf.DUMMYFUNCTION("""COMPUTED_VALUE"""),"Andreada")</f>
        <v>Andreada</v>
      </c>
      <c r="J61" s="1"/>
      <c r="K61" s="1" t="str">
        <f ca="1">IFERROR(__xludf.DUMMYFUNCTION("""COMPUTED_VALUE"""),"Consumer")</f>
        <v>Consumer</v>
      </c>
      <c r="L61" s="1" t="str">
        <f ca="1">IFERROR(__xludf.DUMMYFUNCTION("""COMPUTED_VALUE"""),"United States")</f>
        <v>United States</v>
      </c>
      <c r="M61" s="1" t="str">
        <f ca="1">IFERROR(__xludf.DUMMYFUNCTION("""COMPUTED_VALUE"""),"San Francisco")</f>
        <v>San Francisco</v>
      </c>
      <c r="N61" s="1" t="str">
        <f ca="1">IFERROR(__xludf.DUMMYFUNCTION("""COMPUTED_VALUE"""),"California")</f>
        <v>California</v>
      </c>
      <c r="O61" s="1">
        <f ca="1">IFERROR(__xludf.DUMMYFUNCTION("""COMPUTED_VALUE"""),94109)</f>
        <v>94109</v>
      </c>
      <c r="P61" s="1" t="str">
        <f ca="1">IFERROR(__xludf.DUMMYFUNCTION("""COMPUTED_VALUE"""),"West")</f>
        <v>West</v>
      </c>
      <c r="Q61" s="1" t="str">
        <f ca="1">IFERROR(__xludf.DUMMYFUNCTION("""COMPUTED_VALUE"""),"FUR-FU-10003274")</f>
        <v>FUR-FU-10003274</v>
      </c>
      <c r="R61" s="1" t="str">
        <f ca="1">IFERROR(__xludf.DUMMYFUNCTION("""COMPUTED_VALUE"""),"Furniture")</f>
        <v>Furniture</v>
      </c>
      <c r="S61" s="7">
        <f ca="1">IFERROR(__xludf.DUMMYFUNCTION("""COMPUTED_VALUE"""),5.28)</f>
        <v>5.28</v>
      </c>
      <c r="T61" s="1">
        <f ca="1">IFERROR(__xludf.DUMMYFUNCTION("""COMPUTED_VALUE"""),9)</f>
        <v>9</v>
      </c>
      <c r="U61" s="9">
        <f ca="1">IFERROR(__xludf.DUMMYFUNCTION("""COMPUTED_VALUE"""),47.52)</f>
        <v>47.52</v>
      </c>
      <c r="V61" s="9">
        <f ca="1">IFERROR(__xludf.DUMMYFUNCTION("""COMPUTED_VALUE"""),43.74)</f>
        <v>43.74</v>
      </c>
      <c r="W61" s="12">
        <f ca="1">IFERROR(__xludf.DUMMYFUNCTION("""COMPUTED_VALUE"""),3.78)</f>
        <v>3.78</v>
      </c>
    </row>
    <row r="62" spans="1:23" ht="13.2">
      <c r="A62" s="1" t="str">
        <f ca="1">IFERROR(__xludf.DUMMYFUNCTION("""COMPUTED_VALUE"""),"CA-2016-155334")</f>
        <v>CA-2016-155334</v>
      </c>
      <c r="B62" s="8">
        <f ca="1">IFERROR(__xludf.DUMMYFUNCTION("""COMPUTED_VALUE"""),42581)</f>
        <v>42581</v>
      </c>
      <c r="C62" s="1" t="str">
        <f ca="1">IFERROR(__xludf.DUMMYFUNCTION("""COMPUTED_VALUE"""),"Jul")</f>
        <v>Jul</v>
      </c>
      <c r="D62" s="1" t="str">
        <f ca="1">IFERROR(__xludf.DUMMYFUNCTION("""COMPUTED_VALUE"""),"Qtr 3")</f>
        <v>Qtr 3</v>
      </c>
      <c r="E62" s="1" t="str">
        <f ca="1">IFERROR(__xludf.DUMMYFUNCTION("""COMPUTED_VALUE"""),"31/07/2016")</f>
        <v>31/07/2016</v>
      </c>
      <c r="F62" s="1" t="str">
        <f ca="1">IFERROR(__xludf.DUMMYFUNCTION("""COMPUTED_VALUE"""),"First Class")</f>
        <v>First Class</v>
      </c>
      <c r="G62" s="1" t="str">
        <f ca="1">IFERROR(__xludf.DUMMYFUNCTION("""COMPUTED_VALUE"""),"HA-14920")</f>
        <v>HA-14920</v>
      </c>
      <c r="H62" s="1" t="str">
        <f ca="1">IFERROR(__xludf.DUMMYFUNCTION("""COMPUTED_VALUE"""),"Helen")</f>
        <v>Helen</v>
      </c>
      <c r="I62" s="1" t="str">
        <f ca="1">IFERROR(__xludf.DUMMYFUNCTION("""COMPUTED_VALUE"""),"Andreada")</f>
        <v>Andreada</v>
      </c>
      <c r="J62" s="1"/>
      <c r="K62" s="1" t="str">
        <f ca="1">IFERROR(__xludf.DUMMYFUNCTION("""COMPUTED_VALUE"""),"Consumer")</f>
        <v>Consumer</v>
      </c>
      <c r="L62" s="1" t="str">
        <f ca="1">IFERROR(__xludf.DUMMYFUNCTION("""COMPUTED_VALUE"""),"United States")</f>
        <v>United States</v>
      </c>
      <c r="M62" s="1" t="str">
        <f ca="1">IFERROR(__xludf.DUMMYFUNCTION("""COMPUTED_VALUE"""),"San Francisco")</f>
        <v>San Francisco</v>
      </c>
      <c r="N62" s="1" t="str">
        <f ca="1">IFERROR(__xludf.DUMMYFUNCTION("""COMPUTED_VALUE"""),"California")</f>
        <v>California</v>
      </c>
      <c r="O62" s="1">
        <f ca="1">IFERROR(__xludf.DUMMYFUNCTION("""COMPUTED_VALUE"""),94109)</f>
        <v>94109</v>
      </c>
      <c r="P62" s="1" t="str">
        <f ca="1">IFERROR(__xludf.DUMMYFUNCTION("""COMPUTED_VALUE"""),"West")</f>
        <v>West</v>
      </c>
      <c r="Q62" s="1" t="str">
        <f ca="1">IFERROR(__xludf.DUMMYFUNCTION("""COMPUTED_VALUE"""),"OFF-BI-10002557")</f>
        <v>OFF-BI-10002557</v>
      </c>
      <c r="R62" s="1" t="str">
        <f ca="1">IFERROR(__xludf.DUMMYFUNCTION("""COMPUTED_VALUE"""),"Office Supplies")</f>
        <v>Office Supplies</v>
      </c>
      <c r="S62" s="7">
        <f ca="1">IFERROR(__xludf.DUMMYFUNCTION("""COMPUTED_VALUE"""),10.92)</f>
        <v>10.92</v>
      </c>
      <c r="T62" s="1">
        <f ca="1">IFERROR(__xludf.DUMMYFUNCTION("""COMPUTED_VALUE"""),9)</f>
        <v>9</v>
      </c>
      <c r="U62" s="9">
        <f ca="1">IFERROR(__xludf.DUMMYFUNCTION("""COMPUTED_VALUE"""),98.28)</f>
        <v>98.28</v>
      </c>
      <c r="V62" s="9">
        <f ca="1">IFERROR(__xludf.DUMMYFUNCTION("""COMPUTED_VALUE"""),92.7)</f>
        <v>92.7</v>
      </c>
      <c r="W62" s="12">
        <f ca="1">IFERROR(__xludf.DUMMYFUNCTION("""COMPUTED_VALUE"""),5.57999999999999)</f>
        <v>5.5799999999999903</v>
      </c>
    </row>
    <row r="63" spans="1:23" ht="13.2">
      <c r="A63" s="1" t="str">
        <f ca="1">IFERROR(__xludf.DUMMYFUNCTION("""COMPUTED_VALUE"""),"CA-2018-118136")</f>
        <v>CA-2018-118136</v>
      </c>
      <c r="B63" s="8">
        <f ca="1">IFERROR(__xludf.DUMMYFUNCTION("""COMPUTED_VALUE"""),43359)</f>
        <v>43359</v>
      </c>
      <c r="C63" s="1" t="str">
        <f ca="1">IFERROR(__xludf.DUMMYFUNCTION("""COMPUTED_VALUE"""),"Sep")</f>
        <v>Sep</v>
      </c>
      <c r="D63" s="1" t="str">
        <f ca="1">IFERROR(__xludf.DUMMYFUNCTION("""COMPUTED_VALUE"""),"Qtr 3")</f>
        <v>Qtr 3</v>
      </c>
      <c r="E63" s="1" t="str">
        <f ca="1">IFERROR(__xludf.DUMMYFUNCTION("""COMPUTED_VALUE"""),"17/09/2018")</f>
        <v>17/09/2018</v>
      </c>
      <c r="F63" s="1" t="str">
        <f ca="1">IFERROR(__xludf.DUMMYFUNCTION("""COMPUTED_VALUE"""),"First Class")</f>
        <v>First Class</v>
      </c>
      <c r="G63" s="1" t="str">
        <f ca="1">IFERROR(__xludf.DUMMYFUNCTION("""COMPUTED_VALUE"""),"BB-10990")</f>
        <v>BB-10990</v>
      </c>
      <c r="H63" s="1" t="str">
        <f ca="1">IFERROR(__xludf.DUMMYFUNCTION("""COMPUTED_VALUE"""),"Barry")</f>
        <v>Barry</v>
      </c>
      <c r="I63" s="1" t="str">
        <f ca="1">IFERROR(__xludf.DUMMYFUNCTION("""COMPUTED_VALUE"""),"Blumstein")</f>
        <v>Blumstein</v>
      </c>
      <c r="J63" s="1"/>
      <c r="K63" s="1" t="str">
        <f ca="1">IFERROR(__xludf.DUMMYFUNCTION("""COMPUTED_VALUE"""),"Corporate")</f>
        <v>Corporate</v>
      </c>
      <c r="L63" s="1" t="str">
        <f ca="1">IFERROR(__xludf.DUMMYFUNCTION("""COMPUTED_VALUE"""),"United States")</f>
        <v>United States</v>
      </c>
      <c r="M63" s="1" t="str">
        <f ca="1">IFERROR(__xludf.DUMMYFUNCTION("""COMPUTED_VALUE"""),"Inglewood")</f>
        <v>Inglewood</v>
      </c>
      <c r="N63" s="1" t="str">
        <f ca="1">IFERROR(__xludf.DUMMYFUNCTION("""COMPUTED_VALUE"""),"California")</f>
        <v>California</v>
      </c>
      <c r="O63" s="1">
        <f ca="1">IFERROR(__xludf.DUMMYFUNCTION("""COMPUTED_VALUE"""),90301)</f>
        <v>90301</v>
      </c>
      <c r="P63" s="1" t="str">
        <f ca="1">IFERROR(__xludf.DUMMYFUNCTION("""COMPUTED_VALUE"""),"West")</f>
        <v>West</v>
      </c>
      <c r="Q63" s="1" t="str">
        <f ca="1">IFERROR(__xludf.DUMMYFUNCTION("""COMPUTED_VALUE"""),"OFF-PA-10002615")</f>
        <v>OFF-PA-10002615</v>
      </c>
      <c r="R63" s="1" t="str">
        <f ca="1">IFERROR(__xludf.DUMMYFUNCTION("""COMPUTED_VALUE"""),"Office Supplies")</f>
        <v>Office Supplies</v>
      </c>
      <c r="S63" s="7">
        <f ca="1">IFERROR(__xludf.DUMMYFUNCTION("""COMPUTED_VALUE"""),8.82)</f>
        <v>8.82</v>
      </c>
      <c r="T63" s="1">
        <f ca="1">IFERROR(__xludf.DUMMYFUNCTION("""COMPUTED_VALUE"""),9)</f>
        <v>9</v>
      </c>
      <c r="U63" s="9">
        <f ca="1">IFERROR(__xludf.DUMMYFUNCTION("""COMPUTED_VALUE"""),79.38)</f>
        <v>79.38</v>
      </c>
      <c r="V63" s="9">
        <f ca="1">IFERROR(__xludf.DUMMYFUNCTION("""COMPUTED_VALUE"""),76.32)</f>
        <v>76.319999999999993</v>
      </c>
      <c r="W63" s="12">
        <f ca="1">IFERROR(__xludf.DUMMYFUNCTION("""COMPUTED_VALUE"""),3.05999999999998)</f>
        <v>3.0599999999999801</v>
      </c>
    </row>
    <row r="64" spans="1:23" ht="13.2">
      <c r="A64" s="1" t="str">
        <f ca="1">IFERROR(__xludf.DUMMYFUNCTION("""COMPUTED_VALUE"""),"CA-2018-118136")</f>
        <v>CA-2018-118136</v>
      </c>
      <c r="B64" s="8">
        <f ca="1">IFERROR(__xludf.DUMMYFUNCTION("""COMPUTED_VALUE"""),43359)</f>
        <v>43359</v>
      </c>
      <c r="C64" s="1" t="str">
        <f ca="1">IFERROR(__xludf.DUMMYFUNCTION("""COMPUTED_VALUE"""),"Sep")</f>
        <v>Sep</v>
      </c>
      <c r="D64" s="1" t="str">
        <f ca="1">IFERROR(__xludf.DUMMYFUNCTION("""COMPUTED_VALUE"""),"Qtr 3")</f>
        <v>Qtr 3</v>
      </c>
      <c r="E64" s="1" t="str">
        <f ca="1">IFERROR(__xludf.DUMMYFUNCTION("""COMPUTED_VALUE"""),"17/09/2018")</f>
        <v>17/09/2018</v>
      </c>
      <c r="F64" s="1" t="str">
        <f ca="1">IFERROR(__xludf.DUMMYFUNCTION("""COMPUTED_VALUE"""),"First Class")</f>
        <v>First Class</v>
      </c>
      <c r="G64" s="1" t="str">
        <f ca="1">IFERROR(__xludf.DUMMYFUNCTION("""COMPUTED_VALUE"""),"BB-10990")</f>
        <v>BB-10990</v>
      </c>
      <c r="H64" s="1" t="str">
        <f ca="1">IFERROR(__xludf.DUMMYFUNCTION("""COMPUTED_VALUE"""),"Barry")</f>
        <v>Barry</v>
      </c>
      <c r="I64" s="1" t="str">
        <f ca="1">IFERROR(__xludf.DUMMYFUNCTION("""COMPUTED_VALUE"""),"Blumstein")</f>
        <v>Blumstein</v>
      </c>
      <c r="J64" s="1"/>
      <c r="K64" s="1" t="str">
        <f ca="1">IFERROR(__xludf.DUMMYFUNCTION("""COMPUTED_VALUE"""),"Corporate")</f>
        <v>Corporate</v>
      </c>
      <c r="L64" s="1" t="str">
        <f ca="1">IFERROR(__xludf.DUMMYFUNCTION("""COMPUTED_VALUE"""),"United States")</f>
        <v>United States</v>
      </c>
      <c r="M64" s="1" t="str">
        <f ca="1">IFERROR(__xludf.DUMMYFUNCTION("""COMPUTED_VALUE"""),"Inglewood")</f>
        <v>Inglewood</v>
      </c>
      <c r="N64" s="1" t="str">
        <f ca="1">IFERROR(__xludf.DUMMYFUNCTION("""COMPUTED_VALUE"""),"California")</f>
        <v>California</v>
      </c>
      <c r="O64" s="1">
        <f ca="1">IFERROR(__xludf.DUMMYFUNCTION("""COMPUTED_VALUE"""),90301)</f>
        <v>90301</v>
      </c>
      <c r="P64" s="1" t="str">
        <f ca="1">IFERROR(__xludf.DUMMYFUNCTION("""COMPUTED_VALUE"""),"West")</f>
        <v>West</v>
      </c>
      <c r="Q64" s="1" t="str">
        <f ca="1">IFERROR(__xludf.DUMMYFUNCTION("""COMPUTED_VALUE"""),"OFF-AR-10001427")</f>
        <v>OFF-AR-10001427</v>
      </c>
      <c r="R64" s="1" t="str">
        <f ca="1">IFERROR(__xludf.DUMMYFUNCTION("""COMPUTED_VALUE"""),"Office Supplies")</f>
        <v>Office Supplies</v>
      </c>
      <c r="S64" s="7">
        <f ca="1">IFERROR(__xludf.DUMMYFUNCTION("""COMPUTED_VALUE"""),5.98)</f>
        <v>5.98</v>
      </c>
      <c r="T64" s="1">
        <f ca="1">IFERROR(__xludf.DUMMYFUNCTION("""COMPUTED_VALUE"""),9)</f>
        <v>9</v>
      </c>
      <c r="U64" s="9">
        <f ca="1">IFERROR(__xludf.DUMMYFUNCTION("""COMPUTED_VALUE"""),53.82)</f>
        <v>53.82</v>
      </c>
      <c r="V64" s="9">
        <f ca="1">IFERROR(__xludf.DUMMYFUNCTION("""COMPUTED_VALUE"""),53.46)</f>
        <v>53.46</v>
      </c>
      <c r="W64" s="12">
        <f ca="1">IFERROR(__xludf.DUMMYFUNCTION("""COMPUTED_VALUE"""),0.360000000000006)</f>
        <v>0.36000000000000598</v>
      </c>
    </row>
    <row r="65" spans="1:23" ht="13.2">
      <c r="A65" s="1" t="str">
        <f ca="1">IFERROR(__xludf.DUMMYFUNCTION("""COMPUTED_VALUE"""),"CA-2016-130890")</f>
        <v>CA-2016-130890</v>
      </c>
      <c r="B65" s="8">
        <f ca="1">IFERROR(__xludf.DUMMYFUNCTION("""COMPUTED_VALUE"""),42411)</f>
        <v>42411</v>
      </c>
      <c r="C65" s="1" t="str">
        <f ca="1">IFERROR(__xludf.DUMMYFUNCTION("""COMPUTED_VALUE"""),"Feb")</f>
        <v>Feb</v>
      </c>
      <c r="D65" s="1" t="str">
        <f ca="1">IFERROR(__xludf.DUMMYFUNCTION("""COMPUTED_VALUE"""),"Qtr 1")</f>
        <v>Qtr 1</v>
      </c>
      <c r="E65" s="1" t="str">
        <f ca="1">IFERROR(__xludf.DUMMYFUNCTION("""COMPUTED_VALUE"""),"6/11/2016")</f>
        <v>6/11/2016</v>
      </c>
      <c r="F65" s="1" t="str">
        <f ca="1">IFERROR(__xludf.DUMMYFUNCTION("""COMPUTED_VALUE"""),"Standard Class")</f>
        <v>Standard Class</v>
      </c>
      <c r="G65" s="1" t="str">
        <f ca="1">IFERROR(__xludf.DUMMYFUNCTION("""COMPUTED_VALUE"""),"JO-15280")</f>
        <v>JO-15280</v>
      </c>
      <c r="H65" s="1" t="str">
        <f ca="1">IFERROR(__xludf.DUMMYFUNCTION("""COMPUTED_VALUE"""),"Jas")</f>
        <v>Jas</v>
      </c>
      <c r="I65" s="1" t="str">
        <f ca="1">IFERROR(__xludf.DUMMYFUNCTION("""COMPUTED_VALUE"""),"O'Carroll")</f>
        <v>O'Carroll</v>
      </c>
      <c r="J65" s="1"/>
      <c r="K65" s="1" t="str">
        <f ca="1">IFERROR(__xludf.DUMMYFUNCTION("""COMPUTED_VALUE"""),"Consumer")</f>
        <v>Consumer</v>
      </c>
      <c r="L65" s="1" t="str">
        <f ca="1">IFERROR(__xludf.DUMMYFUNCTION("""COMPUTED_VALUE"""),"United States")</f>
        <v>United States</v>
      </c>
      <c r="M65" s="1" t="str">
        <f ca="1">IFERROR(__xludf.DUMMYFUNCTION("""COMPUTED_VALUE"""),"Los Angeles")</f>
        <v>Los Angeles</v>
      </c>
      <c r="N65" s="1" t="str">
        <f ca="1">IFERROR(__xludf.DUMMYFUNCTION("""COMPUTED_VALUE"""),"California")</f>
        <v>California</v>
      </c>
      <c r="O65" s="1">
        <f ca="1">IFERROR(__xludf.DUMMYFUNCTION("""COMPUTED_VALUE"""),90004)</f>
        <v>90004</v>
      </c>
      <c r="P65" s="1" t="str">
        <f ca="1">IFERROR(__xludf.DUMMYFUNCTION("""COMPUTED_VALUE"""),"West")</f>
        <v>West</v>
      </c>
      <c r="Q65" s="1" t="str">
        <f ca="1">IFERROR(__xludf.DUMMYFUNCTION("""COMPUTED_VALUE"""),"FUR-TA-10002903")</f>
        <v>FUR-TA-10002903</v>
      </c>
      <c r="R65" s="1" t="str">
        <f ca="1">IFERROR(__xludf.DUMMYFUNCTION("""COMPUTED_VALUE"""),"Furniture")</f>
        <v>Furniture</v>
      </c>
      <c r="S65" s="7">
        <f ca="1">IFERROR(__xludf.DUMMYFUNCTION("""COMPUTED_VALUE"""),1038.84)</f>
        <v>1038.8399999999999</v>
      </c>
      <c r="T65" s="1">
        <f ca="1">IFERROR(__xludf.DUMMYFUNCTION("""COMPUTED_VALUE"""),9)</f>
        <v>9</v>
      </c>
      <c r="U65" s="9">
        <f ca="1">IFERROR(__xludf.DUMMYFUNCTION("""COMPUTED_VALUE"""),9349.56)</f>
        <v>9349.56</v>
      </c>
      <c r="V65" s="9">
        <f ca="1">IFERROR(__xludf.DUMMYFUNCTION("""COMPUTED_VALUE"""),9342.9)</f>
        <v>9342.9</v>
      </c>
      <c r="W65" s="12">
        <f ca="1">IFERROR(__xludf.DUMMYFUNCTION("""COMPUTED_VALUE"""),6.65999999999985)</f>
        <v>6.65999999999985</v>
      </c>
    </row>
    <row r="66" spans="1:23" ht="13.2">
      <c r="A66" s="1" t="str">
        <f ca="1">IFERROR(__xludf.DUMMYFUNCTION("""COMPUTED_VALUE"""),"CA-2015-156601")</f>
        <v>CA-2015-156601</v>
      </c>
      <c r="B66" s="8">
        <f ca="1">IFERROR(__xludf.DUMMYFUNCTION("""COMPUTED_VALUE"""),42266)</f>
        <v>42266</v>
      </c>
      <c r="C66" s="1" t="str">
        <f ca="1">IFERROR(__xludf.DUMMYFUNCTION("""COMPUTED_VALUE"""),"Sep")</f>
        <v>Sep</v>
      </c>
      <c r="D66" s="1" t="str">
        <f ca="1">IFERROR(__xludf.DUMMYFUNCTION("""COMPUTED_VALUE"""),"Qtr 3")</f>
        <v>Qtr 3</v>
      </c>
      <c r="E66" s="1" t="str">
        <f ca="1">IFERROR(__xludf.DUMMYFUNCTION("""COMPUTED_VALUE"""),"24/09/2015")</f>
        <v>24/09/2015</v>
      </c>
      <c r="F66" s="1" t="str">
        <f ca="1">IFERROR(__xludf.DUMMYFUNCTION("""COMPUTED_VALUE"""),"Standard Class")</f>
        <v>Standard Class</v>
      </c>
      <c r="G66" s="1" t="str">
        <f ca="1">IFERROR(__xludf.DUMMYFUNCTION("""COMPUTED_VALUE"""),"FA-14230")</f>
        <v>FA-14230</v>
      </c>
      <c r="H66" s="1" t="str">
        <f ca="1">IFERROR(__xludf.DUMMYFUNCTION("""COMPUTED_VALUE"""),"Frank")</f>
        <v>Frank</v>
      </c>
      <c r="I66" s="1" t="str">
        <f ca="1">IFERROR(__xludf.DUMMYFUNCTION("""COMPUTED_VALUE"""),"Atkinson")</f>
        <v>Atkinson</v>
      </c>
      <c r="J66" s="1"/>
      <c r="K66" s="1" t="str">
        <f ca="1">IFERROR(__xludf.DUMMYFUNCTION("""COMPUTED_VALUE"""),"Corporate")</f>
        <v>Corporate</v>
      </c>
      <c r="L66" s="1" t="str">
        <f ca="1">IFERROR(__xludf.DUMMYFUNCTION("""COMPUTED_VALUE"""),"United States")</f>
        <v>United States</v>
      </c>
      <c r="M66" s="1" t="str">
        <f ca="1">IFERROR(__xludf.DUMMYFUNCTION("""COMPUTED_VALUE"""),"Long Beach")</f>
        <v>Long Beach</v>
      </c>
      <c r="N66" s="1" t="str">
        <f ca="1">IFERROR(__xludf.DUMMYFUNCTION("""COMPUTED_VALUE"""),"California")</f>
        <v>California</v>
      </c>
      <c r="O66" s="1">
        <f ca="1">IFERROR(__xludf.DUMMYFUNCTION("""COMPUTED_VALUE"""),90805)</f>
        <v>90805</v>
      </c>
      <c r="P66" s="1" t="str">
        <f ca="1">IFERROR(__xludf.DUMMYFUNCTION("""COMPUTED_VALUE"""),"West")</f>
        <v>West</v>
      </c>
      <c r="Q66" s="1" t="str">
        <f ca="1">IFERROR(__xludf.DUMMYFUNCTION("""COMPUTED_VALUE"""),"OFF-FA-10000624")</f>
        <v>OFF-FA-10000624</v>
      </c>
      <c r="R66" s="1" t="str">
        <f ca="1">IFERROR(__xludf.DUMMYFUNCTION("""COMPUTED_VALUE"""),"Office Supplies")</f>
        <v>Office Supplies</v>
      </c>
      <c r="S66" s="7">
        <f ca="1">IFERROR(__xludf.DUMMYFUNCTION("""COMPUTED_VALUE"""),7.16)</f>
        <v>7.16</v>
      </c>
      <c r="T66" s="1">
        <f ca="1">IFERROR(__xludf.DUMMYFUNCTION("""COMPUTED_VALUE"""),9)</f>
        <v>9</v>
      </c>
      <c r="U66" s="9">
        <f ca="1">IFERROR(__xludf.DUMMYFUNCTION("""COMPUTED_VALUE"""),64.44)</f>
        <v>64.44</v>
      </c>
      <c r="V66" s="9">
        <f ca="1">IFERROR(__xludf.DUMMYFUNCTION("""COMPUTED_VALUE"""),59.13)</f>
        <v>59.13</v>
      </c>
      <c r="W66" s="12">
        <f ca="1">IFERROR(__xludf.DUMMYFUNCTION("""COMPUTED_VALUE"""),5.30999999999999)</f>
        <v>5.3099999999999898</v>
      </c>
    </row>
    <row r="67" spans="1:23" ht="13.2">
      <c r="A67" s="1" t="str">
        <f ca="1">IFERROR(__xludf.DUMMYFUNCTION("""COMPUTED_VALUE"""),"CA-2017-162138")</f>
        <v>CA-2017-162138</v>
      </c>
      <c r="B67" s="8">
        <f ca="1">IFERROR(__xludf.DUMMYFUNCTION("""COMPUTED_VALUE"""),42848)</f>
        <v>42848</v>
      </c>
      <c r="C67" s="1" t="str">
        <f ca="1">IFERROR(__xludf.DUMMYFUNCTION("""COMPUTED_VALUE"""),"Apr")</f>
        <v>Apr</v>
      </c>
      <c r="D67" s="1" t="str">
        <f ca="1">IFERROR(__xludf.DUMMYFUNCTION("""COMPUTED_VALUE"""),"Qtr 2")</f>
        <v>Qtr 2</v>
      </c>
      <c r="E67" s="1" t="str">
        <f ca="1">IFERROR(__xludf.DUMMYFUNCTION("""COMPUTED_VALUE"""),"27/04/2017")</f>
        <v>27/04/2017</v>
      </c>
      <c r="F67" s="1" t="str">
        <f ca="1">IFERROR(__xludf.DUMMYFUNCTION("""COMPUTED_VALUE"""),"Standard Class")</f>
        <v>Standard Class</v>
      </c>
      <c r="G67" s="1" t="str">
        <f ca="1">IFERROR(__xludf.DUMMYFUNCTION("""COMPUTED_VALUE"""),"GK-14620")</f>
        <v>GK-14620</v>
      </c>
      <c r="H67" s="1" t="str">
        <f ca="1">IFERROR(__xludf.DUMMYFUNCTION("""COMPUTED_VALUE"""),"Grace")</f>
        <v>Grace</v>
      </c>
      <c r="I67" s="1" t="str">
        <f ca="1">IFERROR(__xludf.DUMMYFUNCTION("""COMPUTED_VALUE"""),"Kelly")</f>
        <v>Kelly</v>
      </c>
      <c r="J67" s="1"/>
      <c r="K67" s="1" t="str">
        <f ca="1">IFERROR(__xludf.DUMMYFUNCTION("""COMPUTED_VALUE"""),"Corporate")</f>
        <v>Corporate</v>
      </c>
      <c r="L67" s="1" t="str">
        <f ca="1">IFERROR(__xludf.DUMMYFUNCTION("""COMPUTED_VALUE"""),"United States")</f>
        <v>United States</v>
      </c>
      <c r="M67" s="1" t="str">
        <f ca="1">IFERROR(__xludf.DUMMYFUNCTION("""COMPUTED_VALUE"""),"Hesperia")</f>
        <v>Hesperia</v>
      </c>
      <c r="N67" s="1" t="str">
        <f ca="1">IFERROR(__xludf.DUMMYFUNCTION("""COMPUTED_VALUE"""),"California")</f>
        <v>California</v>
      </c>
      <c r="O67" s="1">
        <f ca="1">IFERROR(__xludf.DUMMYFUNCTION("""COMPUTED_VALUE"""),92345)</f>
        <v>92345</v>
      </c>
      <c r="P67" s="1" t="str">
        <f ca="1">IFERROR(__xludf.DUMMYFUNCTION("""COMPUTED_VALUE"""),"West")</f>
        <v>West</v>
      </c>
      <c r="Q67" s="1" t="str">
        <f ca="1">IFERROR(__xludf.DUMMYFUNCTION("""COMPUTED_VALUE"""),"OFF-BI-10004593")</f>
        <v>OFF-BI-10004593</v>
      </c>
      <c r="R67" s="1" t="str">
        <f ca="1">IFERROR(__xludf.DUMMYFUNCTION("""COMPUTED_VALUE"""),"Office Supplies")</f>
        <v>Office Supplies</v>
      </c>
      <c r="S67" s="7">
        <f ca="1">IFERROR(__xludf.DUMMYFUNCTION("""COMPUTED_VALUE"""),251.52)</f>
        <v>251.52</v>
      </c>
      <c r="T67" s="1">
        <f ca="1">IFERROR(__xludf.DUMMYFUNCTION("""COMPUTED_VALUE"""),9)</f>
        <v>9</v>
      </c>
      <c r="U67" s="9">
        <f ca="1">IFERROR(__xludf.DUMMYFUNCTION("""COMPUTED_VALUE"""),2263.68)</f>
        <v>2263.6799999999998</v>
      </c>
      <c r="V67" s="9">
        <f ca="1">IFERROR(__xludf.DUMMYFUNCTION("""COMPUTED_VALUE"""),2255.13)</f>
        <v>2255.13</v>
      </c>
      <c r="W67" s="12">
        <f ca="1">IFERROR(__xludf.DUMMYFUNCTION("""COMPUTED_VALUE"""),8.55000000000018)</f>
        <v>8.5500000000001801</v>
      </c>
    </row>
    <row r="68" spans="1:23" ht="13.2">
      <c r="A68" s="1" t="str">
        <f ca="1">IFERROR(__xludf.DUMMYFUNCTION("""COMPUTED_VALUE"""),"CA-2017-162138")</f>
        <v>CA-2017-162138</v>
      </c>
      <c r="B68" s="8">
        <f ca="1">IFERROR(__xludf.DUMMYFUNCTION("""COMPUTED_VALUE"""),42848)</f>
        <v>42848</v>
      </c>
      <c r="C68" s="1" t="str">
        <f ca="1">IFERROR(__xludf.DUMMYFUNCTION("""COMPUTED_VALUE"""),"Apr")</f>
        <v>Apr</v>
      </c>
      <c r="D68" s="1" t="str">
        <f ca="1">IFERROR(__xludf.DUMMYFUNCTION("""COMPUTED_VALUE"""),"Qtr 2")</f>
        <v>Qtr 2</v>
      </c>
      <c r="E68" s="1" t="str">
        <f ca="1">IFERROR(__xludf.DUMMYFUNCTION("""COMPUTED_VALUE"""),"27/04/2017")</f>
        <v>27/04/2017</v>
      </c>
      <c r="F68" s="1" t="str">
        <f ca="1">IFERROR(__xludf.DUMMYFUNCTION("""COMPUTED_VALUE"""),"Standard Class")</f>
        <v>Standard Class</v>
      </c>
      <c r="G68" s="1" t="str">
        <f ca="1">IFERROR(__xludf.DUMMYFUNCTION("""COMPUTED_VALUE"""),"GK-14620")</f>
        <v>GK-14620</v>
      </c>
      <c r="H68" s="1" t="str">
        <f ca="1">IFERROR(__xludf.DUMMYFUNCTION("""COMPUTED_VALUE"""),"Grace")</f>
        <v>Grace</v>
      </c>
      <c r="I68" s="1" t="str">
        <f ca="1">IFERROR(__xludf.DUMMYFUNCTION("""COMPUTED_VALUE"""),"Kelly")</f>
        <v>Kelly</v>
      </c>
      <c r="J68" s="1"/>
      <c r="K68" s="1" t="str">
        <f ca="1">IFERROR(__xludf.DUMMYFUNCTION("""COMPUTED_VALUE"""),"Corporate")</f>
        <v>Corporate</v>
      </c>
      <c r="L68" s="1" t="str">
        <f ca="1">IFERROR(__xludf.DUMMYFUNCTION("""COMPUTED_VALUE"""),"United States")</f>
        <v>United States</v>
      </c>
      <c r="M68" s="1" t="str">
        <f ca="1">IFERROR(__xludf.DUMMYFUNCTION("""COMPUTED_VALUE"""),"Hesperia")</f>
        <v>Hesperia</v>
      </c>
      <c r="N68" s="1" t="str">
        <f ca="1">IFERROR(__xludf.DUMMYFUNCTION("""COMPUTED_VALUE"""),"California")</f>
        <v>California</v>
      </c>
      <c r="O68" s="1">
        <f ca="1">IFERROR(__xludf.DUMMYFUNCTION("""COMPUTED_VALUE"""),92345)</f>
        <v>92345</v>
      </c>
      <c r="P68" s="1" t="str">
        <f ca="1">IFERROR(__xludf.DUMMYFUNCTION("""COMPUTED_VALUE"""),"West")</f>
        <v>West</v>
      </c>
      <c r="Q68" s="1" t="str">
        <f ca="1">IFERROR(__xludf.DUMMYFUNCTION("""COMPUTED_VALUE"""),"TEC-AC-10001908")</f>
        <v>TEC-AC-10001908</v>
      </c>
      <c r="R68" s="1" t="str">
        <f ca="1">IFERROR(__xludf.DUMMYFUNCTION("""COMPUTED_VALUE"""),"Technology")</f>
        <v>Technology</v>
      </c>
      <c r="S68" s="7">
        <f ca="1">IFERROR(__xludf.DUMMYFUNCTION("""COMPUTED_VALUE"""),99.99)</f>
        <v>99.99</v>
      </c>
      <c r="T68" s="1">
        <f ca="1">IFERROR(__xludf.DUMMYFUNCTION("""COMPUTED_VALUE"""),9)</f>
        <v>9</v>
      </c>
      <c r="U68" s="9">
        <f ca="1">IFERROR(__xludf.DUMMYFUNCTION("""COMPUTED_VALUE"""),899.91)</f>
        <v>899.91</v>
      </c>
      <c r="V68" s="9">
        <f ca="1">IFERROR(__xludf.DUMMYFUNCTION("""COMPUTED_VALUE"""),899.91)</f>
        <v>899.91</v>
      </c>
      <c r="W68" s="12">
        <f ca="1">IFERROR(__xludf.DUMMYFUNCTION("""COMPUTED_VALUE"""),0)</f>
        <v>0</v>
      </c>
    </row>
    <row r="69" spans="1:23" ht="13.2">
      <c r="A69" s="1" t="str">
        <f ca="1">IFERROR(__xludf.DUMMYFUNCTION("""COMPUTED_VALUE"""),"CA-2016-137946")</f>
        <v>CA-2016-137946</v>
      </c>
      <c r="B69" s="8">
        <f ca="1">IFERROR(__xludf.DUMMYFUNCTION("""COMPUTED_VALUE"""),42378)</f>
        <v>42378</v>
      </c>
      <c r="C69" s="1" t="str">
        <f ca="1">IFERROR(__xludf.DUMMYFUNCTION("""COMPUTED_VALUE"""),"Jan")</f>
        <v>Jan</v>
      </c>
      <c r="D69" s="1" t="str">
        <f ca="1">IFERROR(__xludf.DUMMYFUNCTION("""COMPUTED_VALUE"""),"Qtr 1")</f>
        <v>Qtr 1</v>
      </c>
      <c r="E69" s="1" t="str">
        <f ca="1">IFERROR(__xludf.DUMMYFUNCTION("""COMPUTED_VALUE"""),"4/9/2016")</f>
        <v>4/9/2016</v>
      </c>
      <c r="F69" s="1" t="str">
        <f ca="1">IFERROR(__xludf.DUMMYFUNCTION("""COMPUTED_VALUE"""),"Second Class")</f>
        <v>Second Class</v>
      </c>
      <c r="G69" s="1" t="str">
        <f ca="1">IFERROR(__xludf.DUMMYFUNCTION("""COMPUTED_VALUE"""),"DB-13615")</f>
        <v>DB-13615</v>
      </c>
      <c r="H69" s="1" t="str">
        <f ca="1">IFERROR(__xludf.DUMMYFUNCTION("""COMPUTED_VALUE"""),"Doug")</f>
        <v>Doug</v>
      </c>
      <c r="I69" s="1" t="str">
        <f ca="1">IFERROR(__xludf.DUMMYFUNCTION("""COMPUTED_VALUE"""),"Bickford")</f>
        <v>Bickford</v>
      </c>
      <c r="J69" s="1"/>
      <c r="K69" s="1" t="str">
        <f ca="1">IFERROR(__xludf.DUMMYFUNCTION("""COMPUTED_VALUE"""),"Consumer")</f>
        <v>Consumer</v>
      </c>
      <c r="L69" s="1" t="str">
        <f ca="1">IFERROR(__xludf.DUMMYFUNCTION("""COMPUTED_VALUE"""),"United States")</f>
        <v>United States</v>
      </c>
      <c r="M69" s="1" t="str">
        <f ca="1">IFERROR(__xludf.DUMMYFUNCTION("""COMPUTED_VALUE"""),"Los Angeles")</f>
        <v>Los Angeles</v>
      </c>
      <c r="N69" s="1" t="str">
        <f ca="1">IFERROR(__xludf.DUMMYFUNCTION("""COMPUTED_VALUE"""),"California")</f>
        <v>California</v>
      </c>
      <c r="O69" s="1">
        <f ca="1">IFERROR(__xludf.DUMMYFUNCTION("""COMPUTED_VALUE"""),90045)</f>
        <v>90045</v>
      </c>
      <c r="P69" s="1" t="str">
        <f ca="1">IFERROR(__xludf.DUMMYFUNCTION("""COMPUTED_VALUE"""),"West")</f>
        <v>West</v>
      </c>
      <c r="Q69" s="1" t="str">
        <f ca="1">IFERROR(__xludf.DUMMYFUNCTION("""COMPUTED_VALUE"""),"OFF-BI-10001922")</f>
        <v>OFF-BI-10001922</v>
      </c>
      <c r="R69" s="1" t="str">
        <f ca="1">IFERROR(__xludf.DUMMYFUNCTION("""COMPUTED_VALUE"""),"Office Supplies")</f>
        <v>Office Supplies</v>
      </c>
      <c r="S69" s="7">
        <f ca="1">IFERROR(__xludf.DUMMYFUNCTION("""COMPUTED_VALUE"""),4.752)</f>
        <v>4.7519999999999998</v>
      </c>
      <c r="T69" s="1">
        <f ca="1">IFERROR(__xludf.DUMMYFUNCTION("""COMPUTED_VALUE"""),9)</f>
        <v>9</v>
      </c>
      <c r="U69" s="9">
        <f ca="1">IFERROR(__xludf.DUMMYFUNCTION("""COMPUTED_VALUE"""),42.768)</f>
        <v>42.768000000000001</v>
      </c>
      <c r="V69" s="9">
        <f ca="1">IFERROR(__xludf.DUMMYFUNCTION("""COMPUTED_VALUE"""),41.67)</f>
        <v>41.67</v>
      </c>
      <c r="W69" s="12">
        <f ca="1">IFERROR(__xludf.DUMMYFUNCTION("""COMPUTED_VALUE"""),1.09799999999999)</f>
        <v>1.0979999999999901</v>
      </c>
    </row>
    <row r="70" spans="1:23" ht="13.2">
      <c r="A70" s="1" t="str">
        <f ca="1">IFERROR(__xludf.DUMMYFUNCTION("""COMPUTED_VALUE"""),"CA-2016-137946")</f>
        <v>CA-2016-137946</v>
      </c>
      <c r="B70" s="8">
        <f ca="1">IFERROR(__xludf.DUMMYFUNCTION("""COMPUTED_VALUE"""),42378)</f>
        <v>42378</v>
      </c>
      <c r="C70" s="1" t="str">
        <f ca="1">IFERROR(__xludf.DUMMYFUNCTION("""COMPUTED_VALUE"""),"Jan")</f>
        <v>Jan</v>
      </c>
      <c r="D70" s="1" t="str">
        <f ca="1">IFERROR(__xludf.DUMMYFUNCTION("""COMPUTED_VALUE"""),"Qtr 1")</f>
        <v>Qtr 1</v>
      </c>
      <c r="E70" s="1" t="str">
        <f ca="1">IFERROR(__xludf.DUMMYFUNCTION("""COMPUTED_VALUE"""),"4/9/2016")</f>
        <v>4/9/2016</v>
      </c>
      <c r="F70" s="1" t="str">
        <f ca="1">IFERROR(__xludf.DUMMYFUNCTION("""COMPUTED_VALUE"""),"Second Class")</f>
        <v>Second Class</v>
      </c>
      <c r="G70" s="1" t="str">
        <f ca="1">IFERROR(__xludf.DUMMYFUNCTION("""COMPUTED_VALUE"""),"DB-13615")</f>
        <v>DB-13615</v>
      </c>
      <c r="H70" s="1" t="str">
        <f ca="1">IFERROR(__xludf.DUMMYFUNCTION("""COMPUTED_VALUE"""),"Doug")</f>
        <v>Doug</v>
      </c>
      <c r="I70" s="1" t="str">
        <f ca="1">IFERROR(__xludf.DUMMYFUNCTION("""COMPUTED_VALUE"""),"Bickford")</f>
        <v>Bickford</v>
      </c>
      <c r="J70" s="1"/>
      <c r="K70" s="1" t="str">
        <f ca="1">IFERROR(__xludf.DUMMYFUNCTION("""COMPUTED_VALUE"""),"Consumer")</f>
        <v>Consumer</v>
      </c>
      <c r="L70" s="1" t="str">
        <f ca="1">IFERROR(__xludf.DUMMYFUNCTION("""COMPUTED_VALUE"""),"United States")</f>
        <v>United States</v>
      </c>
      <c r="M70" s="1" t="str">
        <f ca="1">IFERROR(__xludf.DUMMYFUNCTION("""COMPUTED_VALUE"""),"Los Angeles")</f>
        <v>Los Angeles</v>
      </c>
      <c r="N70" s="1" t="str">
        <f ca="1">IFERROR(__xludf.DUMMYFUNCTION("""COMPUTED_VALUE"""),"California")</f>
        <v>California</v>
      </c>
      <c r="O70" s="1">
        <f ca="1">IFERROR(__xludf.DUMMYFUNCTION("""COMPUTED_VALUE"""),90045)</f>
        <v>90045</v>
      </c>
      <c r="P70" s="1" t="str">
        <f ca="1">IFERROR(__xludf.DUMMYFUNCTION("""COMPUTED_VALUE"""),"West")</f>
        <v>West</v>
      </c>
      <c r="Q70" s="1" t="str">
        <f ca="1">IFERROR(__xludf.DUMMYFUNCTION("""COMPUTED_VALUE"""),"TEC-CO-10001449")</f>
        <v>TEC-CO-10001449</v>
      </c>
      <c r="R70" s="1" t="str">
        <f ca="1">IFERROR(__xludf.DUMMYFUNCTION("""COMPUTED_VALUE"""),"Technology")</f>
        <v>Technology</v>
      </c>
      <c r="S70" s="7">
        <f ca="1">IFERROR(__xludf.DUMMYFUNCTION("""COMPUTED_VALUE"""),959.984)</f>
        <v>959.98400000000004</v>
      </c>
      <c r="T70" s="1">
        <f ca="1">IFERROR(__xludf.DUMMYFUNCTION("""COMPUTED_VALUE"""),9)</f>
        <v>9</v>
      </c>
      <c r="U70" s="9">
        <f ca="1">IFERROR(__xludf.DUMMYFUNCTION("""COMPUTED_VALUE"""),8639.856)</f>
        <v>8639.8559999999998</v>
      </c>
      <c r="V70" s="9">
        <f ca="1">IFERROR(__xludf.DUMMYFUNCTION("""COMPUTED_VALUE"""),8637.11999999999)</f>
        <v>8637.1199999999899</v>
      </c>
      <c r="W70" s="12">
        <f ca="1">IFERROR(__xludf.DUMMYFUNCTION("""COMPUTED_VALUE"""),2.73600000000078)</f>
        <v>2.73600000000078</v>
      </c>
    </row>
    <row r="71" spans="1:23" ht="13.2">
      <c r="A71" s="1" t="str">
        <f ca="1">IFERROR(__xludf.DUMMYFUNCTION("""COMPUTED_VALUE"""),"CA-2016-137946")</f>
        <v>CA-2016-137946</v>
      </c>
      <c r="B71" s="8">
        <f ca="1">IFERROR(__xludf.DUMMYFUNCTION("""COMPUTED_VALUE"""),42378)</f>
        <v>42378</v>
      </c>
      <c r="C71" s="1" t="str">
        <f ca="1">IFERROR(__xludf.DUMMYFUNCTION("""COMPUTED_VALUE"""),"Jan")</f>
        <v>Jan</v>
      </c>
      <c r="D71" s="1" t="str">
        <f ca="1">IFERROR(__xludf.DUMMYFUNCTION("""COMPUTED_VALUE"""),"Qtr 1")</f>
        <v>Qtr 1</v>
      </c>
      <c r="E71" s="1" t="str">
        <f ca="1">IFERROR(__xludf.DUMMYFUNCTION("""COMPUTED_VALUE"""),"4/9/2016")</f>
        <v>4/9/2016</v>
      </c>
      <c r="F71" s="1" t="str">
        <f ca="1">IFERROR(__xludf.DUMMYFUNCTION("""COMPUTED_VALUE"""),"Second Class")</f>
        <v>Second Class</v>
      </c>
      <c r="G71" s="1" t="str">
        <f ca="1">IFERROR(__xludf.DUMMYFUNCTION("""COMPUTED_VALUE"""),"DB-13615")</f>
        <v>DB-13615</v>
      </c>
      <c r="H71" s="1" t="str">
        <f ca="1">IFERROR(__xludf.DUMMYFUNCTION("""COMPUTED_VALUE"""),"Doug")</f>
        <v>Doug</v>
      </c>
      <c r="I71" s="1" t="str">
        <f ca="1">IFERROR(__xludf.DUMMYFUNCTION("""COMPUTED_VALUE"""),"Bickford")</f>
        <v>Bickford</v>
      </c>
      <c r="J71" s="1"/>
      <c r="K71" s="1" t="str">
        <f ca="1">IFERROR(__xludf.DUMMYFUNCTION("""COMPUTED_VALUE"""),"Consumer")</f>
        <v>Consumer</v>
      </c>
      <c r="L71" s="1" t="str">
        <f ca="1">IFERROR(__xludf.DUMMYFUNCTION("""COMPUTED_VALUE"""),"United States")</f>
        <v>United States</v>
      </c>
      <c r="M71" s="1" t="str">
        <f ca="1">IFERROR(__xludf.DUMMYFUNCTION("""COMPUTED_VALUE"""),"Los Angeles")</f>
        <v>Los Angeles</v>
      </c>
      <c r="N71" s="1" t="str">
        <f ca="1">IFERROR(__xludf.DUMMYFUNCTION("""COMPUTED_VALUE"""),"California")</f>
        <v>California</v>
      </c>
      <c r="O71" s="1">
        <f ca="1">IFERROR(__xludf.DUMMYFUNCTION("""COMPUTED_VALUE"""),90045)</f>
        <v>90045</v>
      </c>
      <c r="P71" s="1" t="str">
        <f ca="1">IFERROR(__xludf.DUMMYFUNCTION("""COMPUTED_VALUE"""),"West")</f>
        <v>West</v>
      </c>
      <c r="Q71" s="1" t="str">
        <f ca="1">IFERROR(__xludf.DUMMYFUNCTION("""COMPUTED_VALUE"""),"OFF-BI-10004140")</f>
        <v>OFF-BI-10004140</v>
      </c>
      <c r="R71" s="1" t="str">
        <f ca="1">IFERROR(__xludf.DUMMYFUNCTION("""COMPUTED_VALUE"""),"Office Supplies")</f>
        <v>Office Supplies</v>
      </c>
      <c r="S71" s="7">
        <f ca="1">IFERROR(__xludf.DUMMYFUNCTION("""COMPUTED_VALUE"""),14.368)</f>
        <v>14.368</v>
      </c>
      <c r="T71" s="1">
        <f ca="1">IFERROR(__xludf.DUMMYFUNCTION("""COMPUTED_VALUE"""),9)</f>
        <v>9</v>
      </c>
      <c r="U71" s="9">
        <f ca="1">IFERROR(__xludf.DUMMYFUNCTION("""COMPUTED_VALUE"""),129.312)</f>
        <v>129.31200000000001</v>
      </c>
      <c r="V71" s="9">
        <f ca="1">IFERROR(__xludf.DUMMYFUNCTION("""COMPUTED_VALUE"""),123.57)</f>
        <v>123.57</v>
      </c>
      <c r="W71" s="12">
        <f ca="1">IFERROR(__xludf.DUMMYFUNCTION("""COMPUTED_VALUE"""),5.742)</f>
        <v>5.742</v>
      </c>
    </row>
    <row r="72" spans="1:23" ht="13.2">
      <c r="A72" s="1" t="str">
        <f ca="1">IFERROR(__xludf.DUMMYFUNCTION("""COMPUTED_VALUE"""),"CA-2015-129924")</f>
        <v>CA-2015-129924</v>
      </c>
      <c r="B72" s="8">
        <f ca="1">IFERROR(__xludf.DUMMYFUNCTION("""COMPUTED_VALUE"""),42345)</f>
        <v>42345</v>
      </c>
      <c r="C72" s="1" t="str">
        <f ca="1">IFERROR(__xludf.DUMMYFUNCTION("""COMPUTED_VALUE"""),"Dec")</f>
        <v>Dec</v>
      </c>
      <c r="D72" s="1" t="str">
        <f ca="1">IFERROR(__xludf.DUMMYFUNCTION("""COMPUTED_VALUE"""),"Qtr 4")</f>
        <v>Qtr 4</v>
      </c>
      <c r="E72" s="1" t="str">
        <f ca="1">IFERROR(__xludf.DUMMYFUNCTION("""COMPUTED_VALUE"""),"17/07/2015")</f>
        <v>17/07/2015</v>
      </c>
      <c r="F72" s="1" t="str">
        <f ca="1">IFERROR(__xludf.DUMMYFUNCTION("""COMPUTED_VALUE"""),"Standard Class")</f>
        <v>Standard Class</v>
      </c>
      <c r="G72" s="1" t="str">
        <f ca="1">IFERROR(__xludf.DUMMYFUNCTION("""COMPUTED_VALUE"""),"AC-10420")</f>
        <v>AC-10420</v>
      </c>
      <c r="H72" s="1" t="str">
        <f ca="1">IFERROR(__xludf.DUMMYFUNCTION("""COMPUTED_VALUE"""),"Alyssa")</f>
        <v>Alyssa</v>
      </c>
      <c r="I72" s="1" t="str">
        <f ca="1">IFERROR(__xludf.DUMMYFUNCTION("""COMPUTED_VALUE"""),"Crouse")</f>
        <v>Crouse</v>
      </c>
      <c r="J72" s="1"/>
      <c r="K72" s="1" t="str">
        <f ca="1">IFERROR(__xludf.DUMMYFUNCTION("""COMPUTED_VALUE"""),"Corporate")</f>
        <v>Corporate</v>
      </c>
      <c r="L72" s="1" t="str">
        <f ca="1">IFERROR(__xludf.DUMMYFUNCTION("""COMPUTED_VALUE"""),"United States")</f>
        <v>United States</v>
      </c>
      <c r="M72" s="1" t="str">
        <f ca="1">IFERROR(__xludf.DUMMYFUNCTION("""COMPUTED_VALUE"""),"San Francisco")</f>
        <v>San Francisco</v>
      </c>
      <c r="N72" s="1" t="str">
        <f ca="1">IFERROR(__xludf.DUMMYFUNCTION("""COMPUTED_VALUE"""),"California")</f>
        <v>California</v>
      </c>
      <c r="O72" s="1">
        <f ca="1">IFERROR(__xludf.DUMMYFUNCTION("""COMPUTED_VALUE"""),94122)</f>
        <v>94122</v>
      </c>
      <c r="P72" s="1" t="str">
        <f ca="1">IFERROR(__xludf.DUMMYFUNCTION("""COMPUTED_VALUE"""),"West")</f>
        <v>West</v>
      </c>
      <c r="Q72" s="1" t="str">
        <f ca="1">IFERROR(__xludf.DUMMYFUNCTION("""COMPUTED_VALUE"""),"OFF-BI-10003314")</f>
        <v>OFF-BI-10003314</v>
      </c>
      <c r="R72" s="1" t="str">
        <f ca="1">IFERROR(__xludf.DUMMYFUNCTION("""COMPUTED_VALUE"""),"Office Supplies")</f>
        <v>Office Supplies</v>
      </c>
      <c r="S72" s="7">
        <f ca="1">IFERROR(__xludf.DUMMYFUNCTION("""COMPUTED_VALUE"""),7.712)</f>
        <v>7.7119999999999997</v>
      </c>
      <c r="T72" s="1">
        <f ca="1">IFERROR(__xludf.DUMMYFUNCTION("""COMPUTED_VALUE"""),9)</f>
        <v>9</v>
      </c>
      <c r="U72" s="9">
        <f ca="1">IFERROR(__xludf.DUMMYFUNCTION("""COMPUTED_VALUE"""),69.408)</f>
        <v>69.408000000000001</v>
      </c>
      <c r="V72" s="9">
        <f ca="1">IFERROR(__xludf.DUMMYFUNCTION("""COMPUTED_VALUE"""),64.71)</f>
        <v>64.709999999999994</v>
      </c>
      <c r="W72" s="12">
        <f ca="1">IFERROR(__xludf.DUMMYFUNCTION("""COMPUTED_VALUE"""),4.69799999999999)</f>
        <v>4.6979999999999897</v>
      </c>
    </row>
    <row r="73" spans="1:23" ht="13.2">
      <c r="A73" s="1" t="str">
        <f ca="1">IFERROR(__xludf.DUMMYFUNCTION("""COMPUTED_VALUE"""),"CA-2015-129924")</f>
        <v>CA-2015-129924</v>
      </c>
      <c r="B73" s="8">
        <f ca="1">IFERROR(__xludf.DUMMYFUNCTION("""COMPUTED_VALUE"""),42345)</f>
        <v>42345</v>
      </c>
      <c r="C73" s="1" t="str">
        <f ca="1">IFERROR(__xludf.DUMMYFUNCTION("""COMPUTED_VALUE"""),"Dec")</f>
        <v>Dec</v>
      </c>
      <c r="D73" s="1" t="str">
        <f ca="1">IFERROR(__xludf.DUMMYFUNCTION("""COMPUTED_VALUE"""),"Qtr 4")</f>
        <v>Qtr 4</v>
      </c>
      <c r="E73" s="1" t="str">
        <f ca="1">IFERROR(__xludf.DUMMYFUNCTION("""COMPUTED_VALUE"""),"17/07/2015")</f>
        <v>17/07/2015</v>
      </c>
      <c r="F73" s="1" t="str">
        <f ca="1">IFERROR(__xludf.DUMMYFUNCTION("""COMPUTED_VALUE"""),"Standard Class")</f>
        <v>Standard Class</v>
      </c>
      <c r="G73" s="1" t="str">
        <f ca="1">IFERROR(__xludf.DUMMYFUNCTION("""COMPUTED_VALUE"""),"AC-10420")</f>
        <v>AC-10420</v>
      </c>
      <c r="H73" s="1" t="str">
        <f ca="1">IFERROR(__xludf.DUMMYFUNCTION("""COMPUTED_VALUE"""),"Alyssa")</f>
        <v>Alyssa</v>
      </c>
      <c r="I73" s="1" t="str">
        <f ca="1">IFERROR(__xludf.DUMMYFUNCTION("""COMPUTED_VALUE"""),"Crouse")</f>
        <v>Crouse</v>
      </c>
      <c r="J73" s="1"/>
      <c r="K73" s="1" t="str">
        <f ca="1">IFERROR(__xludf.DUMMYFUNCTION("""COMPUTED_VALUE"""),"Corporate")</f>
        <v>Corporate</v>
      </c>
      <c r="L73" s="1" t="str">
        <f ca="1">IFERROR(__xludf.DUMMYFUNCTION("""COMPUTED_VALUE"""),"United States")</f>
        <v>United States</v>
      </c>
      <c r="M73" s="1" t="str">
        <f ca="1">IFERROR(__xludf.DUMMYFUNCTION("""COMPUTED_VALUE"""),"San Francisco")</f>
        <v>San Francisco</v>
      </c>
      <c r="N73" s="1" t="str">
        <f ca="1">IFERROR(__xludf.DUMMYFUNCTION("""COMPUTED_VALUE"""),"California")</f>
        <v>California</v>
      </c>
      <c r="O73" s="1">
        <f ca="1">IFERROR(__xludf.DUMMYFUNCTION("""COMPUTED_VALUE"""),94122)</f>
        <v>94122</v>
      </c>
      <c r="P73" s="1" t="str">
        <f ca="1">IFERROR(__xludf.DUMMYFUNCTION("""COMPUTED_VALUE"""),"West")</f>
        <v>West</v>
      </c>
      <c r="Q73" s="1" t="str">
        <f ca="1">IFERROR(__xludf.DUMMYFUNCTION("""COMPUTED_VALUE"""),"FUR-TA-10004575")</f>
        <v>FUR-TA-10004575</v>
      </c>
      <c r="R73" s="1" t="str">
        <f ca="1">IFERROR(__xludf.DUMMYFUNCTION("""COMPUTED_VALUE"""),"Furniture")</f>
        <v>Furniture</v>
      </c>
      <c r="S73" s="7">
        <f ca="1">IFERROR(__xludf.DUMMYFUNCTION("""COMPUTED_VALUE"""),698.352)</f>
        <v>698.35199999999998</v>
      </c>
      <c r="T73" s="1">
        <f ca="1">IFERROR(__xludf.DUMMYFUNCTION("""COMPUTED_VALUE"""),9)</f>
        <v>9</v>
      </c>
      <c r="U73" s="9">
        <f ca="1">IFERROR(__xludf.DUMMYFUNCTION("""COMPUTED_VALUE"""),6285.168)</f>
        <v>6285.1679999999997</v>
      </c>
      <c r="V73" s="9">
        <f ca="1">IFERROR(__xludf.DUMMYFUNCTION("""COMPUTED_VALUE"""),6284.16)</f>
        <v>6284.16</v>
      </c>
      <c r="W73" s="12">
        <f ca="1">IFERROR(__xludf.DUMMYFUNCTION("""COMPUTED_VALUE"""),1.00799999999981)</f>
        <v>1.0079999999998099</v>
      </c>
    </row>
    <row r="74" spans="1:23" ht="13.2">
      <c r="A74" s="1" t="str">
        <f ca="1">IFERROR(__xludf.DUMMYFUNCTION("""COMPUTED_VALUE"""),"CA-2018-169901")</f>
        <v>CA-2018-169901</v>
      </c>
      <c r="B74" s="8">
        <f ca="1">IFERROR(__xludf.DUMMYFUNCTION("""COMPUTED_VALUE"""),43266)</f>
        <v>43266</v>
      </c>
      <c r="C74" s="1" t="str">
        <f ca="1">IFERROR(__xludf.DUMMYFUNCTION("""COMPUTED_VALUE"""),"Jun")</f>
        <v>Jun</v>
      </c>
      <c r="D74" s="1" t="str">
        <f ca="1">IFERROR(__xludf.DUMMYFUNCTION("""COMPUTED_VALUE"""),"Qtr 2")</f>
        <v>Qtr 2</v>
      </c>
      <c r="E74" s="1" t="str">
        <f ca="1">IFERROR(__xludf.DUMMYFUNCTION("""COMPUTED_VALUE"""),"19/06/2018")</f>
        <v>19/06/2018</v>
      </c>
      <c r="F74" s="1" t="str">
        <f ca="1">IFERROR(__xludf.DUMMYFUNCTION("""COMPUTED_VALUE"""),"Standard Class")</f>
        <v>Standard Class</v>
      </c>
      <c r="G74" s="1" t="str">
        <f ca="1">IFERROR(__xludf.DUMMYFUNCTION("""COMPUTED_VALUE"""),"CC-12550")</f>
        <v>CC-12550</v>
      </c>
      <c r="H74" s="1" t="str">
        <f ca="1">IFERROR(__xludf.DUMMYFUNCTION("""COMPUTED_VALUE"""),"Clay")</f>
        <v>Clay</v>
      </c>
      <c r="I74" s="1" t="str">
        <f ca="1">IFERROR(__xludf.DUMMYFUNCTION("""COMPUTED_VALUE"""),"Cheatham")</f>
        <v>Cheatham</v>
      </c>
      <c r="J74" s="1"/>
      <c r="K74" s="1" t="str">
        <f ca="1">IFERROR(__xludf.DUMMYFUNCTION("""COMPUTED_VALUE"""),"Consumer")</f>
        <v>Consumer</v>
      </c>
      <c r="L74" s="1" t="str">
        <f ca="1">IFERROR(__xludf.DUMMYFUNCTION("""COMPUTED_VALUE"""),"United States")</f>
        <v>United States</v>
      </c>
      <c r="M74" s="1" t="str">
        <f ca="1">IFERROR(__xludf.DUMMYFUNCTION("""COMPUTED_VALUE"""),"San Francisco")</f>
        <v>San Francisco</v>
      </c>
      <c r="N74" s="1" t="str">
        <f ca="1">IFERROR(__xludf.DUMMYFUNCTION("""COMPUTED_VALUE"""),"California")</f>
        <v>California</v>
      </c>
      <c r="O74" s="1">
        <f ca="1">IFERROR(__xludf.DUMMYFUNCTION("""COMPUTED_VALUE"""),94122)</f>
        <v>94122</v>
      </c>
      <c r="P74" s="1" t="str">
        <f ca="1">IFERROR(__xludf.DUMMYFUNCTION("""COMPUTED_VALUE"""),"West")</f>
        <v>West</v>
      </c>
      <c r="Q74" s="1" t="str">
        <f ca="1">IFERROR(__xludf.DUMMYFUNCTION("""COMPUTED_VALUE"""),"TEC-PH-10002293")</f>
        <v>TEC-PH-10002293</v>
      </c>
      <c r="R74" s="1" t="str">
        <f ca="1">IFERROR(__xludf.DUMMYFUNCTION("""COMPUTED_VALUE"""),"Technology")</f>
        <v>Technology</v>
      </c>
      <c r="S74" s="7">
        <f ca="1">IFERROR(__xludf.DUMMYFUNCTION("""COMPUTED_VALUE"""),47.976)</f>
        <v>47.975999999999999</v>
      </c>
      <c r="T74" s="1">
        <f ca="1">IFERROR(__xludf.DUMMYFUNCTION("""COMPUTED_VALUE"""),9)</f>
        <v>9</v>
      </c>
      <c r="U74" s="9">
        <f ca="1">IFERROR(__xludf.DUMMYFUNCTION("""COMPUTED_VALUE"""),431.784)</f>
        <v>431.78399999999999</v>
      </c>
      <c r="V74" s="9">
        <f ca="1">IFERROR(__xludf.DUMMYFUNCTION("""COMPUTED_VALUE"""),428.13)</f>
        <v>428.13</v>
      </c>
      <c r="W74" s="12">
        <f ca="1">IFERROR(__xludf.DUMMYFUNCTION("""COMPUTED_VALUE"""),3.65399999999999)</f>
        <v>3.6539999999999901</v>
      </c>
    </row>
    <row r="75" spans="1:23" ht="13.2">
      <c r="A75" s="1" t="str">
        <f ca="1">IFERROR(__xludf.DUMMYFUNCTION("""COMPUTED_VALUE"""),"CA-2015-123344")</f>
        <v>CA-2015-123344</v>
      </c>
      <c r="B75" s="8">
        <f ca="1">IFERROR(__xludf.DUMMYFUNCTION("""COMPUTED_VALUE"""),42271)</f>
        <v>42271</v>
      </c>
      <c r="C75" s="1" t="str">
        <f ca="1">IFERROR(__xludf.DUMMYFUNCTION("""COMPUTED_VALUE"""),"Sep")</f>
        <v>Sep</v>
      </c>
      <c r="D75" s="1" t="str">
        <f ca="1">IFERROR(__xludf.DUMMYFUNCTION("""COMPUTED_VALUE"""),"Qtr 3")</f>
        <v>Qtr 3</v>
      </c>
      <c r="E75" s="1" t="str">
        <f ca="1">IFERROR(__xludf.DUMMYFUNCTION("""COMPUTED_VALUE"""),"29/09/2015")</f>
        <v>29/09/2015</v>
      </c>
      <c r="F75" s="1" t="str">
        <f ca="1">IFERROR(__xludf.DUMMYFUNCTION("""COMPUTED_VALUE"""),"Standard Class")</f>
        <v>Standard Class</v>
      </c>
      <c r="G75" s="1" t="str">
        <f ca="1">IFERROR(__xludf.DUMMYFUNCTION("""COMPUTED_VALUE"""),"JD-16060")</f>
        <v>JD-16060</v>
      </c>
      <c r="H75" s="1" t="str">
        <f ca="1">IFERROR(__xludf.DUMMYFUNCTION("""COMPUTED_VALUE"""),"Julia")</f>
        <v>Julia</v>
      </c>
      <c r="I75" s="1" t="str">
        <f ca="1">IFERROR(__xludf.DUMMYFUNCTION("""COMPUTED_VALUE"""),"Dunbar")</f>
        <v>Dunbar</v>
      </c>
      <c r="J75" s="1"/>
      <c r="K75" s="1" t="str">
        <f ca="1">IFERROR(__xludf.DUMMYFUNCTION("""COMPUTED_VALUE"""),"Consumer")</f>
        <v>Consumer</v>
      </c>
      <c r="L75" s="1" t="str">
        <f ca="1">IFERROR(__xludf.DUMMYFUNCTION("""COMPUTED_VALUE"""),"United States")</f>
        <v>United States</v>
      </c>
      <c r="M75" s="1" t="str">
        <f ca="1">IFERROR(__xludf.DUMMYFUNCTION("""COMPUTED_VALUE"""),"San Francisco")</f>
        <v>San Francisco</v>
      </c>
      <c r="N75" s="1" t="str">
        <f ca="1">IFERROR(__xludf.DUMMYFUNCTION("""COMPUTED_VALUE"""),"California")</f>
        <v>California</v>
      </c>
      <c r="O75" s="1">
        <f ca="1">IFERROR(__xludf.DUMMYFUNCTION("""COMPUTED_VALUE"""),94109)</f>
        <v>94109</v>
      </c>
      <c r="P75" s="1" t="str">
        <f ca="1">IFERROR(__xludf.DUMMYFUNCTION("""COMPUTED_VALUE"""),"West")</f>
        <v>West</v>
      </c>
      <c r="Q75" s="1" t="str">
        <f ca="1">IFERROR(__xludf.DUMMYFUNCTION("""COMPUTED_VALUE"""),"OFF-ST-10001713")</f>
        <v>OFF-ST-10001713</v>
      </c>
      <c r="R75" s="1" t="str">
        <f ca="1">IFERROR(__xludf.DUMMYFUNCTION("""COMPUTED_VALUE"""),"Office Supplies")</f>
        <v>Office Supplies</v>
      </c>
      <c r="S75" s="7">
        <f ca="1">IFERROR(__xludf.DUMMYFUNCTION("""COMPUTED_VALUE"""),211.96)</f>
        <v>211.96</v>
      </c>
      <c r="T75" s="1">
        <f ca="1">IFERROR(__xludf.DUMMYFUNCTION("""COMPUTED_VALUE"""),9)</f>
        <v>9</v>
      </c>
      <c r="U75" s="9">
        <f ca="1">IFERROR(__xludf.DUMMYFUNCTION("""COMPUTED_VALUE"""),1907.64)</f>
        <v>1907.64</v>
      </c>
      <c r="V75" s="9">
        <f ca="1">IFERROR(__xludf.DUMMYFUNCTION("""COMPUTED_VALUE"""),1900.35)</f>
        <v>1900.35</v>
      </c>
      <c r="W75" s="12">
        <f ca="1">IFERROR(__xludf.DUMMYFUNCTION("""COMPUTED_VALUE"""),7.28999999999996)</f>
        <v>7.2899999999999601</v>
      </c>
    </row>
    <row r="76" spans="1:23" ht="13.2">
      <c r="A76" s="1" t="str">
        <f ca="1">IFERROR(__xludf.DUMMYFUNCTION("""COMPUTED_VALUE"""),"CA-2017-134775")</f>
        <v>CA-2017-134775</v>
      </c>
      <c r="B76" s="8">
        <f ca="1">IFERROR(__xludf.DUMMYFUNCTION("""COMPUTED_VALUE"""),43036)</f>
        <v>43036</v>
      </c>
      <c r="C76" s="1" t="str">
        <f ca="1">IFERROR(__xludf.DUMMYFUNCTION("""COMPUTED_VALUE"""),"Oct")</f>
        <v>Oct</v>
      </c>
      <c r="D76" s="1" t="str">
        <f ca="1">IFERROR(__xludf.DUMMYFUNCTION("""COMPUTED_VALUE"""),"Qtr 4")</f>
        <v>Qtr 4</v>
      </c>
      <c r="E76" s="1" t="str">
        <f ca="1">IFERROR(__xludf.DUMMYFUNCTION("""COMPUTED_VALUE"""),"29/10/2017")</f>
        <v>29/10/2017</v>
      </c>
      <c r="F76" s="1" t="str">
        <f ca="1">IFERROR(__xludf.DUMMYFUNCTION("""COMPUTED_VALUE"""),"First Class")</f>
        <v>First Class</v>
      </c>
      <c r="G76" s="1" t="str">
        <f ca="1">IFERROR(__xludf.DUMMYFUNCTION("""COMPUTED_VALUE"""),"AS-10285")</f>
        <v>AS-10285</v>
      </c>
      <c r="H76" s="1" t="str">
        <f ca="1">IFERROR(__xludf.DUMMYFUNCTION("""COMPUTED_VALUE"""),"Alejandro")</f>
        <v>Alejandro</v>
      </c>
      <c r="I76" s="1" t="str">
        <f ca="1">IFERROR(__xludf.DUMMYFUNCTION("""COMPUTED_VALUE"""),"Savely")</f>
        <v>Savely</v>
      </c>
      <c r="J76" s="1"/>
      <c r="K76" s="1" t="str">
        <f ca="1">IFERROR(__xludf.DUMMYFUNCTION("""COMPUTED_VALUE"""),"Corporate")</f>
        <v>Corporate</v>
      </c>
      <c r="L76" s="1" t="str">
        <f ca="1">IFERROR(__xludf.DUMMYFUNCTION("""COMPUTED_VALUE"""),"United States")</f>
        <v>United States</v>
      </c>
      <c r="M76" s="1" t="str">
        <f ca="1">IFERROR(__xludf.DUMMYFUNCTION("""COMPUTED_VALUE"""),"San Francisco")</f>
        <v>San Francisco</v>
      </c>
      <c r="N76" s="1" t="str">
        <f ca="1">IFERROR(__xludf.DUMMYFUNCTION("""COMPUTED_VALUE"""),"California")</f>
        <v>California</v>
      </c>
      <c r="O76" s="1">
        <f ca="1">IFERROR(__xludf.DUMMYFUNCTION("""COMPUTED_VALUE"""),94109)</f>
        <v>94109</v>
      </c>
      <c r="P76" s="1" t="str">
        <f ca="1">IFERROR(__xludf.DUMMYFUNCTION("""COMPUTED_VALUE"""),"West")</f>
        <v>West</v>
      </c>
      <c r="Q76" s="1" t="str">
        <f ca="1">IFERROR(__xludf.DUMMYFUNCTION("""COMPUTED_VALUE"""),"OFF-PA-10004734")</f>
        <v>OFF-PA-10004734</v>
      </c>
      <c r="R76" s="1" t="str">
        <f ca="1">IFERROR(__xludf.DUMMYFUNCTION("""COMPUTED_VALUE"""),"Office Supplies")</f>
        <v>Office Supplies</v>
      </c>
      <c r="S76" s="7">
        <f ca="1">IFERROR(__xludf.DUMMYFUNCTION("""COMPUTED_VALUE"""),50.96)</f>
        <v>50.96</v>
      </c>
      <c r="T76" s="1">
        <f ca="1">IFERROR(__xludf.DUMMYFUNCTION("""COMPUTED_VALUE"""),9)</f>
        <v>9</v>
      </c>
      <c r="U76" s="9">
        <f ca="1">IFERROR(__xludf.DUMMYFUNCTION("""COMPUTED_VALUE"""),458.64)</f>
        <v>458.64</v>
      </c>
      <c r="V76" s="9">
        <f ca="1">IFERROR(__xludf.DUMMYFUNCTION("""COMPUTED_VALUE"""),453.689999999999)</f>
        <v>453.68999999999897</v>
      </c>
      <c r="W76" s="12">
        <f ca="1">IFERROR(__xludf.DUMMYFUNCTION("""COMPUTED_VALUE"""),4.95000000000004)</f>
        <v>4.9500000000000401</v>
      </c>
    </row>
    <row r="77" spans="1:23" ht="13.2">
      <c r="A77" s="1" t="str">
        <f ca="1">IFERROR(__xludf.DUMMYFUNCTION("""COMPUTED_VALUE"""),"CA-2017-134775")</f>
        <v>CA-2017-134775</v>
      </c>
      <c r="B77" s="8">
        <f ca="1">IFERROR(__xludf.DUMMYFUNCTION("""COMPUTED_VALUE"""),43036)</f>
        <v>43036</v>
      </c>
      <c r="C77" s="1" t="str">
        <f ca="1">IFERROR(__xludf.DUMMYFUNCTION("""COMPUTED_VALUE"""),"Oct")</f>
        <v>Oct</v>
      </c>
      <c r="D77" s="1" t="str">
        <f ca="1">IFERROR(__xludf.DUMMYFUNCTION("""COMPUTED_VALUE"""),"Qtr 4")</f>
        <v>Qtr 4</v>
      </c>
      <c r="E77" s="1" t="str">
        <f ca="1">IFERROR(__xludf.DUMMYFUNCTION("""COMPUTED_VALUE"""),"29/10/2017")</f>
        <v>29/10/2017</v>
      </c>
      <c r="F77" s="1" t="str">
        <f ca="1">IFERROR(__xludf.DUMMYFUNCTION("""COMPUTED_VALUE"""),"First Class")</f>
        <v>First Class</v>
      </c>
      <c r="G77" s="1" t="str">
        <f ca="1">IFERROR(__xludf.DUMMYFUNCTION("""COMPUTED_VALUE"""),"AS-10285")</f>
        <v>AS-10285</v>
      </c>
      <c r="H77" s="1" t="str">
        <f ca="1">IFERROR(__xludf.DUMMYFUNCTION("""COMPUTED_VALUE"""),"Alejandro")</f>
        <v>Alejandro</v>
      </c>
      <c r="I77" s="1" t="str">
        <f ca="1">IFERROR(__xludf.DUMMYFUNCTION("""COMPUTED_VALUE"""),"Savely")</f>
        <v>Savely</v>
      </c>
      <c r="J77" s="1"/>
      <c r="K77" s="1" t="str">
        <f ca="1">IFERROR(__xludf.DUMMYFUNCTION("""COMPUTED_VALUE"""),"Corporate")</f>
        <v>Corporate</v>
      </c>
      <c r="L77" s="1" t="str">
        <f ca="1">IFERROR(__xludf.DUMMYFUNCTION("""COMPUTED_VALUE"""),"United States")</f>
        <v>United States</v>
      </c>
      <c r="M77" s="1" t="str">
        <f ca="1">IFERROR(__xludf.DUMMYFUNCTION("""COMPUTED_VALUE"""),"San Francisco")</f>
        <v>San Francisco</v>
      </c>
      <c r="N77" s="1" t="str">
        <f ca="1">IFERROR(__xludf.DUMMYFUNCTION("""COMPUTED_VALUE"""),"California")</f>
        <v>California</v>
      </c>
      <c r="O77" s="1">
        <f ca="1">IFERROR(__xludf.DUMMYFUNCTION("""COMPUTED_VALUE"""),94109)</f>
        <v>94109</v>
      </c>
      <c r="P77" s="1" t="str">
        <f ca="1">IFERROR(__xludf.DUMMYFUNCTION("""COMPUTED_VALUE"""),"West")</f>
        <v>West</v>
      </c>
      <c r="Q77" s="1" t="str">
        <f ca="1">IFERROR(__xludf.DUMMYFUNCTION("""COMPUTED_VALUE"""),"OFF-BI-10002225")</f>
        <v>OFF-BI-10002225</v>
      </c>
      <c r="R77" s="1" t="str">
        <f ca="1">IFERROR(__xludf.DUMMYFUNCTION("""COMPUTED_VALUE"""),"Office Supplies")</f>
        <v>Office Supplies</v>
      </c>
      <c r="S77" s="7">
        <f ca="1">IFERROR(__xludf.DUMMYFUNCTION("""COMPUTED_VALUE"""),49.536)</f>
        <v>49.536000000000001</v>
      </c>
      <c r="T77" s="1">
        <f ca="1">IFERROR(__xludf.DUMMYFUNCTION("""COMPUTED_VALUE"""),9)</f>
        <v>9</v>
      </c>
      <c r="U77" s="9">
        <f ca="1">IFERROR(__xludf.DUMMYFUNCTION("""COMPUTED_VALUE"""),445.824)</f>
        <v>445.82400000000001</v>
      </c>
      <c r="V77" s="9">
        <f ca="1">IFERROR(__xludf.DUMMYFUNCTION("""COMPUTED_VALUE"""),441.09)</f>
        <v>441.09</v>
      </c>
      <c r="W77" s="12">
        <f ca="1">IFERROR(__xludf.DUMMYFUNCTION("""COMPUTED_VALUE"""),4.73400000000003)</f>
        <v>4.7340000000000302</v>
      </c>
    </row>
    <row r="78" spans="1:23" ht="13.2">
      <c r="A78" s="1" t="str">
        <f ca="1">IFERROR(__xludf.DUMMYFUNCTION("""COMPUTED_VALUE"""),"CA-2018-117457")</f>
        <v>CA-2018-117457</v>
      </c>
      <c r="B78" s="8">
        <f ca="1">IFERROR(__xludf.DUMMYFUNCTION("""COMPUTED_VALUE"""),43324)</f>
        <v>43324</v>
      </c>
      <c r="C78" s="1" t="str">
        <f ca="1">IFERROR(__xludf.DUMMYFUNCTION("""COMPUTED_VALUE"""),"Aug")</f>
        <v>Aug</v>
      </c>
      <c r="D78" s="1" t="str">
        <f ca="1">IFERROR(__xludf.DUMMYFUNCTION("""COMPUTED_VALUE"""),"Qtr 3")</f>
        <v>Qtr 3</v>
      </c>
      <c r="E78" s="1" t="str">
        <f ca="1">IFERROR(__xludf.DUMMYFUNCTION("""COMPUTED_VALUE"""),"12/12/2018")</f>
        <v>12/12/2018</v>
      </c>
      <c r="F78" s="1" t="str">
        <f ca="1">IFERROR(__xludf.DUMMYFUNCTION("""COMPUTED_VALUE"""),"Standard Class")</f>
        <v>Standard Class</v>
      </c>
      <c r="G78" s="1" t="str">
        <f ca="1">IFERROR(__xludf.DUMMYFUNCTION("""COMPUTED_VALUE"""),"KH-16510")</f>
        <v>KH-16510</v>
      </c>
      <c r="H78" s="1" t="str">
        <f ca="1">IFERROR(__xludf.DUMMYFUNCTION("""COMPUTED_VALUE"""),"Keith")</f>
        <v>Keith</v>
      </c>
      <c r="I78" s="1" t="str">
        <f ca="1">IFERROR(__xludf.DUMMYFUNCTION("""COMPUTED_VALUE"""),"Herrera")</f>
        <v>Herrera</v>
      </c>
      <c r="J78" s="1"/>
      <c r="K78" s="1" t="str">
        <f ca="1">IFERROR(__xludf.DUMMYFUNCTION("""COMPUTED_VALUE"""),"Consumer")</f>
        <v>Consumer</v>
      </c>
      <c r="L78" s="1" t="str">
        <f ca="1">IFERROR(__xludf.DUMMYFUNCTION("""COMPUTED_VALUE"""),"United States")</f>
        <v>United States</v>
      </c>
      <c r="M78" s="1" t="str">
        <f ca="1">IFERROR(__xludf.DUMMYFUNCTION("""COMPUTED_VALUE"""),"San Francisco")</f>
        <v>San Francisco</v>
      </c>
      <c r="N78" s="1" t="str">
        <f ca="1">IFERROR(__xludf.DUMMYFUNCTION("""COMPUTED_VALUE"""),"California")</f>
        <v>California</v>
      </c>
      <c r="O78" s="1">
        <f ca="1">IFERROR(__xludf.DUMMYFUNCTION("""COMPUTED_VALUE"""),94110)</f>
        <v>94110</v>
      </c>
      <c r="P78" s="1" t="str">
        <f ca="1">IFERROR(__xludf.DUMMYFUNCTION("""COMPUTED_VALUE"""),"West")</f>
        <v>West</v>
      </c>
      <c r="Q78" s="1" t="str">
        <f ca="1">IFERROR(__xludf.DUMMYFUNCTION("""COMPUTED_VALUE"""),"TEC-AC-10000158")</f>
        <v>TEC-AC-10000158</v>
      </c>
      <c r="R78" s="1" t="str">
        <f ca="1">IFERROR(__xludf.DUMMYFUNCTION("""COMPUTED_VALUE"""),"Technology")</f>
        <v>Technology</v>
      </c>
      <c r="S78" s="7">
        <f ca="1">IFERROR(__xludf.DUMMYFUNCTION("""COMPUTED_VALUE"""),179.95)</f>
        <v>179.95</v>
      </c>
      <c r="T78" s="1">
        <f ca="1">IFERROR(__xludf.DUMMYFUNCTION("""COMPUTED_VALUE"""),9)</f>
        <v>9</v>
      </c>
      <c r="U78" s="9">
        <f ca="1">IFERROR(__xludf.DUMMYFUNCTION("""COMPUTED_VALUE"""),1619.55)</f>
        <v>1619.55</v>
      </c>
      <c r="V78" s="9">
        <f ca="1">IFERROR(__xludf.DUMMYFUNCTION("""COMPUTED_VALUE"""),1616.58)</f>
        <v>1616.58</v>
      </c>
      <c r="W78" s="12">
        <f ca="1">IFERROR(__xludf.DUMMYFUNCTION("""COMPUTED_VALUE"""),2.97000000000002)</f>
        <v>2.9700000000000202</v>
      </c>
    </row>
    <row r="79" spans="1:23" ht="13.2">
      <c r="A79" s="1" t="str">
        <f ca="1">IFERROR(__xludf.DUMMYFUNCTION("""COMPUTED_VALUE"""),"CA-2018-117457")</f>
        <v>CA-2018-117457</v>
      </c>
      <c r="B79" s="8">
        <f ca="1">IFERROR(__xludf.DUMMYFUNCTION("""COMPUTED_VALUE"""),43324)</f>
        <v>43324</v>
      </c>
      <c r="C79" s="1" t="str">
        <f ca="1">IFERROR(__xludf.DUMMYFUNCTION("""COMPUTED_VALUE"""),"Aug")</f>
        <v>Aug</v>
      </c>
      <c r="D79" s="1" t="str">
        <f ca="1">IFERROR(__xludf.DUMMYFUNCTION("""COMPUTED_VALUE"""),"Qtr 3")</f>
        <v>Qtr 3</v>
      </c>
      <c r="E79" s="1" t="str">
        <f ca="1">IFERROR(__xludf.DUMMYFUNCTION("""COMPUTED_VALUE"""),"12/12/2018")</f>
        <v>12/12/2018</v>
      </c>
      <c r="F79" s="1" t="str">
        <f ca="1">IFERROR(__xludf.DUMMYFUNCTION("""COMPUTED_VALUE"""),"Standard Class")</f>
        <v>Standard Class</v>
      </c>
      <c r="G79" s="1" t="str">
        <f ca="1">IFERROR(__xludf.DUMMYFUNCTION("""COMPUTED_VALUE"""),"KH-16510")</f>
        <v>KH-16510</v>
      </c>
      <c r="H79" s="1" t="str">
        <f ca="1">IFERROR(__xludf.DUMMYFUNCTION("""COMPUTED_VALUE"""),"Keith")</f>
        <v>Keith</v>
      </c>
      <c r="I79" s="1" t="str">
        <f ca="1">IFERROR(__xludf.DUMMYFUNCTION("""COMPUTED_VALUE"""),"Herrera")</f>
        <v>Herrera</v>
      </c>
      <c r="J79" s="1"/>
      <c r="K79" s="1" t="str">
        <f ca="1">IFERROR(__xludf.DUMMYFUNCTION("""COMPUTED_VALUE"""),"Consumer")</f>
        <v>Consumer</v>
      </c>
      <c r="L79" s="1" t="str">
        <f ca="1">IFERROR(__xludf.DUMMYFUNCTION("""COMPUTED_VALUE"""),"United States")</f>
        <v>United States</v>
      </c>
      <c r="M79" s="1" t="str">
        <f ca="1">IFERROR(__xludf.DUMMYFUNCTION("""COMPUTED_VALUE"""),"San Francisco")</f>
        <v>San Francisco</v>
      </c>
      <c r="N79" s="1" t="str">
        <f ca="1">IFERROR(__xludf.DUMMYFUNCTION("""COMPUTED_VALUE"""),"California")</f>
        <v>California</v>
      </c>
      <c r="O79" s="1">
        <f ca="1">IFERROR(__xludf.DUMMYFUNCTION("""COMPUTED_VALUE"""),94110)</f>
        <v>94110</v>
      </c>
      <c r="P79" s="1" t="str">
        <f ca="1">IFERROR(__xludf.DUMMYFUNCTION("""COMPUTED_VALUE"""),"West")</f>
        <v>West</v>
      </c>
      <c r="Q79" s="1" t="str">
        <f ca="1">IFERROR(__xludf.DUMMYFUNCTION("""COMPUTED_VALUE"""),"TEC-CO-10004115")</f>
        <v>TEC-CO-10004115</v>
      </c>
      <c r="R79" s="1" t="str">
        <f ca="1">IFERROR(__xludf.DUMMYFUNCTION("""COMPUTED_VALUE"""),"Technology")</f>
        <v>Technology</v>
      </c>
      <c r="S79" s="7">
        <f ca="1">IFERROR(__xludf.DUMMYFUNCTION("""COMPUTED_VALUE"""),1199.976)</f>
        <v>1199.9760000000001</v>
      </c>
      <c r="T79" s="1">
        <f ca="1">IFERROR(__xludf.DUMMYFUNCTION("""COMPUTED_VALUE"""),9)</f>
        <v>9</v>
      </c>
      <c r="U79" s="9">
        <f ca="1">IFERROR(__xludf.DUMMYFUNCTION("""COMPUTED_VALUE"""),10799.784)</f>
        <v>10799.784</v>
      </c>
      <c r="V79" s="9">
        <f ca="1">IFERROR(__xludf.DUMMYFUNCTION("""COMPUTED_VALUE"""),10798.74)</f>
        <v>10798.74</v>
      </c>
      <c r="W79" s="12">
        <f ca="1">IFERROR(__xludf.DUMMYFUNCTION("""COMPUTED_VALUE"""),1.04400000000168)</f>
        <v>1.04400000000168</v>
      </c>
    </row>
    <row r="80" spans="1:23" ht="13.2">
      <c r="A80" s="1" t="str">
        <f ca="1">IFERROR(__xludf.DUMMYFUNCTION("""COMPUTED_VALUE"""),"CA-2018-117457")</f>
        <v>CA-2018-117457</v>
      </c>
      <c r="B80" s="8">
        <f ca="1">IFERROR(__xludf.DUMMYFUNCTION("""COMPUTED_VALUE"""),43324)</f>
        <v>43324</v>
      </c>
      <c r="C80" s="1" t="str">
        <f ca="1">IFERROR(__xludf.DUMMYFUNCTION("""COMPUTED_VALUE"""),"Aug")</f>
        <v>Aug</v>
      </c>
      <c r="D80" s="1" t="str">
        <f ca="1">IFERROR(__xludf.DUMMYFUNCTION("""COMPUTED_VALUE"""),"Qtr 3")</f>
        <v>Qtr 3</v>
      </c>
      <c r="E80" s="1" t="str">
        <f ca="1">IFERROR(__xludf.DUMMYFUNCTION("""COMPUTED_VALUE"""),"12/12/2018")</f>
        <v>12/12/2018</v>
      </c>
      <c r="F80" s="1" t="str">
        <f ca="1">IFERROR(__xludf.DUMMYFUNCTION("""COMPUTED_VALUE"""),"Standard Class")</f>
        <v>Standard Class</v>
      </c>
      <c r="G80" s="1" t="str">
        <f ca="1">IFERROR(__xludf.DUMMYFUNCTION("""COMPUTED_VALUE"""),"KH-16510")</f>
        <v>KH-16510</v>
      </c>
      <c r="H80" s="1" t="str">
        <f ca="1">IFERROR(__xludf.DUMMYFUNCTION("""COMPUTED_VALUE"""),"Keith")</f>
        <v>Keith</v>
      </c>
      <c r="I80" s="1" t="str">
        <f ca="1">IFERROR(__xludf.DUMMYFUNCTION("""COMPUTED_VALUE"""),"Herrera")</f>
        <v>Herrera</v>
      </c>
      <c r="J80" s="1"/>
      <c r="K80" s="1" t="str">
        <f ca="1">IFERROR(__xludf.DUMMYFUNCTION("""COMPUTED_VALUE"""),"Consumer")</f>
        <v>Consumer</v>
      </c>
      <c r="L80" s="1" t="str">
        <f ca="1">IFERROR(__xludf.DUMMYFUNCTION("""COMPUTED_VALUE"""),"United States")</f>
        <v>United States</v>
      </c>
      <c r="M80" s="1" t="str">
        <f ca="1">IFERROR(__xludf.DUMMYFUNCTION("""COMPUTED_VALUE"""),"San Francisco")</f>
        <v>San Francisco</v>
      </c>
      <c r="N80" s="1" t="str">
        <f ca="1">IFERROR(__xludf.DUMMYFUNCTION("""COMPUTED_VALUE"""),"California")</f>
        <v>California</v>
      </c>
      <c r="O80" s="1">
        <f ca="1">IFERROR(__xludf.DUMMYFUNCTION("""COMPUTED_VALUE"""),94110)</f>
        <v>94110</v>
      </c>
      <c r="P80" s="1" t="str">
        <f ca="1">IFERROR(__xludf.DUMMYFUNCTION("""COMPUTED_VALUE"""),"West")</f>
        <v>West</v>
      </c>
      <c r="Q80" s="1" t="str">
        <f ca="1">IFERROR(__xludf.DUMMYFUNCTION("""COMPUTED_VALUE"""),"OFF-PA-10003724")</f>
        <v>OFF-PA-10003724</v>
      </c>
      <c r="R80" s="1" t="str">
        <f ca="1">IFERROR(__xludf.DUMMYFUNCTION("""COMPUTED_VALUE"""),"Office Supplies")</f>
        <v>Office Supplies</v>
      </c>
      <c r="S80" s="7">
        <f ca="1">IFERROR(__xludf.DUMMYFUNCTION("""COMPUTED_VALUE"""),27.15)</f>
        <v>27.15</v>
      </c>
      <c r="T80" s="1">
        <f ca="1">IFERROR(__xludf.DUMMYFUNCTION("""COMPUTED_VALUE"""),9)</f>
        <v>9</v>
      </c>
      <c r="U80" s="9">
        <f ca="1">IFERROR(__xludf.DUMMYFUNCTION("""COMPUTED_VALUE"""),244.35)</f>
        <v>244.35</v>
      </c>
      <c r="V80" s="9">
        <f ca="1">IFERROR(__xludf.DUMMYFUNCTION("""COMPUTED_VALUE"""),243.63)</f>
        <v>243.63</v>
      </c>
      <c r="W80" s="12">
        <f ca="1">IFERROR(__xludf.DUMMYFUNCTION("""COMPUTED_VALUE"""),0.719999999999998)</f>
        <v>0.71999999999999797</v>
      </c>
    </row>
    <row r="81" spans="1:23" ht="13.2">
      <c r="A81" s="1" t="str">
        <f ca="1">IFERROR(__xludf.DUMMYFUNCTION("""COMPUTED_VALUE"""),"CA-2018-117457")</f>
        <v>CA-2018-117457</v>
      </c>
      <c r="B81" s="8">
        <f ca="1">IFERROR(__xludf.DUMMYFUNCTION("""COMPUTED_VALUE"""),43324)</f>
        <v>43324</v>
      </c>
      <c r="C81" s="1" t="str">
        <f ca="1">IFERROR(__xludf.DUMMYFUNCTION("""COMPUTED_VALUE"""),"Aug")</f>
        <v>Aug</v>
      </c>
      <c r="D81" s="1" t="str">
        <f ca="1">IFERROR(__xludf.DUMMYFUNCTION("""COMPUTED_VALUE"""),"Qtr 3")</f>
        <v>Qtr 3</v>
      </c>
      <c r="E81" s="1" t="str">
        <f ca="1">IFERROR(__xludf.DUMMYFUNCTION("""COMPUTED_VALUE"""),"12/12/2018")</f>
        <v>12/12/2018</v>
      </c>
      <c r="F81" s="1" t="str">
        <f ca="1">IFERROR(__xludf.DUMMYFUNCTION("""COMPUTED_VALUE"""),"Standard Class")</f>
        <v>Standard Class</v>
      </c>
      <c r="G81" s="1" t="str">
        <f ca="1">IFERROR(__xludf.DUMMYFUNCTION("""COMPUTED_VALUE"""),"KH-16510")</f>
        <v>KH-16510</v>
      </c>
      <c r="H81" s="1" t="str">
        <f ca="1">IFERROR(__xludf.DUMMYFUNCTION("""COMPUTED_VALUE"""),"Keith")</f>
        <v>Keith</v>
      </c>
      <c r="I81" s="1" t="str">
        <f ca="1">IFERROR(__xludf.DUMMYFUNCTION("""COMPUTED_VALUE"""),"Herrera")</f>
        <v>Herrera</v>
      </c>
      <c r="J81" s="1"/>
      <c r="K81" s="1" t="str">
        <f ca="1">IFERROR(__xludf.DUMMYFUNCTION("""COMPUTED_VALUE"""),"Consumer")</f>
        <v>Consumer</v>
      </c>
      <c r="L81" s="1" t="str">
        <f ca="1">IFERROR(__xludf.DUMMYFUNCTION("""COMPUTED_VALUE"""),"United States")</f>
        <v>United States</v>
      </c>
      <c r="M81" s="1" t="str">
        <f ca="1">IFERROR(__xludf.DUMMYFUNCTION("""COMPUTED_VALUE"""),"San Francisco")</f>
        <v>San Francisco</v>
      </c>
      <c r="N81" s="1" t="str">
        <f ca="1">IFERROR(__xludf.DUMMYFUNCTION("""COMPUTED_VALUE"""),"California")</f>
        <v>California</v>
      </c>
      <c r="O81" s="1">
        <f ca="1">IFERROR(__xludf.DUMMYFUNCTION("""COMPUTED_VALUE"""),94110)</f>
        <v>94110</v>
      </c>
      <c r="P81" s="1" t="str">
        <f ca="1">IFERROR(__xludf.DUMMYFUNCTION("""COMPUTED_VALUE"""),"West")</f>
        <v>West</v>
      </c>
      <c r="Q81" s="1" t="str">
        <f ca="1">IFERROR(__xludf.DUMMYFUNCTION("""COMPUTED_VALUE"""),"FUR-TA-10002041")</f>
        <v>FUR-TA-10002041</v>
      </c>
      <c r="R81" s="1" t="str">
        <f ca="1">IFERROR(__xludf.DUMMYFUNCTION("""COMPUTED_VALUE"""),"Furniture")</f>
        <v>Furniture</v>
      </c>
      <c r="S81" s="7">
        <f ca="1">IFERROR(__xludf.DUMMYFUNCTION("""COMPUTED_VALUE"""),1004.024)</f>
        <v>1004.024</v>
      </c>
      <c r="T81" s="1">
        <f ca="1">IFERROR(__xludf.DUMMYFUNCTION("""COMPUTED_VALUE"""),9)</f>
        <v>9</v>
      </c>
      <c r="U81" s="9">
        <f ca="1">IFERROR(__xludf.DUMMYFUNCTION("""COMPUTED_VALUE"""),9036.216)</f>
        <v>9036.2160000000003</v>
      </c>
      <c r="V81" s="9">
        <f ca="1">IFERROR(__xludf.DUMMYFUNCTION("""COMPUTED_VALUE"""),9033.66)</f>
        <v>9033.66</v>
      </c>
      <c r="W81" s="12">
        <f ca="1">IFERROR(__xludf.DUMMYFUNCTION("""COMPUTED_VALUE"""),2.55600000000049)</f>
        <v>2.5560000000004899</v>
      </c>
    </row>
    <row r="82" spans="1:23" ht="13.2">
      <c r="A82" s="1" t="str">
        <f ca="1">IFERROR(__xludf.DUMMYFUNCTION("""COMPUTED_VALUE"""),"CA-2018-117457")</f>
        <v>CA-2018-117457</v>
      </c>
      <c r="B82" s="8">
        <f ca="1">IFERROR(__xludf.DUMMYFUNCTION("""COMPUTED_VALUE"""),43324)</f>
        <v>43324</v>
      </c>
      <c r="C82" s="1" t="str">
        <f ca="1">IFERROR(__xludf.DUMMYFUNCTION("""COMPUTED_VALUE"""),"Aug")</f>
        <v>Aug</v>
      </c>
      <c r="D82" s="1" t="str">
        <f ca="1">IFERROR(__xludf.DUMMYFUNCTION("""COMPUTED_VALUE"""),"Qtr 3")</f>
        <v>Qtr 3</v>
      </c>
      <c r="E82" s="1" t="str">
        <f ca="1">IFERROR(__xludf.DUMMYFUNCTION("""COMPUTED_VALUE"""),"12/12/2018")</f>
        <v>12/12/2018</v>
      </c>
      <c r="F82" s="1" t="str">
        <f ca="1">IFERROR(__xludf.DUMMYFUNCTION("""COMPUTED_VALUE"""),"Standard Class")</f>
        <v>Standard Class</v>
      </c>
      <c r="G82" s="1" t="str">
        <f ca="1">IFERROR(__xludf.DUMMYFUNCTION("""COMPUTED_VALUE"""),"KH-16510")</f>
        <v>KH-16510</v>
      </c>
      <c r="H82" s="1" t="str">
        <f ca="1">IFERROR(__xludf.DUMMYFUNCTION("""COMPUTED_VALUE"""),"Keith")</f>
        <v>Keith</v>
      </c>
      <c r="I82" s="1" t="str">
        <f ca="1">IFERROR(__xludf.DUMMYFUNCTION("""COMPUTED_VALUE"""),"Herrera")</f>
        <v>Herrera</v>
      </c>
      <c r="J82" s="1"/>
      <c r="K82" s="1" t="str">
        <f ca="1">IFERROR(__xludf.DUMMYFUNCTION("""COMPUTED_VALUE"""),"Consumer")</f>
        <v>Consumer</v>
      </c>
      <c r="L82" s="1" t="str">
        <f ca="1">IFERROR(__xludf.DUMMYFUNCTION("""COMPUTED_VALUE"""),"United States")</f>
        <v>United States</v>
      </c>
      <c r="M82" s="1" t="str">
        <f ca="1">IFERROR(__xludf.DUMMYFUNCTION("""COMPUTED_VALUE"""),"San Francisco")</f>
        <v>San Francisco</v>
      </c>
      <c r="N82" s="1" t="str">
        <f ca="1">IFERROR(__xludf.DUMMYFUNCTION("""COMPUTED_VALUE"""),"California")</f>
        <v>California</v>
      </c>
      <c r="O82" s="1">
        <f ca="1">IFERROR(__xludf.DUMMYFUNCTION("""COMPUTED_VALUE"""),94110)</f>
        <v>94110</v>
      </c>
      <c r="P82" s="1" t="str">
        <f ca="1">IFERROR(__xludf.DUMMYFUNCTION("""COMPUTED_VALUE"""),"West")</f>
        <v>West</v>
      </c>
      <c r="Q82" s="1" t="str">
        <f ca="1">IFERROR(__xludf.DUMMYFUNCTION("""COMPUTED_VALUE"""),"OFF-PA-10002893")</f>
        <v>OFF-PA-10002893</v>
      </c>
      <c r="R82" s="1" t="str">
        <f ca="1">IFERROR(__xludf.DUMMYFUNCTION("""COMPUTED_VALUE"""),"Office Supplies")</f>
        <v>Office Supplies</v>
      </c>
      <c r="S82" s="7">
        <f ca="1">IFERROR(__xludf.DUMMYFUNCTION("""COMPUTED_VALUE"""),9.68)</f>
        <v>9.68</v>
      </c>
      <c r="T82" s="1">
        <f ca="1">IFERROR(__xludf.DUMMYFUNCTION("""COMPUTED_VALUE"""),9)</f>
        <v>9</v>
      </c>
      <c r="U82" s="9">
        <f ca="1">IFERROR(__xludf.DUMMYFUNCTION("""COMPUTED_VALUE"""),87.12)</f>
        <v>87.12</v>
      </c>
      <c r="V82" s="9">
        <f ca="1">IFERROR(__xludf.DUMMYFUNCTION("""COMPUTED_VALUE"""),78.9299999999999)</f>
        <v>78.929999999999893</v>
      </c>
      <c r="W82" s="12">
        <f ca="1">IFERROR(__xludf.DUMMYFUNCTION("""COMPUTED_VALUE"""),8.19000000000001)</f>
        <v>8.1900000000000102</v>
      </c>
    </row>
    <row r="83" spans="1:23" ht="13.2">
      <c r="A83" s="1" t="str">
        <f ca="1">IFERROR(__xludf.DUMMYFUNCTION("""COMPUTED_VALUE"""),"CA-2018-117457")</f>
        <v>CA-2018-117457</v>
      </c>
      <c r="B83" s="8">
        <f ca="1">IFERROR(__xludf.DUMMYFUNCTION("""COMPUTED_VALUE"""),43324)</f>
        <v>43324</v>
      </c>
      <c r="C83" s="1" t="str">
        <f ca="1">IFERROR(__xludf.DUMMYFUNCTION("""COMPUTED_VALUE"""),"Aug")</f>
        <v>Aug</v>
      </c>
      <c r="D83" s="1" t="str">
        <f ca="1">IFERROR(__xludf.DUMMYFUNCTION("""COMPUTED_VALUE"""),"Qtr 3")</f>
        <v>Qtr 3</v>
      </c>
      <c r="E83" s="1" t="str">
        <f ca="1">IFERROR(__xludf.DUMMYFUNCTION("""COMPUTED_VALUE"""),"12/12/2018")</f>
        <v>12/12/2018</v>
      </c>
      <c r="F83" s="1" t="str">
        <f ca="1">IFERROR(__xludf.DUMMYFUNCTION("""COMPUTED_VALUE"""),"Standard Class")</f>
        <v>Standard Class</v>
      </c>
      <c r="G83" s="1" t="str">
        <f ca="1">IFERROR(__xludf.DUMMYFUNCTION("""COMPUTED_VALUE"""),"KH-16510")</f>
        <v>KH-16510</v>
      </c>
      <c r="H83" s="1" t="str">
        <f ca="1">IFERROR(__xludf.DUMMYFUNCTION("""COMPUTED_VALUE"""),"Keith")</f>
        <v>Keith</v>
      </c>
      <c r="I83" s="1" t="str">
        <f ca="1">IFERROR(__xludf.DUMMYFUNCTION("""COMPUTED_VALUE"""),"Herrera")</f>
        <v>Herrera</v>
      </c>
      <c r="J83" s="1"/>
      <c r="K83" s="1" t="str">
        <f ca="1">IFERROR(__xludf.DUMMYFUNCTION("""COMPUTED_VALUE"""),"Consumer")</f>
        <v>Consumer</v>
      </c>
      <c r="L83" s="1" t="str">
        <f ca="1">IFERROR(__xludf.DUMMYFUNCTION("""COMPUTED_VALUE"""),"United States")</f>
        <v>United States</v>
      </c>
      <c r="M83" s="1" t="str">
        <f ca="1">IFERROR(__xludf.DUMMYFUNCTION("""COMPUTED_VALUE"""),"San Francisco")</f>
        <v>San Francisco</v>
      </c>
      <c r="N83" s="1" t="str">
        <f ca="1">IFERROR(__xludf.DUMMYFUNCTION("""COMPUTED_VALUE"""),"California")</f>
        <v>California</v>
      </c>
      <c r="O83" s="1">
        <f ca="1">IFERROR(__xludf.DUMMYFUNCTION("""COMPUTED_VALUE"""),94110)</f>
        <v>94110</v>
      </c>
      <c r="P83" s="1" t="str">
        <f ca="1">IFERROR(__xludf.DUMMYFUNCTION("""COMPUTED_VALUE"""),"West")</f>
        <v>West</v>
      </c>
      <c r="Q83" s="1" t="str">
        <f ca="1">IFERROR(__xludf.DUMMYFUNCTION("""COMPUTED_VALUE"""),"OFF-LA-10003766")</f>
        <v>OFF-LA-10003766</v>
      </c>
      <c r="R83" s="1" t="str">
        <f ca="1">IFERROR(__xludf.DUMMYFUNCTION("""COMPUTED_VALUE"""),"Office Supplies")</f>
        <v>Office Supplies</v>
      </c>
      <c r="S83" s="7">
        <f ca="1">IFERROR(__xludf.DUMMYFUNCTION("""COMPUTED_VALUE"""),28.35)</f>
        <v>28.35</v>
      </c>
      <c r="T83" s="1">
        <f ca="1">IFERROR(__xludf.DUMMYFUNCTION("""COMPUTED_VALUE"""),9)</f>
        <v>9</v>
      </c>
      <c r="U83" s="9">
        <f ca="1">IFERROR(__xludf.DUMMYFUNCTION("""COMPUTED_VALUE"""),255.15)</f>
        <v>255.15</v>
      </c>
      <c r="V83" s="9">
        <f ca="1">IFERROR(__xludf.DUMMYFUNCTION("""COMPUTED_VALUE"""),247.049999999999)</f>
        <v>247.04999999999899</v>
      </c>
      <c r="W83" s="12">
        <f ca="1">IFERROR(__xludf.DUMMYFUNCTION("""COMPUTED_VALUE"""),8.10000000000002)</f>
        <v>8.1000000000000192</v>
      </c>
    </row>
    <row r="84" spans="1:23" ht="13.2">
      <c r="A84" s="1" t="str">
        <f ca="1">IFERROR(__xludf.DUMMYFUNCTION("""COMPUTED_VALUE"""),"CA-2018-117457")</f>
        <v>CA-2018-117457</v>
      </c>
      <c r="B84" s="8">
        <f ca="1">IFERROR(__xludf.DUMMYFUNCTION("""COMPUTED_VALUE"""),43324)</f>
        <v>43324</v>
      </c>
      <c r="C84" s="1" t="str">
        <f ca="1">IFERROR(__xludf.DUMMYFUNCTION("""COMPUTED_VALUE"""),"Aug")</f>
        <v>Aug</v>
      </c>
      <c r="D84" s="1" t="str">
        <f ca="1">IFERROR(__xludf.DUMMYFUNCTION("""COMPUTED_VALUE"""),"Qtr 3")</f>
        <v>Qtr 3</v>
      </c>
      <c r="E84" s="1" t="str">
        <f ca="1">IFERROR(__xludf.DUMMYFUNCTION("""COMPUTED_VALUE"""),"12/12/2018")</f>
        <v>12/12/2018</v>
      </c>
      <c r="F84" s="1" t="str">
        <f ca="1">IFERROR(__xludf.DUMMYFUNCTION("""COMPUTED_VALUE"""),"Standard Class")</f>
        <v>Standard Class</v>
      </c>
      <c r="G84" s="1" t="str">
        <f ca="1">IFERROR(__xludf.DUMMYFUNCTION("""COMPUTED_VALUE"""),"KH-16510")</f>
        <v>KH-16510</v>
      </c>
      <c r="H84" s="1" t="str">
        <f ca="1">IFERROR(__xludf.DUMMYFUNCTION("""COMPUTED_VALUE"""),"Keith")</f>
        <v>Keith</v>
      </c>
      <c r="I84" s="1" t="str">
        <f ca="1">IFERROR(__xludf.DUMMYFUNCTION("""COMPUTED_VALUE"""),"Herrera")</f>
        <v>Herrera</v>
      </c>
      <c r="J84" s="1"/>
      <c r="K84" s="1" t="str">
        <f ca="1">IFERROR(__xludf.DUMMYFUNCTION("""COMPUTED_VALUE"""),"Consumer")</f>
        <v>Consumer</v>
      </c>
      <c r="L84" s="1" t="str">
        <f ca="1">IFERROR(__xludf.DUMMYFUNCTION("""COMPUTED_VALUE"""),"United States")</f>
        <v>United States</v>
      </c>
      <c r="M84" s="1" t="str">
        <f ca="1">IFERROR(__xludf.DUMMYFUNCTION("""COMPUTED_VALUE"""),"San Francisco")</f>
        <v>San Francisco</v>
      </c>
      <c r="N84" s="1" t="str">
        <f ca="1">IFERROR(__xludf.DUMMYFUNCTION("""COMPUTED_VALUE"""),"California")</f>
        <v>California</v>
      </c>
      <c r="O84" s="1">
        <f ca="1">IFERROR(__xludf.DUMMYFUNCTION("""COMPUTED_VALUE"""),94110)</f>
        <v>94110</v>
      </c>
      <c r="P84" s="1" t="str">
        <f ca="1">IFERROR(__xludf.DUMMYFUNCTION("""COMPUTED_VALUE"""),"West")</f>
        <v>West</v>
      </c>
      <c r="Q84" s="1" t="str">
        <f ca="1">IFERROR(__xludf.DUMMYFUNCTION("""COMPUTED_VALUE"""),"OFF-PA-10001970")</f>
        <v>OFF-PA-10001970</v>
      </c>
      <c r="R84" s="1" t="str">
        <f ca="1">IFERROR(__xludf.DUMMYFUNCTION("""COMPUTED_VALUE"""),"Office Supplies")</f>
        <v>Office Supplies</v>
      </c>
      <c r="S84" s="7">
        <f ca="1">IFERROR(__xludf.DUMMYFUNCTION("""COMPUTED_VALUE"""),55.98)</f>
        <v>55.98</v>
      </c>
      <c r="T84" s="1">
        <f ca="1">IFERROR(__xludf.DUMMYFUNCTION("""COMPUTED_VALUE"""),9)</f>
        <v>9</v>
      </c>
      <c r="U84" s="9">
        <f ca="1">IFERROR(__xludf.DUMMYFUNCTION("""COMPUTED_VALUE"""),503.82)</f>
        <v>503.82</v>
      </c>
      <c r="V84" s="9">
        <f ca="1">IFERROR(__xludf.DUMMYFUNCTION("""COMPUTED_VALUE"""),501.39)</f>
        <v>501.39</v>
      </c>
      <c r="W84" s="12">
        <f ca="1">IFERROR(__xludf.DUMMYFUNCTION("""COMPUTED_VALUE"""),2.43)</f>
        <v>2.4300000000000002</v>
      </c>
    </row>
    <row r="85" spans="1:23" ht="13.2">
      <c r="A85" s="1" t="str">
        <f ca="1">IFERROR(__xludf.DUMMYFUNCTION("""COMPUTED_VALUE"""),"CA-2018-117457")</f>
        <v>CA-2018-117457</v>
      </c>
      <c r="B85" s="8">
        <f ca="1">IFERROR(__xludf.DUMMYFUNCTION("""COMPUTED_VALUE"""),43324)</f>
        <v>43324</v>
      </c>
      <c r="C85" s="1" t="str">
        <f ca="1">IFERROR(__xludf.DUMMYFUNCTION("""COMPUTED_VALUE"""),"Aug")</f>
        <v>Aug</v>
      </c>
      <c r="D85" s="1" t="str">
        <f ca="1">IFERROR(__xludf.DUMMYFUNCTION("""COMPUTED_VALUE"""),"Qtr 3")</f>
        <v>Qtr 3</v>
      </c>
      <c r="E85" s="1" t="str">
        <f ca="1">IFERROR(__xludf.DUMMYFUNCTION("""COMPUTED_VALUE"""),"12/12/2018")</f>
        <v>12/12/2018</v>
      </c>
      <c r="F85" s="1" t="str">
        <f ca="1">IFERROR(__xludf.DUMMYFUNCTION("""COMPUTED_VALUE"""),"Standard Class")</f>
        <v>Standard Class</v>
      </c>
      <c r="G85" s="1" t="str">
        <f ca="1">IFERROR(__xludf.DUMMYFUNCTION("""COMPUTED_VALUE"""),"KH-16510")</f>
        <v>KH-16510</v>
      </c>
      <c r="H85" s="1" t="str">
        <f ca="1">IFERROR(__xludf.DUMMYFUNCTION("""COMPUTED_VALUE"""),"Keith")</f>
        <v>Keith</v>
      </c>
      <c r="I85" s="1" t="str">
        <f ca="1">IFERROR(__xludf.DUMMYFUNCTION("""COMPUTED_VALUE"""),"Herrera")</f>
        <v>Herrera</v>
      </c>
      <c r="J85" s="1"/>
      <c r="K85" s="1" t="str">
        <f ca="1">IFERROR(__xludf.DUMMYFUNCTION("""COMPUTED_VALUE"""),"Consumer")</f>
        <v>Consumer</v>
      </c>
      <c r="L85" s="1" t="str">
        <f ca="1">IFERROR(__xludf.DUMMYFUNCTION("""COMPUTED_VALUE"""),"United States")</f>
        <v>United States</v>
      </c>
      <c r="M85" s="1" t="str">
        <f ca="1">IFERROR(__xludf.DUMMYFUNCTION("""COMPUTED_VALUE"""),"San Francisco")</f>
        <v>San Francisco</v>
      </c>
      <c r="N85" s="1" t="str">
        <f ca="1">IFERROR(__xludf.DUMMYFUNCTION("""COMPUTED_VALUE"""),"California")</f>
        <v>California</v>
      </c>
      <c r="O85" s="1">
        <f ca="1">IFERROR(__xludf.DUMMYFUNCTION("""COMPUTED_VALUE"""),94110)</f>
        <v>94110</v>
      </c>
      <c r="P85" s="1" t="str">
        <f ca="1">IFERROR(__xludf.DUMMYFUNCTION("""COMPUTED_VALUE"""),"West")</f>
        <v>West</v>
      </c>
      <c r="Q85" s="1" t="str">
        <f ca="1">IFERROR(__xludf.DUMMYFUNCTION("""COMPUTED_VALUE"""),"FUR-BO-10001972")</f>
        <v>FUR-BO-10001972</v>
      </c>
      <c r="R85" s="1" t="str">
        <f ca="1">IFERROR(__xludf.DUMMYFUNCTION("""COMPUTED_VALUE"""),"Furniture")</f>
        <v>Furniture</v>
      </c>
      <c r="S85" s="7">
        <f ca="1">IFERROR(__xludf.DUMMYFUNCTION("""COMPUTED_VALUE"""),1336.829)</f>
        <v>1336.829</v>
      </c>
      <c r="T85" s="1">
        <f ca="1">IFERROR(__xludf.DUMMYFUNCTION("""COMPUTED_VALUE"""),9)</f>
        <v>9</v>
      </c>
      <c r="U85" s="9">
        <f ca="1">IFERROR(__xludf.DUMMYFUNCTION("""COMPUTED_VALUE"""),12031.461)</f>
        <v>12031.460999999999</v>
      </c>
      <c r="V85" s="9">
        <f ca="1">IFERROR(__xludf.DUMMYFUNCTION("""COMPUTED_VALUE"""),12027.51)</f>
        <v>12027.51</v>
      </c>
      <c r="W85" s="12">
        <f ca="1">IFERROR(__xludf.DUMMYFUNCTION("""COMPUTED_VALUE"""),3.95099999999911)</f>
        <v>3.9509999999991101</v>
      </c>
    </row>
    <row r="86" spans="1:23" ht="13.2">
      <c r="A86" s="1" t="str">
        <f ca="1">IFERROR(__xludf.DUMMYFUNCTION("""COMPUTED_VALUE"""),"CA-2018-117457")</f>
        <v>CA-2018-117457</v>
      </c>
      <c r="B86" s="8">
        <f ca="1">IFERROR(__xludf.DUMMYFUNCTION("""COMPUTED_VALUE"""),43324)</f>
        <v>43324</v>
      </c>
      <c r="C86" s="1" t="str">
        <f ca="1">IFERROR(__xludf.DUMMYFUNCTION("""COMPUTED_VALUE"""),"Aug")</f>
        <v>Aug</v>
      </c>
      <c r="D86" s="1" t="str">
        <f ca="1">IFERROR(__xludf.DUMMYFUNCTION("""COMPUTED_VALUE"""),"Qtr 3")</f>
        <v>Qtr 3</v>
      </c>
      <c r="E86" s="1" t="str">
        <f ca="1">IFERROR(__xludf.DUMMYFUNCTION("""COMPUTED_VALUE"""),"12/12/2018")</f>
        <v>12/12/2018</v>
      </c>
      <c r="F86" s="1" t="str">
        <f ca="1">IFERROR(__xludf.DUMMYFUNCTION("""COMPUTED_VALUE"""),"Standard Class")</f>
        <v>Standard Class</v>
      </c>
      <c r="G86" s="1" t="str">
        <f ca="1">IFERROR(__xludf.DUMMYFUNCTION("""COMPUTED_VALUE"""),"KH-16510")</f>
        <v>KH-16510</v>
      </c>
      <c r="H86" s="1" t="str">
        <f ca="1">IFERROR(__xludf.DUMMYFUNCTION("""COMPUTED_VALUE"""),"Keith")</f>
        <v>Keith</v>
      </c>
      <c r="I86" s="1" t="str">
        <f ca="1">IFERROR(__xludf.DUMMYFUNCTION("""COMPUTED_VALUE"""),"Herrera")</f>
        <v>Herrera</v>
      </c>
      <c r="J86" s="1"/>
      <c r="K86" s="1" t="str">
        <f ca="1">IFERROR(__xludf.DUMMYFUNCTION("""COMPUTED_VALUE"""),"Consumer")</f>
        <v>Consumer</v>
      </c>
      <c r="L86" s="1" t="str">
        <f ca="1">IFERROR(__xludf.DUMMYFUNCTION("""COMPUTED_VALUE"""),"United States")</f>
        <v>United States</v>
      </c>
      <c r="M86" s="1" t="str">
        <f ca="1">IFERROR(__xludf.DUMMYFUNCTION("""COMPUTED_VALUE"""),"San Francisco")</f>
        <v>San Francisco</v>
      </c>
      <c r="N86" s="1" t="str">
        <f ca="1">IFERROR(__xludf.DUMMYFUNCTION("""COMPUTED_VALUE"""),"California")</f>
        <v>California</v>
      </c>
      <c r="O86" s="1">
        <f ca="1">IFERROR(__xludf.DUMMYFUNCTION("""COMPUTED_VALUE"""),94110)</f>
        <v>94110</v>
      </c>
      <c r="P86" s="1" t="str">
        <f ca="1">IFERROR(__xludf.DUMMYFUNCTION("""COMPUTED_VALUE"""),"West")</f>
        <v>West</v>
      </c>
      <c r="Q86" s="1" t="str">
        <f ca="1">IFERROR(__xludf.DUMMYFUNCTION("""COMPUTED_VALUE"""),"FUR-CH-10003956")</f>
        <v>FUR-CH-10003956</v>
      </c>
      <c r="R86" s="1" t="str">
        <f ca="1">IFERROR(__xludf.DUMMYFUNCTION("""COMPUTED_VALUE"""),"Furniture")</f>
        <v>Furniture</v>
      </c>
      <c r="S86" s="7">
        <f ca="1">IFERROR(__xludf.DUMMYFUNCTION("""COMPUTED_VALUE"""),113.568)</f>
        <v>113.568</v>
      </c>
      <c r="T86" s="1">
        <f ca="1">IFERROR(__xludf.DUMMYFUNCTION("""COMPUTED_VALUE"""),9)</f>
        <v>9</v>
      </c>
      <c r="U86" s="9">
        <f ca="1">IFERROR(__xludf.DUMMYFUNCTION("""COMPUTED_VALUE"""),1022.112)</f>
        <v>1022.112</v>
      </c>
      <c r="V86" s="9">
        <f ca="1">IFERROR(__xludf.DUMMYFUNCTION("""COMPUTED_VALUE"""),1021.32)</f>
        <v>1021.32</v>
      </c>
      <c r="W86" s="12">
        <f ca="1">IFERROR(__xludf.DUMMYFUNCTION("""COMPUTED_VALUE"""),0.791999999999916)</f>
        <v>0.79199999999991599</v>
      </c>
    </row>
    <row r="87" spans="1:23" ht="13.2">
      <c r="A87" s="1" t="str">
        <f ca="1">IFERROR(__xludf.DUMMYFUNCTION("""COMPUTED_VALUE"""),"CA-2018-122105")</f>
        <v>CA-2018-122105</v>
      </c>
      <c r="B87" s="8">
        <f ca="1">IFERROR(__xludf.DUMMYFUNCTION("""COMPUTED_VALUE"""),43275)</f>
        <v>43275</v>
      </c>
      <c r="C87" s="1" t="str">
        <f ca="1">IFERROR(__xludf.DUMMYFUNCTION("""COMPUTED_VALUE"""),"Jun")</f>
        <v>Jun</v>
      </c>
      <c r="D87" s="1" t="str">
        <f ca="1">IFERROR(__xludf.DUMMYFUNCTION("""COMPUTED_VALUE"""),"Qtr 2")</f>
        <v>Qtr 2</v>
      </c>
      <c r="E87" s="1" t="str">
        <f ca="1">IFERROR(__xludf.DUMMYFUNCTION("""COMPUTED_VALUE"""),"28/06/2018")</f>
        <v>28/06/2018</v>
      </c>
      <c r="F87" s="1" t="str">
        <f ca="1">IFERROR(__xludf.DUMMYFUNCTION("""COMPUTED_VALUE"""),"Standard Class")</f>
        <v>Standard Class</v>
      </c>
      <c r="G87" s="1" t="str">
        <f ca="1">IFERROR(__xludf.DUMMYFUNCTION("""COMPUTED_VALUE"""),"CJ-12010")</f>
        <v>CJ-12010</v>
      </c>
      <c r="H87" s="1" t="str">
        <f ca="1">IFERROR(__xludf.DUMMYFUNCTION("""COMPUTED_VALUE"""),"Caroline")</f>
        <v>Caroline</v>
      </c>
      <c r="I87" s="1" t="str">
        <f ca="1">IFERROR(__xludf.DUMMYFUNCTION("""COMPUTED_VALUE"""),"Jumper")</f>
        <v>Jumper</v>
      </c>
      <c r="J87" s="1"/>
      <c r="K87" s="1" t="str">
        <f ca="1">IFERROR(__xludf.DUMMYFUNCTION("""COMPUTED_VALUE"""),"Consumer")</f>
        <v>Consumer</v>
      </c>
      <c r="L87" s="1" t="str">
        <f ca="1">IFERROR(__xludf.DUMMYFUNCTION("""COMPUTED_VALUE"""),"United States")</f>
        <v>United States</v>
      </c>
      <c r="M87" s="1" t="str">
        <f ca="1">IFERROR(__xludf.DUMMYFUNCTION("""COMPUTED_VALUE"""),"Huntington Beach")</f>
        <v>Huntington Beach</v>
      </c>
      <c r="N87" s="1" t="str">
        <f ca="1">IFERROR(__xludf.DUMMYFUNCTION("""COMPUTED_VALUE"""),"California")</f>
        <v>California</v>
      </c>
      <c r="O87" s="1">
        <f ca="1">IFERROR(__xludf.DUMMYFUNCTION("""COMPUTED_VALUE"""),92646)</f>
        <v>92646</v>
      </c>
      <c r="P87" s="1" t="str">
        <f ca="1">IFERROR(__xludf.DUMMYFUNCTION("""COMPUTED_VALUE"""),"West")</f>
        <v>West</v>
      </c>
      <c r="Q87" s="1" t="str">
        <f ca="1">IFERROR(__xludf.DUMMYFUNCTION("""COMPUTED_VALUE"""),"OFF-AR-10004344")</f>
        <v>OFF-AR-10004344</v>
      </c>
      <c r="R87" s="1" t="str">
        <f ca="1">IFERROR(__xludf.DUMMYFUNCTION("""COMPUTED_VALUE"""),"Office Supplies")</f>
        <v>Office Supplies</v>
      </c>
      <c r="S87" s="7">
        <f ca="1">IFERROR(__xludf.DUMMYFUNCTION("""COMPUTED_VALUE"""),95.92)</f>
        <v>95.92</v>
      </c>
      <c r="T87" s="1">
        <f ca="1">IFERROR(__xludf.DUMMYFUNCTION("""COMPUTED_VALUE"""),9)</f>
        <v>9</v>
      </c>
      <c r="U87" s="9">
        <f ca="1">IFERROR(__xludf.DUMMYFUNCTION("""COMPUTED_VALUE"""),863.28)</f>
        <v>863.28</v>
      </c>
      <c r="V87" s="9">
        <f ca="1">IFERROR(__xludf.DUMMYFUNCTION("""COMPUTED_VALUE"""),856.8)</f>
        <v>856.8</v>
      </c>
      <c r="W87" s="12">
        <f ca="1">IFERROR(__xludf.DUMMYFUNCTION("""COMPUTED_VALUE"""),6.4799999999999)</f>
        <v>6.4799999999999001</v>
      </c>
    </row>
    <row r="88" spans="1:23" ht="13.2">
      <c r="A88" s="1" t="str">
        <f ca="1">IFERROR(__xludf.DUMMYFUNCTION("""COMPUTED_VALUE"""),"CA-2017-148796")</f>
        <v>CA-2017-148796</v>
      </c>
      <c r="B88" s="8">
        <f ca="1">IFERROR(__xludf.DUMMYFUNCTION("""COMPUTED_VALUE"""),42839)</f>
        <v>42839</v>
      </c>
      <c r="C88" s="1" t="str">
        <f ca="1">IFERROR(__xludf.DUMMYFUNCTION("""COMPUTED_VALUE"""),"Apr")</f>
        <v>Apr</v>
      </c>
      <c r="D88" s="1" t="str">
        <f ca="1">IFERROR(__xludf.DUMMYFUNCTION("""COMPUTED_VALUE"""),"Qtr 2")</f>
        <v>Qtr 2</v>
      </c>
      <c r="E88" s="1" t="str">
        <f ca="1">IFERROR(__xludf.DUMMYFUNCTION("""COMPUTED_VALUE"""),"18/04/2017")</f>
        <v>18/04/2017</v>
      </c>
      <c r="F88" s="1" t="str">
        <f ca="1">IFERROR(__xludf.DUMMYFUNCTION("""COMPUTED_VALUE"""),"Standard Class")</f>
        <v>Standard Class</v>
      </c>
      <c r="G88" s="1" t="str">
        <f ca="1">IFERROR(__xludf.DUMMYFUNCTION("""COMPUTED_VALUE"""),"PB-19150")</f>
        <v>PB-19150</v>
      </c>
      <c r="H88" s="1" t="str">
        <f ca="1">IFERROR(__xludf.DUMMYFUNCTION("""COMPUTED_VALUE"""),"Philip")</f>
        <v>Philip</v>
      </c>
      <c r="I88" s="1" t="str">
        <f ca="1">IFERROR(__xludf.DUMMYFUNCTION("""COMPUTED_VALUE"""),"Brown")</f>
        <v>Brown</v>
      </c>
      <c r="J88" s="1"/>
      <c r="K88" s="1" t="str">
        <f ca="1">IFERROR(__xludf.DUMMYFUNCTION("""COMPUTED_VALUE"""),"Consumer")</f>
        <v>Consumer</v>
      </c>
      <c r="L88" s="1" t="str">
        <f ca="1">IFERROR(__xludf.DUMMYFUNCTION("""COMPUTED_VALUE"""),"United States")</f>
        <v>United States</v>
      </c>
      <c r="M88" s="1" t="str">
        <f ca="1">IFERROR(__xludf.DUMMYFUNCTION("""COMPUTED_VALUE"""),"Los Angeles")</f>
        <v>Los Angeles</v>
      </c>
      <c r="N88" s="1" t="str">
        <f ca="1">IFERROR(__xludf.DUMMYFUNCTION("""COMPUTED_VALUE"""),"California")</f>
        <v>California</v>
      </c>
      <c r="O88" s="1">
        <f ca="1">IFERROR(__xludf.DUMMYFUNCTION("""COMPUTED_VALUE"""),90004)</f>
        <v>90004</v>
      </c>
      <c r="P88" s="1" t="str">
        <f ca="1">IFERROR(__xludf.DUMMYFUNCTION("""COMPUTED_VALUE"""),"West")</f>
        <v>West</v>
      </c>
      <c r="Q88" s="1" t="str">
        <f ca="1">IFERROR(__xludf.DUMMYFUNCTION("""COMPUTED_VALUE"""),"FUR-CH-10004886")</f>
        <v>FUR-CH-10004886</v>
      </c>
      <c r="R88" s="1" t="str">
        <f ca="1">IFERROR(__xludf.DUMMYFUNCTION("""COMPUTED_VALUE"""),"Furniture")</f>
        <v>Furniture</v>
      </c>
      <c r="S88" s="7">
        <f ca="1">IFERROR(__xludf.DUMMYFUNCTION("""COMPUTED_VALUE"""),383.8)</f>
        <v>383.8</v>
      </c>
      <c r="T88" s="1">
        <f ca="1">IFERROR(__xludf.DUMMYFUNCTION("""COMPUTED_VALUE"""),9)</f>
        <v>9</v>
      </c>
      <c r="U88" s="9">
        <f ca="1">IFERROR(__xludf.DUMMYFUNCTION("""COMPUTED_VALUE"""),3454.2)</f>
        <v>3454.2</v>
      </c>
      <c r="V88" s="9">
        <f ca="1">IFERROR(__xludf.DUMMYFUNCTION("""COMPUTED_VALUE"""),3450.50999999999)</f>
        <v>3450.5099999999902</v>
      </c>
      <c r="W88" s="12">
        <f ca="1">IFERROR(__xludf.DUMMYFUNCTION("""COMPUTED_VALUE"""),3.6900000000005)</f>
        <v>3.6900000000005</v>
      </c>
    </row>
    <row r="89" spans="1:23" ht="13.2">
      <c r="A89" s="1" t="str">
        <f ca="1">IFERROR(__xludf.DUMMYFUNCTION("""COMPUTED_VALUE"""),"CA-2018-110478")</f>
        <v>CA-2018-110478</v>
      </c>
      <c r="B89" s="8">
        <f ca="1">IFERROR(__xludf.DUMMYFUNCTION("""COMPUTED_VALUE"""),43193)</f>
        <v>43193</v>
      </c>
      <c r="C89" s="1" t="str">
        <f ca="1">IFERROR(__xludf.DUMMYFUNCTION("""COMPUTED_VALUE"""),"Apr")</f>
        <v>Apr</v>
      </c>
      <c r="D89" s="1" t="str">
        <f ca="1">IFERROR(__xludf.DUMMYFUNCTION("""COMPUTED_VALUE"""),"Qtr 2")</f>
        <v>Qtr 2</v>
      </c>
      <c r="E89" s="1" t="str">
        <f ca="1">IFERROR(__xludf.DUMMYFUNCTION("""COMPUTED_VALUE"""),"9/3/2018")</f>
        <v>9/3/2018</v>
      </c>
      <c r="F89" s="1" t="str">
        <f ca="1">IFERROR(__xludf.DUMMYFUNCTION("""COMPUTED_VALUE"""),"Standard Class")</f>
        <v>Standard Class</v>
      </c>
      <c r="G89" s="1" t="str">
        <f ca="1">IFERROR(__xludf.DUMMYFUNCTION("""COMPUTED_VALUE"""),"SP-20860")</f>
        <v>SP-20860</v>
      </c>
      <c r="H89" s="1" t="str">
        <f ca="1">IFERROR(__xludf.DUMMYFUNCTION("""COMPUTED_VALUE"""),"Sung")</f>
        <v>Sung</v>
      </c>
      <c r="I89" s="1" t="str">
        <f ca="1">IFERROR(__xludf.DUMMYFUNCTION("""COMPUTED_VALUE"""),"Pak")</f>
        <v>Pak</v>
      </c>
      <c r="J89" s="1"/>
      <c r="K89" s="1" t="str">
        <f ca="1">IFERROR(__xludf.DUMMYFUNCTION("""COMPUTED_VALUE"""),"Corporate")</f>
        <v>Corporate</v>
      </c>
      <c r="L89" s="1" t="str">
        <f ca="1">IFERROR(__xludf.DUMMYFUNCTION("""COMPUTED_VALUE"""),"United States")</f>
        <v>United States</v>
      </c>
      <c r="M89" s="1" t="str">
        <f ca="1">IFERROR(__xludf.DUMMYFUNCTION("""COMPUTED_VALUE"""),"Los Angeles")</f>
        <v>Los Angeles</v>
      </c>
      <c r="N89" s="1" t="str">
        <f ca="1">IFERROR(__xludf.DUMMYFUNCTION("""COMPUTED_VALUE"""),"California")</f>
        <v>California</v>
      </c>
      <c r="O89" s="1">
        <f ca="1">IFERROR(__xludf.DUMMYFUNCTION("""COMPUTED_VALUE"""),90045)</f>
        <v>90045</v>
      </c>
      <c r="P89" s="1" t="str">
        <f ca="1">IFERROR(__xludf.DUMMYFUNCTION("""COMPUTED_VALUE"""),"West")</f>
        <v>West</v>
      </c>
      <c r="Q89" s="1" t="str">
        <f ca="1">IFERROR(__xludf.DUMMYFUNCTION("""COMPUTED_VALUE"""),"OFF-AR-10001573")</f>
        <v>OFF-AR-10001573</v>
      </c>
      <c r="R89" s="1" t="str">
        <f ca="1">IFERROR(__xludf.DUMMYFUNCTION("""COMPUTED_VALUE"""),"Office Supplies")</f>
        <v>Office Supplies</v>
      </c>
      <c r="S89" s="7">
        <f ca="1">IFERROR(__xludf.DUMMYFUNCTION("""COMPUTED_VALUE"""),9.32)</f>
        <v>9.32</v>
      </c>
      <c r="T89" s="1">
        <f ca="1">IFERROR(__xludf.DUMMYFUNCTION("""COMPUTED_VALUE"""),9)</f>
        <v>9</v>
      </c>
      <c r="U89" s="9">
        <f ca="1">IFERROR(__xludf.DUMMYFUNCTION("""COMPUTED_VALUE"""),83.88)</f>
        <v>83.88</v>
      </c>
      <c r="V89" s="9">
        <f ca="1">IFERROR(__xludf.DUMMYFUNCTION("""COMPUTED_VALUE"""),80.55)</f>
        <v>80.55</v>
      </c>
      <c r="W89" s="12">
        <f ca="1">IFERROR(__xludf.DUMMYFUNCTION("""COMPUTED_VALUE"""),3.32999999999999)</f>
        <v>3.3299999999999899</v>
      </c>
    </row>
    <row r="90" spans="1:23" ht="13.2">
      <c r="A90" s="1" t="str">
        <f ca="1">IFERROR(__xludf.DUMMYFUNCTION("""COMPUTED_VALUE"""),"CA-2018-110478")</f>
        <v>CA-2018-110478</v>
      </c>
      <c r="B90" s="8">
        <f ca="1">IFERROR(__xludf.DUMMYFUNCTION("""COMPUTED_VALUE"""),43193)</f>
        <v>43193</v>
      </c>
      <c r="C90" s="1" t="str">
        <f ca="1">IFERROR(__xludf.DUMMYFUNCTION("""COMPUTED_VALUE"""),"Apr")</f>
        <v>Apr</v>
      </c>
      <c r="D90" s="1" t="str">
        <f ca="1">IFERROR(__xludf.DUMMYFUNCTION("""COMPUTED_VALUE"""),"Qtr 2")</f>
        <v>Qtr 2</v>
      </c>
      <c r="E90" s="1" t="str">
        <f ca="1">IFERROR(__xludf.DUMMYFUNCTION("""COMPUTED_VALUE"""),"9/3/2018")</f>
        <v>9/3/2018</v>
      </c>
      <c r="F90" s="1" t="str">
        <f ca="1">IFERROR(__xludf.DUMMYFUNCTION("""COMPUTED_VALUE"""),"Standard Class")</f>
        <v>Standard Class</v>
      </c>
      <c r="G90" s="1" t="str">
        <f ca="1">IFERROR(__xludf.DUMMYFUNCTION("""COMPUTED_VALUE"""),"SP-20860")</f>
        <v>SP-20860</v>
      </c>
      <c r="H90" s="1" t="str">
        <f ca="1">IFERROR(__xludf.DUMMYFUNCTION("""COMPUTED_VALUE"""),"Sung")</f>
        <v>Sung</v>
      </c>
      <c r="I90" s="1" t="str">
        <f ca="1">IFERROR(__xludf.DUMMYFUNCTION("""COMPUTED_VALUE"""),"Pak")</f>
        <v>Pak</v>
      </c>
      <c r="J90" s="1"/>
      <c r="K90" s="1" t="str">
        <f ca="1">IFERROR(__xludf.DUMMYFUNCTION("""COMPUTED_VALUE"""),"Corporate")</f>
        <v>Corporate</v>
      </c>
      <c r="L90" s="1" t="str">
        <f ca="1">IFERROR(__xludf.DUMMYFUNCTION("""COMPUTED_VALUE"""),"United States")</f>
        <v>United States</v>
      </c>
      <c r="M90" s="1" t="str">
        <f ca="1">IFERROR(__xludf.DUMMYFUNCTION("""COMPUTED_VALUE"""),"Los Angeles")</f>
        <v>Los Angeles</v>
      </c>
      <c r="N90" s="1" t="str">
        <f ca="1">IFERROR(__xludf.DUMMYFUNCTION("""COMPUTED_VALUE"""),"California")</f>
        <v>California</v>
      </c>
      <c r="O90" s="1">
        <f ca="1">IFERROR(__xludf.DUMMYFUNCTION("""COMPUTED_VALUE"""),90045)</f>
        <v>90045</v>
      </c>
      <c r="P90" s="1" t="str">
        <f ca="1">IFERROR(__xludf.DUMMYFUNCTION("""COMPUTED_VALUE"""),"West")</f>
        <v>West</v>
      </c>
      <c r="Q90" s="1" t="str">
        <f ca="1">IFERROR(__xludf.DUMMYFUNCTION("""COMPUTED_VALUE"""),"OFF-EN-10000483")</f>
        <v>OFF-EN-10000483</v>
      </c>
      <c r="R90" s="1" t="str">
        <f ca="1">IFERROR(__xludf.DUMMYFUNCTION("""COMPUTED_VALUE"""),"Office Supplies")</f>
        <v>Office Supplies</v>
      </c>
      <c r="S90" s="7">
        <f ca="1">IFERROR(__xludf.DUMMYFUNCTION("""COMPUTED_VALUE"""),15.25)</f>
        <v>15.25</v>
      </c>
      <c r="T90" s="1">
        <f ca="1">IFERROR(__xludf.DUMMYFUNCTION("""COMPUTED_VALUE"""),9)</f>
        <v>9</v>
      </c>
      <c r="U90" s="9">
        <f ca="1">IFERROR(__xludf.DUMMYFUNCTION("""COMPUTED_VALUE"""),137.25)</f>
        <v>137.25</v>
      </c>
      <c r="V90" s="9">
        <f ca="1">IFERROR(__xludf.DUMMYFUNCTION("""COMPUTED_VALUE"""),137.07)</f>
        <v>137.07</v>
      </c>
      <c r="W90" s="12">
        <f ca="1">IFERROR(__xludf.DUMMYFUNCTION("""COMPUTED_VALUE"""),0.180000000000006)</f>
        <v>0.18000000000000599</v>
      </c>
    </row>
    <row r="91" spans="1:23" ht="13.2">
      <c r="A91" s="1" t="str">
        <f ca="1">IFERROR(__xludf.DUMMYFUNCTION("""COMPUTED_VALUE"""),"US-2015-110674")</f>
        <v>US-2015-110674</v>
      </c>
      <c r="B91" s="8">
        <f ca="1">IFERROR(__xludf.DUMMYFUNCTION("""COMPUTED_VALUE"""),42340)</f>
        <v>42340</v>
      </c>
      <c r="C91" s="1" t="str">
        <f ca="1">IFERROR(__xludf.DUMMYFUNCTION("""COMPUTED_VALUE"""),"Dec")</f>
        <v>Dec</v>
      </c>
      <c r="D91" s="1" t="str">
        <f ca="1">IFERROR(__xludf.DUMMYFUNCTION("""COMPUTED_VALUE"""),"Qtr 4")</f>
        <v>Qtr 4</v>
      </c>
      <c r="E91" s="1" t="str">
        <f ca="1">IFERROR(__xludf.DUMMYFUNCTION("""COMPUTED_VALUE"""),"18/02/2015")</f>
        <v>18/02/2015</v>
      </c>
      <c r="F91" s="1" t="str">
        <f ca="1">IFERROR(__xludf.DUMMYFUNCTION("""COMPUTED_VALUE"""),"Standard Class")</f>
        <v>Standard Class</v>
      </c>
      <c r="G91" s="1" t="str">
        <f ca="1">IFERROR(__xludf.DUMMYFUNCTION("""COMPUTED_VALUE"""),"SC-20095")</f>
        <v>SC-20095</v>
      </c>
      <c r="H91" s="1" t="str">
        <f ca="1">IFERROR(__xludf.DUMMYFUNCTION("""COMPUTED_VALUE"""),"Sanjit")</f>
        <v>Sanjit</v>
      </c>
      <c r="I91" s="1" t="str">
        <f ca="1">IFERROR(__xludf.DUMMYFUNCTION("""COMPUTED_VALUE"""),"Chand")</f>
        <v>Chand</v>
      </c>
      <c r="J91" s="1"/>
      <c r="K91" s="1" t="str">
        <f ca="1">IFERROR(__xludf.DUMMYFUNCTION("""COMPUTED_VALUE"""),"Consumer")</f>
        <v>Consumer</v>
      </c>
      <c r="L91" s="1" t="str">
        <f ca="1">IFERROR(__xludf.DUMMYFUNCTION("""COMPUTED_VALUE"""),"United States")</f>
        <v>United States</v>
      </c>
      <c r="M91" s="1" t="str">
        <f ca="1">IFERROR(__xludf.DUMMYFUNCTION("""COMPUTED_VALUE"""),"Concord")</f>
        <v>Concord</v>
      </c>
      <c r="N91" s="1" t="str">
        <f ca="1">IFERROR(__xludf.DUMMYFUNCTION("""COMPUTED_VALUE"""),"California")</f>
        <v>California</v>
      </c>
      <c r="O91" s="1">
        <f ca="1">IFERROR(__xludf.DUMMYFUNCTION("""COMPUTED_VALUE"""),94521)</f>
        <v>94521</v>
      </c>
      <c r="P91" s="1" t="str">
        <f ca="1">IFERROR(__xludf.DUMMYFUNCTION("""COMPUTED_VALUE"""),"West")</f>
        <v>West</v>
      </c>
      <c r="Q91" s="1" t="str">
        <f ca="1">IFERROR(__xludf.DUMMYFUNCTION("""COMPUTED_VALUE"""),"FUR-CH-10000225")</f>
        <v>FUR-CH-10000225</v>
      </c>
      <c r="R91" s="1" t="str">
        <f ca="1">IFERROR(__xludf.DUMMYFUNCTION("""COMPUTED_VALUE"""),"Furniture")</f>
        <v>Furniture</v>
      </c>
      <c r="S91" s="7">
        <f ca="1">IFERROR(__xludf.DUMMYFUNCTION("""COMPUTED_VALUE"""),129.568)</f>
        <v>129.56800000000001</v>
      </c>
      <c r="T91" s="1">
        <f ca="1">IFERROR(__xludf.DUMMYFUNCTION("""COMPUTED_VALUE"""),9)</f>
        <v>9</v>
      </c>
      <c r="U91" s="9">
        <f ca="1">IFERROR(__xludf.DUMMYFUNCTION("""COMPUTED_VALUE"""),1166.112)</f>
        <v>1166.1120000000001</v>
      </c>
      <c r="V91" s="9">
        <f ca="1">IFERROR(__xludf.DUMMYFUNCTION("""COMPUTED_VALUE"""),1162.35)</f>
        <v>1162.3499999999999</v>
      </c>
      <c r="W91" s="12">
        <f ca="1">IFERROR(__xludf.DUMMYFUNCTION("""COMPUTED_VALUE"""),3.76199999999994)</f>
        <v>3.7619999999999401</v>
      </c>
    </row>
    <row r="92" spans="1:23" ht="13.2">
      <c r="A92" s="1" t="str">
        <f ca="1">IFERROR(__xludf.DUMMYFUNCTION("""COMPUTED_VALUE"""),"CA-2015-144666")</f>
        <v>CA-2015-144666</v>
      </c>
      <c r="B92" s="8">
        <f ca="1">IFERROR(__xludf.DUMMYFUNCTION("""COMPUTED_VALUE"""),42258)</f>
        <v>42258</v>
      </c>
      <c r="C92" s="1" t="str">
        <f ca="1">IFERROR(__xludf.DUMMYFUNCTION("""COMPUTED_VALUE"""),"Sep")</f>
        <v>Sep</v>
      </c>
      <c r="D92" s="1" t="str">
        <f ca="1">IFERROR(__xludf.DUMMYFUNCTION("""COMPUTED_VALUE"""),"Qtr 3")</f>
        <v>Qtr 3</v>
      </c>
      <c r="E92" s="1" t="str">
        <f ca="1">IFERROR(__xludf.DUMMYFUNCTION("""COMPUTED_VALUE"""),"11/11/2015")</f>
        <v>11/11/2015</v>
      </c>
      <c r="F92" s="1" t="str">
        <f ca="1">IFERROR(__xludf.DUMMYFUNCTION("""COMPUTED_VALUE"""),"Second Class")</f>
        <v>Second Class</v>
      </c>
      <c r="G92" s="1" t="str">
        <f ca="1">IFERROR(__xludf.DUMMYFUNCTION("""COMPUTED_VALUE"""),"JP-15520")</f>
        <v>JP-15520</v>
      </c>
      <c r="H92" s="1" t="str">
        <f ca="1">IFERROR(__xludf.DUMMYFUNCTION("""COMPUTED_VALUE"""),"Jeremy")</f>
        <v>Jeremy</v>
      </c>
      <c r="I92" s="1" t="str">
        <f ca="1">IFERROR(__xludf.DUMMYFUNCTION("""COMPUTED_VALUE"""),"Pistek")</f>
        <v>Pistek</v>
      </c>
      <c r="J92" s="1"/>
      <c r="K92" s="1" t="str">
        <f ca="1">IFERROR(__xludf.DUMMYFUNCTION("""COMPUTED_VALUE"""),"Consumer")</f>
        <v>Consumer</v>
      </c>
      <c r="L92" s="1" t="str">
        <f ca="1">IFERROR(__xludf.DUMMYFUNCTION("""COMPUTED_VALUE"""),"United States")</f>
        <v>United States</v>
      </c>
      <c r="M92" s="1" t="str">
        <f ca="1">IFERROR(__xludf.DUMMYFUNCTION("""COMPUTED_VALUE"""),"San Francisco")</f>
        <v>San Francisco</v>
      </c>
      <c r="N92" s="1" t="str">
        <f ca="1">IFERROR(__xludf.DUMMYFUNCTION("""COMPUTED_VALUE"""),"California")</f>
        <v>California</v>
      </c>
      <c r="O92" s="1">
        <f ca="1">IFERROR(__xludf.DUMMYFUNCTION("""COMPUTED_VALUE"""),94110)</f>
        <v>94110</v>
      </c>
      <c r="P92" s="1" t="str">
        <f ca="1">IFERROR(__xludf.DUMMYFUNCTION("""COMPUTED_VALUE"""),"West")</f>
        <v>West</v>
      </c>
      <c r="Q92" s="1" t="str">
        <f ca="1">IFERROR(__xludf.DUMMYFUNCTION("""COMPUTED_VALUE"""),"OFF-ST-10002743")</f>
        <v>OFF-ST-10002743</v>
      </c>
      <c r="R92" s="1" t="str">
        <f ca="1">IFERROR(__xludf.DUMMYFUNCTION("""COMPUTED_VALUE"""),"Office Supplies")</f>
        <v>Office Supplies</v>
      </c>
      <c r="S92" s="7">
        <f ca="1">IFERROR(__xludf.DUMMYFUNCTION("""COMPUTED_VALUE"""),340.92)</f>
        <v>340.92</v>
      </c>
      <c r="T92" s="1">
        <f ca="1">IFERROR(__xludf.DUMMYFUNCTION("""COMPUTED_VALUE"""),9)</f>
        <v>9</v>
      </c>
      <c r="U92" s="9">
        <f ca="1">IFERROR(__xludf.DUMMYFUNCTION("""COMPUTED_VALUE"""),3068.28)</f>
        <v>3068.28</v>
      </c>
      <c r="V92" s="9">
        <f ca="1">IFERROR(__xludf.DUMMYFUNCTION("""COMPUTED_VALUE"""),3063.87)</f>
        <v>3063.87</v>
      </c>
      <c r="W92" s="12">
        <f ca="1">IFERROR(__xludf.DUMMYFUNCTION("""COMPUTED_VALUE"""),4.4100000000003)</f>
        <v>4.4100000000003003</v>
      </c>
    </row>
    <row r="93" spans="1:23" ht="13.2">
      <c r="A93" s="1" t="str">
        <f ca="1">IFERROR(__xludf.DUMMYFUNCTION("""COMPUTED_VALUE"""),"CA-2015-144666")</f>
        <v>CA-2015-144666</v>
      </c>
      <c r="B93" s="8">
        <f ca="1">IFERROR(__xludf.DUMMYFUNCTION("""COMPUTED_VALUE"""),42258)</f>
        <v>42258</v>
      </c>
      <c r="C93" s="1" t="str">
        <f ca="1">IFERROR(__xludf.DUMMYFUNCTION("""COMPUTED_VALUE"""),"Sep")</f>
        <v>Sep</v>
      </c>
      <c r="D93" s="1" t="str">
        <f ca="1">IFERROR(__xludf.DUMMYFUNCTION("""COMPUTED_VALUE"""),"Qtr 3")</f>
        <v>Qtr 3</v>
      </c>
      <c r="E93" s="1" t="str">
        <f ca="1">IFERROR(__xludf.DUMMYFUNCTION("""COMPUTED_VALUE"""),"11/11/2015")</f>
        <v>11/11/2015</v>
      </c>
      <c r="F93" s="1" t="str">
        <f ca="1">IFERROR(__xludf.DUMMYFUNCTION("""COMPUTED_VALUE"""),"Second Class")</f>
        <v>Second Class</v>
      </c>
      <c r="G93" s="1" t="str">
        <f ca="1">IFERROR(__xludf.DUMMYFUNCTION("""COMPUTED_VALUE"""),"JP-15520")</f>
        <v>JP-15520</v>
      </c>
      <c r="H93" s="1" t="str">
        <f ca="1">IFERROR(__xludf.DUMMYFUNCTION("""COMPUTED_VALUE"""),"Jeremy")</f>
        <v>Jeremy</v>
      </c>
      <c r="I93" s="1" t="str">
        <f ca="1">IFERROR(__xludf.DUMMYFUNCTION("""COMPUTED_VALUE"""),"Pistek")</f>
        <v>Pistek</v>
      </c>
      <c r="J93" s="1"/>
      <c r="K93" s="1" t="str">
        <f ca="1">IFERROR(__xludf.DUMMYFUNCTION("""COMPUTED_VALUE"""),"Consumer")</f>
        <v>Consumer</v>
      </c>
      <c r="L93" s="1" t="str">
        <f ca="1">IFERROR(__xludf.DUMMYFUNCTION("""COMPUTED_VALUE"""),"United States")</f>
        <v>United States</v>
      </c>
      <c r="M93" s="1" t="str">
        <f ca="1">IFERROR(__xludf.DUMMYFUNCTION("""COMPUTED_VALUE"""),"San Francisco")</f>
        <v>San Francisco</v>
      </c>
      <c r="N93" s="1" t="str">
        <f ca="1">IFERROR(__xludf.DUMMYFUNCTION("""COMPUTED_VALUE"""),"California")</f>
        <v>California</v>
      </c>
      <c r="O93" s="1">
        <f ca="1">IFERROR(__xludf.DUMMYFUNCTION("""COMPUTED_VALUE"""),94110)</f>
        <v>94110</v>
      </c>
      <c r="P93" s="1" t="str">
        <f ca="1">IFERROR(__xludf.DUMMYFUNCTION("""COMPUTED_VALUE"""),"West")</f>
        <v>West</v>
      </c>
      <c r="Q93" s="1" t="str">
        <f ca="1">IFERROR(__xludf.DUMMYFUNCTION("""COMPUTED_VALUE"""),"FUR-BO-10001601")</f>
        <v>FUR-BO-10001601</v>
      </c>
      <c r="R93" s="1" t="str">
        <f ca="1">IFERROR(__xludf.DUMMYFUNCTION("""COMPUTED_VALUE"""),"Furniture")</f>
        <v>Furniture</v>
      </c>
      <c r="S93" s="7">
        <f ca="1">IFERROR(__xludf.DUMMYFUNCTION("""COMPUTED_VALUE"""),222.666)</f>
        <v>222.666</v>
      </c>
      <c r="T93" s="1">
        <f ca="1">IFERROR(__xludf.DUMMYFUNCTION("""COMPUTED_VALUE"""),9)</f>
        <v>9</v>
      </c>
      <c r="U93" s="9">
        <f ca="1">IFERROR(__xludf.DUMMYFUNCTION("""COMPUTED_VALUE"""),2003.994)</f>
        <v>2003.9939999999999</v>
      </c>
      <c r="V93" s="9">
        <f ca="1">IFERROR(__xludf.DUMMYFUNCTION("""COMPUTED_VALUE"""),1995.57)</f>
        <v>1995.57</v>
      </c>
      <c r="W93" s="12">
        <f ca="1">IFERROR(__xludf.DUMMYFUNCTION("""COMPUTED_VALUE"""),8.42399999999997)</f>
        <v>8.4239999999999693</v>
      </c>
    </row>
    <row r="94" spans="1:23" ht="13.2">
      <c r="A94" s="1" t="str">
        <f ca="1">IFERROR(__xludf.DUMMYFUNCTION("""COMPUTED_VALUE"""),"CA-2015-144666")</f>
        <v>CA-2015-144666</v>
      </c>
      <c r="B94" s="8">
        <f ca="1">IFERROR(__xludf.DUMMYFUNCTION("""COMPUTED_VALUE"""),42258)</f>
        <v>42258</v>
      </c>
      <c r="C94" s="1" t="str">
        <f ca="1">IFERROR(__xludf.DUMMYFUNCTION("""COMPUTED_VALUE"""),"Sep")</f>
        <v>Sep</v>
      </c>
      <c r="D94" s="1" t="str">
        <f ca="1">IFERROR(__xludf.DUMMYFUNCTION("""COMPUTED_VALUE"""),"Qtr 3")</f>
        <v>Qtr 3</v>
      </c>
      <c r="E94" s="1" t="str">
        <f ca="1">IFERROR(__xludf.DUMMYFUNCTION("""COMPUTED_VALUE"""),"11/11/2015")</f>
        <v>11/11/2015</v>
      </c>
      <c r="F94" s="1" t="str">
        <f ca="1">IFERROR(__xludf.DUMMYFUNCTION("""COMPUTED_VALUE"""),"Second Class")</f>
        <v>Second Class</v>
      </c>
      <c r="G94" s="1" t="str">
        <f ca="1">IFERROR(__xludf.DUMMYFUNCTION("""COMPUTED_VALUE"""),"JP-15520")</f>
        <v>JP-15520</v>
      </c>
      <c r="H94" s="1" t="str">
        <f ca="1">IFERROR(__xludf.DUMMYFUNCTION("""COMPUTED_VALUE"""),"Jeremy")</f>
        <v>Jeremy</v>
      </c>
      <c r="I94" s="1" t="str">
        <f ca="1">IFERROR(__xludf.DUMMYFUNCTION("""COMPUTED_VALUE"""),"Pistek")</f>
        <v>Pistek</v>
      </c>
      <c r="J94" s="1"/>
      <c r="K94" s="1" t="str">
        <f ca="1">IFERROR(__xludf.DUMMYFUNCTION("""COMPUTED_VALUE"""),"Consumer")</f>
        <v>Consumer</v>
      </c>
      <c r="L94" s="1" t="str">
        <f ca="1">IFERROR(__xludf.DUMMYFUNCTION("""COMPUTED_VALUE"""),"United States")</f>
        <v>United States</v>
      </c>
      <c r="M94" s="1" t="str">
        <f ca="1">IFERROR(__xludf.DUMMYFUNCTION("""COMPUTED_VALUE"""),"San Francisco")</f>
        <v>San Francisco</v>
      </c>
      <c r="N94" s="1" t="str">
        <f ca="1">IFERROR(__xludf.DUMMYFUNCTION("""COMPUTED_VALUE"""),"California")</f>
        <v>California</v>
      </c>
      <c r="O94" s="1">
        <f ca="1">IFERROR(__xludf.DUMMYFUNCTION("""COMPUTED_VALUE"""),94110)</f>
        <v>94110</v>
      </c>
      <c r="P94" s="1" t="str">
        <f ca="1">IFERROR(__xludf.DUMMYFUNCTION("""COMPUTED_VALUE"""),"West")</f>
        <v>West</v>
      </c>
      <c r="Q94" s="1" t="str">
        <f ca="1">IFERROR(__xludf.DUMMYFUNCTION("""COMPUTED_VALUE"""),"TEC-PH-10002680")</f>
        <v>TEC-PH-10002680</v>
      </c>
      <c r="R94" s="1" t="str">
        <f ca="1">IFERROR(__xludf.DUMMYFUNCTION("""COMPUTED_VALUE"""),"Technology")</f>
        <v>Technology</v>
      </c>
      <c r="S94" s="7">
        <f ca="1">IFERROR(__xludf.DUMMYFUNCTION("""COMPUTED_VALUE"""),703.968)</f>
        <v>703.96799999999996</v>
      </c>
      <c r="T94" s="1">
        <f ca="1">IFERROR(__xludf.DUMMYFUNCTION("""COMPUTED_VALUE"""),9)</f>
        <v>9</v>
      </c>
      <c r="U94" s="9">
        <f ca="1">IFERROR(__xludf.DUMMYFUNCTION("""COMPUTED_VALUE"""),6335.71199999999)</f>
        <v>6335.7119999999904</v>
      </c>
      <c r="V94" s="9">
        <f ca="1">IFERROR(__xludf.DUMMYFUNCTION("""COMPUTED_VALUE"""),6333.93)</f>
        <v>6333.93</v>
      </c>
      <c r="W94" s="12">
        <f ca="1">IFERROR(__xludf.DUMMYFUNCTION("""COMPUTED_VALUE"""),1.78199999999924)</f>
        <v>1.78199999999924</v>
      </c>
    </row>
    <row r="95" spans="1:23" ht="13.2">
      <c r="A95" s="1" t="str">
        <f ca="1">IFERROR(__xludf.DUMMYFUNCTION("""COMPUTED_VALUE"""),"CA-2015-144666")</f>
        <v>CA-2015-144666</v>
      </c>
      <c r="B95" s="8">
        <f ca="1">IFERROR(__xludf.DUMMYFUNCTION("""COMPUTED_VALUE"""),42258)</f>
        <v>42258</v>
      </c>
      <c r="C95" s="1" t="str">
        <f ca="1">IFERROR(__xludf.DUMMYFUNCTION("""COMPUTED_VALUE"""),"Sep")</f>
        <v>Sep</v>
      </c>
      <c r="D95" s="1" t="str">
        <f ca="1">IFERROR(__xludf.DUMMYFUNCTION("""COMPUTED_VALUE"""),"Qtr 3")</f>
        <v>Qtr 3</v>
      </c>
      <c r="E95" s="1" t="str">
        <f ca="1">IFERROR(__xludf.DUMMYFUNCTION("""COMPUTED_VALUE"""),"11/11/2015")</f>
        <v>11/11/2015</v>
      </c>
      <c r="F95" s="1" t="str">
        <f ca="1">IFERROR(__xludf.DUMMYFUNCTION("""COMPUTED_VALUE"""),"Second Class")</f>
        <v>Second Class</v>
      </c>
      <c r="G95" s="1" t="str">
        <f ca="1">IFERROR(__xludf.DUMMYFUNCTION("""COMPUTED_VALUE"""),"JP-15520")</f>
        <v>JP-15520</v>
      </c>
      <c r="H95" s="1" t="str">
        <f ca="1">IFERROR(__xludf.DUMMYFUNCTION("""COMPUTED_VALUE"""),"Jeremy")</f>
        <v>Jeremy</v>
      </c>
      <c r="I95" s="1" t="str">
        <f ca="1">IFERROR(__xludf.DUMMYFUNCTION("""COMPUTED_VALUE"""),"Pistek")</f>
        <v>Pistek</v>
      </c>
      <c r="J95" s="1"/>
      <c r="K95" s="1" t="str">
        <f ca="1">IFERROR(__xludf.DUMMYFUNCTION("""COMPUTED_VALUE"""),"Consumer")</f>
        <v>Consumer</v>
      </c>
      <c r="L95" s="1" t="str">
        <f ca="1">IFERROR(__xludf.DUMMYFUNCTION("""COMPUTED_VALUE"""),"United States")</f>
        <v>United States</v>
      </c>
      <c r="M95" s="1" t="str">
        <f ca="1">IFERROR(__xludf.DUMMYFUNCTION("""COMPUTED_VALUE"""),"San Francisco")</f>
        <v>San Francisco</v>
      </c>
      <c r="N95" s="1" t="str">
        <f ca="1">IFERROR(__xludf.DUMMYFUNCTION("""COMPUTED_VALUE"""),"California")</f>
        <v>California</v>
      </c>
      <c r="O95" s="1">
        <f ca="1">IFERROR(__xludf.DUMMYFUNCTION("""COMPUTED_VALUE"""),94110)</f>
        <v>94110</v>
      </c>
      <c r="P95" s="1" t="str">
        <f ca="1">IFERROR(__xludf.DUMMYFUNCTION("""COMPUTED_VALUE"""),"West")</f>
        <v>West</v>
      </c>
      <c r="Q95" s="1" t="str">
        <f ca="1">IFERROR(__xludf.DUMMYFUNCTION("""COMPUTED_VALUE"""),"OFF-ST-10001321")</f>
        <v>OFF-ST-10001321</v>
      </c>
      <c r="R95" s="1" t="str">
        <f ca="1">IFERROR(__xludf.DUMMYFUNCTION("""COMPUTED_VALUE"""),"Office Supplies")</f>
        <v>Office Supplies</v>
      </c>
      <c r="S95" s="7">
        <f ca="1">IFERROR(__xludf.DUMMYFUNCTION("""COMPUTED_VALUE"""),92.52)</f>
        <v>92.52</v>
      </c>
      <c r="T95" s="1">
        <f ca="1">IFERROR(__xludf.DUMMYFUNCTION("""COMPUTED_VALUE"""),9)</f>
        <v>9</v>
      </c>
      <c r="U95" s="9">
        <f ca="1">IFERROR(__xludf.DUMMYFUNCTION("""COMPUTED_VALUE"""),832.68)</f>
        <v>832.68</v>
      </c>
      <c r="V95" s="9">
        <f ca="1">IFERROR(__xludf.DUMMYFUNCTION("""COMPUTED_VALUE"""),825.84)</f>
        <v>825.84</v>
      </c>
      <c r="W95" s="12">
        <f ca="1">IFERROR(__xludf.DUMMYFUNCTION("""COMPUTED_VALUE"""),6.83999999999991)</f>
        <v>6.8399999999999102</v>
      </c>
    </row>
    <row r="96" spans="1:23" ht="13.2">
      <c r="A96" s="1" t="str">
        <f ca="1">IFERROR(__xludf.DUMMYFUNCTION("""COMPUTED_VALUE"""),"CA-2015-144666")</f>
        <v>CA-2015-144666</v>
      </c>
      <c r="B96" s="8">
        <f ca="1">IFERROR(__xludf.DUMMYFUNCTION("""COMPUTED_VALUE"""),42258)</f>
        <v>42258</v>
      </c>
      <c r="C96" s="1" t="str">
        <f ca="1">IFERROR(__xludf.DUMMYFUNCTION("""COMPUTED_VALUE"""),"Sep")</f>
        <v>Sep</v>
      </c>
      <c r="D96" s="1" t="str">
        <f ca="1">IFERROR(__xludf.DUMMYFUNCTION("""COMPUTED_VALUE"""),"Qtr 3")</f>
        <v>Qtr 3</v>
      </c>
      <c r="E96" s="1" t="str">
        <f ca="1">IFERROR(__xludf.DUMMYFUNCTION("""COMPUTED_VALUE"""),"11/11/2015")</f>
        <v>11/11/2015</v>
      </c>
      <c r="F96" s="1" t="str">
        <f ca="1">IFERROR(__xludf.DUMMYFUNCTION("""COMPUTED_VALUE"""),"Second Class")</f>
        <v>Second Class</v>
      </c>
      <c r="G96" s="1" t="str">
        <f ca="1">IFERROR(__xludf.DUMMYFUNCTION("""COMPUTED_VALUE"""),"JP-15520")</f>
        <v>JP-15520</v>
      </c>
      <c r="H96" s="1" t="str">
        <f ca="1">IFERROR(__xludf.DUMMYFUNCTION("""COMPUTED_VALUE"""),"Jeremy")</f>
        <v>Jeremy</v>
      </c>
      <c r="I96" s="1" t="str">
        <f ca="1">IFERROR(__xludf.DUMMYFUNCTION("""COMPUTED_VALUE"""),"Pistek")</f>
        <v>Pistek</v>
      </c>
      <c r="J96" s="1"/>
      <c r="K96" s="1" t="str">
        <f ca="1">IFERROR(__xludf.DUMMYFUNCTION("""COMPUTED_VALUE"""),"Consumer")</f>
        <v>Consumer</v>
      </c>
      <c r="L96" s="1" t="str">
        <f ca="1">IFERROR(__xludf.DUMMYFUNCTION("""COMPUTED_VALUE"""),"United States")</f>
        <v>United States</v>
      </c>
      <c r="M96" s="1" t="str">
        <f ca="1">IFERROR(__xludf.DUMMYFUNCTION("""COMPUTED_VALUE"""),"San Francisco")</f>
        <v>San Francisco</v>
      </c>
      <c r="N96" s="1" t="str">
        <f ca="1">IFERROR(__xludf.DUMMYFUNCTION("""COMPUTED_VALUE"""),"California")</f>
        <v>California</v>
      </c>
      <c r="O96" s="1">
        <f ca="1">IFERROR(__xludf.DUMMYFUNCTION("""COMPUTED_VALUE"""),94110)</f>
        <v>94110</v>
      </c>
      <c r="P96" s="1" t="str">
        <f ca="1">IFERROR(__xludf.DUMMYFUNCTION("""COMPUTED_VALUE"""),"West")</f>
        <v>West</v>
      </c>
      <c r="Q96" s="1" t="str">
        <f ca="1">IFERROR(__xludf.DUMMYFUNCTION("""COMPUTED_VALUE"""),"OFF-PA-10001509")</f>
        <v>OFF-PA-10001509</v>
      </c>
      <c r="R96" s="1" t="str">
        <f ca="1">IFERROR(__xludf.DUMMYFUNCTION("""COMPUTED_VALUE"""),"Office Supplies")</f>
        <v>Office Supplies</v>
      </c>
      <c r="S96" s="7">
        <f ca="1">IFERROR(__xludf.DUMMYFUNCTION("""COMPUTED_VALUE"""),62.65)</f>
        <v>62.65</v>
      </c>
      <c r="T96" s="1">
        <f ca="1">IFERROR(__xludf.DUMMYFUNCTION("""COMPUTED_VALUE"""),9)</f>
        <v>9</v>
      </c>
      <c r="U96" s="9">
        <f ca="1">IFERROR(__xludf.DUMMYFUNCTION("""COMPUTED_VALUE"""),563.85)</f>
        <v>563.85</v>
      </c>
      <c r="V96" s="9">
        <f ca="1">IFERROR(__xludf.DUMMYFUNCTION("""COMPUTED_VALUE"""),555.39)</f>
        <v>555.39</v>
      </c>
      <c r="W96" s="12">
        <f ca="1">IFERROR(__xludf.DUMMYFUNCTION("""COMPUTED_VALUE"""),8.46000000000003)</f>
        <v>8.4600000000000293</v>
      </c>
    </row>
    <row r="97" spans="1:23" ht="13.2">
      <c r="A97" s="1" t="str">
        <f ca="1">IFERROR(__xludf.DUMMYFUNCTION("""COMPUTED_VALUE"""),"CA-2015-144666")</f>
        <v>CA-2015-144666</v>
      </c>
      <c r="B97" s="8">
        <f ca="1">IFERROR(__xludf.DUMMYFUNCTION("""COMPUTED_VALUE"""),42258)</f>
        <v>42258</v>
      </c>
      <c r="C97" s="1" t="str">
        <f ca="1">IFERROR(__xludf.DUMMYFUNCTION("""COMPUTED_VALUE"""),"Sep")</f>
        <v>Sep</v>
      </c>
      <c r="D97" s="1" t="str">
        <f ca="1">IFERROR(__xludf.DUMMYFUNCTION("""COMPUTED_VALUE"""),"Qtr 3")</f>
        <v>Qtr 3</v>
      </c>
      <c r="E97" s="1" t="str">
        <f ca="1">IFERROR(__xludf.DUMMYFUNCTION("""COMPUTED_VALUE"""),"11/11/2015")</f>
        <v>11/11/2015</v>
      </c>
      <c r="F97" s="1" t="str">
        <f ca="1">IFERROR(__xludf.DUMMYFUNCTION("""COMPUTED_VALUE"""),"Second Class")</f>
        <v>Second Class</v>
      </c>
      <c r="G97" s="1" t="str">
        <f ca="1">IFERROR(__xludf.DUMMYFUNCTION("""COMPUTED_VALUE"""),"JP-15520")</f>
        <v>JP-15520</v>
      </c>
      <c r="H97" s="1" t="str">
        <f ca="1">IFERROR(__xludf.DUMMYFUNCTION("""COMPUTED_VALUE"""),"Jeremy")</f>
        <v>Jeremy</v>
      </c>
      <c r="I97" s="1" t="str">
        <f ca="1">IFERROR(__xludf.DUMMYFUNCTION("""COMPUTED_VALUE"""),"Pistek")</f>
        <v>Pistek</v>
      </c>
      <c r="J97" s="1"/>
      <c r="K97" s="1" t="str">
        <f ca="1">IFERROR(__xludf.DUMMYFUNCTION("""COMPUTED_VALUE"""),"Consumer")</f>
        <v>Consumer</v>
      </c>
      <c r="L97" s="1" t="str">
        <f ca="1">IFERROR(__xludf.DUMMYFUNCTION("""COMPUTED_VALUE"""),"United States")</f>
        <v>United States</v>
      </c>
      <c r="M97" s="1" t="str">
        <f ca="1">IFERROR(__xludf.DUMMYFUNCTION("""COMPUTED_VALUE"""),"San Francisco")</f>
        <v>San Francisco</v>
      </c>
      <c r="N97" s="1" t="str">
        <f ca="1">IFERROR(__xludf.DUMMYFUNCTION("""COMPUTED_VALUE"""),"California")</f>
        <v>California</v>
      </c>
      <c r="O97" s="1">
        <f ca="1">IFERROR(__xludf.DUMMYFUNCTION("""COMPUTED_VALUE"""),94110)</f>
        <v>94110</v>
      </c>
      <c r="P97" s="1" t="str">
        <f ca="1">IFERROR(__xludf.DUMMYFUNCTION("""COMPUTED_VALUE"""),"West")</f>
        <v>West</v>
      </c>
      <c r="Q97" s="1" t="str">
        <f ca="1">IFERROR(__xludf.DUMMYFUNCTION("""COMPUTED_VALUE"""),"OFF-PA-10003465")</f>
        <v>OFF-PA-10003465</v>
      </c>
      <c r="R97" s="1" t="str">
        <f ca="1">IFERROR(__xludf.DUMMYFUNCTION("""COMPUTED_VALUE"""),"Office Supplies")</f>
        <v>Office Supplies</v>
      </c>
      <c r="S97" s="7">
        <f ca="1">IFERROR(__xludf.DUMMYFUNCTION("""COMPUTED_VALUE"""),94.85)</f>
        <v>94.85</v>
      </c>
      <c r="T97" s="1">
        <f ca="1">IFERROR(__xludf.DUMMYFUNCTION("""COMPUTED_VALUE"""),9)</f>
        <v>9</v>
      </c>
      <c r="U97" s="9">
        <f ca="1">IFERROR(__xludf.DUMMYFUNCTION("""COMPUTED_VALUE"""),853.65)</f>
        <v>853.65</v>
      </c>
      <c r="V97" s="9">
        <f ca="1">IFERROR(__xludf.DUMMYFUNCTION("""COMPUTED_VALUE"""),847.71)</f>
        <v>847.71</v>
      </c>
      <c r="W97" s="12">
        <f ca="1">IFERROR(__xludf.DUMMYFUNCTION("""COMPUTED_VALUE"""),5.93999999999994)</f>
        <v>5.93999999999994</v>
      </c>
    </row>
    <row r="98" spans="1:23" ht="13.2">
      <c r="A98" s="1" t="str">
        <f ca="1">IFERROR(__xludf.DUMMYFUNCTION("""COMPUTED_VALUE"""),"CA-2017-103891")</f>
        <v>CA-2017-103891</v>
      </c>
      <c r="B98" s="8">
        <f ca="1">IFERROR(__xludf.DUMMYFUNCTION("""COMPUTED_VALUE"""),43076)</f>
        <v>43076</v>
      </c>
      <c r="C98" s="1" t="str">
        <f ca="1">IFERROR(__xludf.DUMMYFUNCTION("""COMPUTED_VALUE"""),"Dec")</f>
        <v>Dec</v>
      </c>
      <c r="D98" s="1" t="str">
        <f ca="1">IFERROR(__xludf.DUMMYFUNCTION("""COMPUTED_VALUE"""),"Qtr 4")</f>
        <v>Qtr 4</v>
      </c>
      <c r="E98" s="1" t="str">
        <f ca="1">IFERROR(__xludf.DUMMYFUNCTION("""COMPUTED_VALUE"""),"19/07/2017")</f>
        <v>19/07/2017</v>
      </c>
      <c r="F98" s="1" t="str">
        <f ca="1">IFERROR(__xludf.DUMMYFUNCTION("""COMPUTED_VALUE"""),"Standard Class")</f>
        <v>Standard Class</v>
      </c>
      <c r="G98" s="1" t="str">
        <f ca="1">IFERROR(__xludf.DUMMYFUNCTION("""COMPUTED_VALUE"""),"KH-16690")</f>
        <v>KH-16690</v>
      </c>
      <c r="H98" s="1" t="str">
        <f ca="1">IFERROR(__xludf.DUMMYFUNCTION("""COMPUTED_VALUE"""),"Kristen")</f>
        <v>Kristen</v>
      </c>
      <c r="I98" s="1" t="str">
        <f ca="1">IFERROR(__xludf.DUMMYFUNCTION("""COMPUTED_VALUE"""),"Hastings")</f>
        <v>Hastings</v>
      </c>
      <c r="J98" s="1"/>
      <c r="K98" s="1" t="str">
        <f ca="1">IFERROR(__xludf.DUMMYFUNCTION("""COMPUTED_VALUE"""),"Corporate")</f>
        <v>Corporate</v>
      </c>
      <c r="L98" s="1" t="str">
        <f ca="1">IFERROR(__xludf.DUMMYFUNCTION("""COMPUTED_VALUE"""),"United States")</f>
        <v>United States</v>
      </c>
      <c r="M98" s="1" t="str">
        <f ca="1">IFERROR(__xludf.DUMMYFUNCTION("""COMPUTED_VALUE"""),"Los Angeles")</f>
        <v>Los Angeles</v>
      </c>
      <c r="N98" s="1" t="str">
        <f ca="1">IFERROR(__xludf.DUMMYFUNCTION("""COMPUTED_VALUE"""),"California")</f>
        <v>California</v>
      </c>
      <c r="O98" s="1">
        <f ca="1">IFERROR(__xludf.DUMMYFUNCTION("""COMPUTED_VALUE"""),90008)</f>
        <v>90008</v>
      </c>
      <c r="P98" s="1" t="str">
        <f ca="1">IFERROR(__xludf.DUMMYFUNCTION("""COMPUTED_VALUE"""),"West")</f>
        <v>West</v>
      </c>
      <c r="Q98" s="1" t="str">
        <f ca="1">IFERROR(__xludf.DUMMYFUNCTION("""COMPUTED_VALUE"""),"TEC-PH-10000149")</f>
        <v>TEC-PH-10000149</v>
      </c>
      <c r="R98" s="1" t="str">
        <f ca="1">IFERROR(__xludf.DUMMYFUNCTION("""COMPUTED_VALUE"""),"Technology")</f>
        <v>Technology</v>
      </c>
      <c r="S98" s="7">
        <f ca="1">IFERROR(__xludf.DUMMYFUNCTION("""COMPUTED_VALUE"""),95.76)</f>
        <v>95.76</v>
      </c>
      <c r="T98" s="1">
        <f ca="1">IFERROR(__xludf.DUMMYFUNCTION("""COMPUTED_VALUE"""),9)</f>
        <v>9</v>
      </c>
      <c r="U98" s="9">
        <f ca="1">IFERROR(__xludf.DUMMYFUNCTION("""COMPUTED_VALUE"""),861.84)</f>
        <v>861.84</v>
      </c>
      <c r="V98" s="9">
        <f ca="1">IFERROR(__xludf.DUMMYFUNCTION("""COMPUTED_VALUE"""),856.62)</f>
        <v>856.62</v>
      </c>
      <c r="W98" s="12">
        <f ca="1">IFERROR(__xludf.DUMMYFUNCTION("""COMPUTED_VALUE"""),5.21999999999991)</f>
        <v>5.21999999999991</v>
      </c>
    </row>
    <row r="99" spans="1:23" ht="13.2">
      <c r="A99" s="1" t="str">
        <f ca="1">IFERROR(__xludf.DUMMYFUNCTION("""COMPUTED_VALUE"""),"CA-2015-134677")</f>
        <v>CA-2015-134677</v>
      </c>
      <c r="B99" s="8">
        <f ca="1">IFERROR(__xludf.DUMMYFUNCTION("""COMPUTED_VALUE"""),42165)</f>
        <v>42165</v>
      </c>
      <c r="C99" s="1" t="str">
        <f ca="1">IFERROR(__xludf.DUMMYFUNCTION("""COMPUTED_VALUE"""),"Jun")</f>
        <v>Jun</v>
      </c>
      <c r="D99" s="1" t="str">
        <f ca="1">IFERROR(__xludf.DUMMYFUNCTION("""COMPUTED_VALUE"""),"Qtr 2")</f>
        <v>Qtr 2</v>
      </c>
      <c r="E99" s="1" t="str">
        <f ca="1">IFERROR(__xludf.DUMMYFUNCTION("""COMPUTED_VALUE"""),"10/10/2015")</f>
        <v>10/10/2015</v>
      </c>
      <c r="F99" s="1" t="str">
        <f ca="1">IFERROR(__xludf.DUMMYFUNCTION("""COMPUTED_VALUE"""),"Standard Class")</f>
        <v>Standard Class</v>
      </c>
      <c r="G99" s="1" t="str">
        <f ca="1">IFERROR(__xludf.DUMMYFUNCTION("""COMPUTED_VALUE"""),"XP-21865")</f>
        <v>XP-21865</v>
      </c>
      <c r="H99" s="1" t="str">
        <f ca="1">IFERROR(__xludf.DUMMYFUNCTION("""COMPUTED_VALUE"""),"Xylona")</f>
        <v>Xylona</v>
      </c>
      <c r="I99" s="1" t="str">
        <f ca="1">IFERROR(__xludf.DUMMYFUNCTION("""COMPUTED_VALUE"""),"Preis")</f>
        <v>Preis</v>
      </c>
      <c r="J99" s="1"/>
      <c r="K99" s="1" t="str">
        <f ca="1">IFERROR(__xludf.DUMMYFUNCTION("""COMPUTED_VALUE"""),"Consumer")</f>
        <v>Consumer</v>
      </c>
      <c r="L99" s="1" t="str">
        <f ca="1">IFERROR(__xludf.DUMMYFUNCTION("""COMPUTED_VALUE"""),"United States")</f>
        <v>United States</v>
      </c>
      <c r="M99" s="1" t="str">
        <f ca="1">IFERROR(__xludf.DUMMYFUNCTION("""COMPUTED_VALUE"""),"San Diego")</f>
        <v>San Diego</v>
      </c>
      <c r="N99" s="1" t="str">
        <f ca="1">IFERROR(__xludf.DUMMYFUNCTION("""COMPUTED_VALUE"""),"California")</f>
        <v>California</v>
      </c>
      <c r="O99" s="1">
        <f ca="1">IFERROR(__xludf.DUMMYFUNCTION("""COMPUTED_VALUE"""),92024)</f>
        <v>92024</v>
      </c>
      <c r="P99" s="1" t="str">
        <f ca="1">IFERROR(__xludf.DUMMYFUNCTION("""COMPUTED_VALUE"""),"West")</f>
        <v>West</v>
      </c>
      <c r="Q99" s="1" t="str">
        <f ca="1">IFERROR(__xludf.DUMMYFUNCTION("""COMPUTED_VALUE"""),"TEC-AC-10001445")</f>
        <v>TEC-AC-10001445</v>
      </c>
      <c r="R99" s="1" t="str">
        <f ca="1">IFERROR(__xludf.DUMMYFUNCTION("""COMPUTED_VALUE"""),"Technology")</f>
        <v>Technology</v>
      </c>
      <c r="S99" s="7">
        <f ca="1">IFERROR(__xludf.DUMMYFUNCTION("""COMPUTED_VALUE"""),9.09)</f>
        <v>9.09</v>
      </c>
      <c r="T99" s="1">
        <f ca="1">IFERROR(__xludf.DUMMYFUNCTION("""COMPUTED_VALUE"""),9)</f>
        <v>9</v>
      </c>
      <c r="U99" s="9">
        <f ca="1">IFERROR(__xludf.DUMMYFUNCTION("""COMPUTED_VALUE"""),81.81)</f>
        <v>81.81</v>
      </c>
      <c r="V99" s="9">
        <f ca="1">IFERROR(__xludf.DUMMYFUNCTION("""COMPUTED_VALUE"""),80.1)</f>
        <v>80.099999999999994</v>
      </c>
      <c r="W99" s="12">
        <f ca="1">IFERROR(__xludf.DUMMYFUNCTION("""COMPUTED_VALUE"""),1.70999999999999)</f>
        <v>1.70999999999999</v>
      </c>
    </row>
    <row r="100" spans="1:23" ht="13.2">
      <c r="A100" s="1" t="str">
        <f ca="1">IFERROR(__xludf.DUMMYFUNCTION("""COMPUTED_VALUE"""),"CA-2018-140963")</f>
        <v>CA-2018-140963</v>
      </c>
      <c r="B100" s="8">
        <f ca="1">IFERROR(__xludf.DUMMYFUNCTION("""COMPUTED_VALUE"""),43379)</f>
        <v>43379</v>
      </c>
      <c r="C100" s="1" t="str">
        <f ca="1">IFERROR(__xludf.DUMMYFUNCTION("""COMPUTED_VALUE"""),"Oct")</f>
        <v>Oct</v>
      </c>
      <c r="D100" s="1" t="str">
        <f ca="1">IFERROR(__xludf.DUMMYFUNCTION("""COMPUTED_VALUE"""),"Qtr 4")</f>
        <v>Qtr 4</v>
      </c>
      <c r="E100" s="1" t="str">
        <f ca="1">IFERROR(__xludf.DUMMYFUNCTION("""COMPUTED_VALUE"""),"13/06/2018")</f>
        <v>13/06/2018</v>
      </c>
      <c r="F100" s="1" t="str">
        <f ca="1">IFERROR(__xludf.DUMMYFUNCTION("""COMPUTED_VALUE"""),"First Class")</f>
        <v>First Class</v>
      </c>
      <c r="G100" s="1" t="str">
        <f ca="1">IFERROR(__xludf.DUMMYFUNCTION("""COMPUTED_VALUE"""),"MT-18070")</f>
        <v>MT-18070</v>
      </c>
      <c r="H100" s="1" t="str">
        <f ca="1">IFERROR(__xludf.DUMMYFUNCTION("""COMPUTED_VALUE"""),"Michelle")</f>
        <v>Michelle</v>
      </c>
      <c r="I100" s="1" t="str">
        <f ca="1">IFERROR(__xludf.DUMMYFUNCTION("""COMPUTED_VALUE"""),"Tran")</f>
        <v>Tran</v>
      </c>
      <c r="J100" s="1"/>
      <c r="K100" s="1" t="str">
        <f ca="1">IFERROR(__xludf.DUMMYFUNCTION("""COMPUTED_VALUE"""),"Home Office")</f>
        <v>Home Office</v>
      </c>
      <c r="L100" s="1" t="str">
        <f ca="1">IFERROR(__xludf.DUMMYFUNCTION("""COMPUTED_VALUE"""),"United States")</f>
        <v>United States</v>
      </c>
      <c r="M100" s="1" t="str">
        <f ca="1">IFERROR(__xludf.DUMMYFUNCTION("""COMPUTED_VALUE"""),"Los Angeles")</f>
        <v>Los Angeles</v>
      </c>
      <c r="N100" s="1" t="str">
        <f ca="1">IFERROR(__xludf.DUMMYFUNCTION("""COMPUTED_VALUE"""),"California")</f>
        <v>California</v>
      </c>
      <c r="O100" s="1">
        <f ca="1">IFERROR(__xludf.DUMMYFUNCTION("""COMPUTED_VALUE"""),90045)</f>
        <v>90045</v>
      </c>
      <c r="P100" s="1" t="str">
        <f ca="1">IFERROR(__xludf.DUMMYFUNCTION("""COMPUTED_VALUE"""),"West")</f>
        <v>West</v>
      </c>
      <c r="Q100" s="1" t="str">
        <f ca="1">IFERROR(__xludf.DUMMYFUNCTION("""COMPUTED_VALUE"""),"OFF-LA-10003923")</f>
        <v>OFF-LA-10003923</v>
      </c>
      <c r="R100" s="1" t="str">
        <f ca="1">IFERROR(__xludf.DUMMYFUNCTION("""COMPUTED_VALUE"""),"Office Supplies")</f>
        <v>Office Supplies</v>
      </c>
      <c r="S100" s="7">
        <f ca="1">IFERROR(__xludf.DUMMYFUNCTION("""COMPUTED_VALUE"""),29.6)</f>
        <v>29.6</v>
      </c>
      <c r="T100" s="1">
        <f ca="1">IFERROR(__xludf.DUMMYFUNCTION("""COMPUTED_VALUE"""),9)</f>
        <v>9</v>
      </c>
      <c r="U100" s="9">
        <f ca="1">IFERROR(__xludf.DUMMYFUNCTION("""COMPUTED_VALUE"""),266.4)</f>
        <v>266.39999999999998</v>
      </c>
      <c r="V100" s="9">
        <f ca="1">IFERROR(__xludf.DUMMYFUNCTION("""COMPUTED_VALUE"""),262.26)</f>
        <v>262.26</v>
      </c>
      <c r="W100" s="12">
        <f ca="1">IFERROR(__xludf.DUMMYFUNCTION("""COMPUTED_VALUE"""),4.14000000000004)</f>
        <v>4.1400000000000396</v>
      </c>
    </row>
    <row r="101" spans="1:23" ht="13.2">
      <c r="A101" s="1" t="str">
        <f ca="1">IFERROR(__xludf.DUMMYFUNCTION("""COMPUTED_VALUE"""),"CA-2018-140963")</f>
        <v>CA-2018-140963</v>
      </c>
      <c r="B101" s="8">
        <f ca="1">IFERROR(__xludf.DUMMYFUNCTION("""COMPUTED_VALUE"""),43379)</f>
        <v>43379</v>
      </c>
      <c r="C101" s="1" t="str">
        <f ca="1">IFERROR(__xludf.DUMMYFUNCTION("""COMPUTED_VALUE"""),"Oct")</f>
        <v>Oct</v>
      </c>
      <c r="D101" s="1" t="str">
        <f ca="1">IFERROR(__xludf.DUMMYFUNCTION("""COMPUTED_VALUE"""),"Qtr 4")</f>
        <v>Qtr 4</v>
      </c>
      <c r="E101" s="1" t="str">
        <f ca="1">IFERROR(__xludf.DUMMYFUNCTION("""COMPUTED_VALUE"""),"13/06/2018")</f>
        <v>13/06/2018</v>
      </c>
      <c r="F101" s="1" t="str">
        <f ca="1">IFERROR(__xludf.DUMMYFUNCTION("""COMPUTED_VALUE"""),"First Class")</f>
        <v>First Class</v>
      </c>
      <c r="G101" s="1" t="str">
        <f ca="1">IFERROR(__xludf.DUMMYFUNCTION("""COMPUTED_VALUE"""),"MT-18070")</f>
        <v>MT-18070</v>
      </c>
      <c r="H101" s="1" t="str">
        <f ca="1">IFERROR(__xludf.DUMMYFUNCTION("""COMPUTED_VALUE"""),"Michelle")</f>
        <v>Michelle</v>
      </c>
      <c r="I101" s="1" t="str">
        <f ca="1">IFERROR(__xludf.DUMMYFUNCTION("""COMPUTED_VALUE"""),"Tran")</f>
        <v>Tran</v>
      </c>
      <c r="J101" s="1"/>
      <c r="K101" s="1" t="str">
        <f ca="1">IFERROR(__xludf.DUMMYFUNCTION("""COMPUTED_VALUE"""),"Home Office")</f>
        <v>Home Office</v>
      </c>
      <c r="L101" s="1" t="str">
        <f ca="1">IFERROR(__xludf.DUMMYFUNCTION("""COMPUTED_VALUE"""),"United States")</f>
        <v>United States</v>
      </c>
      <c r="M101" s="1" t="str">
        <f ca="1">IFERROR(__xludf.DUMMYFUNCTION("""COMPUTED_VALUE"""),"Los Angeles")</f>
        <v>Los Angeles</v>
      </c>
      <c r="N101" s="1" t="str">
        <f ca="1">IFERROR(__xludf.DUMMYFUNCTION("""COMPUTED_VALUE"""),"California")</f>
        <v>California</v>
      </c>
      <c r="O101" s="1">
        <f ca="1">IFERROR(__xludf.DUMMYFUNCTION("""COMPUTED_VALUE"""),90045)</f>
        <v>90045</v>
      </c>
      <c r="P101" s="1" t="str">
        <f ca="1">IFERROR(__xludf.DUMMYFUNCTION("""COMPUTED_VALUE"""),"West")</f>
        <v>West</v>
      </c>
      <c r="Q101" s="1" t="str">
        <f ca="1">IFERROR(__xludf.DUMMYFUNCTION("""COMPUTED_VALUE"""),"FUR-BO-10001337")</f>
        <v>FUR-BO-10001337</v>
      </c>
      <c r="R101" s="1" t="str">
        <f ca="1">IFERROR(__xludf.DUMMYFUNCTION("""COMPUTED_VALUE"""),"Furniture")</f>
        <v>Furniture</v>
      </c>
      <c r="S101" s="7">
        <f ca="1">IFERROR(__xludf.DUMMYFUNCTION("""COMPUTED_VALUE"""),514.165)</f>
        <v>514.16499999999996</v>
      </c>
      <c r="T101" s="1">
        <f ca="1">IFERROR(__xludf.DUMMYFUNCTION("""COMPUTED_VALUE"""),9)</f>
        <v>9</v>
      </c>
      <c r="U101" s="9">
        <f ca="1">IFERROR(__xludf.DUMMYFUNCTION("""COMPUTED_VALUE"""),4627.485)</f>
        <v>4627.4849999999997</v>
      </c>
      <c r="V101" s="9">
        <f ca="1">IFERROR(__xludf.DUMMYFUNCTION("""COMPUTED_VALUE"""),4620.33)</f>
        <v>4620.33</v>
      </c>
      <c r="W101" s="12">
        <f ca="1">IFERROR(__xludf.DUMMYFUNCTION("""COMPUTED_VALUE"""),7.15499999999974)</f>
        <v>7.15499999999974</v>
      </c>
    </row>
    <row r="102" spans="1:23" ht="13.2">
      <c r="A102" s="1" t="str">
        <f ca="1">IFERROR(__xludf.DUMMYFUNCTION("""COMPUTED_VALUE"""),"CA-2018-140963")</f>
        <v>CA-2018-140963</v>
      </c>
      <c r="B102" s="8">
        <f ca="1">IFERROR(__xludf.DUMMYFUNCTION("""COMPUTED_VALUE"""),43379)</f>
        <v>43379</v>
      </c>
      <c r="C102" s="1" t="str">
        <f ca="1">IFERROR(__xludf.DUMMYFUNCTION("""COMPUTED_VALUE"""),"Oct")</f>
        <v>Oct</v>
      </c>
      <c r="D102" s="1" t="str">
        <f ca="1">IFERROR(__xludf.DUMMYFUNCTION("""COMPUTED_VALUE"""),"Qtr 4")</f>
        <v>Qtr 4</v>
      </c>
      <c r="E102" s="1" t="str">
        <f ca="1">IFERROR(__xludf.DUMMYFUNCTION("""COMPUTED_VALUE"""),"13/06/2018")</f>
        <v>13/06/2018</v>
      </c>
      <c r="F102" s="1" t="str">
        <f ca="1">IFERROR(__xludf.DUMMYFUNCTION("""COMPUTED_VALUE"""),"First Class")</f>
        <v>First Class</v>
      </c>
      <c r="G102" s="1" t="str">
        <f ca="1">IFERROR(__xludf.DUMMYFUNCTION("""COMPUTED_VALUE"""),"MT-18070")</f>
        <v>MT-18070</v>
      </c>
      <c r="H102" s="1" t="str">
        <f ca="1">IFERROR(__xludf.DUMMYFUNCTION("""COMPUTED_VALUE"""),"Michelle")</f>
        <v>Michelle</v>
      </c>
      <c r="I102" s="1" t="str">
        <f ca="1">IFERROR(__xludf.DUMMYFUNCTION("""COMPUTED_VALUE"""),"Tran")</f>
        <v>Tran</v>
      </c>
      <c r="J102" s="1"/>
      <c r="K102" s="1" t="str">
        <f ca="1">IFERROR(__xludf.DUMMYFUNCTION("""COMPUTED_VALUE"""),"Home Office")</f>
        <v>Home Office</v>
      </c>
      <c r="L102" s="1" t="str">
        <f ca="1">IFERROR(__xludf.DUMMYFUNCTION("""COMPUTED_VALUE"""),"United States")</f>
        <v>United States</v>
      </c>
      <c r="M102" s="1" t="str">
        <f ca="1">IFERROR(__xludf.DUMMYFUNCTION("""COMPUTED_VALUE"""),"Los Angeles")</f>
        <v>Los Angeles</v>
      </c>
      <c r="N102" s="1" t="str">
        <f ca="1">IFERROR(__xludf.DUMMYFUNCTION("""COMPUTED_VALUE"""),"California")</f>
        <v>California</v>
      </c>
      <c r="O102" s="1">
        <f ca="1">IFERROR(__xludf.DUMMYFUNCTION("""COMPUTED_VALUE"""),90045)</f>
        <v>90045</v>
      </c>
      <c r="P102" s="1" t="str">
        <f ca="1">IFERROR(__xludf.DUMMYFUNCTION("""COMPUTED_VALUE"""),"West")</f>
        <v>West</v>
      </c>
      <c r="Q102" s="1" t="str">
        <f ca="1">IFERROR(__xludf.DUMMYFUNCTION("""COMPUTED_VALUE"""),"TEC-PH-10001924")</f>
        <v>TEC-PH-10001924</v>
      </c>
      <c r="R102" s="1" t="str">
        <f ca="1">IFERROR(__xludf.DUMMYFUNCTION("""COMPUTED_VALUE"""),"Technology")</f>
        <v>Technology</v>
      </c>
      <c r="S102" s="7">
        <f ca="1">IFERROR(__xludf.DUMMYFUNCTION("""COMPUTED_VALUE"""),279.96)</f>
        <v>279.95999999999998</v>
      </c>
      <c r="T102" s="1">
        <f ca="1">IFERROR(__xludf.DUMMYFUNCTION("""COMPUTED_VALUE"""),9)</f>
        <v>9</v>
      </c>
      <c r="U102" s="9">
        <f ca="1">IFERROR(__xludf.DUMMYFUNCTION("""COMPUTED_VALUE"""),2519.64)</f>
        <v>2519.64</v>
      </c>
      <c r="V102" s="9">
        <f ca="1">IFERROR(__xludf.DUMMYFUNCTION("""COMPUTED_VALUE"""),2513.16)</f>
        <v>2513.16</v>
      </c>
      <c r="W102" s="12">
        <f ca="1">IFERROR(__xludf.DUMMYFUNCTION("""COMPUTED_VALUE"""),6.48000000000001)</f>
        <v>6.4800000000000102</v>
      </c>
    </row>
    <row r="103" spans="1:23" ht="13.2">
      <c r="A103" s="1" t="str">
        <f ca="1">IFERROR(__xludf.DUMMYFUNCTION("""COMPUTED_VALUE"""),"CA-2017-126158")</f>
        <v>CA-2017-126158</v>
      </c>
      <c r="B103" s="8">
        <f ca="1">IFERROR(__xludf.DUMMYFUNCTION("""COMPUTED_VALUE"""),42941)</f>
        <v>42941</v>
      </c>
      <c r="C103" s="1" t="str">
        <f ca="1">IFERROR(__xludf.DUMMYFUNCTION("""COMPUTED_VALUE"""),"Jul")</f>
        <v>Jul</v>
      </c>
      <c r="D103" s="1" t="str">
        <f ca="1">IFERROR(__xludf.DUMMYFUNCTION("""COMPUTED_VALUE"""),"Qtr 3")</f>
        <v>Qtr 3</v>
      </c>
      <c r="E103" s="1" t="str">
        <f ca="1">IFERROR(__xludf.DUMMYFUNCTION("""COMPUTED_VALUE"""),"31/07/2017")</f>
        <v>31/07/2017</v>
      </c>
      <c r="F103" s="1" t="str">
        <f ca="1">IFERROR(__xludf.DUMMYFUNCTION("""COMPUTED_VALUE"""),"Standard Class")</f>
        <v>Standard Class</v>
      </c>
      <c r="G103" s="1" t="str">
        <f ca="1">IFERROR(__xludf.DUMMYFUNCTION("""COMPUTED_VALUE"""),"SC-20095")</f>
        <v>SC-20095</v>
      </c>
      <c r="H103" s="1" t="str">
        <f ca="1">IFERROR(__xludf.DUMMYFUNCTION("""COMPUTED_VALUE"""),"Sanjit")</f>
        <v>Sanjit</v>
      </c>
      <c r="I103" s="1" t="str">
        <f ca="1">IFERROR(__xludf.DUMMYFUNCTION("""COMPUTED_VALUE"""),"Chand")</f>
        <v>Chand</v>
      </c>
      <c r="J103" s="1"/>
      <c r="K103" s="1" t="str">
        <f ca="1">IFERROR(__xludf.DUMMYFUNCTION("""COMPUTED_VALUE"""),"Consumer")</f>
        <v>Consumer</v>
      </c>
      <c r="L103" s="1" t="str">
        <f ca="1">IFERROR(__xludf.DUMMYFUNCTION("""COMPUTED_VALUE"""),"United States")</f>
        <v>United States</v>
      </c>
      <c r="M103" s="1" t="str">
        <f ca="1">IFERROR(__xludf.DUMMYFUNCTION("""COMPUTED_VALUE"""),"Costa Mesa")</f>
        <v>Costa Mesa</v>
      </c>
      <c r="N103" s="1" t="str">
        <f ca="1">IFERROR(__xludf.DUMMYFUNCTION("""COMPUTED_VALUE"""),"California")</f>
        <v>California</v>
      </c>
      <c r="O103" s="1">
        <f ca="1">IFERROR(__xludf.DUMMYFUNCTION("""COMPUTED_VALUE"""),92627)</f>
        <v>92627</v>
      </c>
      <c r="P103" s="1" t="str">
        <f ca="1">IFERROR(__xludf.DUMMYFUNCTION("""COMPUTED_VALUE"""),"West")</f>
        <v>West</v>
      </c>
      <c r="Q103" s="1" t="str">
        <f ca="1">IFERROR(__xludf.DUMMYFUNCTION("""COMPUTED_VALUE"""),"OFF-BI-10002498")</f>
        <v>OFF-BI-10002498</v>
      </c>
      <c r="R103" s="1" t="str">
        <f ca="1">IFERROR(__xludf.DUMMYFUNCTION("""COMPUTED_VALUE"""),"Office Supplies")</f>
        <v>Office Supplies</v>
      </c>
      <c r="S103" s="7">
        <f ca="1">IFERROR(__xludf.DUMMYFUNCTION("""COMPUTED_VALUE"""),119.616)</f>
        <v>119.616</v>
      </c>
      <c r="T103" s="1">
        <f ca="1">IFERROR(__xludf.DUMMYFUNCTION("""COMPUTED_VALUE"""),9)</f>
        <v>9</v>
      </c>
      <c r="U103" s="9">
        <f ca="1">IFERROR(__xludf.DUMMYFUNCTION("""COMPUTED_VALUE"""),1076.544)</f>
        <v>1076.5440000000001</v>
      </c>
      <c r="V103" s="9">
        <f ca="1">IFERROR(__xludf.DUMMYFUNCTION("""COMPUTED_VALUE"""),1071.89999999999)</f>
        <v>1071.8999999999901</v>
      </c>
      <c r="W103" s="12">
        <f ca="1">IFERROR(__xludf.DUMMYFUNCTION("""COMPUTED_VALUE"""),4.64400000000023)</f>
        <v>4.6440000000002302</v>
      </c>
    </row>
    <row r="104" spans="1:23" ht="13.2">
      <c r="A104" s="1" t="str">
        <f ca="1">IFERROR(__xludf.DUMMYFUNCTION("""COMPUTED_VALUE"""),"CA-2017-126158")</f>
        <v>CA-2017-126158</v>
      </c>
      <c r="B104" s="8">
        <f ca="1">IFERROR(__xludf.DUMMYFUNCTION("""COMPUTED_VALUE"""),42941)</f>
        <v>42941</v>
      </c>
      <c r="C104" s="1" t="str">
        <f ca="1">IFERROR(__xludf.DUMMYFUNCTION("""COMPUTED_VALUE"""),"Jul")</f>
        <v>Jul</v>
      </c>
      <c r="D104" s="1" t="str">
        <f ca="1">IFERROR(__xludf.DUMMYFUNCTION("""COMPUTED_VALUE"""),"Qtr 3")</f>
        <v>Qtr 3</v>
      </c>
      <c r="E104" s="1" t="str">
        <f ca="1">IFERROR(__xludf.DUMMYFUNCTION("""COMPUTED_VALUE"""),"31/07/2017")</f>
        <v>31/07/2017</v>
      </c>
      <c r="F104" s="1" t="str">
        <f ca="1">IFERROR(__xludf.DUMMYFUNCTION("""COMPUTED_VALUE"""),"Standard Class")</f>
        <v>Standard Class</v>
      </c>
      <c r="G104" s="1" t="str">
        <f ca="1">IFERROR(__xludf.DUMMYFUNCTION("""COMPUTED_VALUE"""),"SC-20095")</f>
        <v>SC-20095</v>
      </c>
      <c r="H104" s="1" t="str">
        <f ca="1">IFERROR(__xludf.DUMMYFUNCTION("""COMPUTED_VALUE"""),"Sanjit")</f>
        <v>Sanjit</v>
      </c>
      <c r="I104" s="1" t="str">
        <f ca="1">IFERROR(__xludf.DUMMYFUNCTION("""COMPUTED_VALUE"""),"Chand")</f>
        <v>Chand</v>
      </c>
      <c r="J104" s="1"/>
      <c r="K104" s="1" t="str">
        <f ca="1">IFERROR(__xludf.DUMMYFUNCTION("""COMPUTED_VALUE"""),"Consumer")</f>
        <v>Consumer</v>
      </c>
      <c r="L104" s="1" t="str">
        <f ca="1">IFERROR(__xludf.DUMMYFUNCTION("""COMPUTED_VALUE"""),"United States")</f>
        <v>United States</v>
      </c>
      <c r="M104" s="1" t="str">
        <f ca="1">IFERROR(__xludf.DUMMYFUNCTION("""COMPUTED_VALUE"""),"Costa Mesa")</f>
        <v>Costa Mesa</v>
      </c>
      <c r="N104" s="1" t="str">
        <f ca="1">IFERROR(__xludf.DUMMYFUNCTION("""COMPUTED_VALUE"""),"California")</f>
        <v>California</v>
      </c>
      <c r="O104" s="1">
        <f ca="1">IFERROR(__xludf.DUMMYFUNCTION("""COMPUTED_VALUE"""),92627)</f>
        <v>92627</v>
      </c>
      <c r="P104" s="1" t="str">
        <f ca="1">IFERROR(__xludf.DUMMYFUNCTION("""COMPUTED_VALUE"""),"West")</f>
        <v>West</v>
      </c>
      <c r="Q104" s="1" t="str">
        <f ca="1">IFERROR(__xludf.DUMMYFUNCTION("""COMPUTED_VALUE"""),"FUR-FU-10004864")</f>
        <v>FUR-FU-10004864</v>
      </c>
      <c r="R104" s="1" t="str">
        <f ca="1">IFERROR(__xludf.DUMMYFUNCTION("""COMPUTED_VALUE"""),"Furniture")</f>
        <v>Furniture</v>
      </c>
      <c r="S104" s="7">
        <f ca="1">IFERROR(__xludf.DUMMYFUNCTION("""COMPUTED_VALUE"""),255.76)</f>
        <v>255.76</v>
      </c>
      <c r="T104" s="1">
        <f ca="1">IFERROR(__xludf.DUMMYFUNCTION("""COMPUTED_VALUE"""),9)</f>
        <v>9</v>
      </c>
      <c r="U104" s="9">
        <f ca="1">IFERROR(__xludf.DUMMYFUNCTION("""COMPUTED_VALUE"""),2301.84)</f>
        <v>2301.84</v>
      </c>
      <c r="V104" s="9">
        <f ca="1">IFERROR(__xludf.DUMMYFUNCTION("""COMPUTED_VALUE"""),2293.29)</f>
        <v>2293.29</v>
      </c>
      <c r="W104" s="12">
        <f ca="1">IFERROR(__xludf.DUMMYFUNCTION("""COMPUTED_VALUE"""),8.55000000000018)</f>
        <v>8.5500000000001801</v>
      </c>
    </row>
    <row r="105" spans="1:23" ht="13.2">
      <c r="A105" s="1" t="str">
        <f ca="1">IFERROR(__xludf.DUMMYFUNCTION("""COMPUTED_VALUE"""),"CA-2017-126158")</f>
        <v>CA-2017-126158</v>
      </c>
      <c r="B105" s="8">
        <f ca="1">IFERROR(__xludf.DUMMYFUNCTION("""COMPUTED_VALUE"""),42941)</f>
        <v>42941</v>
      </c>
      <c r="C105" s="1" t="str">
        <f ca="1">IFERROR(__xludf.DUMMYFUNCTION("""COMPUTED_VALUE"""),"Jul")</f>
        <v>Jul</v>
      </c>
      <c r="D105" s="1" t="str">
        <f ca="1">IFERROR(__xludf.DUMMYFUNCTION("""COMPUTED_VALUE"""),"Qtr 3")</f>
        <v>Qtr 3</v>
      </c>
      <c r="E105" s="1" t="str">
        <f ca="1">IFERROR(__xludf.DUMMYFUNCTION("""COMPUTED_VALUE"""),"31/07/2017")</f>
        <v>31/07/2017</v>
      </c>
      <c r="F105" s="1" t="str">
        <f ca="1">IFERROR(__xludf.DUMMYFUNCTION("""COMPUTED_VALUE"""),"Standard Class")</f>
        <v>Standard Class</v>
      </c>
      <c r="G105" s="1" t="str">
        <f ca="1">IFERROR(__xludf.DUMMYFUNCTION("""COMPUTED_VALUE"""),"SC-20095")</f>
        <v>SC-20095</v>
      </c>
      <c r="H105" s="1" t="str">
        <f ca="1">IFERROR(__xludf.DUMMYFUNCTION("""COMPUTED_VALUE"""),"Sanjit")</f>
        <v>Sanjit</v>
      </c>
      <c r="I105" s="1" t="str">
        <f ca="1">IFERROR(__xludf.DUMMYFUNCTION("""COMPUTED_VALUE"""),"Chand")</f>
        <v>Chand</v>
      </c>
      <c r="J105" s="1"/>
      <c r="K105" s="1" t="str">
        <f ca="1">IFERROR(__xludf.DUMMYFUNCTION("""COMPUTED_VALUE"""),"Consumer")</f>
        <v>Consumer</v>
      </c>
      <c r="L105" s="1" t="str">
        <f ca="1">IFERROR(__xludf.DUMMYFUNCTION("""COMPUTED_VALUE"""),"United States")</f>
        <v>United States</v>
      </c>
      <c r="M105" s="1" t="str">
        <f ca="1">IFERROR(__xludf.DUMMYFUNCTION("""COMPUTED_VALUE"""),"Costa Mesa")</f>
        <v>Costa Mesa</v>
      </c>
      <c r="N105" s="1" t="str">
        <f ca="1">IFERROR(__xludf.DUMMYFUNCTION("""COMPUTED_VALUE"""),"California")</f>
        <v>California</v>
      </c>
      <c r="O105" s="1">
        <f ca="1">IFERROR(__xludf.DUMMYFUNCTION("""COMPUTED_VALUE"""),92627)</f>
        <v>92627</v>
      </c>
      <c r="P105" s="1" t="str">
        <f ca="1">IFERROR(__xludf.DUMMYFUNCTION("""COMPUTED_VALUE"""),"West")</f>
        <v>West</v>
      </c>
      <c r="Q105" s="1" t="str">
        <f ca="1">IFERROR(__xludf.DUMMYFUNCTION("""COMPUTED_VALUE"""),"FUR-CH-10002602")</f>
        <v>FUR-CH-10002602</v>
      </c>
      <c r="R105" s="1" t="str">
        <f ca="1">IFERROR(__xludf.DUMMYFUNCTION("""COMPUTED_VALUE"""),"Furniture")</f>
        <v>Furniture</v>
      </c>
      <c r="S105" s="7">
        <f ca="1">IFERROR(__xludf.DUMMYFUNCTION("""COMPUTED_VALUE"""),241.568)</f>
        <v>241.56800000000001</v>
      </c>
      <c r="T105" s="1">
        <f ca="1">IFERROR(__xludf.DUMMYFUNCTION("""COMPUTED_VALUE"""),9)</f>
        <v>9</v>
      </c>
      <c r="U105" s="9">
        <f ca="1">IFERROR(__xludf.DUMMYFUNCTION("""COMPUTED_VALUE"""),2174.112)</f>
        <v>2174.1120000000001</v>
      </c>
      <c r="V105" s="9">
        <f ca="1">IFERROR(__xludf.DUMMYFUNCTION("""COMPUTED_VALUE"""),2167.11)</f>
        <v>2167.11</v>
      </c>
      <c r="W105" s="12">
        <f ca="1">IFERROR(__xludf.DUMMYFUNCTION("""COMPUTED_VALUE"""),7.00199999999995)</f>
        <v>7.00199999999995</v>
      </c>
    </row>
    <row r="106" spans="1:23" ht="13.2">
      <c r="A106" s="1" t="str">
        <f ca="1">IFERROR(__xludf.DUMMYFUNCTION("""COMPUTED_VALUE"""),"CA-2017-126158")</f>
        <v>CA-2017-126158</v>
      </c>
      <c r="B106" s="8">
        <f ca="1">IFERROR(__xludf.DUMMYFUNCTION("""COMPUTED_VALUE"""),42941)</f>
        <v>42941</v>
      </c>
      <c r="C106" s="1" t="str">
        <f ca="1">IFERROR(__xludf.DUMMYFUNCTION("""COMPUTED_VALUE"""),"Jul")</f>
        <v>Jul</v>
      </c>
      <c r="D106" s="1" t="str">
        <f ca="1">IFERROR(__xludf.DUMMYFUNCTION("""COMPUTED_VALUE"""),"Qtr 3")</f>
        <v>Qtr 3</v>
      </c>
      <c r="E106" s="1" t="str">
        <f ca="1">IFERROR(__xludf.DUMMYFUNCTION("""COMPUTED_VALUE"""),"31/07/2017")</f>
        <v>31/07/2017</v>
      </c>
      <c r="F106" s="1" t="str">
        <f ca="1">IFERROR(__xludf.DUMMYFUNCTION("""COMPUTED_VALUE"""),"Standard Class")</f>
        <v>Standard Class</v>
      </c>
      <c r="G106" s="1" t="str">
        <f ca="1">IFERROR(__xludf.DUMMYFUNCTION("""COMPUTED_VALUE"""),"SC-20095")</f>
        <v>SC-20095</v>
      </c>
      <c r="H106" s="1" t="str">
        <f ca="1">IFERROR(__xludf.DUMMYFUNCTION("""COMPUTED_VALUE"""),"Sanjit")</f>
        <v>Sanjit</v>
      </c>
      <c r="I106" s="1" t="str">
        <f ca="1">IFERROR(__xludf.DUMMYFUNCTION("""COMPUTED_VALUE"""),"Chand")</f>
        <v>Chand</v>
      </c>
      <c r="J106" s="1"/>
      <c r="K106" s="1" t="str">
        <f ca="1">IFERROR(__xludf.DUMMYFUNCTION("""COMPUTED_VALUE"""),"Consumer")</f>
        <v>Consumer</v>
      </c>
      <c r="L106" s="1" t="str">
        <f ca="1">IFERROR(__xludf.DUMMYFUNCTION("""COMPUTED_VALUE"""),"United States")</f>
        <v>United States</v>
      </c>
      <c r="M106" s="1" t="str">
        <f ca="1">IFERROR(__xludf.DUMMYFUNCTION("""COMPUTED_VALUE"""),"Costa Mesa")</f>
        <v>Costa Mesa</v>
      </c>
      <c r="N106" s="1" t="str">
        <f ca="1">IFERROR(__xludf.DUMMYFUNCTION("""COMPUTED_VALUE"""),"California")</f>
        <v>California</v>
      </c>
      <c r="O106" s="1">
        <f ca="1">IFERROR(__xludf.DUMMYFUNCTION("""COMPUTED_VALUE"""),92627)</f>
        <v>92627</v>
      </c>
      <c r="P106" s="1" t="str">
        <f ca="1">IFERROR(__xludf.DUMMYFUNCTION("""COMPUTED_VALUE"""),"West")</f>
        <v>West</v>
      </c>
      <c r="Q106" s="1" t="str">
        <f ca="1">IFERROR(__xludf.DUMMYFUNCTION("""COMPUTED_VALUE"""),"FUR-FU-10000073")</f>
        <v>FUR-FU-10000073</v>
      </c>
      <c r="R106" s="1" t="str">
        <f ca="1">IFERROR(__xludf.DUMMYFUNCTION("""COMPUTED_VALUE"""),"Furniture")</f>
        <v>Furniture</v>
      </c>
      <c r="S106" s="7">
        <f ca="1">IFERROR(__xludf.DUMMYFUNCTION("""COMPUTED_VALUE"""),69.3)</f>
        <v>69.3</v>
      </c>
      <c r="T106" s="1">
        <f ca="1">IFERROR(__xludf.DUMMYFUNCTION("""COMPUTED_VALUE"""),9)</f>
        <v>9</v>
      </c>
      <c r="U106" s="9">
        <f ca="1">IFERROR(__xludf.DUMMYFUNCTION("""COMPUTED_VALUE"""),623.699999999999)</f>
        <v>623.69999999999902</v>
      </c>
      <c r="V106" s="9">
        <f ca="1">IFERROR(__xludf.DUMMYFUNCTION("""COMPUTED_VALUE"""),615.33)</f>
        <v>615.33000000000004</v>
      </c>
      <c r="W106" s="12">
        <f ca="1">IFERROR(__xludf.DUMMYFUNCTION("""COMPUTED_VALUE"""),8.36999999999989)</f>
        <v>8.3699999999998909</v>
      </c>
    </row>
    <row r="107" spans="1:23" ht="13.2">
      <c r="A107" s="1" t="str">
        <f ca="1">IFERROR(__xludf.DUMMYFUNCTION("""COMPUTED_VALUE"""),"CA-2018-163405")</f>
        <v>CA-2018-163405</v>
      </c>
      <c r="B107" s="8">
        <f ca="1">IFERROR(__xludf.DUMMYFUNCTION("""COMPUTED_VALUE"""),43455)</f>
        <v>43455</v>
      </c>
      <c r="C107" s="1" t="str">
        <f ca="1">IFERROR(__xludf.DUMMYFUNCTION("""COMPUTED_VALUE"""),"Dec")</f>
        <v>Dec</v>
      </c>
      <c r="D107" s="1" t="str">
        <f ca="1">IFERROR(__xludf.DUMMYFUNCTION("""COMPUTED_VALUE"""),"Qtr 4")</f>
        <v>Qtr 4</v>
      </c>
      <c r="E107" s="1" t="str">
        <f ca="1">IFERROR(__xludf.DUMMYFUNCTION("""COMPUTED_VALUE"""),"25/12/2018")</f>
        <v>25/12/2018</v>
      </c>
      <c r="F107" s="1" t="str">
        <f ca="1">IFERROR(__xludf.DUMMYFUNCTION("""COMPUTED_VALUE"""),"Standard Class")</f>
        <v>Standard Class</v>
      </c>
      <c r="G107" s="1" t="str">
        <f ca="1">IFERROR(__xludf.DUMMYFUNCTION("""COMPUTED_VALUE"""),"BN-11515")</f>
        <v>BN-11515</v>
      </c>
      <c r="H107" s="1" t="str">
        <f ca="1">IFERROR(__xludf.DUMMYFUNCTION("""COMPUTED_VALUE"""),"Bradley")</f>
        <v>Bradley</v>
      </c>
      <c r="I107" s="1" t="str">
        <f ca="1">IFERROR(__xludf.DUMMYFUNCTION("""COMPUTED_VALUE"""),"Nguyen")</f>
        <v>Nguyen</v>
      </c>
      <c r="J107" s="1"/>
      <c r="K107" s="1" t="str">
        <f ca="1">IFERROR(__xludf.DUMMYFUNCTION("""COMPUTED_VALUE"""),"Consumer")</f>
        <v>Consumer</v>
      </c>
      <c r="L107" s="1" t="str">
        <f ca="1">IFERROR(__xludf.DUMMYFUNCTION("""COMPUTED_VALUE"""),"United States")</f>
        <v>United States</v>
      </c>
      <c r="M107" s="1" t="str">
        <f ca="1">IFERROR(__xludf.DUMMYFUNCTION("""COMPUTED_VALUE"""),"Los Angeles")</f>
        <v>Los Angeles</v>
      </c>
      <c r="N107" s="1" t="str">
        <f ca="1">IFERROR(__xludf.DUMMYFUNCTION("""COMPUTED_VALUE"""),"California")</f>
        <v>California</v>
      </c>
      <c r="O107" s="1">
        <f ca="1">IFERROR(__xludf.DUMMYFUNCTION("""COMPUTED_VALUE"""),90049)</f>
        <v>90049</v>
      </c>
      <c r="P107" s="1" t="str">
        <f ca="1">IFERROR(__xludf.DUMMYFUNCTION("""COMPUTED_VALUE"""),"West")</f>
        <v>West</v>
      </c>
      <c r="Q107" s="1" t="str">
        <f ca="1">IFERROR(__xludf.DUMMYFUNCTION("""COMPUTED_VALUE"""),"OFF-AR-10003811")</f>
        <v>OFF-AR-10003811</v>
      </c>
      <c r="R107" s="1" t="str">
        <f ca="1">IFERROR(__xludf.DUMMYFUNCTION("""COMPUTED_VALUE"""),"Office Supplies")</f>
        <v>Office Supplies</v>
      </c>
      <c r="S107" s="7">
        <f ca="1">IFERROR(__xludf.DUMMYFUNCTION("""COMPUTED_VALUE"""),6.63)</f>
        <v>6.63</v>
      </c>
      <c r="T107" s="1">
        <f ca="1">IFERROR(__xludf.DUMMYFUNCTION("""COMPUTED_VALUE"""),9)</f>
        <v>9</v>
      </c>
      <c r="U107" s="9">
        <f ca="1">IFERROR(__xludf.DUMMYFUNCTION("""COMPUTED_VALUE"""),59.67)</f>
        <v>59.67</v>
      </c>
      <c r="V107" s="9">
        <f ca="1">IFERROR(__xludf.DUMMYFUNCTION("""COMPUTED_VALUE"""),58.6799999999999)</f>
        <v>58.6799999999999</v>
      </c>
      <c r="W107" s="12">
        <f ca="1">IFERROR(__xludf.DUMMYFUNCTION("""COMPUTED_VALUE"""),0.990000000000009)</f>
        <v>0.99000000000000898</v>
      </c>
    </row>
    <row r="108" spans="1:23" ht="13.2">
      <c r="A108" s="1" t="str">
        <f ca="1">IFERROR(__xludf.DUMMYFUNCTION("""COMPUTED_VALUE"""),"CA-2018-163405")</f>
        <v>CA-2018-163405</v>
      </c>
      <c r="B108" s="8">
        <f ca="1">IFERROR(__xludf.DUMMYFUNCTION("""COMPUTED_VALUE"""),43455)</f>
        <v>43455</v>
      </c>
      <c r="C108" s="1" t="str">
        <f ca="1">IFERROR(__xludf.DUMMYFUNCTION("""COMPUTED_VALUE"""),"Dec")</f>
        <v>Dec</v>
      </c>
      <c r="D108" s="1" t="str">
        <f ca="1">IFERROR(__xludf.DUMMYFUNCTION("""COMPUTED_VALUE"""),"Qtr 4")</f>
        <v>Qtr 4</v>
      </c>
      <c r="E108" s="1" t="str">
        <f ca="1">IFERROR(__xludf.DUMMYFUNCTION("""COMPUTED_VALUE"""),"25/12/2018")</f>
        <v>25/12/2018</v>
      </c>
      <c r="F108" s="1" t="str">
        <f ca="1">IFERROR(__xludf.DUMMYFUNCTION("""COMPUTED_VALUE"""),"Standard Class")</f>
        <v>Standard Class</v>
      </c>
      <c r="G108" s="1" t="str">
        <f ca="1">IFERROR(__xludf.DUMMYFUNCTION("""COMPUTED_VALUE"""),"BN-11515")</f>
        <v>BN-11515</v>
      </c>
      <c r="H108" s="1" t="str">
        <f ca="1">IFERROR(__xludf.DUMMYFUNCTION("""COMPUTED_VALUE"""),"Bradley")</f>
        <v>Bradley</v>
      </c>
      <c r="I108" s="1" t="str">
        <f ca="1">IFERROR(__xludf.DUMMYFUNCTION("""COMPUTED_VALUE"""),"Nguyen")</f>
        <v>Nguyen</v>
      </c>
      <c r="J108" s="1"/>
      <c r="K108" s="1" t="str">
        <f ca="1">IFERROR(__xludf.DUMMYFUNCTION("""COMPUTED_VALUE"""),"Consumer")</f>
        <v>Consumer</v>
      </c>
      <c r="L108" s="1" t="str">
        <f ca="1">IFERROR(__xludf.DUMMYFUNCTION("""COMPUTED_VALUE"""),"United States")</f>
        <v>United States</v>
      </c>
      <c r="M108" s="1" t="str">
        <f ca="1">IFERROR(__xludf.DUMMYFUNCTION("""COMPUTED_VALUE"""),"Los Angeles")</f>
        <v>Los Angeles</v>
      </c>
      <c r="N108" s="1" t="str">
        <f ca="1">IFERROR(__xludf.DUMMYFUNCTION("""COMPUTED_VALUE"""),"California")</f>
        <v>California</v>
      </c>
      <c r="O108" s="1">
        <f ca="1">IFERROR(__xludf.DUMMYFUNCTION("""COMPUTED_VALUE"""),90049)</f>
        <v>90049</v>
      </c>
      <c r="P108" s="1" t="str">
        <f ca="1">IFERROR(__xludf.DUMMYFUNCTION("""COMPUTED_VALUE"""),"West")</f>
        <v>West</v>
      </c>
      <c r="Q108" s="1" t="str">
        <f ca="1">IFERROR(__xludf.DUMMYFUNCTION("""COMPUTED_VALUE"""),"OFF-AR-10001246")</f>
        <v>OFF-AR-10001246</v>
      </c>
      <c r="R108" s="1" t="str">
        <f ca="1">IFERROR(__xludf.DUMMYFUNCTION("""COMPUTED_VALUE"""),"Office Supplies")</f>
        <v>Office Supplies</v>
      </c>
      <c r="S108" s="7">
        <f ca="1">IFERROR(__xludf.DUMMYFUNCTION("""COMPUTED_VALUE"""),5.88)</f>
        <v>5.88</v>
      </c>
      <c r="T108" s="1">
        <f ca="1">IFERROR(__xludf.DUMMYFUNCTION("""COMPUTED_VALUE"""),9)</f>
        <v>9</v>
      </c>
      <c r="U108" s="9">
        <f ca="1">IFERROR(__xludf.DUMMYFUNCTION("""COMPUTED_VALUE"""),52.92)</f>
        <v>52.92</v>
      </c>
      <c r="V108" s="9">
        <f ca="1">IFERROR(__xludf.DUMMYFUNCTION("""COMPUTED_VALUE"""),48.78)</f>
        <v>48.78</v>
      </c>
      <c r="W108" s="12">
        <f ca="1">IFERROR(__xludf.DUMMYFUNCTION("""COMPUTED_VALUE"""),4.14)</f>
        <v>4.1399999999999997</v>
      </c>
    </row>
    <row r="109" spans="1:23" ht="13.2">
      <c r="A109" s="1" t="str">
        <f ca="1">IFERROR(__xludf.DUMMYFUNCTION("""COMPUTED_VALUE"""),"US-2017-139486")</f>
        <v>US-2017-139486</v>
      </c>
      <c r="B109" s="8">
        <f ca="1">IFERROR(__xludf.DUMMYFUNCTION("""COMPUTED_VALUE"""),42876)</f>
        <v>42876</v>
      </c>
      <c r="C109" s="1" t="str">
        <f ca="1">IFERROR(__xludf.DUMMYFUNCTION("""COMPUTED_VALUE"""),"May")</f>
        <v>May</v>
      </c>
      <c r="D109" s="1" t="str">
        <f ca="1">IFERROR(__xludf.DUMMYFUNCTION("""COMPUTED_VALUE"""),"Qtr 2")</f>
        <v>Qtr 2</v>
      </c>
      <c r="E109" s="1" t="str">
        <f ca="1">IFERROR(__xludf.DUMMYFUNCTION("""COMPUTED_VALUE"""),"23/05/2017")</f>
        <v>23/05/2017</v>
      </c>
      <c r="F109" s="1" t="str">
        <f ca="1">IFERROR(__xludf.DUMMYFUNCTION("""COMPUTED_VALUE"""),"First Class")</f>
        <v>First Class</v>
      </c>
      <c r="G109" s="1" t="str">
        <f ca="1">IFERROR(__xludf.DUMMYFUNCTION("""COMPUTED_VALUE"""),"LH-17155")</f>
        <v>LH-17155</v>
      </c>
      <c r="H109" s="1" t="str">
        <f ca="1">IFERROR(__xludf.DUMMYFUNCTION("""COMPUTED_VALUE"""),"Logan")</f>
        <v>Logan</v>
      </c>
      <c r="I109" s="1" t="str">
        <f ca="1">IFERROR(__xludf.DUMMYFUNCTION("""COMPUTED_VALUE"""),"Haushalter")</f>
        <v>Haushalter</v>
      </c>
      <c r="J109" s="1"/>
      <c r="K109" s="1" t="str">
        <f ca="1">IFERROR(__xludf.DUMMYFUNCTION("""COMPUTED_VALUE"""),"Consumer")</f>
        <v>Consumer</v>
      </c>
      <c r="L109" s="1" t="str">
        <f ca="1">IFERROR(__xludf.DUMMYFUNCTION("""COMPUTED_VALUE"""),"United States")</f>
        <v>United States</v>
      </c>
      <c r="M109" s="1" t="str">
        <f ca="1">IFERROR(__xludf.DUMMYFUNCTION("""COMPUTED_VALUE"""),"Los Angeles")</f>
        <v>Los Angeles</v>
      </c>
      <c r="N109" s="1" t="str">
        <f ca="1">IFERROR(__xludf.DUMMYFUNCTION("""COMPUTED_VALUE"""),"California")</f>
        <v>California</v>
      </c>
      <c r="O109" s="1">
        <f ca="1">IFERROR(__xludf.DUMMYFUNCTION("""COMPUTED_VALUE"""),90032)</f>
        <v>90032</v>
      </c>
      <c r="P109" s="1" t="str">
        <f ca="1">IFERROR(__xludf.DUMMYFUNCTION("""COMPUTED_VALUE"""),"West")</f>
        <v>West</v>
      </c>
      <c r="Q109" s="1" t="str">
        <f ca="1">IFERROR(__xludf.DUMMYFUNCTION("""COMPUTED_VALUE"""),"TEC-PH-10003555")</f>
        <v>TEC-PH-10003555</v>
      </c>
      <c r="R109" s="1" t="str">
        <f ca="1">IFERROR(__xludf.DUMMYFUNCTION("""COMPUTED_VALUE"""),"Technology")</f>
        <v>Technology</v>
      </c>
      <c r="S109" s="7">
        <f ca="1">IFERROR(__xludf.DUMMYFUNCTION("""COMPUTED_VALUE"""),55.176)</f>
        <v>55.176000000000002</v>
      </c>
      <c r="T109" s="1">
        <f ca="1">IFERROR(__xludf.DUMMYFUNCTION("""COMPUTED_VALUE"""),9)</f>
        <v>9</v>
      </c>
      <c r="U109" s="9">
        <f ca="1">IFERROR(__xludf.DUMMYFUNCTION("""COMPUTED_VALUE"""),496.584)</f>
        <v>496.584</v>
      </c>
      <c r="V109" s="9">
        <f ca="1">IFERROR(__xludf.DUMMYFUNCTION("""COMPUTED_VALUE"""),494.64)</f>
        <v>494.64</v>
      </c>
      <c r="W109" s="12">
        <f ca="1">IFERROR(__xludf.DUMMYFUNCTION("""COMPUTED_VALUE"""),1.94400000000001)</f>
        <v>1.9440000000000099</v>
      </c>
    </row>
    <row r="110" spans="1:23" ht="13.2">
      <c r="A110" s="1" t="str">
        <f ca="1">IFERROR(__xludf.DUMMYFUNCTION("""COMPUTED_VALUE"""),"US-2017-139486")</f>
        <v>US-2017-139486</v>
      </c>
      <c r="B110" s="8">
        <f ca="1">IFERROR(__xludf.DUMMYFUNCTION("""COMPUTED_VALUE"""),42876)</f>
        <v>42876</v>
      </c>
      <c r="C110" s="1" t="str">
        <f ca="1">IFERROR(__xludf.DUMMYFUNCTION("""COMPUTED_VALUE"""),"May")</f>
        <v>May</v>
      </c>
      <c r="D110" s="1" t="str">
        <f ca="1">IFERROR(__xludf.DUMMYFUNCTION("""COMPUTED_VALUE"""),"Qtr 2")</f>
        <v>Qtr 2</v>
      </c>
      <c r="E110" s="1" t="str">
        <f ca="1">IFERROR(__xludf.DUMMYFUNCTION("""COMPUTED_VALUE"""),"23/05/2017")</f>
        <v>23/05/2017</v>
      </c>
      <c r="F110" s="1" t="str">
        <f ca="1">IFERROR(__xludf.DUMMYFUNCTION("""COMPUTED_VALUE"""),"First Class")</f>
        <v>First Class</v>
      </c>
      <c r="G110" s="1" t="str">
        <f ca="1">IFERROR(__xludf.DUMMYFUNCTION("""COMPUTED_VALUE"""),"LH-17155")</f>
        <v>LH-17155</v>
      </c>
      <c r="H110" s="1" t="str">
        <f ca="1">IFERROR(__xludf.DUMMYFUNCTION("""COMPUTED_VALUE"""),"Logan")</f>
        <v>Logan</v>
      </c>
      <c r="I110" s="1" t="str">
        <f ca="1">IFERROR(__xludf.DUMMYFUNCTION("""COMPUTED_VALUE"""),"Haushalter")</f>
        <v>Haushalter</v>
      </c>
      <c r="J110" s="1"/>
      <c r="K110" s="1" t="str">
        <f ca="1">IFERROR(__xludf.DUMMYFUNCTION("""COMPUTED_VALUE"""),"Consumer")</f>
        <v>Consumer</v>
      </c>
      <c r="L110" s="1" t="str">
        <f ca="1">IFERROR(__xludf.DUMMYFUNCTION("""COMPUTED_VALUE"""),"United States")</f>
        <v>United States</v>
      </c>
      <c r="M110" s="1" t="str">
        <f ca="1">IFERROR(__xludf.DUMMYFUNCTION("""COMPUTED_VALUE"""),"Los Angeles")</f>
        <v>Los Angeles</v>
      </c>
      <c r="N110" s="1" t="str">
        <f ca="1">IFERROR(__xludf.DUMMYFUNCTION("""COMPUTED_VALUE"""),"California")</f>
        <v>California</v>
      </c>
      <c r="O110" s="1">
        <f ca="1">IFERROR(__xludf.DUMMYFUNCTION("""COMPUTED_VALUE"""),90032)</f>
        <v>90032</v>
      </c>
      <c r="P110" s="1" t="str">
        <f ca="1">IFERROR(__xludf.DUMMYFUNCTION("""COMPUTED_VALUE"""),"West")</f>
        <v>West</v>
      </c>
      <c r="Q110" s="1" t="str">
        <f ca="1">IFERROR(__xludf.DUMMYFUNCTION("""COMPUTED_VALUE"""),"TEC-AC-10003832")</f>
        <v>TEC-AC-10003832</v>
      </c>
      <c r="R110" s="1" t="str">
        <f ca="1">IFERROR(__xludf.DUMMYFUNCTION("""COMPUTED_VALUE"""),"Technology")</f>
        <v>Technology</v>
      </c>
      <c r="S110" s="7">
        <f ca="1">IFERROR(__xludf.DUMMYFUNCTION("""COMPUTED_VALUE"""),66.26)</f>
        <v>66.260000000000005</v>
      </c>
      <c r="T110" s="1">
        <f ca="1">IFERROR(__xludf.DUMMYFUNCTION("""COMPUTED_VALUE"""),9)</f>
        <v>9</v>
      </c>
      <c r="U110" s="9">
        <f ca="1">IFERROR(__xludf.DUMMYFUNCTION("""COMPUTED_VALUE"""),596.34)</f>
        <v>596.34</v>
      </c>
      <c r="V110" s="9">
        <f ca="1">IFERROR(__xludf.DUMMYFUNCTION("""COMPUTED_VALUE"""),594.629999999999)</f>
        <v>594.62999999999897</v>
      </c>
      <c r="W110" s="12">
        <f ca="1">IFERROR(__xludf.DUMMYFUNCTION("""COMPUTED_VALUE"""),1.71000000000015)</f>
        <v>1.7100000000001501</v>
      </c>
    </row>
    <row r="111" spans="1:23" ht="13.2">
      <c r="A111" s="1" t="str">
        <f ca="1">IFERROR(__xludf.DUMMYFUNCTION("""COMPUTED_VALUE"""),"CA-2016-102848")</f>
        <v>CA-2016-102848</v>
      </c>
      <c r="B111" s="8">
        <f ca="1">IFERROR(__xludf.DUMMYFUNCTION("""COMPUTED_VALUE"""),42562)</f>
        <v>42562</v>
      </c>
      <c r="C111" s="1" t="str">
        <f ca="1">IFERROR(__xludf.DUMMYFUNCTION("""COMPUTED_VALUE"""),"Jul")</f>
        <v>Jul</v>
      </c>
      <c r="D111" s="1" t="str">
        <f ca="1">IFERROR(__xludf.DUMMYFUNCTION("""COMPUTED_VALUE"""),"Qtr 3")</f>
        <v>Qtr 3</v>
      </c>
      <c r="E111" s="1" t="str">
        <f ca="1">IFERROR(__xludf.DUMMYFUNCTION("""COMPUTED_VALUE"""),"9/11/2016")</f>
        <v>9/11/2016</v>
      </c>
      <c r="F111" s="1" t="str">
        <f ca="1">IFERROR(__xludf.DUMMYFUNCTION("""COMPUTED_VALUE"""),"Second Class")</f>
        <v>Second Class</v>
      </c>
      <c r="G111" s="1" t="str">
        <f ca="1">IFERROR(__xludf.DUMMYFUNCTION("""COMPUTED_VALUE"""),"KB-16240")</f>
        <v>KB-16240</v>
      </c>
      <c r="H111" s="1" t="str">
        <f ca="1">IFERROR(__xludf.DUMMYFUNCTION("""COMPUTED_VALUE"""),"Karen")</f>
        <v>Karen</v>
      </c>
      <c r="I111" s="1" t="str">
        <f ca="1">IFERROR(__xludf.DUMMYFUNCTION("""COMPUTED_VALUE"""),"Bern")</f>
        <v>Bern</v>
      </c>
      <c r="J111" s="1"/>
      <c r="K111" s="1" t="str">
        <f ca="1">IFERROR(__xludf.DUMMYFUNCTION("""COMPUTED_VALUE"""),"Corporate")</f>
        <v>Corporate</v>
      </c>
      <c r="L111" s="1" t="str">
        <f ca="1">IFERROR(__xludf.DUMMYFUNCTION("""COMPUTED_VALUE"""),"United States")</f>
        <v>United States</v>
      </c>
      <c r="M111" s="1" t="str">
        <f ca="1">IFERROR(__xludf.DUMMYFUNCTION("""COMPUTED_VALUE"""),"Los Angeles")</f>
        <v>Los Angeles</v>
      </c>
      <c r="N111" s="1" t="str">
        <f ca="1">IFERROR(__xludf.DUMMYFUNCTION("""COMPUTED_VALUE"""),"California")</f>
        <v>California</v>
      </c>
      <c r="O111" s="1">
        <f ca="1">IFERROR(__xludf.DUMMYFUNCTION("""COMPUTED_VALUE"""),90036)</f>
        <v>90036</v>
      </c>
      <c r="P111" s="1" t="str">
        <f ca="1">IFERROR(__xludf.DUMMYFUNCTION("""COMPUTED_VALUE"""),"West")</f>
        <v>West</v>
      </c>
      <c r="Q111" s="1" t="str">
        <f ca="1">IFERROR(__xludf.DUMMYFUNCTION("""COMPUTED_VALUE"""),"FUR-CH-10000595")</f>
        <v>FUR-CH-10000595</v>
      </c>
      <c r="R111" s="1" t="str">
        <f ca="1">IFERROR(__xludf.DUMMYFUNCTION("""COMPUTED_VALUE"""),"Furniture")</f>
        <v>Furniture</v>
      </c>
      <c r="S111" s="7">
        <f ca="1">IFERROR(__xludf.DUMMYFUNCTION("""COMPUTED_VALUE"""),190.72)</f>
        <v>190.72</v>
      </c>
      <c r="T111" s="1">
        <f ca="1">IFERROR(__xludf.DUMMYFUNCTION("""COMPUTED_VALUE"""),9)</f>
        <v>9</v>
      </c>
      <c r="U111" s="9">
        <f ca="1">IFERROR(__xludf.DUMMYFUNCTION("""COMPUTED_VALUE"""),1716.48)</f>
        <v>1716.48</v>
      </c>
      <c r="V111" s="9">
        <f ca="1">IFERROR(__xludf.DUMMYFUNCTION("""COMPUTED_VALUE"""),1711.35)</f>
        <v>1711.35</v>
      </c>
      <c r="W111" s="12">
        <f ca="1">IFERROR(__xludf.DUMMYFUNCTION("""COMPUTED_VALUE"""),5.12999999999988)</f>
        <v>5.12999999999988</v>
      </c>
    </row>
    <row r="112" spans="1:23" ht="13.2">
      <c r="A112" s="1" t="str">
        <f ca="1">IFERROR(__xludf.DUMMYFUNCTION("""COMPUTED_VALUE"""),"US-2018-129441")</f>
        <v>US-2018-129441</v>
      </c>
      <c r="B112" s="8">
        <f ca="1">IFERROR(__xludf.DUMMYFUNCTION("""COMPUTED_VALUE"""),43290)</f>
        <v>43290</v>
      </c>
      <c r="C112" s="1" t="str">
        <f ca="1">IFERROR(__xludf.DUMMYFUNCTION("""COMPUTED_VALUE"""),"Jul")</f>
        <v>Jul</v>
      </c>
      <c r="D112" s="1" t="str">
        <f ca="1">IFERROR(__xludf.DUMMYFUNCTION("""COMPUTED_VALUE"""),"Qtr 3")</f>
        <v>Qtr 3</v>
      </c>
      <c r="E112" s="1" t="str">
        <f ca="1">IFERROR(__xludf.DUMMYFUNCTION("""COMPUTED_VALUE"""),"11/9/2018")</f>
        <v>11/9/2018</v>
      </c>
      <c r="F112" s="1" t="str">
        <f ca="1">IFERROR(__xludf.DUMMYFUNCTION("""COMPUTED_VALUE"""),"Standard Class")</f>
        <v>Standard Class</v>
      </c>
      <c r="G112" s="1" t="str">
        <f ca="1">IFERROR(__xludf.DUMMYFUNCTION("""COMPUTED_VALUE"""),"JC-15340")</f>
        <v>JC-15340</v>
      </c>
      <c r="H112" s="1" t="str">
        <f ca="1">IFERROR(__xludf.DUMMYFUNCTION("""COMPUTED_VALUE"""),"Jasper")</f>
        <v>Jasper</v>
      </c>
      <c r="I112" s="1" t="str">
        <f ca="1">IFERROR(__xludf.DUMMYFUNCTION("""COMPUTED_VALUE"""),"Cacioppo")</f>
        <v>Cacioppo</v>
      </c>
      <c r="J112" s="1"/>
      <c r="K112" s="1" t="str">
        <f ca="1">IFERROR(__xludf.DUMMYFUNCTION("""COMPUTED_VALUE"""),"Consumer")</f>
        <v>Consumer</v>
      </c>
      <c r="L112" s="1" t="str">
        <f ca="1">IFERROR(__xludf.DUMMYFUNCTION("""COMPUTED_VALUE"""),"United States")</f>
        <v>United States</v>
      </c>
      <c r="M112" s="1" t="str">
        <f ca="1">IFERROR(__xludf.DUMMYFUNCTION("""COMPUTED_VALUE"""),"Los Angeles")</f>
        <v>Los Angeles</v>
      </c>
      <c r="N112" s="1" t="str">
        <f ca="1">IFERROR(__xludf.DUMMYFUNCTION("""COMPUTED_VALUE"""),"California")</f>
        <v>California</v>
      </c>
      <c r="O112" s="1">
        <f ca="1">IFERROR(__xludf.DUMMYFUNCTION("""COMPUTED_VALUE"""),90032)</f>
        <v>90032</v>
      </c>
      <c r="P112" s="1" t="str">
        <f ca="1">IFERROR(__xludf.DUMMYFUNCTION("""COMPUTED_VALUE"""),"West")</f>
        <v>West</v>
      </c>
      <c r="Q112" s="1" t="str">
        <f ca="1">IFERROR(__xludf.DUMMYFUNCTION("""COMPUTED_VALUE"""),"FUR-FU-10000448")</f>
        <v>FUR-FU-10000448</v>
      </c>
      <c r="R112" s="1" t="str">
        <f ca="1">IFERROR(__xludf.DUMMYFUNCTION("""COMPUTED_VALUE"""),"Furniture")</f>
        <v>Furniture</v>
      </c>
      <c r="S112" s="7">
        <f ca="1">IFERROR(__xludf.DUMMYFUNCTION("""COMPUTED_VALUE"""),47.94)</f>
        <v>47.94</v>
      </c>
      <c r="T112" s="1">
        <f ca="1">IFERROR(__xludf.DUMMYFUNCTION("""COMPUTED_VALUE"""),9)</f>
        <v>9</v>
      </c>
      <c r="U112" s="9">
        <f ca="1">IFERROR(__xludf.DUMMYFUNCTION("""COMPUTED_VALUE"""),431.46)</f>
        <v>431.46</v>
      </c>
      <c r="V112" s="9">
        <f ca="1">IFERROR(__xludf.DUMMYFUNCTION("""COMPUTED_VALUE"""),427.23)</f>
        <v>427.23</v>
      </c>
      <c r="W112" s="12">
        <f ca="1">IFERROR(__xludf.DUMMYFUNCTION("""COMPUTED_VALUE"""),4.22999999999996)</f>
        <v>4.2299999999999596</v>
      </c>
    </row>
    <row r="113" spans="1:23" ht="13.2">
      <c r="A113" s="1" t="str">
        <f ca="1">IFERROR(__xludf.DUMMYFUNCTION("""COMPUTED_VALUE"""),"CA-2017-136406")</f>
        <v>CA-2017-136406</v>
      </c>
      <c r="B113" s="8">
        <f ca="1">IFERROR(__xludf.DUMMYFUNCTION("""COMPUTED_VALUE"""),42840)</f>
        <v>42840</v>
      </c>
      <c r="C113" s="1" t="str">
        <f ca="1">IFERROR(__xludf.DUMMYFUNCTION("""COMPUTED_VALUE"""),"Apr")</f>
        <v>Apr</v>
      </c>
      <c r="D113" s="1" t="str">
        <f ca="1">IFERROR(__xludf.DUMMYFUNCTION("""COMPUTED_VALUE"""),"Qtr 2")</f>
        <v>Qtr 2</v>
      </c>
      <c r="E113" s="1" t="str">
        <f ca="1">IFERROR(__xludf.DUMMYFUNCTION("""COMPUTED_VALUE"""),"17/04/2017")</f>
        <v>17/04/2017</v>
      </c>
      <c r="F113" s="1" t="str">
        <f ca="1">IFERROR(__xludf.DUMMYFUNCTION("""COMPUTED_VALUE"""),"Second Class")</f>
        <v>Second Class</v>
      </c>
      <c r="G113" s="1" t="str">
        <f ca="1">IFERROR(__xludf.DUMMYFUNCTION("""COMPUTED_VALUE"""),"BD-11320")</f>
        <v>BD-11320</v>
      </c>
      <c r="H113" s="1" t="str">
        <f ca="1">IFERROR(__xludf.DUMMYFUNCTION("""COMPUTED_VALUE"""),"Bill")</f>
        <v>Bill</v>
      </c>
      <c r="I113" s="1" t="str">
        <f ca="1">IFERROR(__xludf.DUMMYFUNCTION("""COMPUTED_VALUE"""),"Donatelli")</f>
        <v>Donatelli</v>
      </c>
      <c r="J113" s="1"/>
      <c r="K113" s="1" t="str">
        <f ca="1">IFERROR(__xludf.DUMMYFUNCTION("""COMPUTED_VALUE"""),"Consumer")</f>
        <v>Consumer</v>
      </c>
      <c r="L113" s="1" t="str">
        <f ca="1">IFERROR(__xludf.DUMMYFUNCTION("""COMPUTED_VALUE"""),"United States")</f>
        <v>United States</v>
      </c>
      <c r="M113" s="1" t="str">
        <f ca="1">IFERROR(__xludf.DUMMYFUNCTION("""COMPUTED_VALUE"""),"San Francisco")</f>
        <v>San Francisco</v>
      </c>
      <c r="N113" s="1" t="str">
        <f ca="1">IFERROR(__xludf.DUMMYFUNCTION("""COMPUTED_VALUE"""),"California")</f>
        <v>California</v>
      </c>
      <c r="O113" s="1">
        <f ca="1">IFERROR(__xludf.DUMMYFUNCTION("""COMPUTED_VALUE"""),94110)</f>
        <v>94110</v>
      </c>
      <c r="P113" s="1" t="str">
        <f ca="1">IFERROR(__xludf.DUMMYFUNCTION("""COMPUTED_VALUE"""),"West")</f>
        <v>West</v>
      </c>
      <c r="Q113" s="1" t="str">
        <f ca="1">IFERROR(__xludf.DUMMYFUNCTION("""COMPUTED_VALUE"""),"FUR-CH-10002024")</f>
        <v>FUR-CH-10002024</v>
      </c>
      <c r="R113" s="1" t="str">
        <f ca="1">IFERROR(__xludf.DUMMYFUNCTION("""COMPUTED_VALUE"""),"Furniture")</f>
        <v>Furniture</v>
      </c>
      <c r="S113" s="7">
        <f ca="1">IFERROR(__xludf.DUMMYFUNCTION("""COMPUTED_VALUE"""),1121.568)</f>
        <v>1121.568</v>
      </c>
      <c r="T113" s="1">
        <f ca="1">IFERROR(__xludf.DUMMYFUNCTION("""COMPUTED_VALUE"""),9)</f>
        <v>9</v>
      </c>
      <c r="U113" s="9">
        <f ca="1">IFERROR(__xludf.DUMMYFUNCTION("""COMPUTED_VALUE"""),10094.112)</f>
        <v>10094.111999999999</v>
      </c>
      <c r="V113" s="9">
        <f ca="1">IFERROR(__xludf.DUMMYFUNCTION("""COMPUTED_VALUE"""),10087.47)</f>
        <v>10087.469999999999</v>
      </c>
      <c r="W113" s="12">
        <f ca="1">IFERROR(__xludf.DUMMYFUNCTION("""COMPUTED_VALUE"""),6.64199999999982)</f>
        <v>6.64199999999982</v>
      </c>
    </row>
    <row r="114" spans="1:23" ht="13.2">
      <c r="A114" s="1" t="str">
        <f ca="1">IFERROR(__xludf.DUMMYFUNCTION("""COMPUTED_VALUE"""),"CA-2018-100650")</f>
        <v>CA-2018-100650</v>
      </c>
      <c r="B114" s="8">
        <f ca="1">IFERROR(__xludf.DUMMYFUNCTION("""COMPUTED_VALUE"""),43280)</f>
        <v>43280</v>
      </c>
      <c r="C114" s="1" t="str">
        <f ca="1">IFERROR(__xludf.DUMMYFUNCTION("""COMPUTED_VALUE"""),"Jun")</f>
        <v>Jun</v>
      </c>
      <c r="D114" s="1" t="str">
        <f ca="1">IFERROR(__xludf.DUMMYFUNCTION("""COMPUTED_VALUE"""),"Qtr 2")</f>
        <v>Qtr 2</v>
      </c>
      <c r="E114" s="1" t="str">
        <f ca="1">IFERROR(__xludf.DUMMYFUNCTION("""COMPUTED_VALUE"""),"3/7/2018")</f>
        <v>3/7/2018</v>
      </c>
      <c r="F114" s="1" t="str">
        <f ca="1">IFERROR(__xludf.DUMMYFUNCTION("""COMPUTED_VALUE"""),"Second Class")</f>
        <v>Second Class</v>
      </c>
      <c r="G114" s="1" t="str">
        <f ca="1">IFERROR(__xludf.DUMMYFUNCTION("""COMPUTED_VALUE"""),"DK-13225")</f>
        <v>DK-13225</v>
      </c>
      <c r="H114" s="1" t="str">
        <f ca="1">IFERROR(__xludf.DUMMYFUNCTION("""COMPUTED_VALUE"""),"Dean")</f>
        <v>Dean</v>
      </c>
      <c r="I114" s="1" t="str">
        <f ca="1">IFERROR(__xludf.DUMMYFUNCTION("""COMPUTED_VALUE"""),"Katz")</f>
        <v>Katz</v>
      </c>
      <c r="J114" s="1"/>
      <c r="K114" s="1" t="str">
        <f ca="1">IFERROR(__xludf.DUMMYFUNCTION("""COMPUTED_VALUE"""),"Corporate")</f>
        <v>Corporate</v>
      </c>
      <c r="L114" s="1" t="str">
        <f ca="1">IFERROR(__xludf.DUMMYFUNCTION("""COMPUTED_VALUE"""),"United States")</f>
        <v>United States</v>
      </c>
      <c r="M114" s="1" t="str">
        <f ca="1">IFERROR(__xludf.DUMMYFUNCTION("""COMPUTED_VALUE"""),"Anaheim")</f>
        <v>Anaheim</v>
      </c>
      <c r="N114" s="1" t="str">
        <f ca="1">IFERROR(__xludf.DUMMYFUNCTION("""COMPUTED_VALUE"""),"California")</f>
        <v>California</v>
      </c>
      <c r="O114" s="1">
        <f ca="1">IFERROR(__xludf.DUMMYFUNCTION("""COMPUTED_VALUE"""),92804)</f>
        <v>92804</v>
      </c>
      <c r="P114" s="1" t="str">
        <f ca="1">IFERROR(__xludf.DUMMYFUNCTION("""COMPUTED_VALUE"""),"West")</f>
        <v>West</v>
      </c>
      <c r="Q114" s="1" t="str">
        <f ca="1">IFERROR(__xludf.DUMMYFUNCTION("""COMPUTED_VALUE"""),"OFF-ST-10001780")</f>
        <v>OFF-ST-10001780</v>
      </c>
      <c r="R114" s="1" t="str">
        <f ca="1">IFERROR(__xludf.DUMMYFUNCTION("""COMPUTED_VALUE"""),"Office Supplies")</f>
        <v>Office Supplies</v>
      </c>
      <c r="S114" s="7">
        <f ca="1">IFERROR(__xludf.DUMMYFUNCTION("""COMPUTED_VALUE"""),1295.78)</f>
        <v>1295.78</v>
      </c>
      <c r="T114" s="1">
        <f ca="1">IFERROR(__xludf.DUMMYFUNCTION("""COMPUTED_VALUE"""),9)</f>
        <v>9</v>
      </c>
      <c r="U114" s="9">
        <f ca="1">IFERROR(__xludf.DUMMYFUNCTION("""COMPUTED_VALUE"""),11662.02)</f>
        <v>11662.02</v>
      </c>
      <c r="V114" s="9">
        <f ca="1">IFERROR(__xludf.DUMMYFUNCTION("""COMPUTED_VALUE"""),11657.16)</f>
        <v>11657.16</v>
      </c>
      <c r="W114" s="12">
        <f ca="1">IFERROR(__xludf.DUMMYFUNCTION("""COMPUTED_VALUE"""),4.86000000000058)</f>
        <v>4.8600000000005803</v>
      </c>
    </row>
    <row r="115" spans="1:23" ht="13.2">
      <c r="A115" s="1" t="str">
        <f ca="1">IFERROR(__xludf.DUMMYFUNCTION("""COMPUTED_VALUE"""),"CA-2017-113243")</f>
        <v>CA-2017-113243</v>
      </c>
      <c r="B115" s="8">
        <f ca="1">IFERROR(__xludf.DUMMYFUNCTION("""COMPUTED_VALUE"""),43014)</f>
        <v>43014</v>
      </c>
      <c r="C115" s="1" t="str">
        <f ca="1">IFERROR(__xludf.DUMMYFUNCTION("""COMPUTED_VALUE"""),"Oct")</f>
        <v>Oct</v>
      </c>
      <c r="D115" s="1" t="str">
        <f ca="1">IFERROR(__xludf.DUMMYFUNCTION("""COMPUTED_VALUE"""),"Qtr 4")</f>
        <v>Qtr 4</v>
      </c>
      <c r="E115" s="1" t="str">
        <f ca="1">IFERROR(__xludf.DUMMYFUNCTION("""COMPUTED_VALUE"""),"15/06/2017")</f>
        <v>15/06/2017</v>
      </c>
      <c r="F115" s="1" t="str">
        <f ca="1">IFERROR(__xludf.DUMMYFUNCTION("""COMPUTED_VALUE"""),"Standard Class")</f>
        <v>Standard Class</v>
      </c>
      <c r="G115" s="1" t="str">
        <f ca="1">IFERROR(__xludf.DUMMYFUNCTION("""COMPUTED_VALUE"""),"OT-18730")</f>
        <v>OT-18730</v>
      </c>
      <c r="H115" s="1" t="str">
        <f ca="1">IFERROR(__xludf.DUMMYFUNCTION("""COMPUTED_VALUE"""),"Olvera")</f>
        <v>Olvera</v>
      </c>
      <c r="I115" s="1" t="str">
        <f ca="1">IFERROR(__xludf.DUMMYFUNCTION("""COMPUTED_VALUE"""),"Toch")</f>
        <v>Toch</v>
      </c>
      <c r="J115" s="1"/>
      <c r="K115" s="1" t="str">
        <f ca="1">IFERROR(__xludf.DUMMYFUNCTION("""COMPUTED_VALUE"""),"Consumer")</f>
        <v>Consumer</v>
      </c>
      <c r="L115" s="1" t="str">
        <f ca="1">IFERROR(__xludf.DUMMYFUNCTION("""COMPUTED_VALUE"""),"United States")</f>
        <v>United States</v>
      </c>
      <c r="M115" s="1" t="str">
        <f ca="1">IFERROR(__xludf.DUMMYFUNCTION("""COMPUTED_VALUE"""),"Los Angeles")</f>
        <v>Los Angeles</v>
      </c>
      <c r="N115" s="1" t="str">
        <f ca="1">IFERROR(__xludf.DUMMYFUNCTION("""COMPUTED_VALUE"""),"California")</f>
        <v>California</v>
      </c>
      <c r="O115" s="1">
        <f ca="1">IFERROR(__xludf.DUMMYFUNCTION("""COMPUTED_VALUE"""),90045)</f>
        <v>90045</v>
      </c>
      <c r="P115" s="1" t="str">
        <f ca="1">IFERROR(__xludf.DUMMYFUNCTION("""COMPUTED_VALUE"""),"West")</f>
        <v>West</v>
      </c>
      <c r="Q115" s="1" t="str">
        <f ca="1">IFERROR(__xludf.DUMMYFUNCTION("""COMPUTED_VALUE"""),"OFF-LA-10001297")</f>
        <v>OFF-LA-10001297</v>
      </c>
      <c r="R115" s="1" t="str">
        <f ca="1">IFERROR(__xludf.DUMMYFUNCTION("""COMPUTED_VALUE"""),"Office Supplies")</f>
        <v>Office Supplies</v>
      </c>
      <c r="S115" s="7">
        <f ca="1">IFERROR(__xludf.DUMMYFUNCTION("""COMPUTED_VALUE"""),20.7)</f>
        <v>20.7</v>
      </c>
      <c r="T115" s="1">
        <f ca="1">IFERROR(__xludf.DUMMYFUNCTION("""COMPUTED_VALUE"""),9)</f>
        <v>9</v>
      </c>
      <c r="U115" s="9">
        <f ca="1">IFERROR(__xludf.DUMMYFUNCTION("""COMPUTED_VALUE"""),186.299999999999)</f>
        <v>186.29999999999899</v>
      </c>
      <c r="V115" s="9">
        <f ca="1">IFERROR(__xludf.DUMMYFUNCTION("""COMPUTED_VALUE"""),184.14)</f>
        <v>184.14</v>
      </c>
      <c r="W115" s="12">
        <f ca="1">IFERROR(__xludf.DUMMYFUNCTION("""COMPUTED_VALUE"""),2.15999999999996)</f>
        <v>2.1599999999999602</v>
      </c>
    </row>
    <row r="116" spans="1:23" ht="13.2">
      <c r="A116" s="1" t="str">
        <f ca="1">IFERROR(__xludf.DUMMYFUNCTION("""COMPUTED_VALUE"""),"CA-2017-113243")</f>
        <v>CA-2017-113243</v>
      </c>
      <c r="B116" s="8">
        <f ca="1">IFERROR(__xludf.DUMMYFUNCTION("""COMPUTED_VALUE"""),43014)</f>
        <v>43014</v>
      </c>
      <c r="C116" s="1" t="str">
        <f ca="1">IFERROR(__xludf.DUMMYFUNCTION("""COMPUTED_VALUE"""),"Oct")</f>
        <v>Oct</v>
      </c>
      <c r="D116" s="1" t="str">
        <f ca="1">IFERROR(__xludf.DUMMYFUNCTION("""COMPUTED_VALUE"""),"Qtr 4")</f>
        <v>Qtr 4</v>
      </c>
      <c r="E116" s="1" t="str">
        <f ca="1">IFERROR(__xludf.DUMMYFUNCTION("""COMPUTED_VALUE"""),"15/06/2017")</f>
        <v>15/06/2017</v>
      </c>
      <c r="F116" s="1" t="str">
        <f ca="1">IFERROR(__xludf.DUMMYFUNCTION("""COMPUTED_VALUE"""),"Standard Class")</f>
        <v>Standard Class</v>
      </c>
      <c r="G116" s="1" t="str">
        <f ca="1">IFERROR(__xludf.DUMMYFUNCTION("""COMPUTED_VALUE"""),"OT-18730")</f>
        <v>OT-18730</v>
      </c>
      <c r="H116" s="1" t="str">
        <f ca="1">IFERROR(__xludf.DUMMYFUNCTION("""COMPUTED_VALUE"""),"Olvera")</f>
        <v>Olvera</v>
      </c>
      <c r="I116" s="1" t="str">
        <f ca="1">IFERROR(__xludf.DUMMYFUNCTION("""COMPUTED_VALUE"""),"Toch")</f>
        <v>Toch</v>
      </c>
      <c r="J116" s="1"/>
      <c r="K116" s="1" t="str">
        <f ca="1">IFERROR(__xludf.DUMMYFUNCTION("""COMPUTED_VALUE"""),"Consumer")</f>
        <v>Consumer</v>
      </c>
      <c r="L116" s="1" t="str">
        <f ca="1">IFERROR(__xludf.DUMMYFUNCTION("""COMPUTED_VALUE"""),"United States")</f>
        <v>United States</v>
      </c>
      <c r="M116" s="1" t="str">
        <f ca="1">IFERROR(__xludf.DUMMYFUNCTION("""COMPUTED_VALUE"""),"Los Angeles")</f>
        <v>Los Angeles</v>
      </c>
      <c r="N116" s="1" t="str">
        <f ca="1">IFERROR(__xludf.DUMMYFUNCTION("""COMPUTED_VALUE"""),"California")</f>
        <v>California</v>
      </c>
      <c r="O116" s="1">
        <f ca="1">IFERROR(__xludf.DUMMYFUNCTION("""COMPUTED_VALUE"""),90045)</f>
        <v>90045</v>
      </c>
      <c r="P116" s="1" t="str">
        <f ca="1">IFERROR(__xludf.DUMMYFUNCTION("""COMPUTED_VALUE"""),"West")</f>
        <v>West</v>
      </c>
      <c r="Q116" s="1" t="str">
        <f ca="1">IFERROR(__xludf.DUMMYFUNCTION("""COMPUTED_VALUE"""),"FUR-TA-10004256")</f>
        <v>FUR-TA-10004256</v>
      </c>
      <c r="R116" s="1" t="str">
        <f ca="1">IFERROR(__xludf.DUMMYFUNCTION("""COMPUTED_VALUE"""),"Furniture")</f>
        <v>Furniture</v>
      </c>
      <c r="S116" s="7">
        <f ca="1">IFERROR(__xludf.DUMMYFUNCTION("""COMPUTED_VALUE"""),1335.68)</f>
        <v>1335.68</v>
      </c>
      <c r="T116" s="1">
        <f ca="1">IFERROR(__xludf.DUMMYFUNCTION("""COMPUTED_VALUE"""),9)</f>
        <v>9</v>
      </c>
      <c r="U116" s="9">
        <f ca="1">IFERROR(__xludf.DUMMYFUNCTION("""COMPUTED_VALUE"""),12021.12)</f>
        <v>12021.12</v>
      </c>
      <c r="V116" s="9">
        <f ca="1">IFERROR(__xludf.DUMMYFUNCTION("""COMPUTED_VALUE"""),12016.0799999999)</f>
        <v>12016.0799999999</v>
      </c>
      <c r="W116" s="12">
        <f ca="1">IFERROR(__xludf.DUMMYFUNCTION("""COMPUTED_VALUE"""),5.04000000000269)</f>
        <v>5.0400000000026903</v>
      </c>
    </row>
    <row r="117" spans="1:23" ht="13.2">
      <c r="A117" s="1" t="str">
        <f ca="1">IFERROR(__xludf.DUMMYFUNCTION("""COMPUTED_VALUE"""),"CA-2017-113243")</f>
        <v>CA-2017-113243</v>
      </c>
      <c r="B117" s="8">
        <f ca="1">IFERROR(__xludf.DUMMYFUNCTION("""COMPUTED_VALUE"""),43014)</f>
        <v>43014</v>
      </c>
      <c r="C117" s="1" t="str">
        <f ca="1">IFERROR(__xludf.DUMMYFUNCTION("""COMPUTED_VALUE"""),"Oct")</f>
        <v>Oct</v>
      </c>
      <c r="D117" s="1" t="str">
        <f ca="1">IFERROR(__xludf.DUMMYFUNCTION("""COMPUTED_VALUE"""),"Qtr 4")</f>
        <v>Qtr 4</v>
      </c>
      <c r="E117" s="1" t="str">
        <f ca="1">IFERROR(__xludf.DUMMYFUNCTION("""COMPUTED_VALUE"""),"15/06/2017")</f>
        <v>15/06/2017</v>
      </c>
      <c r="F117" s="1" t="str">
        <f ca="1">IFERROR(__xludf.DUMMYFUNCTION("""COMPUTED_VALUE"""),"Standard Class")</f>
        <v>Standard Class</v>
      </c>
      <c r="G117" s="1" t="str">
        <f ca="1">IFERROR(__xludf.DUMMYFUNCTION("""COMPUTED_VALUE"""),"OT-18730")</f>
        <v>OT-18730</v>
      </c>
      <c r="H117" s="1" t="str">
        <f ca="1">IFERROR(__xludf.DUMMYFUNCTION("""COMPUTED_VALUE"""),"Olvera")</f>
        <v>Olvera</v>
      </c>
      <c r="I117" s="1" t="str">
        <f ca="1">IFERROR(__xludf.DUMMYFUNCTION("""COMPUTED_VALUE"""),"Toch")</f>
        <v>Toch</v>
      </c>
      <c r="J117" s="1"/>
      <c r="K117" s="1" t="str">
        <f ca="1">IFERROR(__xludf.DUMMYFUNCTION("""COMPUTED_VALUE"""),"Consumer")</f>
        <v>Consumer</v>
      </c>
      <c r="L117" s="1" t="str">
        <f ca="1">IFERROR(__xludf.DUMMYFUNCTION("""COMPUTED_VALUE"""),"United States")</f>
        <v>United States</v>
      </c>
      <c r="M117" s="1" t="str">
        <f ca="1">IFERROR(__xludf.DUMMYFUNCTION("""COMPUTED_VALUE"""),"Los Angeles")</f>
        <v>Los Angeles</v>
      </c>
      <c r="N117" s="1" t="str">
        <f ca="1">IFERROR(__xludf.DUMMYFUNCTION("""COMPUTED_VALUE"""),"California")</f>
        <v>California</v>
      </c>
      <c r="O117" s="1">
        <f ca="1">IFERROR(__xludf.DUMMYFUNCTION("""COMPUTED_VALUE"""),90045)</f>
        <v>90045</v>
      </c>
      <c r="P117" s="1" t="str">
        <f ca="1">IFERROR(__xludf.DUMMYFUNCTION("""COMPUTED_VALUE"""),"West")</f>
        <v>West</v>
      </c>
      <c r="Q117" s="1" t="str">
        <f ca="1">IFERROR(__xludf.DUMMYFUNCTION("""COMPUTED_VALUE"""),"OFF-PA-10003441")</f>
        <v>OFF-PA-10003441</v>
      </c>
      <c r="R117" s="1" t="str">
        <f ca="1">IFERROR(__xludf.DUMMYFUNCTION("""COMPUTED_VALUE"""),"Office Supplies")</f>
        <v>Office Supplies</v>
      </c>
      <c r="S117" s="7">
        <f ca="1">IFERROR(__xludf.DUMMYFUNCTION("""COMPUTED_VALUE"""),32.4)</f>
        <v>32.4</v>
      </c>
      <c r="T117" s="1">
        <f ca="1">IFERROR(__xludf.DUMMYFUNCTION("""COMPUTED_VALUE"""),9)</f>
        <v>9</v>
      </c>
      <c r="U117" s="9">
        <f ca="1">IFERROR(__xludf.DUMMYFUNCTION("""COMPUTED_VALUE"""),291.599999999999)</f>
        <v>291.599999999999</v>
      </c>
      <c r="V117" s="9">
        <f ca="1">IFERROR(__xludf.DUMMYFUNCTION("""COMPUTED_VALUE"""),286.38)</f>
        <v>286.38</v>
      </c>
      <c r="W117" s="12">
        <f ca="1">IFERROR(__xludf.DUMMYFUNCTION("""COMPUTED_VALUE"""),5.21999999999997)</f>
        <v>5.2199999999999704</v>
      </c>
    </row>
    <row r="118" spans="1:23" ht="13.2">
      <c r="A118" s="1" t="str">
        <f ca="1">IFERROR(__xludf.DUMMYFUNCTION("""COMPUTED_VALUE"""),"CA-2018-118731")</f>
        <v>CA-2018-118731</v>
      </c>
      <c r="B118" s="8">
        <f ca="1">IFERROR(__xludf.DUMMYFUNCTION("""COMPUTED_VALUE"""),43424)</f>
        <v>43424</v>
      </c>
      <c r="C118" s="1" t="str">
        <f ca="1">IFERROR(__xludf.DUMMYFUNCTION("""COMPUTED_VALUE"""),"Nov")</f>
        <v>Nov</v>
      </c>
      <c r="D118" s="1" t="str">
        <f ca="1">IFERROR(__xludf.DUMMYFUNCTION("""COMPUTED_VALUE"""),"Qtr 4")</f>
        <v>Qtr 4</v>
      </c>
      <c r="E118" s="1" t="str">
        <f ca="1">IFERROR(__xludf.DUMMYFUNCTION("""COMPUTED_VALUE"""),"22/11/2018")</f>
        <v>22/11/2018</v>
      </c>
      <c r="F118" s="1" t="str">
        <f ca="1">IFERROR(__xludf.DUMMYFUNCTION("""COMPUTED_VALUE"""),"Second Class")</f>
        <v>Second Class</v>
      </c>
      <c r="G118" s="1" t="str">
        <f ca="1">IFERROR(__xludf.DUMMYFUNCTION("""COMPUTED_VALUE"""),"LP-17080")</f>
        <v>LP-17080</v>
      </c>
      <c r="H118" s="1" t="str">
        <f ca="1">IFERROR(__xludf.DUMMYFUNCTION("""COMPUTED_VALUE"""),"Liz")</f>
        <v>Liz</v>
      </c>
      <c r="I118" s="1" t="str">
        <f ca="1">IFERROR(__xludf.DUMMYFUNCTION("""COMPUTED_VALUE"""),"Pelletier")</f>
        <v>Pelletier</v>
      </c>
      <c r="J118" s="1"/>
      <c r="K118" s="1" t="str">
        <f ca="1">IFERROR(__xludf.DUMMYFUNCTION("""COMPUTED_VALUE"""),"Consumer")</f>
        <v>Consumer</v>
      </c>
      <c r="L118" s="1" t="str">
        <f ca="1">IFERROR(__xludf.DUMMYFUNCTION("""COMPUTED_VALUE"""),"United States")</f>
        <v>United States</v>
      </c>
      <c r="M118" s="1" t="str">
        <f ca="1">IFERROR(__xludf.DUMMYFUNCTION("""COMPUTED_VALUE"""),"San Francisco")</f>
        <v>San Francisco</v>
      </c>
      <c r="N118" s="1" t="str">
        <f ca="1">IFERROR(__xludf.DUMMYFUNCTION("""COMPUTED_VALUE"""),"California")</f>
        <v>California</v>
      </c>
      <c r="O118" s="1">
        <f ca="1">IFERROR(__xludf.DUMMYFUNCTION("""COMPUTED_VALUE"""),94110)</f>
        <v>94110</v>
      </c>
      <c r="P118" s="1" t="str">
        <f ca="1">IFERROR(__xludf.DUMMYFUNCTION("""COMPUTED_VALUE"""),"West")</f>
        <v>West</v>
      </c>
      <c r="Q118" s="1" t="str">
        <f ca="1">IFERROR(__xludf.DUMMYFUNCTION("""COMPUTED_VALUE"""),"FUR-FU-10003347")</f>
        <v>FUR-FU-10003347</v>
      </c>
      <c r="R118" s="1" t="str">
        <f ca="1">IFERROR(__xludf.DUMMYFUNCTION("""COMPUTED_VALUE"""),"Furniture")</f>
        <v>Furniture</v>
      </c>
      <c r="S118" s="7">
        <f ca="1">IFERROR(__xludf.DUMMYFUNCTION("""COMPUTED_VALUE"""),42.6)</f>
        <v>42.6</v>
      </c>
      <c r="T118" s="1">
        <f ca="1">IFERROR(__xludf.DUMMYFUNCTION("""COMPUTED_VALUE"""),9)</f>
        <v>9</v>
      </c>
      <c r="U118" s="9">
        <f ca="1">IFERROR(__xludf.DUMMYFUNCTION("""COMPUTED_VALUE"""),383.4)</f>
        <v>383.4</v>
      </c>
      <c r="V118" s="9">
        <f ca="1">IFERROR(__xludf.DUMMYFUNCTION("""COMPUTED_VALUE"""),375.39)</f>
        <v>375.39</v>
      </c>
      <c r="W118" s="12">
        <f ca="1">IFERROR(__xludf.DUMMYFUNCTION("""COMPUTED_VALUE"""),8.01000000000004)</f>
        <v>8.0100000000000406</v>
      </c>
    </row>
    <row r="119" spans="1:23" ht="13.2">
      <c r="A119" s="1" t="str">
        <f ca="1">IFERROR(__xludf.DUMMYFUNCTION("""COMPUTED_VALUE"""),"CA-2018-118731")</f>
        <v>CA-2018-118731</v>
      </c>
      <c r="B119" s="8">
        <f ca="1">IFERROR(__xludf.DUMMYFUNCTION("""COMPUTED_VALUE"""),43424)</f>
        <v>43424</v>
      </c>
      <c r="C119" s="1" t="str">
        <f ca="1">IFERROR(__xludf.DUMMYFUNCTION("""COMPUTED_VALUE"""),"Nov")</f>
        <v>Nov</v>
      </c>
      <c r="D119" s="1" t="str">
        <f ca="1">IFERROR(__xludf.DUMMYFUNCTION("""COMPUTED_VALUE"""),"Qtr 4")</f>
        <v>Qtr 4</v>
      </c>
      <c r="E119" s="1" t="str">
        <f ca="1">IFERROR(__xludf.DUMMYFUNCTION("""COMPUTED_VALUE"""),"22/11/2018")</f>
        <v>22/11/2018</v>
      </c>
      <c r="F119" s="1" t="str">
        <f ca="1">IFERROR(__xludf.DUMMYFUNCTION("""COMPUTED_VALUE"""),"Second Class")</f>
        <v>Second Class</v>
      </c>
      <c r="G119" s="1" t="str">
        <f ca="1">IFERROR(__xludf.DUMMYFUNCTION("""COMPUTED_VALUE"""),"LP-17080")</f>
        <v>LP-17080</v>
      </c>
      <c r="H119" s="1" t="str">
        <f ca="1">IFERROR(__xludf.DUMMYFUNCTION("""COMPUTED_VALUE"""),"Liz")</f>
        <v>Liz</v>
      </c>
      <c r="I119" s="1" t="str">
        <f ca="1">IFERROR(__xludf.DUMMYFUNCTION("""COMPUTED_VALUE"""),"Pelletier")</f>
        <v>Pelletier</v>
      </c>
      <c r="J119" s="1"/>
      <c r="K119" s="1" t="str">
        <f ca="1">IFERROR(__xludf.DUMMYFUNCTION("""COMPUTED_VALUE"""),"Consumer")</f>
        <v>Consumer</v>
      </c>
      <c r="L119" s="1" t="str">
        <f ca="1">IFERROR(__xludf.DUMMYFUNCTION("""COMPUTED_VALUE"""),"United States")</f>
        <v>United States</v>
      </c>
      <c r="M119" s="1" t="str">
        <f ca="1">IFERROR(__xludf.DUMMYFUNCTION("""COMPUTED_VALUE"""),"San Francisco")</f>
        <v>San Francisco</v>
      </c>
      <c r="N119" s="1" t="str">
        <f ca="1">IFERROR(__xludf.DUMMYFUNCTION("""COMPUTED_VALUE"""),"California")</f>
        <v>California</v>
      </c>
      <c r="O119" s="1">
        <f ca="1">IFERROR(__xludf.DUMMYFUNCTION("""COMPUTED_VALUE"""),94110)</f>
        <v>94110</v>
      </c>
      <c r="P119" s="1" t="str">
        <f ca="1">IFERROR(__xludf.DUMMYFUNCTION("""COMPUTED_VALUE"""),"West")</f>
        <v>West</v>
      </c>
      <c r="Q119" s="1" t="str">
        <f ca="1">IFERROR(__xludf.DUMMYFUNCTION("""COMPUTED_VALUE"""),"OFF-BI-10000069")</f>
        <v>OFF-BI-10000069</v>
      </c>
      <c r="R119" s="1" t="str">
        <f ca="1">IFERROR(__xludf.DUMMYFUNCTION("""COMPUTED_VALUE"""),"Office Supplies")</f>
        <v>Office Supplies</v>
      </c>
      <c r="S119" s="7">
        <f ca="1">IFERROR(__xludf.DUMMYFUNCTION("""COMPUTED_VALUE"""),84.056)</f>
        <v>84.055999999999997</v>
      </c>
      <c r="T119" s="1">
        <f ca="1">IFERROR(__xludf.DUMMYFUNCTION("""COMPUTED_VALUE"""),9)</f>
        <v>9</v>
      </c>
      <c r="U119" s="9">
        <f ca="1">IFERROR(__xludf.DUMMYFUNCTION("""COMPUTED_VALUE"""),756.504)</f>
        <v>756.50400000000002</v>
      </c>
      <c r="V119" s="9">
        <f ca="1">IFERROR(__xludf.DUMMYFUNCTION("""COMPUTED_VALUE"""),751.86)</f>
        <v>751.86</v>
      </c>
      <c r="W119" s="12">
        <f ca="1">IFERROR(__xludf.DUMMYFUNCTION("""COMPUTED_VALUE"""),4.644)</f>
        <v>4.6440000000000001</v>
      </c>
    </row>
    <row r="120" spans="1:23" ht="13.2">
      <c r="A120" s="1" t="str">
        <f ca="1">IFERROR(__xludf.DUMMYFUNCTION("""COMPUTED_VALUE"""),"CA-2018-137099")</f>
        <v>CA-2018-137099</v>
      </c>
      <c r="B120" s="8">
        <f ca="1">IFERROR(__xludf.DUMMYFUNCTION("""COMPUTED_VALUE"""),43293)</f>
        <v>43293</v>
      </c>
      <c r="C120" s="1" t="str">
        <f ca="1">IFERROR(__xludf.DUMMYFUNCTION("""COMPUTED_VALUE"""),"Jul")</f>
        <v>Jul</v>
      </c>
      <c r="D120" s="1" t="str">
        <f ca="1">IFERROR(__xludf.DUMMYFUNCTION("""COMPUTED_VALUE"""),"Qtr 3")</f>
        <v>Qtr 3</v>
      </c>
      <c r="E120" s="1" t="str">
        <f ca="1">IFERROR(__xludf.DUMMYFUNCTION("""COMPUTED_VALUE"""),"10/12/2018")</f>
        <v>10/12/2018</v>
      </c>
      <c r="F120" s="1" t="str">
        <f ca="1">IFERROR(__xludf.DUMMYFUNCTION("""COMPUTED_VALUE"""),"First Class")</f>
        <v>First Class</v>
      </c>
      <c r="G120" s="1" t="str">
        <f ca="1">IFERROR(__xludf.DUMMYFUNCTION("""COMPUTED_VALUE"""),"FP-14320")</f>
        <v>FP-14320</v>
      </c>
      <c r="H120" s="1" t="str">
        <f ca="1">IFERROR(__xludf.DUMMYFUNCTION("""COMPUTED_VALUE"""),"Frank")</f>
        <v>Frank</v>
      </c>
      <c r="I120" s="1" t="str">
        <f ca="1">IFERROR(__xludf.DUMMYFUNCTION("""COMPUTED_VALUE"""),"Preis")</f>
        <v>Preis</v>
      </c>
      <c r="J120" s="1"/>
      <c r="K120" s="1" t="str">
        <f ca="1">IFERROR(__xludf.DUMMYFUNCTION("""COMPUTED_VALUE"""),"Consumer")</f>
        <v>Consumer</v>
      </c>
      <c r="L120" s="1" t="str">
        <f ca="1">IFERROR(__xludf.DUMMYFUNCTION("""COMPUTED_VALUE"""),"United States")</f>
        <v>United States</v>
      </c>
      <c r="M120" s="1" t="str">
        <f ca="1">IFERROR(__xludf.DUMMYFUNCTION("""COMPUTED_VALUE"""),"Los Angeles")</f>
        <v>Los Angeles</v>
      </c>
      <c r="N120" s="1" t="str">
        <f ca="1">IFERROR(__xludf.DUMMYFUNCTION("""COMPUTED_VALUE"""),"California")</f>
        <v>California</v>
      </c>
      <c r="O120" s="1">
        <f ca="1">IFERROR(__xludf.DUMMYFUNCTION("""COMPUTED_VALUE"""),90008)</f>
        <v>90008</v>
      </c>
      <c r="P120" s="1" t="str">
        <f ca="1">IFERROR(__xludf.DUMMYFUNCTION("""COMPUTED_VALUE"""),"West")</f>
        <v>West</v>
      </c>
      <c r="Q120" s="1" t="str">
        <f ca="1">IFERROR(__xludf.DUMMYFUNCTION("""COMPUTED_VALUE"""),"TEC-PH-10002496")</f>
        <v>TEC-PH-10002496</v>
      </c>
      <c r="R120" s="1" t="str">
        <f ca="1">IFERROR(__xludf.DUMMYFUNCTION("""COMPUTED_VALUE"""),"Technology")</f>
        <v>Technology</v>
      </c>
      <c r="S120" s="7">
        <f ca="1">IFERROR(__xludf.DUMMYFUNCTION("""COMPUTED_VALUE"""),374.376)</f>
        <v>374.37599999999998</v>
      </c>
      <c r="T120" s="1">
        <f ca="1">IFERROR(__xludf.DUMMYFUNCTION("""COMPUTED_VALUE"""),9)</f>
        <v>9</v>
      </c>
      <c r="U120" s="9">
        <f ca="1">IFERROR(__xludf.DUMMYFUNCTION("""COMPUTED_VALUE"""),3369.384)</f>
        <v>3369.384</v>
      </c>
      <c r="V120" s="9">
        <f ca="1">IFERROR(__xludf.DUMMYFUNCTION("""COMPUTED_VALUE"""),3361.68)</f>
        <v>3361.68</v>
      </c>
      <c r="W120" s="12">
        <f ca="1">IFERROR(__xludf.DUMMYFUNCTION("""COMPUTED_VALUE"""),7.70400000000017)</f>
        <v>7.7040000000001703</v>
      </c>
    </row>
    <row r="121" spans="1:23" ht="13.2">
      <c r="A121" s="1" t="str">
        <f ca="1">IFERROR(__xludf.DUMMYFUNCTION("""COMPUTED_VALUE"""),"CA-2016-149713")</f>
        <v>CA-2016-149713</v>
      </c>
      <c r="B121" s="8">
        <f ca="1">IFERROR(__xludf.DUMMYFUNCTION("""COMPUTED_VALUE"""),42631)</f>
        <v>42631</v>
      </c>
      <c r="C121" s="1" t="str">
        <f ca="1">IFERROR(__xludf.DUMMYFUNCTION("""COMPUTED_VALUE"""),"Sep")</f>
        <v>Sep</v>
      </c>
      <c r="D121" s="1" t="str">
        <f ca="1">IFERROR(__xludf.DUMMYFUNCTION("""COMPUTED_VALUE"""),"Qtr 3")</f>
        <v>Qtr 3</v>
      </c>
      <c r="E121" s="1" t="str">
        <f ca="1">IFERROR(__xludf.DUMMYFUNCTION("""COMPUTED_VALUE"""),"22/09/2016")</f>
        <v>22/09/2016</v>
      </c>
      <c r="F121" s="1" t="str">
        <f ca="1">IFERROR(__xludf.DUMMYFUNCTION("""COMPUTED_VALUE"""),"Second Class")</f>
        <v>Second Class</v>
      </c>
      <c r="G121" s="1" t="str">
        <f ca="1">IFERROR(__xludf.DUMMYFUNCTION("""COMPUTED_VALUE"""),"TG-21640")</f>
        <v>TG-21640</v>
      </c>
      <c r="H121" s="1" t="str">
        <f ca="1">IFERROR(__xludf.DUMMYFUNCTION("""COMPUTED_VALUE"""),"Trudy")</f>
        <v>Trudy</v>
      </c>
      <c r="I121" s="1" t="str">
        <f ca="1">IFERROR(__xludf.DUMMYFUNCTION("""COMPUTED_VALUE"""),"Glocke")</f>
        <v>Glocke</v>
      </c>
      <c r="J121" s="1"/>
      <c r="K121" s="1" t="str">
        <f ca="1">IFERROR(__xludf.DUMMYFUNCTION("""COMPUTED_VALUE"""),"Consumer")</f>
        <v>Consumer</v>
      </c>
      <c r="L121" s="1" t="str">
        <f ca="1">IFERROR(__xludf.DUMMYFUNCTION("""COMPUTED_VALUE"""),"United States")</f>
        <v>United States</v>
      </c>
      <c r="M121" s="1" t="str">
        <f ca="1">IFERROR(__xludf.DUMMYFUNCTION("""COMPUTED_VALUE"""),"Long Beach")</f>
        <v>Long Beach</v>
      </c>
      <c r="N121" s="1" t="str">
        <f ca="1">IFERROR(__xludf.DUMMYFUNCTION("""COMPUTED_VALUE"""),"California")</f>
        <v>California</v>
      </c>
      <c r="O121" s="1">
        <f ca="1">IFERROR(__xludf.DUMMYFUNCTION("""COMPUTED_VALUE"""),90805)</f>
        <v>90805</v>
      </c>
      <c r="P121" s="1" t="str">
        <f ca="1">IFERROR(__xludf.DUMMYFUNCTION("""COMPUTED_VALUE"""),"West")</f>
        <v>West</v>
      </c>
      <c r="Q121" s="1" t="str">
        <f ca="1">IFERROR(__xludf.DUMMYFUNCTION("""COMPUTED_VALUE"""),"OFF-PA-10004530")</f>
        <v>OFF-PA-10004530</v>
      </c>
      <c r="R121" s="1" t="str">
        <f ca="1">IFERROR(__xludf.DUMMYFUNCTION("""COMPUTED_VALUE"""),"Office Supplies")</f>
        <v>Office Supplies</v>
      </c>
      <c r="S121" s="7">
        <f ca="1">IFERROR(__xludf.DUMMYFUNCTION("""COMPUTED_VALUE"""),160.72)</f>
        <v>160.72</v>
      </c>
      <c r="T121" s="1">
        <f ca="1">IFERROR(__xludf.DUMMYFUNCTION("""COMPUTED_VALUE"""),9)</f>
        <v>9</v>
      </c>
      <c r="U121" s="9">
        <f ca="1">IFERROR(__xludf.DUMMYFUNCTION("""COMPUTED_VALUE"""),1446.48)</f>
        <v>1446.48</v>
      </c>
      <c r="V121" s="9">
        <f ca="1">IFERROR(__xludf.DUMMYFUNCTION("""COMPUTED_VALUE"""),1440.89999999999)</f>
        <v>1440.8999999999901</v>
      </c>
      <c r="W121" s="12">
        <f ca="1">IFERROR(__xludf.DUMMYFUNCTION("""COMPUTED_VALUE"""),5.58000000000015)</f>
        <v>5.5800000000001502</v>
      </c>
    </row>
    <row r="122" spans="1:23" ht="13.2">
      <c r="A122" s="1" t="str">
        <f ca="1">IFERROR(__xludf.DUMMYFUNCTION("""COMPUTED_VALUE"""),"CA-2016-149713")</f>
        <v>CA-2016-149713</v>
      </c>
      <c r="B122" s="8">
        <f ca="1">IFERROR(__xludf.DUMMYFUNCTION("""COMPUTED_VALUE"""),42631)</f>
        <v>42631</v>
      </c>
      <c r="C122" s="1" t="str">
        <f ca="1">IFERROR(__xludf.DUMMYFUNCTION("""COMPUTED_VALUE"""),"Sep")</f>
        <v>Sep</v>
      </c>
      <c r="D122" s="1" t="str">
        <f ca="1">IFERROR(__xludf.DUMMYFUNCTION("""COMPUTED_VALUE"""),"Qtr 3")</f>
        <v>Qtr 3</v>
      </c>
      <c r="E122" s="1" t="str">
        <f ca="1">IFERROR(__xludf.DUMMYFUNCTION("""COMPUTED_VALUE"""),"22/09/2016")</f>
        <v>22/09/2016</v>
      </c>
      <c r="F122" s="1" t="str">
        <f ca="1">IFERROR(__xludf.DUMMYFUNCTION("""COMPUTED_VALUE"""),"Second Class")</f>
        <v>Second Class</v>
      </c>
      <c r="G122" s="1" t="str">
        <f ca="1">IFERROR(__xludf.DUMMYFUNCTION("""COMPUTED_VALUE"""),"TG-21640")</f>
        <v>TG-21640</v>
      </c>
      <c r="H122" s="1" t="str">
        <f ca="1">IFERROR(__xludf.DUMMYFUNCTION("""COMPUTED_VALUE"""),"Trudy")</f>
        <v>Trudy</v>
      </c>
      <c r="I122" s="1" t="str">
        <f ca="1">IFERROR(__xludf.DUMMYFUNCTION("""COMPUTED_VALUE"""),"Glocke")</f>
        <v>Glocke</v>
      </c>
      <c r="J122" s="1"/>
      <c r="K122" s="1" t="str">
        <f ca="1">IFERROR(__xludf.DUMMYFUNCTION("""COMPUTED_VALUE"""),"Consumer")</f>
        <v>Consumer</v>
      </c>
      <c r="L122" s="1" t="str">
        <f ca="1">IFERROR(__xludf.DUMMYFUNCTION("""COMPUTED_VALUE"""),"United States")</f>
        <v>United States</v>
      </c>
      <c r="M122" s="1" t="str">
        <f ca="1">IFERROR(__xludf.DUMMYFUNCTION("""COMPUTED_VALUE"""),"Long Beach")</f>
        <v>Long Beach</v>
      </c>
      <c r="N122" s="1" t="str">
        <f ca="1">IFERROR(__xludf.DUMMYFUNCTION("""COMPUTED_VALUE"""),"California")</f>
        <v>California</v>
      </c>
      <c r="O122" s="1">
        <f ca="1">IFERROR(__xludf.DUMMYFUNCTION("""COMPUTED_VALUE"""),90805)</f>
        <v>90805</v>
      </c>
      <c r="P122" s="1" t="str">
        <f ca="1">IFERROR(__xludf.DUMMYFUNCTION("""COMPUTED_VALUE"""),"West")</f>
        <v>West</v>
      </c>
      <c r="Q122" s="1" t="str">
        <f ca="1">IFERROR(__xludf.DUMMYFUNCTION("""COMPUTED_VALUE"""),"OFF-PA-10001450")</f>
        <v>OFF-PA-10001450</v>
      </c>
      <c r="R122" s="1" t="str">
        <f ca="1">IFERROR(__xludf.DUMMYFUNCTION("""COMPUTED_VALUE"""),"Office Supplies")</f>
        <v>Office Supplies</v>
      </c>
      <c r="S122" s="7">
        <f ca="1">IFERROR(__xludf.DUMMYFUNCTION("""COMPUTED_VALUE"""),19.92)</f>
        <v>19.920000000000002</v>
      </c>
      <c r="T122" s="1">
        <f ca="1">IFERROR(__xludf.DUMMYFUNCTION("""COMPUTED_VALUE"""),9)</f>
        <v>9</v>
      </c>
      <c r="U122" s="9">
        <f ca="1">IFERROR(__xludf.DUMMYFUNCTION("""COMPUTED_VALUE"""),179.28)</f>
        <v>179.28</v>
      </c>
      <c r="V122" s="9">
        <f ca="1">IFERROR(__xludf.DUMMYFUNCTION("""COMPUTED_VALUE"""),174.6)</f>
        <v>174.6</v>
      </c>
      <c r="W122" s="12">
        <f ca="1">IFERROR(__xludf.DUMMYFUNCTION("""COMPUTED_VALUE"""),4.68000000000003)</f>
        <v>4.6800000000000299</v>
      </c>
    </row>
    <row r="123" spans="1:23" ht="13.2">
      <c r="A123" s="1" t="str">
        <f ca="1">IFERROR(__xludf.DUMMYFUNCTION("""COMPUTED_VALUE"""),"CA-2016-149713")</f>
        <v>CA-2016-149713</v>
      </c>
      <c r="B123" s="8">
        <f ca="1">IFERROR(__xludf.DUMMYFUNCTION("""COMPUTED_VALUE"""),42631)</f>
        <v>42631</v>
      </c>
      <c r="C123" s="1" t="str">
        <f ca="1">IFERROR(__xludf.DUMMYFUNCTION("""COMPUTED_VALUE"""),"Sep")</f>
        <v>Sep</v>
      </c>
      <c r="D123" s="1" t="str">
        <f ca="1">IFERROR(__xludf.DUMMYFUNCTION("""COMPUTED_VALUE"""),"Qtr 3")</f>
        <v>Qtr 3</v>
      </c>
      <c r="E123" s="1" t="str">
        <f ca="1">IFERROR(__xludf.DUMMYFUNCTION("""COMPUTED_VALUE"""),"22/09/2016")</f>
        <v>22/09/2016</v>
      </c>
      <c r="F123" s="1" t="str">
        <f ca="1">IFERROR(__xludf.DUMMYFUNCTION("""COMPUTED_VALUE"""),"Second Class")</f>
        <v>Second Class</v>
      </c>
      <c r="G123" s="1" t="str">
        <f ca="1">IFERROR(__xludf.DUMMYFUNCTION("""COMPUTED_VALUE"""),"TG-21640")</f>
        <v>TG-21640</v>
      </c>
      <c r="H123" s="1" t="str">
        <f ca="1">IFERROR(__xludf.DUMMYFUNCTION("""COMPUTED_VALUE"""),"Trudy")</f>
        <v>Trudy</v>
      </c>
      <c r="I123" s="1" t="str">
        <f ca="1">IFERROR(__xludf.DUMMYFUNCTION("""COMPUTED_VALUE"""),"Glocke")</f>
        <v>Glocke</v>
      </c>
      <c r="J123" s="1"/>
      <c r="K123" s="1" t="str">
        <f ca="1">IFERROR(__xludf.DUMMYFUNCTION("""COMPUTED_VALUE"""),"Consumer")</f>
        <v>Consumer</v>
      </c>
      <c r="L123" s="1" t="str">
        <f ca="1">IFERROR(__xludf.DUMMYFUNCTION("""COMPUTED_VALUE"""),"United States")</f>
        <v>United States</v>
      </c>
      <c r="M123" s="1" t="str">
        <f ca="1">IFERROR(__xludf.DUMMYFUNCTION("""COMPUTED_VALUE"""),"Long Beach")</f>
        <v>Long Beach</v>
      </c>
      <c r="N123" s="1" t="str">
        <f ca="1">IFERROR(__xludf.DUMMYFUNCTION("""COMPUTED_VALUE"""),"California")</f>
        <v>California</v>
      </c>
      <c r="O123" s="1">
        <f ca="1">IFERROR(__xludf.DUMMYFUNCTION("""COMPUTED_VALUE"""),90805)</f>
        <v>90805</v>
      </c>
      <c r="P123" s="1" t="str">
        <f ca="1">IFERROR(__xludf.DUMMYFUNCTION("""COMPUTED_VALUE"""),"West")</f>
        <v>West</v>
      </c>
      <c r="Q123" s="1" t="str">
        <f ca="1">IFERROR(__xludf.DUMMYFUNCTION("""COMPUTED_VALUE"""),"OFF-SU-10001574")</f>
        <v>OFF-SU-10001574</v>
      </c>
      <c r="R123" s="1" t="str">
        <f ca="1">IFERROR(__xludf.DUMMYFUNCTION("""COMPUTED_VALUE"""),"Office Supplies")</f>
        <v>Office Supplies</v>
      </c>
      <c r="S123" s="7">
        <f ca="1">IFERROR(__xludf.DUMMYFUNCTION("""COMPUTED_VALUE"""),7.3)</f>
        <v>7.3</v>
      </c>
      <c r="T123" s="1">
        <f ca="1">IFERROR(__xludf.DUMMYFUNCTION("""COMPUTED_VALUE"""),9)</f>
        <v>9</v>
      </c>
      <c r="U123" s="9">
        <f ca="1">IFERROR(__xludf.DUMMYFUNCTION("""COMPUTED_VALUE"""),65.7)</f>
        <v>65.7</v>
      </c>
      <c r="V123" s="9">
        <f ca="1">IFERROR(__xludf.DUMMYFUNCTION("""COMPUTED_VALUE"""),57.6)</f>
        <v>57.6</v>
      </c>
      <c r="W123" s="12">
        <f ca="1">IFERROR(__xludf.DUMMYFUNCTION("""COMPUTED_VALUE"""),8.1)</f>
        <v>8.1</v>
      </c>
    </row>
    <row r="124" spans="1:23" ht="13.2">
      <c r="A124" s="1" t="str">
        <f ca="1">IFERROR(__xludf.DUMMYFUNCTION("""COMPUTED_VALUE"""),"CA-2016-132906")</f>
        <v>CA-2016-132906</v>
      </c>
      <c r="B124" s="8">
        <f ca="1">IFERROR(__xludf.DUMMYFUNCTION("""COMPUTED_VALUE"""),42652)</f>
        <v>42652</v>
      </c>
      <c r="C124" s="1" t="str">
        <f ca="1">IFERROR(__xludf.DUMMYFUNCTION("""COMPUTED_VALUE"""),"Oct")</f>
        <v>Oct</v>
      </c>
      <c r="D124" s="1" t="str">
        <f ca="1">IFERROR(__xludf.DUMMYFUNCTION("""COMPUTED_VALUE"""),"Qtr 4")</f>
        <v>Qtr 4</v>
      </c>
      <c r="E124" s="1" t="str">
        <f ca="1">IFERROR(__xludf.DUMMYFUNCTION("""COMPUTED_VALUE"""),"14/09/2016")</f>
        <v>14/09/2016</v>
      </c>
      <c r="F124" s="1" t="str">
        <f ca="1">IFERROR(__xludf.DUMMYFUNCTION("""COMPUTED_VALUE"""),"Standard Class")</f>
        <v>Standard Class</v>
      </c>
      <c r="G124" s="1" t="str">
        <f ca="1">IFERROR(__xludf.DUMMYFUNCTION("""COMPUTED_VALUE"""),"CC-12145")</f>
        <v>CC-12145</v>
      </c>
      <c r="H124" s="1" t="str">
        <f ca="1">IFERROR(__xludf.DUMMYFUNCTION("""COMPUTED_VALUE"""),"Charles")</f>
        <v>Charles</v>
      </c>
      <c r="I124" s="1" t="str">
        <f ca="1">IFERROR(__xludf.DUMMYFUNCTION("""COMPUTED_VALUE"""),"Crestani")</f>
        <v>Crestani</v>
      </c>
      <c r="J124" s="1"/>
      <c r="K124" s="1" t="str">
        <f ca="1">IFERROR(__xludf.DUMMYFUNCTION("""COMPUTED_VALUE"""),"Consumer")</f>
        <v>Consumer</v>
      </c>
      <c r="L124" s="1" t="str">
        <f ca="1">IFERROR(__xludf.DUMMYFUNCTION("""COMPUTED_VALUE"""),"United States")</f>
        <v>United States</v>
      </c>
      <c r="M124" s="1" t="str">
        <f ca="1">IFERROR(__xludf.DUMMYFUNCTION("""COMPUTED_VALUE"""),"Los Angeles")</f>
        <v>Los Angeles</v>
      </c>
      <c r="N124" s="1" t="str">
        <f ca="1">IFERROR(__xludf.DUMMYFUNCTION("""COMPUTED_VALUE"""),"California")</f>
        <v>California</v>
      </c>
      <c r="O124" s="1">
        <f ca="1">IFERROR(__xludf.DUMMYFUNCTION("""COMPUTED_VALUE"""),90004)</f>
        <v>90004</v>
      </c>
      <c r="P124" s="1" t="str">
        <f ca="1">IFERROR(__xludf.DUMMYFUNCTION("""COMPUTED_VALUE"""),"West")</f>
        <v>West</v>
      </c>
      <c r="Q124" s="1" t="str">
        <f ca="1">IFERROR(__xludf.DUMMYFUNCTION("""COMPUTED_VALUE"""),"OFF-SU-10004498")</f>
        <v>OFF-SU-10004498</v>
      </c>
      <c r="R124" s="1" t="str">
        <f ca="1">IFERROR(__xludf.DUMMYFUNCTION("""COMPUTED_VALUE"""),"Office Supplies")</f>
        <v>Office Supplies</v>
      </c>
      <c r="S124" s="7">
        <f ca="1">IFERROR(__xludf.DUMMYFUNCTION("""COMPUTED_VALUE"""),51.52)</f>
        <v>51.52</v>
      </c>
      <c r="T124" s="1">
        <f ca="1">IFERROR(__xludf.DUMMYFUNCTION("""COMPUTED_VALUE"""),9)</f>
        <v>9</v>
      </c>
      <c r="U124" s="9">
        <f ca="1">IFERROR(__xludf.DUMMYFUNCTION("""COMPUTED_VALUE"""),463.68)</f>
        <v>463.68</v>
      </c>
      <c r="V124" s="9">
        <f ca="1">IFERROR(__xludf.DUMMYFUNCTION("""COMPUTED_VALUE"""),457.83)</f>
        <v>457.83</v>
      </c>
      <c r="W124" s="12">
        <f ca="1">IFERROR(__xludf.DUMMYFUNCTION("""COMPUTED_VALUE"""),5.85000000000002)</f>
        <v>5.8500000000000201</v>
      </c>
    </row>
    <row r="125" spans="1:23" ht="13.2">
      <c r="A125" s="1" t="str">
        <f ca="1">IFERROR(__xludf.DUMMYFUNCTION("""COMPUTED_VALUE"""),"CA-2015-131450")</f>
        <v>CA-2015-131450</v>
      </c>
      <c r="B125" s="8">
        <f ca="1">IFERROR(__xludf.DUMMYFUNCTION("""COMPUTED_VALUE"""),42224)</f>
        <v>42224</v>
      </c>
      <c r="C125" s="1" t="str">
        <f ca="1">IFERROR(__xludf.DUMMYFUNCTION("""COMPUTED_VALUE"""),"Aug")</f>
        <v>Aug</v>
      </c>
      <c r="D125" s="1" t="str">
        <f ca="1">IFERROR(__xludf.DUMMYFUNCTION("""COMPUTED_VALUE"""),"Qtr 3")</f>
        <v>Qtr 3</v>
      </c>
      <c r="E125" s="1" t="str">
        <f ca="1">IFERROR(__xludf.DUMMYFUNCTION("""COMPUTED_VALUE"""),"15/08/2015")</f>
        <v>15/08/2015</v>
      </c>
      <c r="F125" s="1" t="str">
        <f ca="1">IFERROR(__xludf.DUMMYFUNCTION("""COMPUTED_VALUE"""),"Standard Class")</f>
        <v>Standard Class</v>
      </c>
      <c r="G125" s="1" t="str">
        <f ca="1">IFERROR(__xludf.DUMMYFUNCTION("""COMPUTED_VALUE"""),"LR-16915")</f>
        <v>LR-16915</v>
      </c>
      <c r="H125" s="1" t="str">
        <f ca="1">IFERROR(__xludf.DUMMYFUNCTION("""COMPUTED_VALUE"""),"Lena")</f>
        <v>Lena</v>
      </c>
      <c r="I125" s="1" t="str">
        <f ca="1">IFERROR(__xludf.DUMMYFUNCTION("""COMPUTED_VALUE"""),"Radford")</f>
        <v>Radford</v>
      </c>
      <c r="J125" s="1"/>
      <c r="K125" s="1" t="str">
        <f ca="1">IFERROR(__xludf.DUMMYFUNCTION("""COMPUTED_VALUE"""),"Consumer")</f>
        <v>Consumer</v>
      </c>
      <c r="L125" s="1" t="str">
        <f ca="1">IFERROR(__xludf.DUMMYFUNCTION("""COMPUTED_VALUE"""),"United States")</f>
        <v>United States</v>
      </c>
      <c r="M125" s="1" t="str">
        <f ca="1">IFERROR(__xludf.DUMMYFUNCTION("""COMPUTED_VALUE"""),"San Diego")</f>
        <v>San Diego</v>
      </c>
      <c r="N125" s="1" t="str">
        <f ca="1">IFERROR(__xludf.DUMMYFUNCTION("""COMPUTED_VALUE"""),"California")</f>
        <v>California</v>
      </c>
      <c r="O125" s="1">
        <f ca="1">IFERROR(__xludf.DUMMYFUNCTION("""COMPUTED_VALUE"""),92024)</f>
        <v>92024</v>
      </c>
      <c r="P125" s="1" t="str">
        <f ca="1">IFERROR(__xludf.DUMMYFUNCTION("""COMPUTED_VALUE"""),"West")</f>
        <v>West</v>
      </c>
      <c r="Q125" s="1" t="str">
        <f ca="1">IFERROR(__xludf.DUMMYFUNCTION("""COMPUTED_VALUE"""),"OFF-AP-10004708")</f>
        <v>OFF-AP-10004708</v>
      </c>
      <c r="R125" s="1" t="str">
        <f ca="1">IFERROR(__xludf.DUMMYFUNCTION("""COMPUTED_VALUE"""),"Office Supplies")</f>
        <v>Office Supplies</v>
      </c>
      <c r="S125" s="7">
        <f ca="1">IFERROR(__xludf.DUMMYFUNCTION("""COMPUTED_VALUE"""),76.12)</f>
        <v>76.12</v>
      </c>
      <c r="T125" s="1">
        <f ca="1">IFERROR(__xludf.DUMMYFUNCTION("""COMPUTED_VALUE"""),9)</f>
        <v>9</v>
      </c>
      <c r="U125" s="9">
        <f ca="1">IFERROR(__xludf.DUMMYFUNCTION("""COMPUTED_VALUE"""),685.08)</f>
        <v>685.08</v>
      </c>
      <c r="V125" s="9">
        <f ca="1">IFERROR(__xludf.DUMMYFUNCTION("""COMPUTED_VALUE"""),679.14)</f>
        <v>679.14</v>
      </c>
      <c r="W125" s="12">
        <f ca="1">IFERROR(__xludf.DUMMYFUNCTION("""COMPUTED_VALUE"""),5.94000000000005)</f>
        <v>5.9400000000000501</v>
      </c>
    </row>
    <row r="126" spans="1:23" ht="13.2">
      <c r="A126" s="1" t="str">
        <f ca="1">IFERROR(__xludf.DUMMYFUNCTION("""COMPUTED_VALUE"""),"CA-2015-131450")</f>
        <v>CA-2015-131450</v>
      </c>
      <c r="B126" s="8">
        <f ca="1">IFERROR(__xludf.DUMMYFUNCTION("""COMPUTED_VALUE"""),42224)</f>
        <v>42224</v>
      </c>
      <c r="C126" s="1" t="str">
        <f ca="1">IFERROR(__xludf.DUMMYFUNCTION("""COMPUTED_VALUE"""),"Aug")</f>
        <v>Aug</v>
      </c>
      <c r="D126" s="1" t="str">
        <f ca="1">IFERROR(__xludf.DUMMYFUNCTION("""COMPUTED_VALUE"""),"Qtr 3")</f>
        <v>Qtr 3</v>
      </c>
      <c r="E126" s="1" t="str">
        <f ca="1">IFERROR(__xludf.DUMMYFUNCTION("""COMPUTED_VALUE"""),"15/08/2015")</f>
        <v>15/08/2015</v>
      </c>
      <c r="F126" s="1" t="str">
        <f ca="1">IFERROR(__xludf.DUMMYFUNCTION("""COMPUTED_VALUE"""),"Standard Class")</f>
        <v>Standard Class</v>
      </c>
      <c r="G126" s="1" t="str">
        <f ca="1">IFERROR(__xludf.DUMMYFUNCTION("""COMPUTED_VALUE"""),"LR-16915")</f>
        <v>LR-16915</v>
      </c>
      <c r="H126" s="1" t="str">
        <f ca="1">IFERROR(__xludf.DUMMYFUNCTION("""COMPUTED_VALUE"""),"Lena")</f>
        <v>Lena</v>
      </c>
      <c r="I126" s="1" t="str">
        <f ca="1">IFERROR(__xludf.DUMMYFUNCTION("""COMPUTED_VALUE"""),"Radford")</f>
        <v>Radford</v>
      </c>
      <c r="J126" s="1"/>
      <c r="K126" s="1" t="str">
        <f ca="1">IFERROR(__xludf.DUMMYFUNCTION("""COMPUTED_VALUE"""),"Consumer")</f>
        <v>Consumer</v>
      </c>
      <c r="L126" s="1" t="str">
        <f ca="1">IFERROR(__xludf.DUMMYFUNCTION("""COMPUTED_VALUE"""),"United States")</f>
        <v>United States</v>
      </c>
      <c r="M126" s="1" t="str">
        <f ca="1">IFERROR(__xludf.DUMMYFUNCTION("""COMPUTED_VALUE"""),"San Diego")</f>
        <v>San Diego</v>
      </c>
      <c r="N126" s="1" t="str">
        <f ca="1">IFERROR(__xludf.DUMMYFUNCTION("""COMPUTED_VALUE"""),"California")</f>
        <v>California</v>
      </c>
      <c r="O126" s="1">
        <f ca="1">IFERROR(__xludf.DUMMYFUNCTION("""COMPUTED_VALUE"""),92024)</f>
        <v>92024</v>
      </c>
      <c r="P126" s="1" t="str">
        <f ca="1">IFERROR(__xludf.DUMMYFUNCTION("""COMPUTED_VALUE"""),"West")</f>
        <v>West</v>
      </c>
      <c r="Q126" s="1" t="str">
        <f ca="1">IFERROR(__xludf.DUMMYFUNCTION("""COMPUTED_VALUE"""),"TEC-CO-10004115")</f>
        <v>TEC-CO-10004115</v>
      </c>
      <c r="R126" s="1" t="str">
        <f ca="1">IFERROR(__xludf.DUMMYFUNCTION("""COMPUTED_VALUE"""),"Technology")</f>
        <v>Technology</v>
      </c>
      <c r="S126" s="7">
        <f ca="1">IFERROR(__xludf.DUMMYFUNCTION("""COMPUTED_VALUE"""),1199.976)</f>
        <v>1199.9760000000001</v>
      </c>
      <c r="T126" s="1">
        <f ca="1">IFERROR(__xludf.DUMMYFUNCTION("""COMPUTED_VALUE"""),9)</f>
        <v>9</v>
      </c>
      <c r="U126" s="9">
        <f ca="1">IFERROR(__xludf.DUMMYFUNCTION("""COMPUTED_VALUE"""),10799.784)</f>
        <v>10799.784</v>
      </c>
      <c r="V126" s="9">
        <f ca="1">IFERROR(__xludf.DUMMYFUNCTION("""COMPUTED_VALUE"""),10793.07)</f>
        <v>10793.07</v>
      </c>
      <c r="W126" s="12">
        <f ca="1">IFERROR(__xludf.DUMMYFUNCTION("""COMPUTED_VALUE"""),6.71400000000176)</f>
        <v>6.7140000000017599</v>
      </c>
    </row>
    <row r="127" spans="1:23" ht="13.2">
      <c r="A127" s="1" t="str">
        <f ca="1">IFERROR(__xludf.DUMMYFUNCTION("""COMPUTED_VALUE"""),"CA-2015-131450")</f>
        <v>CA-2015-131450</v>
      </c>
      <c r="B127" s="8">
        <f ca="1">IFERROR(__xludf.DUMMYFUNCTION("""COMPUTED_VALUE"""),42224)</f>
        <v>42224</v>
      </c>
      <c r="C127" s="1" t="str">
        <f ca="1">IFERROR(__xludf.DUMMYFUNCTION("""COMPUTED_VALUE"""),"Aug")</f>
        <v>Aug</v>
      </c>
      <c r="D127" s="1" t="str">
        <f ca="1">IFERROR(__xludf.DUMMYFUNCTION("""COMPUTED_VALUE"""),"Qtr 3")</f>
        <v>Qtr 3</v>
      </c>
      <c r="E127" s="1" t="str">
        <f ca="1">IFERROR(__xludf.DUMMYFUNCTION("""COMPUTED_VALUE"""),"15/08/2015")</f>
        <v>15/08/2015</v>
      </c>
      <c r="F127" s="1" t="str">
        <f ca="1">IFERROR(__xludf.DUMMYFUNCTION("""COMPUTED_VALUE"""),"Standard Class")</f>
        <v>Standard Class</v>
      </c>
      <c r="G127" s="1" t="str">
        <f ca="1">IFERROR(__xludf.DUMMYFUNCTION("""COMPUTED_VALUE"""),"LR-16915")</f>
        <v>LR-16915</v>
      </c>
      <c r="H127" s="1" t="str">
        <f ca="1">IFERROR(__xludf.DUMMYFUNCTION("""COMPUTED_VALUE"""),"Lena")</f>
        <v>Lena</v>
      </c>
      <c r="I127" s="1" t="str">
        <f ca="1">IFERROR(__xludf.DUMMYFUNCTION("""COMPUTED_VALUE"""),"Radford")</f>
        <v>Radford</v>
      </c>
      <c r="J127" s="1"/>
      <c r="K127" s="1" t="str">
        <f ca="1">IFERROR(__xludf.DUMMYFUNCTION("""COMPUTED_VALUE"""),"Consumer")</f>
        <v>Consumer</v>
      </c>
      <c r="L127" s="1" t="str">
        <f ca="1">IFERROR(__xludf.DUMMYFUNCTION("""COMPUTED_VALUE"""),"United States")</f>
        <v>United States</v>
      </c>
      <c r="M127" s="1" t="str">
        <f ca="1">IFERROR(__xludf.DUMMYFUNCTION("""COMPUTED_VALUE"""),"San Diego")</f>
        <v>San Diego</v>
      </c>
      <c r="N127" s="1" t="str">
        <f ca="1">IFERROR(__xludf.DUMMYFUNCTION("""COMPUTED_VALUE"""),"California")</f>
        <v>California</v>
      </c>
      <c r="O127" s="1">
        <f ca="1">IFERROR(__xludf.DUMMYFUNCTION("""COMPUTED_VALUE"""),92024)</f>
        <v>92024</v>
      </c>
      <c r="P127" s="1" t="str">
        <f ca="1">IFERROR(__xludf.DUMMYFUNCTION("""COMPUTED_VALUE"""),"West")</f>
        <v>West</v>
      </c>
      <c r="Q127" s="1" t="str">
        <f ca="1">IFERROR(__xludf.DUMMYFUNCTION("""COMPUTED_VALUE"""),"TEC-PH-10002398")</f>
        <v>TEC-PH-10002398</v>
      </c>
      <c r="R127" s="1" t="str">
        <f ca="1">IFERROR(__xludf.DUMMYFUNCTION("""COMPUTED_VALUE"""),"Technology")</f>
        <v>Technology</v>
      </c>
      <c r="S127" s="7">
        <f ca="1">IFERROR(__xludf.DUMMYFUNCTION("""COMPUTED_VALUE"""),445.96)</f>
        <v>445.96</v>
      </c>
      <c r="T127" s="1">
        <f ca="1">IFERROR(__xludf.DUMMYFUNCTION("""COMPUTED_VALUE"""),9)</f>
        <v>9</v>
      </c>
      <c r="U127" s="9">
        <f ca="1">IFERROR(__xludf.DUMMYFUNCTION("""COMPUTED_VALUE"""),4013.64)</f>
        <v>4013.64</v>
      </c>
      <c r="V127" s="9">
        <f ca="1">IFERROR(__xludf.DUMMYFUNCTION("""COMPUTED_VALUE"""),4008.42)</f>
        <v>4008.42</v>
      </c>
      <c r="W127" s="12">
        <f ca="1">IFERROR(__xludf.DUMMYFUNCTION("""COMPUTED_VALUE"""),5.2199999999998)</f>
        <v>5.2199999999997999</v>
      </c>
    </row>
    <row r="128" spans="1:23" ht="13.2">
      <c r="A128" s="1" t="str">
        <f ca="1">IFERROR(__xludf.DUMMYFUNCTION("""COMPUTED_VALUE"""),"CA-2015-131450")</f>
        <v>CA-2015-131450</v>
      </c>
      <c r="B128" s="8">
        <f ca="1">IFERROR(__xludf.DUMMYFUNCTION("""COMPUTED_VALUE"""),42224)</f>
        <v>42224</v>
      </c>
      <c r="C128" s="1" t="str">
        <f ca="1">IFERROR(__xludf.DUMMYFUNCTION("""COMPUTED_VALUE"""),"Aug")</f>
        <v>Aug</v>
      </c>
      <c r="D128" s="1" t="str">
        <f ca="1">IFERROR(__xludf.DUMMYFUNCTION("""COMPUTED_VALUE"""),"Qtr 3")</f>
        <v>Qtr 3</v>
      </c>
      <c r="E128" s="1" t="str">
        <f ca="1">IFERROR(__xludf.DUMMYFUNCTION("""COMPUTED_VALUE"""),"15/08/2015")</f>
        <v>15/08/2015</v>
      </c>
      <c r="F128" s="1" t="str">
        <f ca="1">IFERROR(__xludf.DUMMYFUNCTION("""COMPUTED_VALUE"""),"Standard Class")</f>
        <v>Standard Class</v>
      </c>
      <c r="G128" s="1" t="str">
        <f ca="1">IFERROR(__xludf.DUMMYFUNCTION("""COMPUTED_VALUE"""),"LR-16915")</f>
        <v>LR-16915</v>
      </c>
      <c r="H128" s="1" t="str">
        <f ca="1">IFERROR(__xludf.DUMMYFUNCTION("""COMPUTED_VALUE"""),"Lena")</f>
        <v>Lena</v>
      </c>
      <c r="I128" s="1" t="str">
        <f ca="1">IFERROR(__xludf.DUMMYFUNCTION("""COMPUTED_VALUE"""),"Radford")</f>
        <v>Radford</v>
      </c>
      <c r="J128" s="1"/>
      <c r="K128" s="1" t="str">
        <f ca="1">IFERROR(__xludf.DUMMYFUNCTION("""COMPUTED_VALUE"""),"Consumer")</f>
        <v>Consumer</v>
      </c>
      <c r="L128" s="1" t="str">
        <f ca="1">IFERROR(__xludf.DUMMYFUNCTION("""COMPUTED_VALUE"""),"United States")</f>
        <v>United States</v>
      </c>
      <c r="M128" s="1" t="str">
        <f ca="1">IFERROR(__xludf.DUMMYFUNCTION("""COMPUTED_VALUE"""),"San Diego")</f>
        <v>San Diego</v>
      </c>
      <c r="N128" s="1" t="str">
        <f ca="1">IFERROR(__xludf.DUMMYFUNCTION("""COMPUTED_VALUE"""),"California")</f>
        <v>California</v>
      </c>
      <c r="O128" s="1">
        <f ca="1">IFERROR(__xludf.DUMMYFUNCTION("""COMPUTED_VALUE"""),92024)</f>
        <v>92024</v>
      </c>
      <c r="P128" s="1" t="str">
        <f ca="1">IFERROR(__xludf.DUMMYFUNCTION("""COMPUTED_VALUE"""),"West")</f>
        <v>West</v>
      </c>
      <c r="Q128" s="1" t="str">
        <f ca="1">IFERROR(__xludf.DUMMYFUNCTION("""COMPUTED_VALUE"""),"FUR-FU-10001979")</f>
        <v>FUR-FU-10001979</v>
      </c>
      <c r="R128" s="1" t="str">
        <f ca="1">IFERROR(__xludf.DUMMYFUNCTION("""COMPUTED_VALUE"""),"Furniture")</f>
        <v>Furniture</v>
      </c>
      <c r="S128" s="7">
        <f ca="1">IFERROR(__xludf.DUMMYFUNCTION("""COMPUTED_VALUE"""),327.76)</f>
        <v>327.76</v>
      </c>
      <c r="T128" s="1">
        <f ca="1">IFERROR(__xludf.DUMMYFUNCTION("""COMPUTED_VALUE"""),9)</f>
        <v>9</v>
      </c>
      <c r="U128" s="9">
        <f ca="1">IFERROR(__xludf.DUMMYFUNCTION("""COMPUTED_VALUE"""),2949.84)</f>
        <v>2949.84</v>
      </c>
      <c r="V128" s="9">
        <f ca="1">IFERROR(__xludf.DUMMYFUNCTION("""COMPUTED_VALUE"""),2947.59)</f>
        <v>2947.59</v>
      </c>
      <c r="W128" s="12">
        <f ca="1">IFERROR(__xludf.DUMMYFUNCTION("""COMPUTED_VALUE"""),2.25)</f>
        <v>2.25</v>
      </c>
    </row>
    <row r="129" spans="1:23" ht="13.2">
      <c r="A129" s="1" t="str">
        <f ca="1">IFERROR(__xludf.DUMMYFUNCTION("""COMPUTED_VALUE"""),"CA-2018-133431")</f>
        <v>CA-2018-133431</v>
      </c>
      <c r="B129" s="8">
        <f ca="1">IFERROR(__xludf.DUMMYFUNCTION("""COMPUTED_VALUE"""),43451)</f>
        <v>43451</v>
      </c>
      <c r="C129" s="1" t="str">
        <f ca="1">IFERROR(__xludf.DUMMYFUNCTION("""COMPUTED_VALUE"""),"Dec")</f>
        <v>Dec</v>
      </c>
      <c r="D129" s="1" t="str">
        <f ca="1">IFERROR(__xludf.DUMMYFUNCTION("""COMPUTED_VALUE"""),"Qtr 4")</f>
        <v>Qtr 4</v>
      </c>
      <c r="E129" s="1" t="str">
        <f ca="1">IFERROR(__xludf.DUMMYFUNCTION("""COMPUTED_VALUE"""),"21/12/2018")</f>
        <v>21/12/2018</v>
      </c>
      <c r="F129" s="1" t="str">
        <f ca="1">IFERROR(__xludf.DUMMYFUNCTION("""COMPUTED_VALUE"""),"Standard Class")</f>
        <v>Standard Class</v>
      </c>
      <c r="G129" s="1" t="str">
        <f ca="1">IFERROR(__xludf.DUMMYFUNCTION("""COMPUTED_VALUE"""),"LC-17140")</f>
        <v>LC-17140</v>
      </c>
      <c r="H129" s="1" t="str">
        <f ca="1">IFERROR(__xludf.DUMMYFUNCTION("""COMPUTED_VALUE"""),"Logan")</f>
        <v>Logan</v>
      </c>
      <c r="I129" s="1" t="str">
        <f ca="1">IFERROR(__xludf.DUMMYFUNCTION("""COMPUTED_VALUE"""),"Currie")</f>
        <v>Currie</v>
      </c>
      <c r="J129" s="1"/>
      <c r="K129" s="1" t="str">
        <f ca="1">IFERROR(__xludf.DUMMYFUNCTION("""COMPUTED_VALUE"""),"Consumer")</f>
        <v>Consumer</v>
      </c>
      <c r="L129" s="1" t="str">
        <f ca="1">IFERROR(__xludf.DUMMYFUNCTION("""COMPUTED_VALUE"""),"United States")</f>
        <v>United States</v>
      </c>
      <c r="M129" s="1" t="str">
        <f ca="1">IFERROR(__xludf.DUMMYFUNCTION("""COMPUTED_VALUE"""),"San Francisco")</f>
        <v>San Francisco</v>
      </c>
      <c r="N129" s="1" t="str">
        <f ca="1">IFERROR(__xludf.DUMMYFUNCTION("""COMPUTED_VALUE"""),"California")</f>
        <v>California</v>
      </c>
      <c r="O129" s="1">
        <f ca="1">IFERROR(__xludf.DUMMYFUNCTION("""COMPUTED_VALUE"""),94122)</f>
        <v>94122</v>
      </c>
      <c r="P129" s="1" t="str">
        <f ca="1">IFERROR(__xludf.DUMMYFUNCTION("""COMPUTED_VALUE"""),"West")</f>
        <v>West</v>
      </c>
      <c r="Q129" s="1" t="str">
        <f ca="1">IFERROR(__xludf.DUMMYFUNCTION("""COMPUTED_VALUE"""),"OFF-BI-10000605")</f>
        <v>OFF-BI-10000605</v>
      </c>
      <c r="R129" s="1" t="str">
        <f ca="1">IFERROR(__xludf.DUMMYFUNCTION("""COMPUTED_VALUE"""),"Office Supplies")</f>
        <v>Office Supplies</v>
      </c>
      <c r="S129" s="7">
        <f ca="1">IFERROR(__xludf.DUMMYFUNCTION("""COMPUTED_VALUE"""),15.24)</f>
        <v>15.24</v>
      </c>
      <c r="T129" s="1">
        <f ca="1">IFERROR(__xludf.DUMMYFUNCTION("""COMPUTED_VALUE"""),9)</f>
        <v>9</v>
      </c>
      <c r="U129" s="9">
        <f ca="1">IFERROR(__xludf.DUMMYFUNCTION("""COMPUTED_VALUE"""),137.16)</f>
        <v>137.16</v>
      </c>
      <c r="V129" s="9">
        <f ca="1">IFERROR(__xludf.DUMMYFUNCTION("""COMPUTED_VALUE"""),130.049999999999)</f>
        <v>130.04999999999899</v>
      </c>
      <c r="W129" s="12">
        <f ca="1">IFERROR(__xludf.DUMMYFUNCTION("""COMPUTED_VALUE"""),7.11000000000001)</f>
        <v>7.1100000000000101</v>
      </c>
    </row>
    <row r="130" spans="1:23" ht="13.2">
      <c r="A130" s="1" t="str">
        <f ca="1">IFERROR(__xludf.DUMMYFUNCTION("""COMPUTED_VALUE"""),"CA-2018-133431")</f>
        <v>CA-2018-133431</v>
      </c>
      <c r="B130" s="8">
        <f ca="1">IFERROR(__xludf.DUMMYFUNCTION("""COMPUTED_VALUE"""),43451)</f>
        <v>43451</v>
      </c>
      <c r="C130" s="1" t="str">
        <f ca="1">IFERROR(__xludf.DUMMYFUNCTION("""COMPUTED_VALUE"""),"Dec")</f>
        <v>Dec</v>
      </c>
      <c r="D130" s="1" t="str">
        <f ca="1">IFERROR(__xludf.DUMMYFUNCTION("""COMPUTED_VALUE"""),"Qtr 4")</f>
        <v>Qtr 4</v>
      </c>
      <c r="E130" s="1" t="str">
        <f ca="1">IFERROR(__xludf.DUMMYFUNCTION("""COMPUTED_VALUE"""),"21/12/2018")</f>
        <v>21/12/2018</v>
      </c>
      <c r="F130" s="1" t="str">
        <f ca="1">IFERROR(__xludf.DUMMYFUNCTION("""COMPUTED_VALUE"""),"Standard Class")</f>
        <v>Standard Class</v>
      </c>
      <c r="G130" s="1" t="str">
        <f ca="1">IFERROR(__xludf.DUMMYFUNCTION("""COMPUTED_VALUE"""),"LC-17140")</f>
        <v>LC-17140</v>
      </c>
      <c r="H130" s="1" t="str">
        <f ca="1">IFERROR(__xludf.DUMMYFUNCTION("""COMPUTED_VALUE"""),"Logan")</f>
        <v>Logan</v>
      </c>
      <c r="I130" s="1" t="str">
        <f ca="1">IFERROR(__xludf.DUMMYFUNCTION("""COMPUTED_VALUE"""),"Currie")</f>
        <v>Currie</v>
      </c>
      <c r="J130" s="1"/>
      <c r="K130" s="1" t="str">
        <f ca="1">IFERROR(__xludf.DUMMYFUNCTION("""COMPUTED_VALUE"""),"Consumer")</f>
        <v>Consumer</v>
      </c>
      <c r="L130" s="1" t="str">
        <f ca="1">IFERROR(__xludf.DUMMYFUNCTION("""COMPUTED_VALUE"""),"United States")</f>
        <v>United States</v>
      </c>
      <c r="M130" s="1" t="str">
        <f ca="1">IFERROR(__xludf.DUMMYFUNCTION("""COMPUTED_VALUE"""),"San Francisco")</f>
        <v>San Francisco</v>
      </c>
      <c r="N130" s="1" t="str">
        <f ca="1">IFERROR(__xludf.DUMMYFUNCTION("""COMPUTED_VALUE"""),"California")</f>
        <v>California</v>
      </c>
      <c r="O130" s="1">
        <f ca="1">IFERROR(__xludf.DUMMYFUNCTION("""COMPUTED_VALUE"""),94122)</f>
        <v>94122</v>
      </c>
      <c r="P130" s="1" t="str">
        <f ca="1">IFERROR(__xludf.DUMMYFUNCTION("""COMPUTED_VALUE"""),"West")</f>
        <v>West</v>
      </c>
      <c r="Q130" s="1" t="str">
        <f ca="1">IFERROR(__xludf.DUMMYFUNCTION("""COMPUTED_VALUE"""),"OFF-PA-10002615")</f>
        <v>OFF-PA-10002615</v>
      </c>
      <c r="R130" s="1" t="str">
        <f ca="1">IFERROR(__xludf.DUMMYFUNCTION("""COMPUTED_VALUE"""),"Office Supplies")</f>
        <v>Office Supplies</v>
      </c>
      <c r="S130" s="7">
        <f ca="1">IFERROR(__xludf.DUMMYFUNCTION("""COMPUTED_VALUE"""),13.23)</f>
        <v>13.23</v>
      </c>
      <c r="T130" s="1">
        <f ca="1">IFERROR(__xludf.DUMMYFUNCTION("""COMPUTED_VALUE"""),9)</f>
        <v>9</v>
      </c>
      <c r="U130" s="9">
        <f ca="1">IFERROR(__xludf.DUMMYFUNCTION("""COMPUTED_VALUE"""),119.07)</f>
        <v>119.07</v>
      </c>
      <c r="V130" s="9">
        <f ca="1">IFERROR(__xludf.DUMMYFUNCTION("""COMPUTED_VALUE"""),115.47)</f>
        <v>115.47</v>
      </c>
      <c r="W130" s="12">
        <f ca="1">IFERROR(__xludf.DUMMYFUNCTION("""COMPUTED_VALUE"""),3.6)</f>
        <v>3.6</v>
      </c>
    </row>
    <row r="131" spans="1:23" ht="13.2">
      <c r="A131" s="1" t="str">
        <f ca="1">IFERROR(__xludf.DUMMYFUNCTION("""COMPUTED_VALUE"""),"CA-2017-115917")</f>
        <v>CA-2017-115917</v>
      </c>
      <c r="B131" s="8">
        <f ca="1">IFERROR(__xludf.DUMMYFUNCTION("""COMPUTED_VALUE"""),42875)</f>
        <v>42875</v>
      </c>
      <c r="C131" s="1" t="str">
        <f ca="1">IFERROR(__xludf.DUMMYFUNCTION("""COMPUTED_VALUE"""),"May")</f>
        <v>May</v>
      </c>
      <c r="D131" s="1" t="str">
        <f ca="1">IFERROR(__xludf.DUMMYFUNCTION("""COMPUTED_VALUE"""),"Qtr 2")</f>
        <v>Qtr 2</v>
      </c>
      <c r="E131" s="1" t="str">
        <f ca="1">IFERROR(__xludf.DUMMYFUNCTION("""COMPUTED_VALUE"""),"25/05/2017")</f>
        <v>25/05/2017</v>
      </c>
      <c r="F131" s="1" t="str">
        <f ca="1">IFERROR(__xludf.DUMMYFUNCTION("""COMPUTED_VALUE"""),"Standard Class")</f>
        <v>Standard Class</v>
      </c>
      <c r="G131" s="1" t="str">
        <f ca="1">IFERROR(__xludf.DUMMYFUNCTION("""COMPUTED_VALUE"""),"RB-19465")</f>
        <v>RB-19465</v>
      </c>
      <c r="H131" s="1" t="str">
        <f ca="1">IFERROR(__xludf.DUMMYFUNCTION("""COMPUTED_VALUE"""),"Rick")</f>
        <v>Rick</v>
      </c>
      <c r="I131" s="1" t="str">
        <f ca="1">IFERROR(__xludf.DUMMYFUNCTION("""COMPUTED_VALUE"""),"Bensley")</f>
        <v>Bensley</v>
      </c>
      <c r="J131" s="1"/>
      <c r="K131" s="1" t="str">
        <f ca="1">IFERROR(__xludf.DUMMYFUNCTION("""COMPUTED_VALUE"""),"Home Office")</f>
        <v>Home Office</v>
      </c>
      <c r="L131" s="1" t="str">
        <f ca="1">IFERROR(__xludf.DUMMYFUNCTION("""COMPUTED_VALUE"""),"United States")</f>
        <v>United States</v>
      </c>
      <c r="M131" s="1" t="str">
        <f ca="1">IFERROR(__xludf.DUMMYFUNCTION("""COMPUTED_VALUE"""),"Vallejo")</f>
        <v>Vallejo</v>
      </c>
      <c r="N131" s="1" t="str">
        <f ca="1">IFERROR(__xludf.DUMMYFUNCTION("""COMPUTED_VALUE"""),"California")</f>
        <v>California</v>
      </c>
      <c r="O131" s="1">
        <f ca="1">IFERROR(__xludf.DUMMYFUNCTION("""COMPUTED_VALUE"""),94591)</f>
        <v>94591</v>
      </c>
      <c r="P131" s="1" t="str">
        <f ca="1">IFERROR(__xludf.DUMMYFUNCTION("""COMPUTED_VALUE"""),"West")</f>
        <v>West</v>
      </c>
      <c r="Q131" s="1" t="str">
        <f ca="1">IFERROR(__xludf.DUMMYFUNCTION("""COMPUTED_VALUE"""),"FUR-FU-10000576")</f>
        <v>FUR-FU-10000576</v>
      </c>
      <c r="R131" s="1" t="str">
        <f ca="1">IFERROR(__xludf.DUMMYFUNCTION("""COMPUTED_VALUE"""),"Furniture")</f>
        <v>Furniture</v>
      </c>
      <c r="S131" s="7">
        <f ca="1">IFERROR(__xludf.DUMMYFUNCTION("""COMPUTED_VALUE"""),1049.2)</f>
        <v>1049.2</v>
      </c>
      <c r="T131" s="1">
        <f ca="1">IFERROR(__xludf.DUMMYFUNCTION("""COMPUTED_VALUE"""),9)</f>
        <v>9</v>
      </c>
      <c r="U131" s="9">
        <f ca="1">IFERROR(__xludf.DUMMYFUNCTION("""COMPUTED_VALUE"""),9442.8)</f>
        <v>9442.7999999999993</v>
      </c>
      <c r="V131" s="9">
        <f ca="1">IFERROR(__xludf.DUMMYFUNCTION("""COMPUTED_VALUE"""),9440.73)</f>
        <v>9440.73</v>
      </c>
      <c r="W131" s="12">
        <f ca="1">IFERROR(__xludf.DUMMYFUNCTION("""COMPUTED_VALUE"""),2.07000000000152)</f>
        <v>2.07000000000152</v>
      </c>
    </row>
    <row r="132" spans="1:23" ht="13.2">
      <c r="A132" s="1" t="str">
        <f ca="1">IFERROR(__xludf.DUMMYFUNCTION("""COMPUTED_VALUE"""),"CA-2017-115917")</f>
        <v>CA-2017-115917</v>
      </c>
      <c r="B132" s="8">
        <f ca="1">IFERROR(__xludf.DUMMYFUNCTION("""COMPUTED_VALUE"""),42875)</f>
        <v>42875</v>
      </c>
      <c r="C132" s="1" t="str">
        <f ca="1">IFERROR(__xludf.DUMMYFUNCTION("""COMPUTED_VALUE"""),"May")</f>
        <v>May</v>
      </c>
      <c r="D132" s="1" t="str">
        <f ca="1">IFERROR(__xludf.DUMMYFUNCTION("""COMPUTED_VALUE"""),"Qtr 2")</f>
        <v>Qtr 2</v>
      </c>
      <c r="E132" s="1" t="str">
        <f ca="1">IFERROR(__xludf.DUMMYFUNCTION("""COMPUTED_VALUE"""),"25/05/2017")</f>
        <v>25/05/2017</v>
      </c>
      <c r="F132" s="1" t="str">
        <f ca="1">IFERROR(__xludf.DUMMYFUNCTION("""COMPUTED_VALUE"""),"Standard Class")</f>
        <v>Standard Class</v>
      </c>
      <c r="G132" s="1" t="str">
        <f ca="1">IFERROR(__xludf.DUMMYFUNCTION("""COMPUTED_VALUE"""),"RB-19465")</f>
        <v>RB-19465</v>
      </c>
      <c r="H132" s="1" t="str">
        <f ca="1">IFERROR(__xludf.DUMMYFUNCTION("""COMPUTED_VALUE"""),"Rick")</f>
        <v>Rick</v>
      </c>
      <c r="I132" s="1" t="str">
        <f ca="1">IFERROR(__xludf.DUMMYFUNCTION("""COMPUTED_VALUE"""),"Bensley")</f>
        <v>Bensley</v>
      </c>
      <c r="J132" s="1"/>
      <c r="K132" s="1" t="str">
        <f ca="1">IFERROR(__xludf.DUMMYFUNCTION("""COMPUTED_VALUE"""),"Home Office")</f>
        <v>Home Office</v>
      </c>
      <c r="L132" s="1" t="str">
        <f ca="1">IFERROR(__xludf.DUMMYFUNCTION("""COMPUTED_VALUE"""),"United States")</f>
        <v>United States</v>
      </c>
      <c r="M132" s="1" t="str">
        <f ca="1">IFERROR(__xludf.DUMMYFUNCTION("""COMPUTED_VALUE"""),"Vallejo")</f>
        <v>Vallejo</v>
      </c>
      <c r="N132" s="1" t="str">
        <f ca="1">IFERROR(__xludf.DUMMYFUNCTION("""COMPUTED_VALUE"""),"California")</f>
        <v>California</v>
      </c>
      <c r="O132" s="1">
        <f ca="1">IFERROR(__xludf.DUMMYFUNCTION("""COMPUTED_VALUE"""),94591)</f>
        <v>94591</v>
      </c>
      <c r="P132" s="1" t="str">
        <f ca="1">IFERROR(__xludf.DUMMYFUNCTION("""COMPUTED_VALUE"""),"West")</f>
        <v>West</v>
      </c>
      <c r="Q132" s="1" t="str">
        <f ca="1">IFERROR(__xludf.DUMMYFUNCTION("""COMPUTED_VALUE"""),"OFF-BI-10004728")</f>
        <v>OFF-BI-10004728</v>
      </c>
      <c r="R132" s="1" t="str">
        <f ca="1">IFERROR(__xludf.DUMMYFUNCTION("""COMPUTED_VALUE"""),"Office Supplies")</f>
        <v>Office Supplies</v>
      </c>
      <c r="S132" s="7">
        <f ca="1">IFERROR(__xludf.DUMMYFUNCTION("""COMPUTED_VALUE"""),15.424)</f>
        <v>15.423999999999999</v>
      </c>
      <c r="T132" s="1">
        <f ca="1">IFERROR(__xludf.DUMMYFUNCTION("""COMPUTED_VALUE"""),9)</f>
        <v>9</v>
      </c>
      <c r="U132" s="9">
        <f ca="1">IFERROR(__xludf.DUMMYFUNCTION("""COMPUTED_VALUE"""),138.816)</f>
        <v>138.816</v>
      </c>
      <c r="V132" s="9">
        <f ca="1">IFERROR(__xludf.DUMMYFUNCTION("""COMPUTED_VALUE"""),133.92)</f>
        <v>133.91999999999999</v>
      </c>
      <c r="W132" s="12">
        <f ca="1">IFERROR(__xludf.DUMMYFUNCTION("""COMPUTED_VALUE"""),4.89599999999998)</f>
        <v>4.8959999999999804</v>
      </c>
    </row>
    <row r="133" spans="1:23" ht="13.2">
      <c r="A133" s="1" t="str">
        <f ca="1">IFERROR(__xludf.DUMMYFUNCTION("""COMPUTED_VALUE"""),"CA-2018-167913")</f>
        <v>CA-2018-167913</v>
      </c>
      <c r="B133" s="8">
        <f ca="1">IFERROR(__xludf.DUMMYFUNCTION("""COMPUTED_VALUE"""),43311)</f>
        <v>43311</v>
      </c>
      <c r="C133" s="1" t="str">
        <f ca="1">IFERROR(__xludf.DUMMYFUNCTION("""COMPUTED_VALUE"""),"Jul")</f>
        <v>Jul</v>
      </c>
      <c r="D133" s="1" t="str">
        <f ca="1">IFERROR(__xludf.DUMMYFUNCTION("""COMPUTED_VALUE"""),"Qtr 3")</f>
        <v>Qtr 3</v>
      </c>
      <c r="E133" s="1" t="str">
        <f ca="1">IFERROR(__xludf.DUMMYFUNCTION("""COMPUTED_VALUE"""),"3/8/2018")</f>
        <v>3/8/2018</v>
      </c>
      <c r="F133" s="1" t="str">
        <f ca="1">IFERROR(__xludf.DUMMYFUNCTION("""COMPUTED_VALUE"""),"Second Class")</f>
        <v>Second Class</v>
      </c>
      <c r="G133" s="1" t="str">
        <f ca="1">IFERROR(__xludf.DUMMYFUNCTION("""COMPUTED_VALUE"""),"JL-15835")</f>
        <v>JL-15835</v>
      </c>
      <c r="H133" s="1" t="str">
        <f ca="1">IFERROR(__xludf.DUMMYFUNCTION("""COMPUTED_VALUE"""),"John")</f>
        <v>John</v>
      </c>
      <c r="I133" s="1" t="str">
        <f ca="1">IFERROR(__xludf.DUMMYFUNCTION("""COMPUTED_VALUE"""),"Lee")</f>
        <v>Lee</v>
      </c>
      <c r="J133" s="1"/>
      <c r="K133" s="1" t="str">
        <f ca="1">IFERROR(__xludf.DUMMYFUNCTION("""COMPUTED_VALUE"""),"Consumer")</f>
        <v>Consumer</v>
      </c>
      <c r="L133" s="1" t="str">
        <f ca="1">IFERROR(__xludf.DUMMYFUNCTION("""COMPUTED_VALUE"""),"United States")</f>
        <v>United States</v>
      </c>
      <c r="M133" s="1" t="str">
        <f ca="1">IFERROR(__xludf.DUMMYFUNCTION("""COMPUTED_VALUE"""),"Mission Viejo")</f>
        <v>Mission Viejo</v>
      </c>
      <c r="N133" s="1" t="str">
        <f ca="1">IFERROR(__xludf.DUMMYFUNCTION("""COMPUTED_VALUE"""),"California")</f>
        <v>California</v>
      </c>
      <c r="O133" s="1">
        <f ca="1">IFERROR(__xludf.DUMMYFUNCTION("""COMPUTED_VALUE"""),92691)</f>
        <v>92691</v>
      </c>
      <c r="P133" s="1" t="str">
        <f ca="1">IFERROR(__xludf.DUMMYFUNCTION("""COMPUTED_VALUE"""),"West")</f>
        <v>West</v>
      </c>
      <c r="Q133" s="1" t="str">
        <f ca="1">IFERROR(__xludf.DUMMYFUNCTION("""COMPUTED_VALUE"""),"OFF-ST-10000585")</f>
        <v>OFF-ST-10000585</v>
      </c>
      <c r="R133" s="1" t="str">
        <f ca="1">IFERROR(__xludf.DUMMYFUNCTION("""COMPUTED_VALUE"""),"Office Supplies")</f>
        <v>Office Supplies</v>
      </c>
      <c r="S133" s="7">
        <f ca="1">IFERROR(__xludf.DUMMYFUNCTION("""COMPUTED_VALUE"""),330.4)</f>
        <v>330.4</v>
      </c>
      <c r="T133" s="1">
        <f ca="1">IFERROR(__xludf.DUMMYFUNCTION("""COMPUTED_VALUE"""),9)</f>
        <v>9</v>
      </c>
      <c r="U133" s="9">
        <f ca="1">IFERROR(__xludf.DUMMYFUNCTION("""COMPUTED_VALUE"""),2973.6)</f>
        <v>2973.6</v>
      </c>
      <c r="V133" s="9">
        <f ca="1">IFERROR(__xludf.DUMMYFUNCTION("""COMPUTED_VALUE"""),2971.71)</f>
        <v>2971.71</v>
      </c>
      <c r="W133" s="12">
        <f ca="1">IFERROR(__xludf.DUMMYFUNCTION("""COMPUTED_VALUE"""),1.88999999999987)</f>
        <v>1.88999999999987</v>
      </c>
    </row>
    <row r="134" spans="1:23" ht="13.2">
      <c r="A134" s="1" t="str">
        <f ca="1">IFERROR(__xludf.DUMMYFUNCTION("""COMPUTED_VALUE"""),"CA-2018-167913")</f>
        <v>CA-2018-167913</v>
      </c>
      <c r="B134" s="8">
        <f ca="1">IFERROR(__xludf.DUMMYFUNCTION("""COMPUTED_VALUE"""),43311)</f>
        <v>43311</v>
      </c>
      <c r="C134" s="1" t="str">
        <f ca="1">IFERROR(__xludf.DUMMYFUNCTION("""COMPUTED_VALUE"""),"Jul")</f>
        <v>Jul</v>
      </c>
      <c r="D134" s="1" t="str">
        <f ca="1">IFERROR(__xludf.DUMMYFUNCTION("""COMPUTED_VALUE"""),"Qtr 3")</f>
        <v>Qtr 3</v>
      </c>
      <c r="E134" s="1" t="str">
        <f ca="1">IFERROR(__xludf.DUMMYFUNCTION("""COMPUTED_VALUE"""),"3/8/2018")</f>
        <v>3/8/2018</v>
      </c>
      <c r="F134" s="1" t="str">
        <f ca="1">IFERROR(__xludf.DUMMYFUNCTION("""COMPUTED_VALUE"""),"Second Class")</f>
        <v>Second Class</v>
      </c>
      <c r="G134" s="1" t="str">
        <f ca="1">IFERROR(__xludf.DUMMYFUNCTION("""COMPUTED_VALUE"""),"JL-15835")</f>
        <v>JL-15835</v>
      </c>
      <c r="H134" s="1" t="str">
        <f ca="1">IFERROR(__xludf.DUMMYFUNCTION("""COMPUTED_VALUE"""),"John")</f>
        <v>John</v>
      </c>
      <c r="I134" s="1" t="str">
        <f ca="1">IFERROR(__xludf.DUMMYFUNCTION("""COMPUTED_VALUE"""),"Lee")</f>
        <v>Lee</v>
      </c>
      <c r="J134" s="1"/>
      <c r="K134" s="1" t="str">
        <f ca="1">IFERROR(__xludf.DUMMYFUNCTION("""COMPUTED_VALUE"""),"Consumer")</f>
        <v>Consumer</v>
      </c>
      <c r="L134" s="1" t="str">
        <f ca="1">IFERROR(__xludf.DUMMYFUNCTION("""COMPUTED_VALUE"""),"United States")</f>
        <v>United States</v>
      </c>
      <c r="M134" s="1" t="str">
        <f ca="1">IFERROR(__xludf.DUMMYFUNCTION("""COMPUTED_VALUE"""),"Mission Viejo")</f>
        <v>Mission Viejo</v>
      </c>
      <c r="N134" s="1" t="str">
        <f ca="1">IFERROR(__xludf.DUMMYFUNCTION("""COMPUTED_VALUE"""),"California")</f>
        <v>California</v>
      </c>
      <c r="O134" s="1">
        <f ca="1">IFERROR(__xludf.DUMMYFUNCTION("""COMPUTED_VALUE"""),92691)</f>
        <v>92691</v>
      </c>
      <c r="P134" s="1" t="str">
        <f ca="1">IFERROR(__xludf.DUMMYFUNCTION("""COMPUTED_VALUE"""),"West")</f>
        <v>West</v>
      </c>
      <c r="Q134" s="1" t="str">
        <f ca="1">IFERROR(__xludf.DUMMYFUNCTION("""COMPUTED_VALUE"""),"OFF-LA-10002787")</f>
        <v>OFF-LA-10002787</v>
      </c>
      <c r="R134" s="1" t="str">
        <f ca="1">IFERROR(__xludf.DUMMYFUNCTION("""COMPUTED_VALUE"""),"Office Supplies")</f>
        <v>Office Supplies</v>
      </c>
      <c r="S134" s="7">
        <f ca="1">IFERROR(__xludf.DUMMYFUNCTION("""COMPUTED_VALUE"""),26.25)</f>
        <v>26.25</v>
      </c>
      <c r="T134" s="1">
        <f ca="1">IFERROR(__xludf.DUMMYFUNCTION("""COMPUTED_VALUE"""),9)</f>
        <v>9</v>
      </c>
      <c r="U134" s="9">
        <f ca="1">IFERROR(__xludf.DUMMYFUNCTION("""COMPUTED_VALUE"""),236.25)</f>
        <v>236.25</v>
      </c>
      <c r="V134" s="9">
        <f ca="1">IFERROR(__xludf.DUMMYFUNCTION("""COMPUTED_VALUE"""),229.95)</f>
        <v>229.95</v>
      </c>
      <c r="W134" s="12">
        <f ca="1">IFERROR(__xludf.DUMMYFUNCTION("""COMPUTED_VALUE"""),6.29999999999998)</f>
        <v>6.2999999999999803</v>
      </c>
    </row>
    <row r="135" spans="1:23" ht="13.2">
      <c r="A135" s="1" t="str">
        <f ca="1">IFERROR(__xludf.DUMMYFUNCTION("""COMPUTED_VALUE"""),"CA-2016-131534")</f>
        <v>CA-2016-131534</v>
      </c>
      <c r="B135" s="8">
        <f ca="1">IFERROR(__xludf.DUMMYFUNCTION("""COMPUTED_VALUE"""),42457)</f>
        <v>42457</v>
      </c>
      <c r="C135" s="1" t="str">
        <f ca="1">IFERROR(__xludf.DUMMYFUNCTION("""COMPUTED_VALUE"""),"Mar")</f>
        <v>Mar</v>
      </c>
      <c r="D135" s="1" t="str">
        <f ca="1">IFERROR(__xludf.DUMMYFUNCTION("""COMPUTED_VALUE"""),"Qtr 1")</f>
        <v>Qtr 1</v>
      </c>
      <c r="E135" s="1" t="str">
        <f ca="1">IFERROR(__xludf.DUMMYFUNCTION("""COMPUTED_VALUE"""),"2/4/2016")</f>
        <v>2/4/2016</v>
      </c>
      <c r="F135" s="1" t="str">
        <f ca="1">IFERROR(__xludf.DUMMYFUNCTION("""COMPUTED_VALUE"""),"Standard Class")</f>
        <v>Standard Class</v>
      </c>
      <c r="G135" s="1" t="str">
        <f ca="1">IFERROR(__xludf.DUMMYFUNCTION("""COMPUTED_VALUE"""),"AB-10165")</f>
        <v>AB-10165</v>
      </c>
      <c r="H135" s="1" t="str">
        <f ca="1">IFERROR(__xludf.DUMMYFUNCTION("""COMPUTED_VALUE"""),"Alan")</f>
        <v>Alan</v>
      </c>
      <c r="I135" s="1" t="str">
        <f ca="1">IFERROR(__xludf.DUMMYFUNCTION("""COMPUTED_VALUE"""),"Barnes")</f>
        <v>Barnes</v>
      </c>
      <c r="J135" s="1"/>
      <c r="K135" s="1" t="str">
        <f ca="1">IFERROR(__xludf.DUMMYFUNCTION("""COMPUTED_VALUE"""),"Consumer")</f>
        <v>Consumer</v>
      </c>
      <c r="L135" s="1" t="str">
        <f ca="1">IFERROR(__xludf.DUMMYFUNCTION("""COMPUTED_VALUE"""),"United States")</f>
        <v>United States</v>
      </c>
      <c r="M135" s="1" t="str">
        <f ca="1">IFERROR(__xludf.DUMMYFUNCTION("""COMPUTED_VALUE"""),"Los Angeles")</f>
        <v>Los Angeles</v>
      </c>
      <c r="N135" s="1" t="str">
        <f ca="1">IFERROR(__xludf.DUMMYFUNCTION("""COMPUTED_VALUE"""),"California")</f>
        <v>California</v>
      </c>
      <c r="O135" s="1">
        <f ca="1">IFERROR(__xludf.DUMMYFUNCTION("""COMPUTED_VALUE"""),90036)</f>
        <v>90036</v>
      </c>
      <c r="P135" s="1" t="str">
        <f ca="1">IFERROR(__xludf.DUMMYFUNCTION("""COMPUTED_VALUE"""),"West")</f>
        <v>West</v>
      </c>
      <c r="Q135" s="1" t="str">
        <f ca="1">IFERROR(__xludf.DUMMYFUNCTION("""COMPUTED_VALUE"""),"TEC-AC-10002253")</f>
        <v>TEC-AC-10002253</v>
      </c>
      <c r="R135" s="1" t="str">
        <f ca="1">IFERROR(__xludf.DUMMYFUNCTION("""COMPUTED_VALUE"""),"Technology")</f>
        <v>Technology</v>
      </c>
      <c r="S135" s="7">
        <f ca="1">IFERROR(__xludf.DUMMYFUNCTION("""COMPUTED_VALUE"""),166.24)</f>
        <v>166.24</v>
      </c>
      <c r="T135" s="1">
        <f ca="1">IFERROR(__xludf.DUMMYFUNCTION("""COMPUTED_VALUE"""),9)</f>
        <v>9</v>
      </c>
      <c r="U135" s="9">
        <f ca="1">IFERROR(__xludf.DUMMYFUNCTION("""COMPUTED_VALUE"""),1496.16)</f>
        <v>1496.16</v>
      </c>
      <c r="V135" s="9">
        <f ca="1">IFERROR(__xludf.DUMMYFUNCTION("""COMPUTED_VALUE"""),1494.72)</f>
        <v>1494.72</v>
      </c>
      <c r="W135" s="12">
        <f ca="1">IFERROR(__xludf.DUMMYFUNCTION("""COMPUTED_VALUE"""),1.44000000000005)</f>
        <v>1.4400000000000499</v>
      </c>
    </row>
    <row r="136" spans="1:23" ht="13.2">
      <c r="A136" s="1" t="str">
        <f ca="1">IFERROR(__xludf.DUMMYFUNCTION("""COMPUTED_VALUE"""),"CA-2016-131534")</f>
        <v>CA-2016-131534</v>
      </c>
      <c r="B136" s="8">
        <f ca="1">IFERROR(__xludf.DUMMYFUNCTION("""COMPUTED_VALUE"""),42457)</f>
        <v>42457</v>
      </c>
      <c r="C136" s="1" t="str">
        <f ca="1">IFERROR(__xludf.DUMMYFUNCTION("""COMPUTED_VALUE"""),"Mar")</f>
        <v>Mar</v>
      </c>
      <c r="D136" s="1" t="str">
        <f ca="1">IFERROR(__xludf.DUMMYFUNCTION("""COMPUTED_VALUE"""),"Qtr 1")</f>
        <v>Qtr 1</v>
      </c>
      <c r="E136" s="1" t="str">
        <f ca="1">IFERROR(__xludf.DUMMYFUNCTION("""COMPUTED_VALUE"""),"2/4/2016")</f>
        <v>2/4/2016</v>
      </c>
      <c r="F136" s="1" t="str">
        <f ca="1">IFERROR(__xludf.DUMMYFUNCTION("""COMPUTED_VALUE"""),"Standard Class")</f>
        <v>Standard Class</v>
      </c>
      <c r="G136" s="1" t="str">
        <f ca="1">IFERROR(__xludf.DUMMYFUNCTION("""COMPUTED_VALUE"""),"AB-10165")</f>
        <v>AB-10165</v>
      </c>
      <c r="H136" s="1" t="str">
        <f ca="1">IFERROR(__xludf.DUMMYFUNCTION("""COMPUTED_VALUE"""),"Alan")</f>
        <v>Alan</v>
      </c>
      <c r="I136" s="1" t="str">
        <f ca="1">IFERROR(__xludf.DUMMYFUNCTION("""COMPUTED_VALUE"""),"Barnes")</f>
        <v>Barnes</v>
      </c>
      <c r="J136" s="1"/>
      <c r="K136" s="1" t="str">
        <f ca="1">IFERROR(__xludf.DUMMYFUNCTION("""COMPUTED_VALUE"""),"Consumer")</f>
        <v>Consumer</v>
      </c>
      <c r="L136" s="1" t="str">
        <f ca="1">IFERROR(__xludf.DUMMYFUNCTION("""COMPUTED_VALUE"""),"United States")</f>
        <v>United States</v>
      </c>
      <c r="M136" s="1" t="str">
        <f ca="1">IFERROR(__xludf.DUMMYFUNCTION("""COMPUTED_VALUE"""),"Los Angeles")</f>
        <v>Los Angeles</v>
      </c>
      <c r="N136" s="1" t="str">
        <f ca="1">IFERROR(__xludf.DUMMYFUNCTION("""COMPUTED_VALUE"""),"California")</f>
        <v>California</v>
      </c>
      <c r="O136" s="1">
        <f ca="1">IFERROR(__xludf.DUMMYFUNCTION("""COMPUTED_VALUE"""),90036)</f>
        <v>90036</v>
      </c>
      <c r="P136" s="1" t="str">
        <f ca="1">IFERROR(__xludf.DUMMYFUNCTION("""COMPUTED_VALUE"""),"West")</f>
        <v>West</v>
      </c>
      <c r="Q136" s="1" t="str">
        <f ca="1">IFERROR(__xludf.DUMMYFUNCTION("""COMPUTED_VALUE"""),"OFF-PA-10000743")</f>
        <v>OFF-PA-10000743</v>
      </c>
      <c r="R136" s="1" t="str">
        <f ca="1">IFERROR(__xludf.DUMMYFUNCTION("""COMPUTED_VALUE"""),"Office Supplies")</f>
        <v>Office Supplies</v>
      </c>
      <c r="S136" s="7">
        <f ca="1">IFERROR(__xludf.DUMMYFUNCTION("""COMPUTED_VALUE"""),33.4)</f>
        <v>33.4</v>
      </c>
      <c r="T136" s="1">
        <f ca="1">IFERROR(__xludf.DUMMYFUNCTION("""COMPUTED_VALUE"""),9)</f>
        <v>9</v>
      </c>
      <c r="U136" s="9">
        <f ca="1">IFERROR(__xludf.DUMMYFUNCTION("""COMPUTED_VALUE"""),300.599999999999)</f>
        <v>300.599999999999</v>
      </c>
      <c r="V136" s="9">
        <f ca="1">IFERROR(__xludf.DUMMYFUNCTION("""COMPUTED_VALUE"""),300.42)</f>
        <v>300.42</v>
      </c>
      <c r="W136" s="12">
        <f ca="1">IFERROR(__xludf.DUMMYFUNCTION("""COMPUTED_VALUE"""),0.179999999999949)</f>
        <v>0.17999999999994901</v>
      </c>
    </row>
    <row r="137" spans="1:23" ht="13.2">
      <c r="A137" s="1" t="str">
        <f ca="1">IFERROR(__xludf.DUMMYFUNCTION("""COMPUTED_VALUE"""),"CA-2016-142027")</f>
        <v>CA-2016-142027</v>
      </c>
      <c r="B137" s="8">
        <f ca="1">IFERROR(__xludf.DUMMYFUNCTION("""COMPUTED_VALUE"""),42617)</f>
        <v>42617</v>
      </c>
      <c r="C137" s="1" t="str">
        <f ca="1">IFERROR(__xludf.DUMMYFUNCTION("""COMPUTED_VALUE"""),"Sep")</f>
        <v>Sep</v>
      </c>
      <c r="D137" s="1" t="str">
        <f ca="1">IFERROR(__xludf.DUMMYFUNCTION("""COMPUTED_VALUE"""),"Qtr 3")</f>
        <v>Qtr 3</v>
      </c>
      <c r="E137" s="1" t="str">
        <f ca="1">IFERROR(__xludf.DUMMYFUNCTION("""COMPUTED_VALUE"""),"14/04/2016")</f>
        <v>14/04/2016</v>
      </c>
      <c r="F137" s="1" t="str">
        <f ca="1">IFERROR(__xludf.DUMMYFUNCTION("""COMPUTED_VALUE"""),"Standard Class")</f>
        <v>Standard Class</v>
      </c>
      <c r="G137" s="1" t="str">
        <f ca="1">IFERROR(__xludf.DUMMYFUNCTION("""COMPUTED_VALUE"""),"JK-15370")</f>
        <v>JK-15370</v>
      </c>
      <c r="H137" s="1" t="str">
        <f ca="1">IFERROR(__xludf.DUMMYFUNCTION("""COMPUTED_VALUE"""),"Jay")</f>
        <v>Jay</v>
      </c>
      <c r="I137" s="1" t="str">
        <f ca="1">IFERROR(__xludf.DUMMYFUNCTION("""COMPUTED_VALUE"""),"Kimmel")</f>
        <v>Kimmel</v>
      </c>
      <c r="J137" s="1"/>
      <c r="K137" s="1" t="str">
        <f ca="1">IFERROR(__xludf.DUMMYFUNCTION("""COMPUTED_VALUE"""),"Consumer")</f>
        <v>Consumer</v>
      </c>
      <c r="L137" s="1" t="str">
        <f ca="1">IFERROR(__xludf.DUMMYFUNCTION("""COMPUTED_VALUE"""),"United States")</f>
        <v>United States</v>
      </c>
      <c r="M137" s="1" t="str">
        <f ca="1">IFERROR(__xludf.DUMMYFUNCTION("""COMPUTED_VALUE"""),"Long Beach")</f>
        <v>Long Beach</v>
      </c>
      <c r="N137" s="1" t="str">
        <f ca="1">IFERROR(__xludf.DUMMYFUNCTION("""COMPUTED_VALUE"""),"California")</f>
        <v>California</v>
      </c>
      <c r="O137" s="1">
        <f ca="1">IFERROR(__xludf.DUMMYFUNCTION("""COMPUTED_VALUE"""),90805)</f>
        <v>90805</v>
      </c>
      <c r="P137" s="1" t="str">
        <f ca="1">IFERROR(__xludf.DUMMYFUNCTION("""COMPUTED_VALUE"""),"West")</f>
        <v>West</v>
      </c>
      <c r="Q137" s="1" t="str">
        <f ca="1">IFERROR(__xludf.DUMMYFUNCTION("""COMPUTED_VALUE"""),"FUR-TA-10002774")</f>
        <v>FUR-TA-10002774</v>
      </c>
      <c r="R137" s="1" t="str">
        <f ca="1">IFERROR(__xludf.DUMMYFUNCTION("""COMPUTED_VALUE"""),"Furniture")</f>
        <v>Furniture</v>
      </c>
      <c r="S137" s="7">
        <f ca="1">IFERROR(__xludf.DUMMYFUNCTION("""COMPUTED_VALUE"""),369.912)</f>
        <v>369.91199999999998</v>
      </c>
      <c r="T137" s="1">
        <f ca="1">IFERROR(__xludf.DUMMYFUNCTION("""COMPUTED_VALUE"""),9)</f>
        <v>9</v>
      </c>
      <c r="U137" s="9">
        <f ca="1">IFERROR(__xludf.DUMMYFUNCTION("""COMPUTED_VALUE"""),3329.20799999999)</f>
        <v>3329.2079999999901</v>
      </c>
      <c r="V137" s="9">
        <f ca="1">IFERROR(__xludf.DUMMYFUNCTION("""COMPUTED_VALUE"""),3323.25)</f>
        <v>3323.25</v>
      </c>
      <c r="W137" s="12">
        <f ca="1">IFERROR(__xludf.DUMMYFUNCTION("""COMPUTED_VALUE"""),5.95799999999962)</f>
        <v>5.95799999999962</v>
      </c>
    </row>
    <row r="138" spans="1:23" ht="13.2">
      <c r="A138" s="1" t="str">
        <f ca="1">IFERROR(__xludf.DUMMYFUNCTION("""COMPUTED_VALUE"""),"CA-2017-112942")</f>
        <v>CA-2017-112942</v>
      </c>
      <c r="B138" s="8">
        <f ca="1">IFERROR(__xludf.DUMMYFUNCTION("""COMPUTED_VALUE"""),42779)</f>
        <v>42779</v>
      </c>
      <c r="C138" s="1" t="str">
        <f ca="1">IFERROR(__xludf.DUMMYFUNCTION("""COMPUTED_VALUE"""),"Feb")</f>
        <v>Feb</v>
      </c>
      <c r="D138" s="1" t="str">
        <f ca="1">IFERROR(__xludf.DUMMYFUNCTION("""COMPUTED_VALUE"""),"Qtr 1")</f>
        <v>Qtr 1</v>
      </c>
      <c r="E138" s="1" t="str">
        <f ca="1">IFERROR(__xludf.DUMMYFUNCTION("""COMPUTED_VALUE"""),"18/02/2017")</f>
        <v>18/02/2017</v>
      </c>
      <c r="F138" s="1" t="str">
        <f ca="1">IFERROR(__xludf.DUMMYFUNCTION("""COMPUTED_VALUE"""),"Standard Class")</f>
        <v>Standard Class</v>
      </c>
      <c r="G138" s="1" t="str">
        <f ca="1">IFERROR(__xludf.DUMMYFUNCTION("""COMPUTED_VALUE"""),"RD-19810")</f>
        <v>RD-19810</v>
      </c>
      <c r="H138" s="1" t="str">
        <f ca="1">IFERROR(__xludf.DUMMYFUNCTION("""COMPUTED_VALUE"""),"Ross")</f>
        <v>Ross</v>
      </c>
      <c r="I138" s="1" t="str">
        <f ca="1">IFERROR(__xludf.DUMMYFUNCTION("""COMPUTED_VALUE"""),"DeVincentis")</f>
        <v>DeVincentis</v>
      </c>
      <c r="J138" s="1"/>
      <c r="K138" s="1" t="str">
        <f ca="1">IFERROR(__xludf.DUMMYFUNCTION("""COMPUTED_VALUE"""),"Home Office")</f>
        <v>Home Office</v>
      </c>
      <c r="L138" s="1" t="str">
        <f ca="1">IFERROR(__xludf.DUMMYFUNCTION("""COMPUTED_VALUE"""),"United States")</f>
        <v>United States</v>
      </c>
      <c r="M138" s="1" t="str">
        <f ca="1">IFERROR(__xludf.DUMMYFUNCTION("""COMPUTED_VALUE"""),"Los Angeles")</f>
        <v>Los Angeles</v>
      </c>
      <c r="N138" s="1" t="str">
        <f ca="1">IFERROR(__xludf.DUMMYFUNCTION("""COMPUTED_VALUE"""),"California")</f>
        <v>California</v>
      </c>
      <c r="O138" s="1">
        <f ca="1">IFERROR(__xludf.DUMMYFUNCTION("""COMPUTED_VALUE"""),90045)</f>
        <v>90045</v>
      </c>
      <c r="P138" s="1" t="str">
        <f ca="1">IFERROR(__xludf.DUMMYFUNCTION("""COMPUTED_VALUE"""),"West")</f>
        <v>West</v>
      </c>
      <c r="Q138" s="1" t="str">
        <f ca="1">IFERROR(__xludf.DUMMYFUNCTION("""COMPUTED_VALUE"""),"OFF-PA-10004092")</f>
        <v>OFF-PA-10004092</v>
      </c>
      <c r="R138" s="1" t="str">
        <f ca="1">IFERROR(__xludf.DUMMYFUNCTION("""COMPUTED_VALUE"""),"Office Supplies")</f>
        <v>Office Supplies</v>
      </c>
      <c r="S138" s="7">
        <f ca="1">IFERROR(__xludf.DUMMYFUNCTION("""COMPUTED_VALUE"""),146.82)</f>
        <v>146.82</v>
      </c>
      <c r="T138" s="1">
        <f ca="1">IFERROR(__xludf.DUMMYFUNCTION("""COMPUTED_VALUE"""),9)</f>
        <v>9</v>
      </c>
      <c r="U138" s="9">
        <f ca="1">IFERROR(__xludf.DUMMYFUNCTION("""COMPUTED_VALUE"""),1321.37999999999)</f>
        <v>1321.3799999999901</v>
      </c>
      <c r="V138" s="9">
        <f ca="1">IFERROR(__xludf.DUMMYFUNCTION("""COMPUTED_VALUE"""),1314.09)</f>
        <v>1314.09</v>
      </c>
      <c r="W138" s="12">
        <f ca="1">IFERROR(__xludf.DUMMYFUNCTION("""COMPUTED_VALUE"""),7.28999999999996)</f>
        <v>7.2899999999999601</v>
      </c>
    </row>
    <row r="139" spans="1:23" ht="13.2">
      <c r="A139" s="1" t="str">
        <f ca="1">IFERROR(__xludf.DUMMYFUNCTION("""COMPUTED_VALUE"""),"CA-2015-132500")</f>
        <v>CA-2015-132500</v>
      </c>
      <c r="B139" s="8">
        <f ca="1">IFERROR(__xludf.DUMMYFUNCTION("""COMPUTED_VALUE"""),42225)</f>
        <v>42225</v>
      </c>
      <c r="C139" s="1" t="str">
        <f ca="1">IFERROR(__xludf.DUMMYFUNCTION("""COMPUTED_VALUE"""),"Aug")</f>
        <v>Aug</v>
      </c>
      <c r="D139" s="1" t="str">
        <f ca="1">IFERROR(__xludf.DUMMYFUNCTION("""COMPUTED_VALUE"""),"Qtr 3")</f>
        <v>Qtr 3</v>
      </c>
      <c r="E139" s="1" t="str">
        <f ca="1">IFERROR(__xludf.DUMMYFUNCTION("""COMPUTED_VALUE"""),"12/9/2015")</f>
        <v>12/9/2015</v>
      </c>
      <c r="F139" s="1" t="str">
        <f ca="1">IFERROR(__xludf.DUMMYFUNCTION("""COMPUTED_VALUE"""),"Standard Class")</f>
        <v>Standard Class</v>
      </c>
      <c r="G139" s="1" t="str">
        <f ca="1">IFERROR(__xludf.DUMMYFUNCTION("""COMPUTED_VALUE"""),"GZ-14470")</f>
        <v>GZ-14470</v>
      </c>
      <c r="H139" s="1" t="str">
        <f ca="1">IFERROR(__xludf.DUMMYFUNCTION("""COMPUTED_VALUE"""),"Gary")</f>
        <v>Gary</v>
      </c>
      <c r="I139" s="1" t="str">
        <f ca="1">IFERROR(__xludf.DUMMYFUNCTION("""COMPUTED_VALUE"""),"Zandusky")</f>
        <v>Zandusky</v>
      </c>
      <c r="J139" s="1"/>
      <c r="K139" s="1" t="str">
        <f ca="1">IFERROR(__xludf.DUMMYFUNCTION("""COMPUTED_VALUE"""),"Consumer")</f>
        <v>Consumer</v>
      </c>
      <c r="L139" s="1" t="str">
        <f ca="1">IFERROR(__xludf.DUMMYFUNCTION("""COMPUTED_VALUE"""),"United States")</f>
        <v>United States</v>
      </c>
      <c r="M139" s="1" t="str">
        <f ca="1">IFERROR(__xludf.DUMMYFUNCTION("""COMPUTED_VALUE"""),"San Francisco")</f>
        <v>San Francisco</v>
      </c>
      <c r="N139" s="1" t="str">
        <f ca="1">IFERROR(__xludf.DUMMYFUNCTION("""COMPUTED_VALUE"""),"California")</f>
        <v>California</v>
      </c>
      <c r="O139" s="1">
        <f ca="1">IFERROR(__xludf.DUMMYFUNCTION("""COMPUTED_VALUE"""),94110)</f>
        <v>94110</v>
      </c>
      <c r="P139" s="1" t="str">
        <f ca="1">IFERROR(__xludf.DUMMYFUNCTION("""COMPUTED_VALUE"""),"West")</f>
        <v>West</v>
      </c>
      <c r="Q139" s="1" t="str">
        <f ca="1">IFERROR(__xludf.DUMMYFUNCTION("""COMPUTED_VALUE"""),"TEC-AC-10001383")</f>
        <v>TEC-AC-10001383</v>
      </c>
      <c r="R139" s="1" t="str">
        <f ca="1">IFERROR(__xludf.DUMMYFUNCTION("""COMPUTED_VALUE"""),"Technology")</f>
        <v>Technology</v>
      </c>
      <c r="S139" s="7">
        <f ca="1">IFERROR(__xludf.DUMMYFUNCTION("""COMPUTED_VALUE"""),49.98)</f>
        <v>49.98</v>
      </c>
      <c r="T139" s="1">
        <f ca="1">IFERROR(__xludf.DUMMYFUNCTION("""COMPUTED_VALUE"""),9)</f>
        <v>9</v>
      </c>
      <c r="U139" s="9">
        <f ca="1">IFERROR(__xludf.DUMMYFUNCTION("""COMPUTED_VALUE"""),449.82)</f>
        <v>449.82</v>
      </c>
      <c r="V139" s="9">
        <f ca="1">IFERROR(__xludf.DUMMYFUNCTION("""COMPUTED_VALUE"""),442.62)</f>
        <v>442.62</v>
      </c>
      <c r="W139" s="12">
        <f ca="1">IFERROR(__xludf.DUMMYFUNCTION("""COMPUTED_VALUE"""),7.19999999999998)</f>
        <v>7.1999999999999797</v>
      </c>
    </row>
    <row r="140" spans="1:23" ht="13.2">
      <c r="A140" s="1" t="str">
        <f ca="1">IFERROR(__xludf.DUMMYFUNCTION("""COMPUTED_VALUE"""),"CA-2015-124429")</f>
        <v>CA-2015-124429</v>
      </c>
      <c r="B140" s="8">
        <f ca="1">IFERROR(__xludf.DUMMYFUNCTION("""COMPUTED_VALUE"""),42151)</f>
        <v>42151</v>
      </c>
      <c r="C140" s="1" t="str">
        <f ca="1">IFERROR(__xludf.DUMMYFUNCTION("""COMPUTED_VALUE"""),"May")</f>
        <v>May</v>
      </c>
      <c r="D140" s="1" t="str">
        <f ca="1">IFERROR(__xludf.DUMMYFUNCTION("""COMPUTED_VALUE"""),"Qtr 2")</f>
        <v>Qtr 2</v>
      </c>
      <c r="E140" s="1" t="str">
        <f ca="1">IFERROR(__xludf.DUMMYFUNCTION("""COMPUTED_VALUE"""),"27/05/2015")</f>
        <v>27/05/2015</v>
      </c>
      <c r="F140" s="1" t="str">
        <f ca="1">IFERROR(__xludf.DUMMYFUNCTION("""COMPUTED_VALUE"""),"Same Day")</f>
        <v>Same Day</v>
      </c>
      <c r="G140" s="1" t="str">
        <f ca="1">IFERROR(__xludf.DUMMYFUNCTION("""COMPUTED_VALUE"""),"MH-17785")</f>
        <v>MH-17785</v>
      </c>
      <c r="H140" s="1" t="str">
        <f ca="1">IFERROR(__xludf.DUMMYFUNCTION("""COMPUTED_VALUE"""),"Maya")</f>
        <v>Maya</v>
      </c>
      <c r="I140" s="1" t="str">
        <f ca="1">IFERROR(__xludf.DUMMYFUNCTION("""COMPUTED_VALUE"""),"Herman")</f>
        <v>Herman</v>
      </c>
      <c r="J140" s="1"/>
      <c r="K140" s="1" t="str">
        <f ca="1">IFERROR(__xludf.DUMMYFUNCTION("""COMPUTED_VALUE"""),"Corporate")</f>
        <v>Corporate</v>
      </c>
      <c r="L140" s="1" t="str">
        <f ca="1">IFERROR(__xludf.DUMMYFUNCTION("""COMPUTED_VALUE"""),"United States")</f>
        <v>United States</v>
      </c>
      <c r="M140" s="1" t="str">
        <f ca="1">IFERROR(__xludf.DUMMYFUNCTION("""COMPUTED_VALUE"""),"San Diego")</f>
        <v>San Diego</v>
      </c>
      <c r="N140" s="1" t="str">
        <f ca="1">IFERROR(__xludf.DUMMYFUNCTION("""COMPUTED_VALUE"""),"California")</f>
        <v>California</v>
      </c>
      <c r="O140" s="1">
        <f ca="1">IFERROR(__xludf.DUMMYFUNCTION("""COMPUTED_VALUE"""),92105)</f>
        <v>92105</v>
      </c>
      <c r="P140" s="1" t="str">
        <f ca="1">IFERROR(__xludf.DUMMYFUNCTION("""COMPUTED_VALUE"""),"West")</f>
        <v>West</v>
      </c>
      <c r="Q140" s="1" t="str">
        <f ca="1">IFERROR(__xludf.DUMMYFUNCTION("""COMPUTED_VALUE"""),"FUR-TA-10002607")</f>
        <v>FUR-TA-10002607</v>
      </c>
      <c r="R140" s="1" t="str">
        <f ca="1">IFERROR(__xludf.DUMMYFUNCTION("""COMPUTED_VALUE"""),"Furniture")</f>
        <v>Furniture</v>
      </c>
      <c r="S140" s="7">
        <f ca="1">IFERROR(__xludf.DUMMYFUNCTION("""COMPUTED_VALUE"""),567.12)</f>
        <v>567.12</v>
      </c>
      <c r="T140" s="1">
        <f ca="1">IFERROR(__xludf.DUMMYFUNCTION("""COMPUTED_VALUE"""),9)</f>
        <v>9</v>
      </c>
      <c r="U140" s="9">
        <f ca="1">IFERROR(__xludf.DUMMYFUNCTION("""COMPUTED_VALUE"""),5104.08)</f>
        <v>5104.08</v>
      </c>
      <c r="V140" s="9">
        <f ca="1">IFERROR(__xludf.DUMMYFUNCTION("""COMPUTED_VALUE"""),5102.37)</f>
        <v>5102.37</v>
      </c>
      <c r="W140" s="12">
        <f ca="1">IFERROR(__xludf.DUMMYFUNCTION("""COMPUTED_VALUE"""),1.71000000000003)</f>
        <v>1.7100000000000299</v>
      </c>
    </row>
    <row r="141" spans="1:23" ht="13.2">
      <c r="A141" s="1" t="str">
        <f ca="1">IFERROR(__xludf.DUMMYFUNCTION("""COMPUTED_VALUE"""),"CA-2015-124429")</f>
        <v>CA-2015-124429</v>
      </c>
      <c r="B141" s="8">
        <f ca="1">IFERROR(__xludf.DUMMYFUNCTION("""COMPUTED_VALUE"""),42151)</f>
        <v>42151</v>
      </c>
      <c r="C141" s="1" t="str">
        <f ca="1">IFERROR(__xludf.DUMMYFUNCTION("""COMPUTED_VALUE"""),"May")</f>
        <v>May</v>
      </c>
      <c r="D141" s="1" t="str">
        <f ca="1">IFERROR(__xludf.DUMMYFUNCTION("""COMPUTED_VALUE"""),"Qtr 2")</f>
        <v>Qtr 2</v>
      </c>
      <c r="E141" s="1" t="str">
        <f ca="1">IFERROR(__xludf.DUMMYFUNCTION("""COMPUTED_VALUE"""),"27/05/2015")</f>
        <v>27/05/2015</v>
      </c>
      <c r="F141" s="1" t="str">
        <f ca="1">IFERROR(__xludf.DUMMYFUNCTION("""COMPUTED_VALUE"""),"Same Day")</f>
        <v>Same Day</v>
      </c>
      <c r="G141" s="1" t="str">
        <f ca="1">IFERROR(__xludf.DUMMYFUNCTION("""COMPUTED_VALUE"""),"MH-17785")</f>
        <v>MH-17785</v>
      </c>
      <c r="H141" s="1" t="str">
        <f ca="1">IFERROR(__xludf.DUMMYFUNCTION("""COMPUTED_VALUE"""),"Maya")</f>
        <v>Maya</v>
      </c>
      <c r="I141" s="1" t="str">
        <f ca="1">IFERROR(__xludf.DUMMYFUNCTION("""COMPUTED_VALUE"""),"Herman")</f>
        <v>Herman</v>
      </c>
      <c r="J141" s="1"/>
      <c r="K141" s="1" t="str">
        <f ca="1">IFERROR(__xludf.DUMMYFUNCTION("""COMPUTED_VALUE"""),"Corporate")</f>
        <v>Corporate</v>
      </c>
      <c r="L141" s="1" t="str">
        <f ca="1">IFERROR(__xludf.DUMMYFUNCTION("""COMPUTED_VALUE"""),"United States")</f>
        <v>United States</v>
      </c>
      <c r="M141" s="1" t="str">
        <f ca="1">IFERROR(__xludf.DUMMYFUNCTION("""COMPUTED_VALUE"""),"San Diego")</f>
        <v>San Diego</v>
      </c>
      <c r="N141" s="1" t="str">
        <f ca="1">IFERROR(__xludf.DUMMYFUNCTION("""COMPUTED_VALUE"""),"California")</f>
        <v>California</v>
      </c>
      <c r="O141" s="1">
        <f ca="1">IFERROR(__xludf.DUMMYFUNCTION("""COMPUTED_VALUE"""),92105)</f>
        <v>92105</v>
      </c>
      <c r="P141" s="1" t="str">
        <f ca="1">IFERROR(__xludf.DUMMYFUNCTION("""COMPUTED_VALUE"""),"West")</f>
        <v>West</v>
      </c>
      <c r="Q141" s="1" t="str">
        <f ca="1">IFERROR(__xludf.DUMMYFUNCTION("""COMPUTED_VALUE"""),"OFF-ST-10001809")</f>
        <v>OFF-ST-10001809</v>
      </c>
      <c r="R141" s="1" t="str">
        <f ca="1">IFERROR(__xludf.DUMMYFUNCTION("""COMPUTED_VALUE"""),"Office Supplies")</f>
        <v>Office Supplies</v>
      </c>
      <c r="S141" s="7">
        <f ca="1">IFERROR(__xludf.DUMMYFUNCTION("""COMPUTED_VALUE"""),359.32)</f>
        <v>359.32</v>
      </c>
      <c r="T141" s="1">
        <f ca="1">IFERROR(__xludf.DUMMYFUNCTION("""COMPUTED_VALUE"""),9)</f>
        <v>9</v>
      </c>
      <c r="U141" s="9">
        <f ca="1">IFERROR(__xludf.DUMMYFUNCTION("""COMPUTED_VALUE"""),3233.88)</f>
        <v>3233.88</v>
      </c>
      <c r="V141" s="9">
        <f ca="1">IFERROR(__xludf.DUMMYFUNCTION("""COMPUTED_VALUE"""),3228.66)</f>
        <v>3228.66</v>
      </c>
      <c r="W141" s="12">
        <f ca="1">IFERROR(__xludf.DUMMYFUNCTION("""COMPUTED_VALUE"""),5.22000000000025)</f>
        <v>5.2200000000002502</v>
      </c>
    </row>
    <row r="142" spans="1:23" ht="13.2">
      <c r="A142" s="1" t="str">
        <f ca="1">IFERROR(__xludf.DUMMYFUNCTION("""COMPUTED_VALUE"""),"CA-2017-110499")</f>
        <v>CA-2017-110499</v>
      </c>
      <c r="B142" s="8">
        <f ca="1">IFERROR(__xludf.DUMMYFUNCTION("""COMPUTED_VALUE"""),42920)</f>
        <v>42920</v>
      </c>
      <c r="C142" s="1" t="str">
        <f ca="1">IFERROR(__xludf.DUMMYFUNCTION("""COMPUTED_VALUE"""),"Jul")</f>
        <v>Jul</v>
      </c>
      <c r="D142" s="1" t="str">
        <f ca="1">IFERROR(__xludf.DUMMYFUNCTION("""COMPUTED_VALUE"""),"Qtr 3")</f>
        <v>Qtr 3</v>
      </c>
      <c r="E142" s="1" t="str">
        <f ca="1">IFERROR(__xludf.DUMMYFUNCTION("""COMPUTED_VALUE"""),"9/4/2017")</f>
        <v>9/4/2017</v>
      </c>
      <c r="F142" s="1" t="str">
        <f ca="1">IFERROR(__xludf.DUMMYFUNCTION("""COMPUTED_VALUE"""),"First Class")</f>
        <v>First Class</v>
      </c>
      <c r="G142" s="1" t="str">
        <f ca="1">IFERROR(__xludf.DUMMYFUNCTION("""COMPUTED_VALUE"""),"YC-21895")</f>
        <v>YC-21895</v>
      </c>
      <c r="H142" s="1" t="str">
        <f ca="1">IFERROR(__xludf.DUMMYFUNCTION("""COMPUTED_VALUE"""),"Yoseph")</f>
        <v>Yoseph</v>
      </c>
      <c r="I142" s="1" t="str">
        <f ca="1">IFERROR(__xludf.DUMMYFUNCTION("""COMPUTED_VALUE"""),"Carroll")</f>
        <v>Carroll</v>
      </c>
      <c r="J142" s="1"/>
      <c r="K142" s="1" t="str">
        <f ca="1">IFERROR(__xludf.DUMMYFUNCTION("""COMPUTED_VALUE"""),"Corporate")</f>
        <v>Corporate</v>
      </c>
      <c r="L142" s="1" t="str">
        <f ca="1">IFERROR(__xludf.DUMMYFUNCTION("""COMPUTED_VALUE"""),"United States")</f>
        <v>United States</v>
      </c>
      <c r="M142" s="1" t="str">
        <f ca="1">IFERROR(__xludf.DUMMYFUNCTION("""COMPUTED_VALUE"""),"San Francisco")</f>
        <v>San Francisco</v>
      </c>
      <c r="N142" s="1" t="str">
        <f ca="1">IFERROR(__xludf.DUMMYFUNCTION("""COMPUTED_VALUE"""),"California")</f>
        <v>California</v>
      </c>
      <c r="O142" s="1">
        <f ca="1">IFERROR(__xludf.DUMMYFUNCTION("""COMPUTED_VALUE"""),94110)</f>
        <v>94110</v>
      </c>
      <c r="P142" s="1" t="str">
        <f ca="1">IFERROR(__xludf.DUMMYFUNCTION("""COMPUTED_VALUE"""),"West")</f>
        <v>West</v>
      </c>
      <c r="Q142" s="1" t="str">
        <f ca="1">IFERROR(__xludf.DUMMYFUNCTION("""COMPUTED_VALUE"""),"TEC-CO-10002095")</f>
        <v>TEC-CO-10002095</v>
      </c>
      <c r="R142" s="1" t="str">
        <f ca="1">IFERROR(__xludf.DUMMYFUNCTION("""COMPUTED_VALUE"""),"Technology")</f>
        <v>Technology</v>
      </c>
      <c r="S142" s="7">
        <f ca="1">IFERROR(__xludf.DUMMYFUNCTION("""COMPUTED_VALUE"""),1199.976)</f>
        <v>1199.9760000000001</v>
      </c>
      <c r="T142" s="1">
        <f ca="1">IFERROR(__xludf.DUMMYFUNCTION("""COMPUTED_VALUE"""),9)</f>
        <v>9</v>
      </c>
      <c r="U142" s="9">
        <f ca="1">IFERROR(__xludf.DUMMYFUNCTION("""COMPUTED_VALUE"""),10799.784)</f>
        <v>10799.784</v>
      </c>
      <c r="V142" s="9">
        <f ca="1">IFERROR(__xludf.DUMMYFUNCTION("""COMPUTED_VALUE"""),10797.3)</f>
        <v>10797.3</v>
      </c>
      <c r="W142" s="12">
        <f ca="1">IFERROR(__xludf.DUMMYFUNCTION("""COMPUTED_VALUE"""),2.48400000000037)</f>
        <v>2.4840000000003699</v>
      </c>
    </row>
    <row r="143" spans="1:23" ht="13.2">
      <c r="A143" s="1" t="str">
        <f ca="1">IFERROR(__xludf.DUMMYFUNCTION("""COMPUTED_VALUE"""),"CA-2016-135272")</f>
        <v>CA-2016-135272</v>
      </c>
      <c r="B143" s="8">
        <f ca="1">IFERROR(__xludf.DUMMYFUNCTION("""COMPUTED_VALUE"""),42563)</f>
        <v>42563</v>
      </c>
      <c r="C143" s="1" t="str">
        <f ca="1">IFERROR(__xludf.DUMMYFUNCTION("""COMPUTED_VALUE"""),"Jul")</f>
        <v>Jul</v>
      </c>
      <c r="D143" s="1" t="str">
        <f ca="1">IFERROR(__xludf.DUMMYFUNCTION("""COMPUTED_VALUE"""),"Qtr 3")</f>
        <v>Qtr 3</v>
      </c>
      <c r="E143" s="1" t="str">
        <f ca="1">IFERROR(__xludf.DUMMYFUNCTION("""COMPUTED_VALUE"""),"12/12/2016")</f>
        <v>12/12/2016</v>
      </c>
      <c r="F143" s="1" t="str">
        <f ca="1">IFERROR(__xludf.DUMMYFUNCTION("""COMPUTED_VALUE"""),"Standard Class")</f>
        <v>Standard Class</v>
      </c>
      <c r="G143" s="1" t="str">
        <f ca="1">IFERROR(__xludf.DUMMYFUNCTION("""COMPUTED_VALUE"""),"MS-17830")</f>
        <v>MS-17830</v>
      </c>
      <c r="H143" s="1" t="str">
        <f ca="1">IFERROR(__xludf.DUMMYFUNCTION("""COMPUTED_VALUE"""),"Melanie")</f>
        <v>Melanie</v>
      </c>
      <c r="I143" s="1" t="str">
        <f ca="1">IFERROR(__xludf.DUMMYFUNCTION("""COMPUTED_VALUE"""),"Seite")</f>
        <v>Seite</v>
      </c>
      <c r="J143" s="1"/>
      <c r="K143" s="1" t="str">
        <f ca="1">IFERROR(__xludf.DUMMYFUNCTION("""COMPUTED_VALUE"""),"Consumer")</f>
        <v>Consumer</v>
      </c>
      <c r="L143" s="1" t="str">
        <f ca="1">IFERROR(__xludf.DUMMYFUNCTION("""COMPUTED_VALUE"""),"United States")</f>
        <v>United States</v>
      </c>
      <c r="M143" s="1" t="str">
        <f ca="1">IFERROR(__xludf.DUMMYFUNCTION("""COMPUTED_VALUE"""),"Los Angeles")</f>
        <v>Los Angeles</v>
      </c>
      <c r="N143" s="1" t="str">
        <f ca="1">IFERROR(__xludf.DUMMYFUNCTION("""COMPUTED_VALUE"""),"California")</f>
        <v>California</v>
      </c>
      <c r="O143" s="1">
        <f ca="1">IFERROR(__xludf.DUMMYFUNCTION("""COMPUTED_VALUE"""),90036)</f>
        <v>90036</v>
      </c>
      <c r="P143" s="1" t="str">
        <f ca="1">IFERROR(__xludf.DUMMYFUNCTION("""COMPUTED_VALUE"""),"West")</f>
        <v>West</v>
      </c>
      <c r="Q143" s="1" t="str">
        <f ca="1">IFERROR(__xludf.DUMMYFUNCTION("""COMPUTED_VALUE"""),"FUR-FU-10002759")</f>
        <v>FUR-FU-10002759</v>
      </c>
      <c r="R143" s="1" t="str">
        <f ca="1">IFERROR(__xludf.DUMMYFUNCTION("""COMPUTED_VALUE"""),"Furniture")</f>
        <v>Furniture</v>
      </c>
      <c r="S143" s="7">
        <f ca="1">IFERROR(__xludf.DUMMYFUNCTION("""COMPUTED_VALUE"""),79.92)</f>
        <v>79.92</v>
      </c>
      <c r="T143" s="1">
        <f ca="1">IFERROR(__xludf.DUMMYFUNCTION("""COMPUTED_VALUE"""),9)</f>
        <v>9</v>
      </c>
      <c r="U143" s="9">
        <f ca="1">IFERROR(__xludf.DUMMYFUNCTION("""COMPUTED_VALUE"""),719.28)</f>
        <v>719.28</v>
      </c>
      <c r="V143" s="9">
        <f ca="1">IFERROR(__xludf.DUMMYFUNCTION("""COMPUTED_VALUE"""),719.189999999999)</f>
        <v>719.18999999999903</v>
      </c>
      <c r="W143" s="12">
        <f ca="1">IFERROR(__xludf.DUMMYFUNCTION("""COMPUTED_VALUE"""),0.0900000000000318)</f>
        <v>9.0000000000031805E-2</v>
      </c>
    </row>
    <row r="144" spans="1:23" ht="13.2">
      <c r="A144" s="1" t="str">
        <f ca="1">IFERROR(__xludf.DUMMYFUNCTION("""COMPUTED_VALUE"""),"CA-2016-112319")</f>
        <v>CA-2016-112319</v>
      </c>
      <c r="B144" s="8">
        <f ca="1">IFERROR(__xludf.DUMMYFUNCTION("""COMPUTED_VALUE"""),42613)</f>
        <v>42613</v>
      </c>
      <c r="C144" s="1" t="str">
        <f ca="1">IFERROR(__xludf.DUMMYFUNCTION("""COMPUTED_VALUE"""),"Aug")</f>
        <v>Aug</v>
      </c>
      <c r="D144" s="1" t="str">
        <f ca="1">IFERROR(__xludf.DUMMYFUNCTION("""COMPUTED_VALUE"""),"Qtr 3")</f>
        <v>Qtr 3</v>
      </c>
      <c r="E144" s="1" t="str">
        <f ca="1">IFERROR(__xludf.DUMMYFUNCTION("""COMPUTED_VALUE"""),"5/9/2016")</f>
        <v>5/9/2016</v>
      </c>
      <c r="F144" s="1" t="str">
        <f ca="1">IFERROR(__xludf.DUMMYFUNCTION("""COMPUTED_VALUE"""),"Standard Class")</f>
        <v>Standard Class</v>
      </c>
      <c r="G144" s="1" t="str">
        <f ca="1">IFERROR(__xludf.DUMMYFUNCTION("""COMPUTED_VALUE"""),"AR-10510")</f>
        <v>AR-10510</v>
      </c>
      <c r="H144" s="1" t="str">
        <f ca="1">IFERROR(__xludf.DUMMYFUNCTION("""COMPUTED_VALUE"""),"Andrew")</f>
        <v>Andrew</v>
      </c>
      <c r="I144" s="1" t="str">
        <f ca="1">IFERROR(__xludf.DUMMYFUNCTION("""COMPUTED_VALUE"""),"Roberts")</f>
        <v>Roberts</v>
      </c>
      <c r="J144" s="1"/>
      <c r="K144" s="1" t="str">
        <f ca="1">IFERROR(__xludf.DUMMYFUNCTION("""COMPUTED_VALUE"""),"Consumer")</f>
        <v>Consumer</v>
      </c>
      <c r="L144" s="1" t="str">
        <f ca="1">IFERROR(__xludf.DUMMYFUNCTION("""COMPUTED_VALUE"""),"United States")</f>
        <v>United States</v>
      </c>
      <c r="M144" s="1" t="str">
        <f ca="1">IFERROR(__xludf.DUMMYFUNCTION("""COMPUTED_VALUE"""),"Los Angeles")</f>
        <v>Los Angeles</v>
      </c>
      <c r="N144" s="1" t="str">
        <f ca="1">IFERROR(__xludf.DUMMYFUNCTION("""COMPUTED_VALUE"""),"California")</f>
        <v>California</v>
      </c>
      <c r="O144" s="1">
        <f ca="1">IFERROR(__xludf.DUMMYFUNCTION("""COMPUTED_VALUE"""),90004)</f>
        <v>90004</v>
      </c>
      <c r="P144" s="1" t="str">
        <f ca="1">IFERROR(__xludf.DUMMYFUNCTION("""COMPUTED_VALUE"""),"West")</f>
        <v>West</v>
      </c>
      <c r="Q144" s="1" t="str">
        <f ca="1">IFERROR(__xludf.DUMMYFUNCTION("""COMPUTED_VALUE"""),"OFF-PA-10003441")</f>
        <v>OFF-PA-10003441</v>
      </c>
      <c r="R144" s="1" t="str">
        <f ca="1">IFERROR(__xludf.DUMMYFUNCTION("""COMPUTED_VALUE"""),"Office Supplies")</f>
        <v>Office Supplies</v>
      </c>
      <c r="S144" s="7">
        <f ca="1">IFERROR(__xludf.DUMMYFUNCTION("""COMPUTED_VALUE"""),58.32)</f>
        <v>58.32</v>
      </c>
      <c r="T144" s="1">
        <f ca="1">IFERROR(__xludf.DUMMYFUNCTION("""COMPUTED_VALUE"""),9)</f>
        <v>9</v>
      </c>
      <c r="U144" s="9">
        <f ca="1">IFERROR(__xludf.DUMMYFUNCTION("""COMPUTED_VALUE"""),524.88)</f>
        <v>524.88</v>
      </c>
      <c r="V144" s="9">
        <f ca="1">IFERROR(__xludf.DUMMYFUNCTION("""COMPUTED_VALUE"""),522.72)</f>
        <v>522.72</v>
      </c>
      <c r="W144" s="12">
        <f ca="1">IFERROR(__xludf.DUMMYFUNCTION("""COMPUTED_VALUE"""),2.15999999999996)</f>
        <v>2.1599999999999602</v>
      </c>
    </row>
    <row r="145" spans="1:23" ht="13.2">
      <c r="A145" s="1" t="str">
        <f ca="1">IFERROR(__xludf.DUMMYFUNCTION("""COMPUTED_VALUE"""),"CA-2016-144267")</f>
        <v>CA-2016-144267</v>
      </c>
      <c r="B145" s="8">
        <f ca="1">IFERROR(__xludf.DUMMYFUNCTION("""COMPUTED_VALUE"""),42603)</f>
        <v>42603</v>
      </c>
      <c r="C145" s="1" t="str">
        <f ca="1">IFERROR(__xludf.DUMMYFUNCTION("""COMPUTED_VALUE"""),"Aug")</f>
        <v>Aug</v>
      </c>
      <c r="D145" s="1" t="str">
        <f ca="1">IFERROR(__xludf.DUMMYFUNCTION("""COMPUTED_VALUE"""),"Qtr 3")</f>
        <v>Qtr 3</v>
      </c>
      <c r="E145" s="1" t="str">
        <f ca="1">IFERROR(__xludf.DUMMYFUNCTION("""COMPUTED_VALUE"""),"23/08/2016")</f>
        <v>23/08/2016</v>
      </c>
      <c r="F145" s="1" t="str">
        <f ca="1">IFERROR(__xludf.DUMMYFUNCTION("""COMPUTED_VALUE"""),"First Class")</f>
        <v>First Class</v>
      </c>
      <c r="G145" s="1" t="str">
        <f ca="1">IFERROR(__xludf.DUMMYFUNCTION("""COMPUTED_VALUE"""),"NZ-18565")</f>
        <v>NZ-18565</v>
      </c>
      <c r="H145" s="1" t="str">
        <f ca="1">IFERROR(__xludf.DUMMYFUNCTION("""COMPUTED_VALUE"""),"Nick")</f>
        <v>Nick</v>
      </c>
      <c r="I145" s="1" t="str">
        <f ca="1">IFERROR(__xludf.DUMMYFUNCTION("""COMPUTED_VALUE"""),"Zandusky")</f>
        <v>Zandusky</v>
      </c>
      <c r="J145" s="1"/>
      <c r="K145" s="1" t="str">
        <f ca="1">IFERROR(__xludf.DUMMYFUNCTION("""COMPUTED_VALUE"""),"Home Office")</f>
        <v>Home Office</v>
      </c>
      <c r="L145" s="1" t="str">
        <f ca="1">IFERROR(__xludf.DUMMYFUNCTION("""COMPUTED_VALUE"""),"United States")</f>
        <v>United States</v>
      </c>
      <c r="M145" s="1" t="str">
        <f ca="1">IFERROR(__xludf.DUMMYFUNCTION("""COMPUTED_VALUE"""),"San Francisco")</f>
        <v>San Francisco</v>
      </c>
      <c r="N145" s="1" t="str">
        <f ca="1">IFERROR(__xludf.DUMMYFUNCTION("""COMPUTED_VALUE"""),"California")</f>
        <v>California</v>
      </c>
      <c r="O145" s="1">
        <f ca="1">IFERROR(__xludf.DUMMYFUNCTION("""COMPUTED_VALUE"""),94110)</f>
        <v>94110</v>
      </c>
      <c r="P145" s="1" t="str">
        <f ca="1">IFERROR(__xludf.DUMMYFUNCTION("""COMPUTED_VALUE"""),"West")</f>
        <v>West</v>
      </c>
      <c r="Q145" s="1" t="str">
        <f ca="1">IFERROR(__xludf.DUMMYFUNCTION("""COMPUTED_VALUE"""),"FUR-CH-10002335")</f>
        <v>FUR-CH-10002335</v>
      </c>
      <c r="R145" s="1" t="str">
        <f ca="1">IFERROR(__xludf.DUMMYFUNCTION("""COMPUTED_VALUE"""),"Furniture")</f>
        <v>Furniture</v>
      </c>
      <c r="S145" s="7">
        <f ca="1">IFERROR(__xludf.DUMMYFUNCTION("""COMPUTED_VALUE"""),544.008)</f>
        <v>544.00800000000004</v>
      </c>
      <c r="T145" s="1">
        <f ca="1">IFERROR(__xludf.DUMMYFUNCTION("""COMPUTED_VALUE"""),9)</f>
        <v>9</v>
      </c>
      <c r="U145" s="9">
        <f ca="1">IFERROR(__xludf.DUMMYFUNCTION("""COMPUTED_VALUE"""),4896.072)</f>
        <v>4896.0720000000001</v>
      </c>
      <c r="V145" s="9">
        <f ca="1">IFERROR(__xludf.DUMMYFUNCTION("""COMPUTED_VALUE"""),4889.88)</f>
        <v>4889.88</v>
      </c>
      <c r="W145" s="12">
        <f ca="1">IFERROR(__xludf.DUMMYFUNCTION("""COMPUTED_VALUE"""),6.192)</f>
        <v>6.1920000000000002</v>
      </c>
    </row>
    <row r="146" spans="1:23" ht="13.2">
      <c r="A146" s="1" t="str">
        <f ca="1">IFERROR(__xludf.DUMMYFUNCTION("""COMPUTED_VALUE"""),"CA-2016-144267")</f>
        <v>CA-2016-144267</v>
      </c>
      <c r="B146" s="8">
        <f ca="1">IFERROR(__xludf.DUMMYFUNCTION("""COMPUTED_VALUE"""),42603)</f>
        <v>42603</v>
      </c>
      <c r="C146" s="1" t="str">
        <f ca="1">IFERROR(__xludf.DUMMYFUNCTION("""COMPUTED_VALUE"""),"Aug")</f>
        <v>Aug</v>
      </c>
      <c r="D146" s="1" t="str">
        <f ca="1">IFERROR(__xludf.DUMMYFUNCTION("""COMPUTED_VALUE"""),"Qtr 3")</f>
        <v>Qtr 3</v>
      </c>
      <c r="E146" s="1" t="str">
        <f ca="1">IFERROR(__xludf.DUMMYFUNCTION("""COMPUTED_VALUE"""),"23/08/2016")</f>
        <v>23/08/2016</v>
      </c>
      <c r="F146" s="1" t="str">
        <f ca="1">IFERROR(__xludf.DUMMYFUNCTION("""COMPUTED_VALUE"""),"First Class")</f>
        <v>First Class</v>
      </c>
      <c r="G146" s="1" t="str">
        <f ca="1">IFERROR(__xludf.DUMMYFUNCTION("""COMPUTED_VALUE"""),"NZ-18565")</f>
        <v>NZ-18565</v>
      </c>
      <c r="H146" s="1" t="str">
        <f ca="1">IFERROR(__xludf.DUMMYFUNCTION("""COMPUTED_VALUE"""),"Nick")</f>
        <v>Nick</v>
      </c>
      <c r="I146" s="1" t="str">
        <f ca="1">IFERROR(__xludf.DUMMYFUNCTION("""COMPUTED_VALUE"""),"Zandusky")</f>
        <v>Zandusky</v>
      </c>
      <c r="J146" s="1"/>
      <c r="K146" s="1" t="str">
        <f ca="1">IFERROR(__xludf.DUMMYFUNCTION("""COMPUTED_VALUE"""),"Home Office")</f>
        <v>Home Office</v>
      </c>
      <c r="L146" s="1" t="str">
        <f ca="1">IFERROR(__xludf.DUMMYFUNCTION("""COMPUTED_VALUE"""),"United States")</f>
        <v>United States</v>
      </c>
      <c r="M146" s="1" t="str">
        <f ca="1">IFERROR(__xludf.DUMMYFUNCTION("""COMPUTED_VALUE"""),"San Francisco")</f>
        <v>San Francisco</v>
      </c>
      <c r="N146" s="1" t="str">
        <f ca="1">IFERROR(__xludf.DUMMYFUNCTION("""COMPUTED_VALUE"""),"California")</f>
        <v>California</v>
      </c>
      <c r="O146" s="1">
        <f ca="1">IFERROR(__xludf.DUMMYFUNCTION("""COMPUTED_VALUE"""),94110)</f>
        <v>94110</v>
      </c>
      <c r="P146" s="1" t="str">
        <f ca="1">IFERROR(__xludf.DUMMYFUNCTION("""COMPUTED_VALUE"""),"West")</f>
        <v>West</v>
      </c>
      <c r="Q146" s="1" t="str">
        <f ca="1">IFERROR(__xludf.DUMMYFUNCTION("""COMPUTED_VALUE"""),"OFF-PA-10000157")</f>
        <v>OFF-PA-10000157</v>
      </c>
      <c r="R146" s="1" t="str">
        <f ca="1">IFERROR(__xludf.DUMMYFUNCTION("""COMPUTED_VALUE"""),"Office Supplies")</f>
        <v>Office Supplies</v>
      </c>
      <c r="S146" s="7">
        <f ca="1">IFERROR(__xludf.DUMMYFUNCTION("""COMPUTED_VALUE"""),59.94)</f>
        <v>59.94</v>
      </c>
      <c r="T146" s="1">
        <f ca="1">IFERROR(__xludf.DUMMYFUNCTION("""COMPUTED_VALUE"""),9)</f>
        <v>9</v>
      </c>
      <c r="U146" s="9">
        <f ca="1">IFERROR(__xludf.DUMMYFUNCTION("""COMPUTED_VALUE"""),539.46)</f>
        <v>539.46</v>
      </c>
      <c r="V146" s="9">
        <f ca="1">IFERROR(__xludf.DUMMYFUNCTION("""COMPUTED_VALUE"""),535.41)</f>
        <v>535.41</v>
      </c>
      <c r="W146" s="12">
        <f ca="1">IFERROR(__xludf.DUMMYFUNCTION("""COMPUTED_VALUE"""),4.05000000000006)</f>
        <v>4.0500000000000602</v>
      </c>
    </row>
    <row r="147" spans="1:23" ht="13.2">
      <c r="A147" s="1" t="str">
        <f ca="1">IFERROR(__xludf.DUMMYFUNCTION("""COMPUTED_VALUE"""),"CA-2016-144267")</f>
        <v>CA-2016-144267</v>
      </c>
      <c r="B147" s="8">
        <f ca="1">IFERROR(__xludf.DUMMYFUNCTION("""COMPUTED_VALUE"""),42603)</f>
        <v>42603</v>
      </c>
      <c r="C147" s="1" t="str">
        <f ca="1">IFERROR(__xludf.DUMMYFUNCTION("""COMPUTED_VALUE"""),"Aug")</f>
        <v>Aug</v>
      </c>
      <c r="D147" s="1" t="str">
        <f ca="1">IFERROR(__xludf.DUMMYFUNCTION("""COMPUTED_VALUE"""),"Qtr 3")</f>
        <v>Qtr 3</v>
      </c>
      <c r="E147" s="1" t="str">
        <f ca="1">IFERROR(__xludf.DUMMYFUNCTION("""COMPUTED_VALUE"""),"23/08/2016")</f>
        <v>23/08/2016</v>
      </c>
      <c r="F147" s="1" t="str">
        <f ca="1">IFERROR(__xludf.DUMMYFUNCTION("""COMPUTED_VALUE"""),"First Class")</f>
        <v>First Class</v>
      </c>
      <c r="G147" s="1" t="str">
        <f ca="1">IFERROR(__xludf.DUMMYFUNCTION("""COMPUTED_VALUE"""),"NZ-18565")</f>
        <v>NZ-18565</v>
      </c>
      <c r="H147" s="1" t="str">
        <f ca="1">IFERROR(__xludf.DUMMYFUNCTION("""COMPUTED_VALUE"""),"Nick")</f>
        <v>Nick</v>
      </c>
      <c r="I147" s="1" t="str">
        <f ca="1">IFERROR(__xludf.DUMMYFUNCTION("""COMPUTED_VALUE"""),"Zandusky")</f>
        <v>Zandusky</v>
      </c>
      <c r="J147" s="1"/>
      <c r="K147" s="1" t="str">
        <f ca="1">IFERROR(__xludf.DUMMYFUNCTION("""COMPUTED_VALUE"""),"Home Office")</f>
        <v>Home Office</v>
      </c>
      <c r="L147" s="1" t="str">
        <f ca="1">IFERROR(__xludf.DUMMYFUNCTION("""COMPUTED_VALUE"""),"United States")</f>
        <v>United States</v>
      </c>
      <c r="M147" s="1" t="str">
        <f ca="1">IFERROR(__xludf.DUMMYFUNCTION("""COMPUTED_VALUE"""),"San Francisco")</f>
        <v>San Francisco</v>
      </c>
      <c r="N147" s="1" t="str">
        <f ca="1">IFERROR(__xludf.DUMMYFUNCTION("""COMPUTED_VALUE"""),"California")</f>
        <v>California</v>
      </c>
      <c r="O147" s="1">
        <f ca="1">IFERROR(__xludf.DUMMYFUNCTION("""COMPUTED_VALUE"""),94110)</f>
        <v>94110</v>
      </c>
      <c r="P147" s="1" t="str">
        <f ca="1">IFERROR(__xludf.DUMMYFUNCTION("""COMPUTED_VALUE"""),"West")</f>
        <v>West</v>
      </c>
      <c r="Q147" s="1" t="str">
        <f ca="1">IFERROR(__xludf.DUMMYFUNCTION("""COMPUTED_VALUE"""),"OFF-PA-10001947")</f>
        <v>OFF-PA-10001947</v>
      </c>
      <c r="R147" s="1" t="str">
        <f ca="1">IFERROR(__xludf.DUMMYFUNCTION("""COMPUTED_VALUE"""),"Office Supplies")</f>
        <v>Office Supplies</v>
      </c>
      <c r="S147" s="7">
        <f ca="1">IFERROR(__xludf.DUMMYFUNCTION("""COMPUTED_VALUE"""),23.92)</f>
        <v>23.92</v>
      </c>
      <c r="T147" s="1">
        <f ca="1">IFERROR(__xludf.DUMMYFUNCTION("""COMPUTED_VALUE"""),9)</f>
        <v>9</v>
      </c>
      <c r="U147" s="9">
        <f ca="1">IFERROR(__xludf.DUMMYFUNCTION("""COMPUTED_VALUE"""),215.28)</f>
        <v>215.28</v>
      </c>
      <c r="V147" s="9">
        <f ca="1">IFERROR(__xludf.DUMMYFUNCTION("""COMPUTED_VALUE"""),212.49)</f>
        <v>212.49</v>
      </c>
      <c r="W147" s="12">
        <f ca="1">IFERROR(__xludf.DUMMYFUNCTION("""COMPUTED_VALUE"""),2.79000000000002)</f>
        <v>2.79000000000002</v>
      </c>
    </row>
    <row r="148" spans="1:23" ht="13.2">
      <c r="A148" s="1" t="str">
        <f ca="1">IFERROR(__xludf.DUMMYFUNCTION("""COMPUTED_VALUE"""),"CA-2016-144267")</f>
        <v>CA-2016-144267</v>
      </c>
      <c r="B148" s="8">
        <f ca="1">IFERROR(__xludf.DUMMYFUNCTION("""COMPUTED_VALUE"""),42603)</f>
        <v>42603</v>
      </c>
      <c r="C148" s="1" t="str">
        <f ca="1">IFERROR(__xludf.DUMMYFUNCTION("""COMPUTED_VALUE"""),"Aug")</f>
        <v>Aug</v>
      </c>
      <c r="D148" s="1" t="str">
        <f ca="1">IFERROR(__xludf.DUMMYFUNCTION("""COMPUTED_VALUE"""),"Qtr 3")</f>
        <v>Qtr 3</v>
      </c>
      <c r="E148" s="1" t="str">
        <f ca="1">IFERROR(__xludf.DUMMYFUNCTION("""COMPUTED_VALUE"""),"23/08/2016")</f>
        <v>23/08/2016</v>
      </c>
      <c r="F148" s="1" t="str">
        <f ca="1">IFERROR(__xludf.DUMMYFUNCTION("""COMPUTED_VALUE"""),"First Class")</f>
        <v>First Class</v>
      </c>
      <c r="G148" s="1" t="str">
        <f ca="1">IFERROR(__xludf.DUMMYFUNCTION("""COMPUTED_VALUE"""),"NZ-18565")</f>
        <v>NZ-18565</v>
      </c>
      <c r="H148" s="1" t="str">
        <f ca="1">IFERROR(__xludf.DUMMYFUNCTION("""COMPUTED_VALUE"""),"Nick")</f>
        <v>Nick</v>
      </c>
      <c r="I148" s="1" t="str">
        <f ca="1">IFERROR(__xludf.DUMMYFUNCTION("""COMPUTED_VALUE"""),"Zandusky")</f>
        <v>Zandusky</v>
      </c>
      <c r="J148" s="1"/>
      <c r="K148" s="1" t="str">
        <f ca="1">IFERROR(__xludf.DUMMYFUNCTION("""COMPUTED_VALUE"""),"Home Office")</f>
        <v>Home Office</v>
      </c>
      <c r="L148" s="1" t="str">
        <f ca="1">IFERROR(__xludf.DUMMYFUNCTION("""COMPUTED_VALUE"""),"United States")</f>
        <v>United States</v>
      </c>
      <c r="M148" s="1" t="str">
        <f ca="1">IFERROR(__xludf.DUMMYFUNCTION("""COMPUTED_VALUE"""),"San Francisco")</f>
        <v>San Francisco</v>
      </c>
      <c r="N148" s="1" t="str">
        <f ca="1">IFERROR(__xludf.DUMMYFUNCTION("""COMPUTED_VALUE"""),"California")</f>
        <v>California</v>
      </c>
      <c r="O148" s="1">
        <f ca="1">IFERROR(__xludf.DUMMYFUNCTION("""COMPUTED_VALUE"""),94110)</f>
        <v>94110</v>
      </c>
      <c r="P148" s="1" t="str">
        <f ca="1">IFERROR(__xludf.DUMMYFUNCTION("""COMPUTED_VALUE"""),"West")</f>
        <v>West</v>
      </c>
      <c r="Q148" s="1" t="str">
        <f ca="1">IFERROR(__xludf.DUMMYFUNCTION("""COMPUTED_VALUE"""),"OFF-PA-10003657")</f>
        <v>OFF-PA-10003657</v>
      </c>
      <c r="R148" s="1" t="str">
        <f ca="1">IFERROR(__xludf.DUMMYFUNCTION("""COMPUTED_VALUE"""),"Office Supplies")</f>
        <v>Office Supplies</v>
      </c>
      <c r="S148" s="7">
        <f ca="1">IFERROR(__xludf.DUMMYFUNCTION("""COMPUTED_VALUE"""),4.28)</f>
        <v>4.28</v>
      </c>
      <c r="T148" s="1">
        <f ca="1">IFERROR(__xludf.DUMMYFUNCTION("""COMPUTED_VALUE"""),9)</f>
        <v>9</v>
      </c>
      <c r="U148" s="9">
        <f ca="1">IFERROR(__xludf.DUMMYFUNCTION("""COMPUTED_VALUE"""),38.52)</f>
        <v>38.520000000000003</v>
      </c>
      <c r="V148" s="9">
        <f ca="1">IFERROR(__xludf.DUMMYFUNCTION("""COMPUTED_VALUE"""),36.63)</f>
        <v>36.630000000000003</v>
      </c>
      <c r="W148" s="12">
        <f ca="1">IFERROR(__xludf.DUMMYFUNCTION("""COMPUTED_VALUE"""),1.89)</f>
        <v>1.89</v>
      </c>
    </row>
    <row r="149" spans="1:23" ht="13.2">
      <c r="A149" s="1" t="str">
        <f ca="1">IFERROR(__xludf.DUMMYFUNCTION("""COMPUTED_VALUE"""),"CA-2018-129567")</f>
        <v>CA-2018-129567</v>
      </c>
      <c r="B149" s="8">
        <f ca="1">IFERROR(__xludf.DUMMYFUNCTION("""COMPUTED_VALUE"""),43176)</f>
        <v>43176</v>
      </c>
      <c r="C149" s="1" t="str">
        <f ca="1">IFERROR(__xludf.DUMMYFUNCTION("""COMPUTED_VALUE"""),"Mar")</f>
        <v>Mar</v>
      </c>
      <c r="D149" s="1" t="str">
        <f ca="1">IFERROR(__xludf.DUMMYFUNCTION("""COMPUTED_VALUE"""),"Qtr 1")</f>
        <v>Qtr 1</v>
      </c>
      <c r="E149" s="1" t="str">
        <f ca="1">IFERROR(__xludf.DUMMYFUNCTION("""COMPUTED_VALUE"""),"21/03/2018")</f>
        <v>21/03/2018</v>
      </c>
      <c r="F149" s="1" t="str">
        <f ca="1">IFERROR(__xludf.DUMMYFUNCTION("""COMPUTED_VALUE"""),"Second Class")</f>
        <v>Second Class</v>
      </c>
      <c r="G149" s="1" t="str">
        <f ca="1">IFERROR(__xludf.DUMMYFUNCTION("""COMPUTED_VALUE"""),"CL-12565")</f>
        <v>CL-12565</v>
      </c>
      <c r="H149" s="1" t="str">
        <f ca="1">IFERROR(__xludf.DUMMYFUNCTION("""COMPUTED_VALUE"""),"Clay")</f>
        <v>Clay</v>
      </c>
      <c r="I149" s="1" t="str">
        <f ca="1">IFERROR(__xludf.DUMMYFUNCTION("""COMPUTED_VALUE"""),"Ludtke")</f>
        <v>Ludtke</v>
      </c>
      <c r="J149" s="1"/>
      <c r="K149" s="1" t="str">
        <f ca="1">IFERROR(__xludf.DUMMYFUNCTION("""COMPUTED_VALUE"""),"Consumer")</f>
        <v>Consumer</v>
      </c>
      <c r="L149" s="1" t="str">
        <f ca="1">IFERROR(__xludf.DUMMYFUNCTION("""COMPUTED_VALUE"""),"United States")</f>
        <v>United States</v>
      </c>
      <c r="M149" s="1" t="str">
        <f ca="1">IFERROR(__xludf.DUMMYFUNCTION("""COMPUTED_VALUE"""),"Lancaster")</f>
        <v>Lancaster</v>
      </c>
      <c r="N149" s="1" t="str">
        <f ca="1">IFERROR(__xludf.DUMMYFUNCTION("""COMPUTED_VALUE"""),"California")</f>
        <v>California</v>
      </c>
      <c r="O149" s="1">
        <f ca="1">IFERROR(__xludf.DUMMYFUNCTION("""COMPUTED_VALUE"""),93534)</f>
        <v>93534</v>
      </c>
      <c r="P149" s="1" t="str">
        <f ca="1">IFERROR(__xludf.DUMMYFUNCTION("""COMPUTED_VALUE"""),"West")</f>
        <v>West</v>
      </c>
      <c r="Q149" s="1" t="str">
        <f ca="1">IFERROR(__xludf.DUMMYFUNCTION("""COMPUTED_VALUE"""),"OFF-BI-10000014")</f>
        <v>OFF-BI-10000014</v>
      </c>
      <c r="R149" s="1" t="str">
        <f ca="1">IFERROR(__xludf.DUMMYFUNCTION("""COMPUTED_VALUE"""),"Office Supplies")</f>
        <v>Office Supplies</v>
      </c>
      <c r="S149" s="7">
        <f ca="1">IFERROR(__xludf.DUMMYFUNCTION("""COMPUTED_VALUE"""),17.456)</f>
        <v>17.456</v>
      </c>
      <c r="T149" s="1">
        <f ca="1">IFERROR(__xludf.DUMMYFUNCTION("""COMPUTED_VALUE"""),9)</f>
        <v>9</v>
      </c>
      <c r="U149" s="9">
        <f ca="1">IFERROR(__xludf.DUMMYFUNCTION("""COMPUTED_VALUE"""),157.103999999999)</f>
        <v>157.10399999999899</v>
      </c>
      <c r="V149" s="9">
        <f ca="1">IFERROR(__xludf.DUMMYFUNCTION("""COMPUTED_VALUE"""),152.64)</f>
        <v>152.63999999999999</v>
      </c>
      <c r="W149" s="12">
        <f ca="1">IFERROR(__xludf.DUMMYFUNCTION("""COMPUTED_VALUE"""),4.46399999999997)</f>
        <v>4.4639999999999702</v>
      </c>
    </row>
    <row r="150" spans="1:23" ht="13.2">
      <c r="A150" s="1" t="str">
        <f ca="1">IFERROR(__xludf.DUMMYFUNCTION("""COMPUTED_VALUE"""),"CA-2016-154620")</f>
        <v>CA-2016-154620</v>
      </c>
      <c r="B150" s="8">
        <f ca="1">IFERROR(__xludf.DUMMYFUNCTION("""COMPUTED_VALUE"""),42716)</f>
        <v>42716</v>
      </c>
      <c r="C150" s="1" t="str">
        <f ca="1">IFERROR(__xludf.DUMMYFUNCTION("""COMPUTED_VALUE"""),"Dec")</f>
        <v>Dec</v>
      </c>
      <c r="D150" s="1" t="str">
        <f ca="1">IFERROR(__xludf.DUMMYFUNCTION("""COMPUTED_VALUE"""),"Qtr 4")</f>
        <v>Qtr 4</v>
      </c>
      <c r="E150" s="1" t="str">
        <f ca="1">IFERROR(__xludf.DUMMYFUNCTION("""COMPUTED_VALUE"""),"16/12/2016")</f>
        <v>16/12/2016</v>
      </c>
      <c r="F150" s="1" t="str">
        <f ca="1">IFERROR(__xludf.DUMMYFUNCTION("""COMPUTED_VALUE"""),"Standard Class")</f>
        <v>Standard Class</v>
      </c>
      <c r="G150" s="1" t="str">
        <f ca="1">IFERROR(__xludf.DUMMYFUNCTION("""COMPUTED_VALUE"""),"LT-17110")</f>
        <v>LT-17110</v>
      </c>
      <c r="H150" s="1" t="str">
        <f ca="1">IFERROR(__xludf.DUMMYFUNCTION("""COMPUTED_VALUE"""),"Liz")</f>
        <v>Liz</v>
      </c>
      <c r="I150" s="1" t="str">
        <f ca="1">IFERROR(__xludf.DUMMYFUNCTION("""COMPUTED_VALUE"""),"Thompson")</f>
        <v>Thompson</v>
      </c>
      <c r="J150" s="1"/>
      <c r="K150" s="1" t="str">
        <f ca="1">IFERROR(__xludf.DUMMYFUNCTION("""COMPUTED_VALUE"""),"Consumer")</f>
        <v>Consumer</v>
      </c>
      <c r="L150" s="1" t="str">
        <f ca="1">IFERROR(__xludf.DUMMYFUNCTION("""COMPUTED_VALUE"""),"United States")</f>
        <v>United States</v>
      </c>
      <c r="M150" s="1" t="str">
        <f ca="1">IFERROR(__xludf.DUMMYFUNCTION("""COMPUTED_VALUE"""),"Lancaster")</f>
        <v>Lancaster</v>
      </c>
      <c r="N150" s="1" t="str">
        <f ca="1">IFERROR(__xludf.DUMMYFUNCTION("""COMPUTED_VALUE"""),"California")</f>
        <v>California</v>
      </c>
      <c r="O150" s="1">
        <f ca="1">IFERROR(__xludf.DUMMYFUNCTION("""COMPUTED_VALUE"""),93534)</f>
        <v>93534</v>
      </c>
      <c r="P150" s="1" t="str">
        <f ca="1">IFERROR(__xludf.DUMMYFUNCTION("""COMPUTED_VALUE"""),"West")</f>
        <v>West</v>
      </c>
      <c r="Q150" s="1" t="str">
        <f ca="1">IFERROR(__xludf.DUMMYFUNCTION("""COMPUTED_VALUE"""),"FUR-CH-10004675")</f>
        <v>FUR-CH-10004675</v>
      </c>
      <c r="R150" s="1" t="str">
        <f ca="1">IFERROR(__xludf.DUMMYFUNCTION("""COMPUTED_VALUE"""),"Furniture")</f>
        <v>Furniture</v>
      </c>
      <c r="S150" s="7">
        <f ca="1">IFERROR(__xludf.DUMMYFUNCTION("""COMPUTED_VALUE"""),348.928)</f>
        <v>348.928</v>
      </c>
      <c r="T150" s="1">
        <f ca="1">IFERROR(__xludf.DUMMYFUNCTION("""COMPUTED_VALUE"""),9)</f>
        <v>9</v>
      </c>
      <c r="U150" s="9">
        <f ca="1">IFERROR(__xludf.DUMMYFUNCTION("""COMPUTED_VALUE"""),3140.352)</f>
        <v>3140.3519999999999</v>
      </c>
      <c r="V150" s="9">
        <f ca="1">IFERROR(__xludf.DUMMYFUNCTION("""COMPUTED_VALUE"""),3137.49)</f>
        <v>3137.49</v>
      </c>
      <c r="W150" s="12">
        <f ca="1">IFERROR(__xludf.DUMMYFUNCTION("""COMPUTED_VALUE"""),2.86199999999962)</f>
        <v>2.86199999999962</v>
      </c>
    </row>
    <row r="151" spans="1:23" ht="13.2">
      <c r="A151" s="1" t="str">
        <f ca="1">IFERROR(__xludf.DUMMYFUNCTION("""COMPUTED_VALUE"""),"CA-2015-156433")</f>
        <v>CA-2015-156433</v>
      </c>
      <c r="B151" s="8">
        <f ca="1">IFERROR(__xludf.DUMMYFUNCTION("""COMPUTED_VALUE"""),42267)</f>
        <v>42267</v>
      </c>
      <c r="C151" s="1" t="str">
        <f ca="1">IFERROR(__xludf.DUMMYFUNCTION("""COMPUTED_VALUE"""),"Sep")</f>
        <v>Sep</v>
      </c>
      <c r="D151" s="1" t="str">
        <f ca="1">IFERROR(__xludf.DUMMYFUNCTION("""COMPUTED_VALUE"""),"Qtr 3")</f>
        <v>Qtr 3</v>
      </c>
      <c r="E151" s="1" t="str">
        <f ca="1">IFERROR(__xludf.DUMMYFUNCTION("""COMPUTED_VALUE"""),"26/09/2015")</f>
        <v>26/09/2015</v>
      </c>
      <c r="F151" s="1" t="str">
        <f ca="1">IFERROR(__xludf.DUMMYFUNCTION("""COMPUTED_VALUE"""),"Standard Class")</f>
        <v>Standard Class</v>
      </c>
      <c r="G151" s="1" t="str">
        <f ca="1">IFERROR(__xludf.DUMMYFUNCTION("""COMPUTED_VALUE"""),"ES-14020")</f>
        <v>ES-14020</v>
      </c>
      <c r="H151" s="1" t="str">
        <f ca="1">IFERROR(__xludf.DUMMYFUNCTION("""COMPUTED_VALUE"""),"Erica")</f>
        <v>Erica</v>
      </c>
      <c r="I151" s="1" t="str">
        <f ca="1">IFERROR(__xludf.DUMMYFUNCTION("""COMPUTED_VALUE"""),"Smith")</f>
        <v>Smith</v>
      </c>
      <c r="J151" s="1"/>
      <c r="K151" s="1" t="str">
        <f ca="1">IFERROR(__xludf.DUMMYFUNCTION("""COMPUTED_VALUE"""),"Consumer")</f>
        <v>Consumer</v>
      </c>
      <c r="L151" s="1" t="str">
        <f ca="1">IFERROR(__xludf.DUMMYFUNCTION("""COMPUTED_VALUE"""),"United States")</f>
        <v>United States</v>
      </c>
      <c r="M151" s="1" t="str">
        <f ca="1">IFERROR(__xludf.DUMMYFUNCTION("""COMPUTED_VALUE"""),"San Francisco")</f>
        <v>San Francisco</v>
      </c>
      <c r="N151" s="1" t="str">
        <f ca="1">IFERROR(__xludf.DUMMYFUNCTION("""COMPUTED_VALUE"""),"California")</f>
        <v>California</v>
      </c>
      <c r="O151" s="1">
        <f ca="1">IFERROR(__xludf.DUMMYFUNCTION("""COMPUTED_VALUE"""),94110)</f>
        <v>94110</v>
      </c>
      <c r="P151" s="1" t="str">
        <f ca="1">IFERROR(__xludf.DUMMYFUNCTION("""COMPUTED_VALUE"""),"West")</f>
        <v>West</v>
      </c>
      <c r="Q151" s="1" t="str">
        <f ca="1">IFERROR(__xludf.DUMMYFUNCTION("""COMPUTED_VALUE"""),"OFF-LA-10001569")</f>
        <v>OFF-LA-10001569</v>
      </c>
      <c r="R151" s="1" t="str">
        <f ca="1">IFERROR(__xludf.DUMMYFUNCTION("""COMPUTED_VALUE"""),"Office Supplies")</f>
        <v>Office Supplies</v>
      </c>
      <c r="S151" s="7">
        <f ca="1">IFERROR(__xludf.DUMMYFUNCTION("""COMPUTED_VALUE"""),9.96)</f>
        <v>9.9600000000000009</v>
      </c>
      <c r="T151" s="1">
        <f ca="1">IFERROR(__xludf.DUMMYFUNCTION("""COMPUTED_VALUE"""),9)</f>
        <v>9</v>
      </c>
      <c r="U151" s="9">
        <f ca="1">IFERROR(__xludf.DUMMYFUNCTION("""COMPUTED_VALUE"""),89.64)</f>
        <v>89.64</v>
      </c>
      <c r="V151" s="9">
        <f ca="1">IFERROR(__xludf.DUMMYFUNCTION("""COMPUTED_VALUE"""),80.73)</f>
        <v>80.73</v>
      </c>
      <c r="W151" s="12">
        <f ca="1">IFERROR(__xludf.DUMMYFUNCTION("""COMPUTED_VALUE"""),8.91000000000001)</f>
        <v>8.9100000000000108</v>
      </c>
    </row>
    <row r="152" spans="1:23" ht="13.2">
      <c r="A152" s="1" t="str">
        <f ca="1">IFERROR(__xludf.DUMMYFUNCTION("""COMPUTED_VALUE"""),"CA-2015-156433")</f>
        <v>CA-2015-156433</v>
      </c>
      <c r="B152" s="8">
        <f ca="1">IFERROR(__xludf.DUMMYFUNCTION("""COMPUTED_VALUE"""),42267)</f>
        <v>42267</v>
      </c>
      <c r="C152" s="1" t="str">
        <f ca="1">IFERROR(__xludf.DUMMYFUNCTION("""COMPUTED_VALUE"""),"Sep")</f>
        <v>Sep</v>
      </c>
      <c r="D152" s="1" t="str">
        <f ca="1">IFERROR(__xludf.DUMMYFUNCTION("""COMPUTED_VALUE"""),"Qtr 3")</f>
        <v>Qtr 3</v>
      </c>
      <c r="E152" s="1" t="str">
        <f ca="1">IFERROR(__xludf.DUMMYFUNCTION("""COMPUTED_VALUE"""),"26/09/2015")</f>
        <v>26/09/2015</v>
      </c>
      <c r="F152" s="1" t="str">
        <f ca="1">IFERROR(__xludf.DUMMYFUNCTION("""COMPUTED_VALUE"""),"Standard Class")</f>
        <v>Standard Class</v>
      </c>
      <c r="G152" s="1" t="str">
        <f ca="1">IFERROR(__xludf.DUMMYFUNCTION("""COMPUTED_VALUE"""),"ES-14020")</f>
        <v>ES-14020</v>
      </c>
      <c r="H152" s="1" t="str">
        <f ca="1">IFERROR(__xludf.DUMMYFUNCTION("""COMPUTED_VALUE"""),"Erica")</f>
        <v>Erica</v>
      </c>
      <c r="I152" s="1" t="str">
        <f ca="1">IFERROR(__xludf.DUMMYFUNCTION("""COMPUTED_VALUE"""),"Smith")</f>
        <v>Smith</v>
      </c>
      <c r="J152" s="1"/>
      <c r="K152" s="1" t="str">
        <f ca="1">IFERROR(__xludf.DUMMYFUNCTION("""COMPUTED_VALUE"""),"Consumer")</f>
        <v>Consumer</v>
      </c>
      <c r="L152" s="1" t="str">
        <f ca="1">IFERROR(__xludf.DUMMYFUNCTION("""COMPUTED_VALUE"""),"United States")</f>
        <v>United States</v>
      </c>
      <c r="M152" s="1" t="str">
        <f ca="1">IFERROR(__xludf.DUMMYFUNCTION("""COMPUTED_VALUE"""),"San Francisco")</f>
        <v>San Francisco</v>
      </c>
      <c r="N152" s="1" t="str">
        <f ca="1">IFERROR(__xludf.DUMMYFUNCTION("""COMPUTED_VALUE"""),"California")</f>
        <v>California</v>
      </c>
      <c r="O152" s="1">
        <f ca="1">IFERROR(__xludf.DUMMYFUNCTION("""COMPUTED_VALUE"""),94110)</f>
        <v>94110</v>
      </c>
      <c r="P152" s="1" t="str">
        <f ca="1">IFERROR(__xludf.DUMMYFUNCTION("""COMPUTED_VALUE"""),"West")</f>
        <v>West</v>
      </c>
      <c r="Q152" s="1" t="str">
        <f ca="1">IFERROR(__xludf.DUMMYFUNCTION("""COMPUTED_VALUE"""),"OFF-PA-10003724")</f>
        <v>OFF-PA-10003724</v>
      </c>
      <c r="R152" s="1" t="str">
        <f ca="1">IFERROR(__xludf.DUMMYFUNCTION("""COMPUTED_VALUE"""),"Office Supplies")</f>
        <v>Office Supplies</v>
      </c>
      <c r="S152" s="7">
        <f ca="1">IFERROR(__xludf.DUMMYFUNCTION("""COMPUTED_VALUE"""),21.72)</f>
        <v>21.72</v>
      </c>
      <c r="T152" s="1">
        <f ca="1">IFERROR(__xludf.DUMMYFUNCTION("""COMPUTED_VALUE"""),9)</f>
        <v>9</v>
      </c>
      <c r="U152" s="9">
        <f ca="1">IFERROR(__xludf.DUMMYFUNCTION("""COMPUTED_VALUE"""),195.48)</f>
        <v>195.48</v>
      </c>
      <c r="V152" s="9">
        <f ca="1">IFERROR(__xludf.DUMMYFUNCTION("""COMPUTED_VALUE"""),191.7)</f>
        <v>191.7</v>
      </c>
      <c r="W152" s="12">
        <f ca="1">IFERROR(__xludf.DUMMYFUNCTION("""COMPUTED_VALUE"""),3.77999999999997)</f>
        <v>3.7799999999999701</v>
      </c>
    </row>
    <row r="153" spans="1:23" ht="13.2">
      <c r="A153" s="1" t="str">
        <f ca="1">IFERROR(__xludf.DUMMYFUNCTION("""COMPUTED_VALUE"""),"CA-2016-101910")</f>
        <v>CA-2016-101910</v>
      </c>
      <c r="B153" s="8">
        <f ca="1">IFERROR(__xludf.DUMMYFUNCTION("""COMPUTED_VALUE"""),42701)</f>
        <v>42701</v>
      </c>
      <c r="C153" s="1" t="str">
        <f ca="1">IFERROR(__xludf.DUMMYFUNCTION("""COMPUTED_VALUE"""),"Nov")</f>
        <v>Nov</v>
      </c>
      <c r="D153" s="1" t="str">
        <f ca="1">IFERROR(__xludf.DUMMYFUNCTION("""COMPUTED_VALUE"""),"Qtr 4")</f>
        <v>Qtr 4</v>
      </c>
      <c r="E153" s="1" t="str">
        <f ca="1">IFERROR(__xludf.DUMMYFUNCTION("""COMPUTED_VALUE"""),"3/12/2016")</f>
        <v>3/12/2016</v>
      </c>
      <c r="F153" s="1" t="str">
        <f ca="1">IFERROR(__xludf.DUMMYFUNCTION("""COMPUTED_VALUE"""),"Standard Class")</f>
        <v>Standard Class</v>
      </c>
      <c r="G153" s="1" t="str">
        <f ca="1">IFERROR(__xludf.DUMMYFUNCTION("""COMPUTED_VALUE"""),"CD-11920")</f>
        <v>CD-11920</v>
      </c>
      <c r="H153" s="1" t="str">
        <f ca="1">IFERROR(__xludf.DUMMYFUNCTION("""COMPUTED_VALUE"""),"Carlos")</f>
        <v>Carlos</v>
      </c>
      <c r="I153" s="1" t="str">
        <f ca="1">IFERROR(__xludf.DUMMYFUNCTION("""COMPUTED_VALUE"""),"Daly")</f>
        <v>Daly</v>
      </c>
      <c r="J153" s="1"/>
      <c r="K153" s="1" t="str">
        <f ca="1">IFERROR(__xludf.DUMMYFUNCTION("""COMPUTED_VALUE"""),"Consumer")</f>
        <v>Consumer</v>
      </c>
      <c r="L153" s="1" t="str">
        <f ca="1">IFERROR(__xludf.DUMMYFUNCTION("""COMPUTED_VALUE"""),"United States")</f>
        <v>United States</v>
      </c>
      <c r="M153" s="1" t="str">
        <f ca="1">IFERROR(__xludf.DUMMYFUNCTION("""COMPUTED_VALUE"""),"Lake Elsinore")</f>
        <v>Lake Elsinore</v>
      </c>
      <c r="N153" s="1" t="str">
        <f ca="1">IFERROR(__xludf.DUMMYFUNCTION("""COMPUTED_VALUE"""),"California")</f>
        <v>California</v>
      </c>
      <c r="O153" s="1">
        <f ca="1">IFERROR(__xludf.DUMMYFUNCTION("""COMPUTED_VALUE"""),92530)</f>
        <v>92530</v>
      </c>
      <c r="P153" s="1" t="str">
        <f ca="1">IFERROR(__xludf.DUMMYFUNCTION("""COMPUTED_VALUE"""),"West")</f>
        <v>West</v>
      </c>
      <c r="Q153" s="1" t="str">
        <f ca="1">IFERROR(__xludf.DUMMYFUNCTION("""COMPUTED_VALUE"""),"FUR-CH-10002647")</f>
        <v>FUR-CH-10002647</v>
      </c>
      <c r="R153" s="1" t="str">
        <f ca="1">IFERROR(__xludf.DUMMYFUNCTION("""COMPUTED_VALUE"""),"Furniture")</f>
        <v>Furniture</v>
      </c>
      <c r="S153" s="7">
        <f ca="1">IFERROR(__xludf.DUMMYFUNCTION("""COMPUTED_VALUE"""),283.92)</f>
        <v>283.92</v>
      </c>
      <c r="T153" s="1">
        <f ca="1">IFERROR(__xludf.DUMMYFUNCTION("""COMPUTED_VALUE"""),9)</f>
        <v>9</v>
      </c>
      <c r="U153" s="9">
        <f ca="1">IFERROR(__xludf.DUMMYFUNCTION("""COMPUTED_VALUE"""),2555.28)</f>
        <v>2555.2800000000002</v>
      </c>
      <c r="V153" s="9">
        <f ca="1">IFERROR(__xludf.DUMMYFUNCTION("""COMPUTED_VALUE"""),2546.91)</f>
        <v>2546.91</v>
      </c>
      <c r="W153" s="12">
        <f ca="1">IFERROR(__xludf.DUMMYFUNCTION("""COMPUTED_VALUE"""),8.37000000000034)</f>
        <v>8.3700000000003403</v>
      </c>
    </row>
    <row r="154" spans="1:23" ht="13.2">
      <c r="A154" s="1" t="str">
        <f ca="1">IFERROR(__xludf.DUMMYFUNCTION("""COMPUTED_VALUE"""),"CA-2018-105809")</f>
        <v>CA-2018-105809</v>
      </c>
      <c r="B154" s="8">
        <f ca="1">IFERROR(__xludf.DUMMYFUNCTION("""COMPUTED_VALUE"""),43151)</f>
        <v>43151</v>
      </c>
      <c r="C154" s="1" t="str">
        <f ca="1">IFERROR(__xludf.DUMMYFUNCTION("""COMPUTED_VALUE"""),"Feb")</f>
        <v>Feb</v>
      </c>
      <c r="D154" s="1" t="str">
        <f ca="1">IFERROR(__xludf.DUMMYFUNCTION("""COMPUTED_VALUE"""),"Qtr 1")</f>
        <v>Qtr 1</v>
      </c>
      <c r="E154" s="1" t="str">
        <f ca="1">IFERROR(__xludf.DUMMYFUNCTION("""COMPUTED_VALUE"""),"23/02/2018")</f>
        <v>23/02/2018</v>
      </c>
      <c r="F154" s="1" t="str">
        <f ca="1">IFERROR(__xludf.DUMMYFUNCTION("""COMPUTED_VALUE"""),"First Class")</f>
        <v>First Class</v>
      </c>
      <c r="G154" s="1" t="str">
        <f ca="1">IFERROR(__xludf.DUMMYFUNCTION("""COMPUTED_VALUE"""),"HW-14935")</f>
        <v>HW-14935</v>
      </c>
      <c r="H154" s="1" t="str">
        <f ca="1">IFERROR(__xludf.DUMMYFUNCTION("""COMPUTED_VALUE"""),"Helen")</f>
        <v>Helen</v>
      </c>
      <c r="I154" s="1" t="str">
        <f ca="1">IFERROR(__xludf.DUMMYFUNCTION("""COMPUTED_VALUE"""),"Wasserman")</f>
        <v>Wasserman</v>
      </c>
      <c r="J154" s="1"/>
      <c r="K154" s="1" t="str">
        <f ca="1">IFERROR(__xludf.DUMMYFUNCTION("""COMPUTED_VALUE"""),"Corporate")</f>
        <v>Corporate</v>
      </c>
      <c r="L154" s="1" t="str">
        <f ca="1">IFERROR(__xludf.DUMMYFUNCTION("""COMPUTED_VALUE"""),"United States")</f>
        <v>United States</v>
      </c>
      <c r="M154" s="1" t="str">
        <f ca="1">IFERROR(__xludf.DUMMYFUNCTION("""COMPUTED_VALUE"""),"San Diego")</f>
        <v>San Diego</v>
      </c>
      <c r="N154" s="1" t="str">
        <f ca="1">IFERROR(__xludf.DUMMYFUNCTION("""COMPUTED_VALUE"""),"California")</f>
        <v>California</v>
      </c>
      <c r="O154" s="1">
        <f ca="1">IFERROR(__xludf.DUMMYFUNCTION("""COMPUTED_VALUE"""),92105)</f>
        <v>92105</v>
      </c>
      <c r="P154" s="1" t="str">
        <f ca="1">IFERROR(__xludf.DUMMYFUNCTION("""COMPUTED_VALUE"""),"West")</f>
        <v>West</v>
      </c>
      <c r="Q154" s="1" t="str">
        <f ca="1">IFERROR(__xludf.DUMMYFUNCTION("""COMPUTED_VALUE"""),"FUR-FU-10004090")</f>
        <v>FUR-FU-10004090</v>
      </c>
      <c r="R154" s="1" t="str">
        <f ca="1">IFERROR(__xludf.DUMMYFUNCTION("""COMPUTED_VALUE"""),"Furniture")</f>
        <v>Furniture</v>
      </c>
      <c r="S154" s="7">
        <f ca="1">IFERROR(__xludf.DUMMYFUNCTION("""COMPUTED_VALUE"""),22.23)</f>
        <v>22.23</v>
      </c>
      <c r="T154" s="1">
        <f ca="1">IFERROR(__xludf.DUMMYFUNCTION("""COMPUTED_VALUE"""),9)</f>
        <v>9</v>
      </c>
      <c r="U154" s="9">
        <f ca="1">IFERROR(__xludf.DUMMYFUNCTION("""COMPUTED_VALUE"""),200.07)</f>
        <v>200.07</v>
      </c>
      <c r="V154" s="9">
        <f ca="1">IFERROR(__xludf.DUMMYFUNCTION("""COMPUTED_VALUE"""),193.77)</f>
        <v>193.77</v>
      </c>
      <c r="W154" s="12">
        <f ca="1">IFERROR(__xludf.DUMMYFUNCTION("""COMPUTED_VALUE"""),6.29999999999998)</f>
        <v>6.2999999999999803</v>
      </c>
    </row>
    <row r="155" spans="1:23" ht="13.2">
      <c r="A155" s="1" t="str">
        <f ca="1">IFERROR(__xludf.DUMMYFUNCTION("""COMPUTED_VALUE"""),"CA-2018-105809")</f>
        <v>CA-2018-105809</v>
      </c>
      <c r="B155" s="8">
        <f ca="1">IFERROR(__xludf.DUMMYFUNCTION("""COMPUTED_VALUE"""),43151)</f>
        <v>43151</v>
      </c>
      <c r="C155" s="1" t="str">
        <f ca="1">IFERROR(__xludf.DUMMYFUNCTION("""COMPUTED_VALUE"""),"Feb")</f>
        <v>Feb</v>
      </c>
      <c r="D155" s="1" t="str">
        <f ca="1">IFERROR(__xludf.DUMMYFUNCTION("""COMPUTED_VALUE"""),"Qtr 1")</f>
        <v>Qtr 1</v>
      </c>
      <c r="E155" s="1" t="str">
        <f ca="1">IFERROR(__xludf.DUMMYFUNCTION("""COMPUTED_VALUE"""),"23/02/2018")</f>
        <v>23/02/2018</v>
      </c>
      <c r="F155" s="1" t="str">
        <f ca="1">IFERROR(__xludf.DUMMYFUNCTION("""COMPUTED_VALUE"""),"First Class")</f>
        <v>First Class</v>
      </c>
      <c r="G155" s="1" t="str">
        <f ca="1">IFERROR(__xludf.DUMMYFUNCTION("""COMPUTED_VALUE"""),"HW-14935")</f>
        <v>HW-14935</v>
      </c>
      <c r="H155" s="1" t="str">
        <f ca="1">IFERROR(__xludf.DUMMYFUNCTION("""COMPUTED_VALUE"""),"Helen")</f>
        <v>Helen</v>
      </c>
      <c r="I155" s="1" t="str">
        <f ca="1">IFERROR(__xludf.DUMMYFUNCTION("""COMPUTED_VALUE"""),"Wasserman")</f>
        <v>Wasserman</v>
      </c>
      <c r="J155" s="1"/>
      <c r="K155" s="1" t="str">
        <f ca="1">IFERROR(__xludf.DUMMYFUNCTION("""COMPUTED_VALUE"""),"Corporate")</f>
        <v>Corporate</v>
      </c>
      <c r="L155" s="1" t="str">
        <f ca="1">IFERROR(__xludf.DUMMYFUNCTION("""COMPUTED_VALUE"""),"United States")</f>
        <v>United States</v>
      </c>
      <c r="M155" s="1" t="str">
        <f ca="1">IFERROR(__xludf.DUMMYFUNCTION("""COMPUTED_VALUE"""),"San Diego")</f>
        <v>San Diego</v>
      </c>
      <c r="N155" s="1" t="str">
        <f ca="1">IFERROR(__xludf.DUMMYFUNCTION("""COMPUTED_VALUE"""),"California")</f>
        <v>California</v>
      </c>
      <c r="O155" s="1">
        <f ca="1">IFERROR(__xludf.DUMMYFUNCTION("""COMPUTED_VALUE"""),92105)</f>
        <v>92105</v>
      </c>
      <c r="P155" s="1" t="str">
        <f ca="1">IFERROR(__xludf.DUMMYFUNCTION("""COMPUTED_VALUE"""),"West")</f>
        <v>West</v>
      </c>
      <c r="Q155" s="1" t="str">
        <f ca="1">IFERROR(__xludf.DUMMYFUNCTION("""COMPUTED_VALUE"""),"TEC-PH-10001580")</f>
        <v>TEC-PH-10001580</v>
      </c>
      <c r="R155" s="1" t="str">
        <f ca="1">IFERROR(__xludf.DUMMYFUNCTION("""COMPUTED_VALUE"""),"Technology")</f>
        <v>Technology</v>
      </c>
      <c r="S155" s="7">
        <f ca="1">IFERROR(__xludf.DUMMYFUNCTION("""COMPUTED_VALUE"""),215.968)</f>
        <v>215.96799999999999</v>
      </c>
      <c r="T155" s="1">
        <f ca="1">IFERROR(__xludf.DUMMYFUNCTION("""COMPUTED_VALUE"""),9)</f>
        <v>9</v>
      </c>
      <c r="U155" s="9">
        <f ca="1">IFERROR(__xludf.DUMMYFUNCTION("""COMPUTED_VALUE"""),1943.712)</f>
        <v>1943.712</v>
      </c>
      <c r="V155" s="9">
        <f ca="1">IFERROR(__xludf.DUMMYFUNCTION("""COMPUTED_VALUE"""),1939.86)</f>
        <v>1939.86</v>
      </c>
      <c r="W155" s="12">
        <f ca="1">IFERROR(__xludf.DUMMYFUNCTION("""COMPUTED_VALUE"""),3.85200000000008)</f>
        <v>3.8520000000000798</v>
      </c>
    </row>
    <row r="156" spans="1:23" ht="13.2">
      <c r="A156" s="1" t="str">
        <f ca="1">IFERROR(__xludf.DUMMYFUNCTION("""COMPUTED_VALUE"""),"CA-2018-135783")</f>
        <v>CA-2018-135783</v>
      </c>
      <c r="B156" s="8">
        <f ca="1">IFERROR(__xludf.DUMMYFUNCTION("""COMPUTED_VALUE"""),43212)</f>
        <v>43212</v>
      </c>
      <c r="C156" s="1" t="str">
        <f ca="1">IFERROR(__xludf.DUMMYFUNCTION("""COMPUTED_VALUE"""),"Apr")</f>
        <v>Apr</v>
      </c>
      <c r="D156" s="1" t="str">
        <f ca="1">IFERROR(__xludf.DUMMYFUNCTION("""COMPUTED_VALUE"""),"Qtr 2")</f>
        <v>Qtr 2</v>
      </c>
      <c r="E156" s="1" t="str">
        <f ca="1">IFERROR(__xludf.DUMMYFUNCTION("""COMPUTED_VALUE"""),"24/04/2018")</f>
        <v>24/04/2018</v>
      </c>
      <c r="F156" s="1" t="str">
        <f ca="1">IFERROR(__xludf.DUMMYFUNCTION("""COMPUTED_VALUE"""),"First Class")</f>
        <v>First Class</v>
      </c>
      <c r="G156" s="1" t="str">
        <f ca="1">IFERROR(__xludf.DUMMYFUNCTION("""COMPUTED_VALUE"""),"GM-14440")</f>
        <v>GM-14440</v>
      </c>
      <c r="H156" s="1" t="str">
        <f ca="1">IFERROR(__xludf.DUMMYFUNCTION("""COMPUTED_VALUE"""),"Gary")</f>
        <v>Gary</v>
      </c>
      <c r="I156" s="1" t="str">
        <f ca="1">IFERROR(__xludf.DUMMYFUNCTION("""COMPUTED_VALUE"""),"McGarr")</f>
        <v>McGarr</v>
      </c>
      <c r="J156" s="1"/>
      <c r="K156" s="1" t="str">
        <f ca="1">IFERROR(__xludf.DUMMYFUNCTION("""COMPUTED_VALUE"""),"Consumer")</f>
        <v>Consumer</v>
      </c>
      <c r="L156" s="1" t="str">
        <f ca="1">IFERROR(__xludf.DUMMYFUNCTION("""COMPUTED_VALUE"""),"United States")</f>
        <v>United States</v>
      </c>
      <c r="M156" s="1" t="str">
        <f ca="1">IFERROR(__xludf.DUMMYFUNCTION("""COMPUTED_VALUE"""),"San Francisco")</f>
        <v>San Francisco</v>
      </c>
      <c r="N156" s="1" t="str">
        <f ca="1">IFERROR(__xludf.DUMMYFUNCTION("""COMPUTED_VALUE"""),"California")</f>
        <v>California</v>
      </c>
      <c r="O156" s="1">
        <f ca="1">IFERROR(__xludf.DUMMYFUNCTION("""COMPUTED_VALUE"""),94122)</f>
        <v>94122</v>
      </c>
      <c r="P156" s="1" t="str">
        <f ca="1">IFERROR(__xludf.DUMMYFUNCTION("""COMPUTED_VALUE"""),"West")</f>
        <v>West</v>
      </c>
      <c r="Q156" s="1" t="str">
        <f ca="1">IFERROR(__xludf.DUMMYFUNCTION("""COMPUTED_VALUE"""),"FUR-FU-10000794")</f>
        <v>FUR-FU-10000794</v>
      </c>
      <c r="R156" s="1" t="str">
        <f ca="1">IFERROR(__xludf.DUMMYFUNCTION("""COMPUTED_VALUE"""),"Furniture")</f>
        <v>Furniture</v>
      </c>
      <c r="S156" s="7">
        <f ca="1">IFERROR(__xludf.DUMMYFUNCTION("""COMPUTED_VALUE"""),18.28)</f>
        <v>18.28</v>
      </c>
      <c r="T156" s="1">
        <f ca="1">IFERROR(__xludf.DUMMYFUNCTION("""COMPUTED_VALUE"""),9)</f>
        <v>9</v>
      </c>
      <c r="U156" s="9">
        <f ca="1">IFERROR(__xludf.DUMMYFUNCTION("""COMPUTED_VALUE"""),164.52)</f>
        <v>164.52</v>
      </c>
      <c r="V156" s="9">
        <f ca="1">IFERROR(__xludf.DUMMYFUNCTION("""COMPUTED_VALUE"""),158.04)</f>
        <v>158.04</v>
      </c>
      <c r="W156" s="12">
        <f ca="1">IFERROR(__xludf.DUMMYFUNCTION("""COMPUTED_VALUE"""),6.48000000000001)</f>
        <v>6.4800000000000102</v>
      </c>
    </row>
    <row r="157" spans="1:23" ht="13.2">
      <c r="A157" s="1" t="str">
        <f ca="1">IFERROR(__xludf.DUMMYFUNCTION("""COMPUTED_VALUE"""),"CA-2018-143686")</f>
        <v>CA-2018-143686</v>
      </c>
      <c r="B157" s="8">
        <f ca="1">IFERROR(__xludf.DUMMYFUNCTION("""COMPUTED_VALUE"""),43234)</f>
        <v>43234</v>
      </c>
      <c r="C157" s="1" t="str">
        <f ca="1">IFERROR(__xludf.DUMMYFUNCTION("""COMPUTED_VALUE"""),"May")</f>
        <v>May</v>
      </c>
      <c r="D157" s="1" t="str">
        <f ca="1">IFERROR(__xludf.DUMMYFUNCTION("""COMPUTED_VALUE"""),"Qtr 2")</f>
        <v>Qtr 2</v>
      </c>
      <c r="E157" s="1" t="str">
        <f ca="1">IFERROR(__xludf.DUMMYFUNCTION("""COMPUTED_VALUE"""),"14/05/2018")</f>
        <v>14/05/2018</v>
      </c>
      <c r="F157" s="1" t="str">
        <f ca="1">IFERROR(__xludf.DUMMYFUNCTION("""COMPUTED_VALUE"""),"Same Day")</f>
        <v>Same Day</v>
      </c>
      <c r="G157" s="1" t="str">
        <f ca="1">IFERROR(__xludf.DUMMYFUNCTION("""COMPUTED_VALUE"""),"PJ-19015")</f>
        <v>PJ-19015</v>
      </c>
      <c r="H157" s="1" t="str">
        <f ca="1">IFERROR(__xludf.DUMMYFUNCTION("""COMPUTED_VALUE"""),"Pauline")</f>
        <v>Pauline</v>
      </c>
      <c r="I157" s="1" t="str">
        <f ca="1">IFERROR(__xludf.DUMMYFUNCTION("""COMPUTED_VALUE"""),"Johnson")</f>
        <v>Johnson</v>
      </c>
      <c r="J157" s="1"/>
      <c r="K157" s="1" t="str">
        <f ca="1">IFERROR(__xludf.DUMMYFUNCTION("""COMPUTED_VALUE"""),"Consumer")</f>
        <v>Consumer</v>
      </c>
      <c r="L157" s="1" t="str">
        <f ca="1">IFERROR(__xludf.DUMMYFUNCTION("""COMPUTED_VALUE"""),"United States")</f>
        <v>United States</v>
      </c>
      <c r="M157" s="1" t="str">
        <f ca="1">IFERROR(__xludf.DUMMYFUNCTION("""COMPUTED_VALUE"""),"Santa Ana")</f>
        <v>Santa Ana</v>
      </c>
      <c r="N157" s="1" t="str">
        <f ca="1">IFERROR(__xludf.DUMMYFUNCTION("""COMPUTED_VALUE"""),"California")</f>
        <v>California</v>
      </c>
      <c r="O157" s="1">
        <f ca="1">IFERROR(__xludf.DUMMYFUNCTION("""COMPUTED_VALUE"""),92704)</f>
        <v>92704</v>
      </c>
      <c r="P157" s="1" t="str">
        <f ca="1">IFERROR(__xludf.DUMMYFUNCTION("""COMPUTED_VALUE"""),"West")</f>
        <v>West</v>
      </c>
      <c r="Q157" s="1" t="str">
        <f ca="1">IFERROR(__xludf.DUMMYFUNCTION("""COMPUTED_VALUE"""),"FUR-FU-10000794")</f>
        <v>FUR-FU-10000794</v>
      </c>
      <c r="R157" s="1" t="str">
        <f ca="1">IFERROR(__xludf.DUMMYFUNCTION("""COMPUTED_VALUE"""),"Furniture")</f>
        <v>Furniture</v>
      </c>
      <c r="S157" s="7">
        <f ca="1">IFERROR(__xludf.DUMMYFUNCTION("""COMPUTED_VALUE"""),18.28)</f>
        <v>18.28</v>
      </c>
      <c r="T157" s="1">
        <f ca="1">IFERROR(__xludf.DUMMYFUNCTION("""COMPUTED_VALUE"""),9)</f>
        <v>9</v>
      </c>
      <c r="U157" s="9">
        <f ca="1">IFERROR(__xludf.DUMMYFUNCTION("""COMPUTED_VALUE"""),164.52)</f>
        <v>164.52</v>
      </c>
      <c r="V157" s="9">
        <f ca="1">IFERROR(__xludf.DUMMYFUNCTION("""COMPUTED_VALUE"""),162.719999999999)</f>
        <v>162.719999999999</v>
      </c>
      <c r="W157" s="12">
        <f ca="1">IFERROR(__xludf.DUMMYFUNCTION("""COMPUTED_VALUE"""),1.80000000000003)</f>
        <v>1.80000000000003</v>
      </c>
    </row>
    <row r="158" spans="1:23" ht="13.2">
      <c r="A158" s="1" t="str">
        <f ca="1">IFERROR(__xludf.DUMMYFUNCTION("""COMPUTED_VALUE"""),"CA-2018-143686")</f>
        <v>CA-2018-143686</v>
      </c>
      <c r="B158" s="8">
        <f ca="1">IFERROR(__xludf.DUMMYFUNCTION("""COMPUTED_VALUE"""),43234)</f>
        <v>43234</v>
      </c>
      <c r="C158" s="1" t="str">
        <f ca="1">IFERROR(__xludf.DUMMYFUNCTION("""COMPUTED_VALUE"""),"May")</f>
        <v>May</v>
      </c>
      <c r="D158" s="1" t="str">
        <f ca="1">IFERROR(__xludf.DUMMYFUNCTION("""COMPUTED_VALUE"""),"Qtr 2")</f>
        <v>Qtr 2</v>
      </c>
      <c r="E158" s="1" t="str">
        <f ca="1">IFERROR(__xludf.DUMMYFUNCTION("""COMPUTED_VALUE"""),"14/05/2018")</f>
        <v>14/05/2018</v>
      </c>
      <c r="F158" s="1" t="str">
        <f ca="1">IFERROR(__xludf.DUMMYFUNCTION("""COMPUTED_VALUE"""),"Same Day")</f>
        <v>Same Day</v>
      </c>
      <c r="G158" s="1" t="str">
        <f ca="1">IFERROR(__xludf.DUMMYFUNCTION("""COMPUTED_VALUE"""),"PJ-19015")</f>
        <v>PJ-19015</v>
      </c>
      <c r="H158" s="1" t="str">
        <f ca="1">IFERROR(__xludf.DUMMYFUNCTION("""COMPUTED_VALUE"""),"Pauline")</f>
        <v>Pauline</v>
      </c>
      <c r="I158" s="1" t="str">
        <f ca="1">IFERROR(__xludf.DUMMYFUNCTION("""COMPUTED_VALUE"""),"Johnson")</f>
        <v>Johnson</v>
      </c>
      <c r="J158" s="1"/>
      <c r="K158" s="1" t="str">
        <f ca="1">IFERROR(__xludf.DUMMYFUNCTION("""COMPUTED_VALUE"""),"Consumer")</f>
        <v>Consumer</v>
      </c>
      <c r="L158" s="1" t="str">
        <f ca="1">IFERROR(__xludf.DUMMYFUNCTION("""COMPUTED_VALUE"""),"United States")</f>
        <v>United States</v>
      </c>
      <c r="M158" s="1" t="str">
        <f ca="1">IFERROR(__xludf.DUMMYFUNCTION("""COMPUTED_VALUE"""),"Santa Ana")</f>
        <v>Santa Ana</v>
      </c>
      <c r="N158" s="1" t="str">
        <f ca="1">IFERROR(__xludf.DUMMYFUNCTION("""COMPUTED_VALUE"""),"California")</f>
        <v>California</v>
      </c>
      <c r="O158" s="1">
        <f ca="1">IFERROR(__xludf.DUMMYFUNCTION("""COMPUTED_VALUE"""),92704)</f>
        <v>92704</v>
      </c>
      <c r="P158" s="1" t="str">
        <f ca="1">IFERROR(__xludf.DUMMYFUNCTION("""COMPUTED_VALUE"""),"West")</f>
        <v>West</v>
      </c>
      <c r="Q158" s="1" t="str">
        <f ca="1">IFERROR(__xludf.DUMMYFUNCTION("""COMPUTED_VALUE"""),"TEC-AC-10001838")</f>
        <v>TEC-AC-10001838</v>
      </c>
      <c r="R158" s="1" t="str">
        <f ca="1">IFERROR(__xludf.DUMMYFUNCTION("""COMPUTED_VALUE"""),"Technology")</f>
        <v>Technology</v>
      </c>
      <c r="S158" s="7">
        <f ca="1">IFERROR(__xludf.DUMMYFUNCTION("""COMPUTED_VALUE"""),1399.93)</f>
        <v>1399.93</v>
      </c>
      <c r="T158" s="1">
        <f ca="1">IFERROR(__xludf.DUMMYFUNCTION("""COMPUTED_VALUE"""),9)</f>
        <v>9</v>
      </c>
      <c r="U158" s="9">
        <f ca="1">IFERROR(__xludf.DUMMYFUNCTION("""COMPUTED_VALUE"""),12599.37)</f>
        <v>12599.37</v>
      </c>
      <c r="V158" s="9">
        <f ca="1">IFERROR(__xludf.DUMMYFUNCTION("""COMPUTED_VALUE"""),12593.88)</f>
        <v>12593.88</v>
      </c>
      <c r="W158" s="12">
        <f ca="1">IFERROR(__xludf.DUMMYFUNCTION("""COMPUTED_VALUE"""),5.4900000000016)</f>
        <v>5.4900000000015998</v>
      </c>
    </row>
    <row r="159" spans="1:23" ht="13.2">
      <c r="A159" s="1" t="str">
        <f ca="1">IFERROR(__xludf.DUMMYFUNCTION("""COMPUTED_VALUE"""),"US-2015-102071")</f>
        <v>US-2015-102071</v>
      </c>
      <c r="B159" s="8">
        <f ca="1">IFERROR(__xludf.DUMMYFUNCTION("""COMPUTED_VALUE"""),42252)</f>
        <v>42252</v>
      </c>
      <c r="C159" s="1" t="str">
        <f ca="1">IFERROR(__xludf.DUMMYFUNCTION("""COMPUTED_VALUE"""),"Sep")</f>
        <v>Sep</v>
      </c>
      <c r="D159" s="1" t="str">
        <f ca="1">IFERROR(__xludf.DUMMYFUNCTION("""COMPUTED_VALUE"""),"Qtr 3")</f>
        <v>Qtr 3</v>
      </c>
      <c r="E159" s="1" t="str">
        <f ca="1">IFERROR(__xludf.DUMMYFUNCTION("""COMPUTED_VALUE"""),"15/05/2015")</f>
        <v>15/05/2015</v>
      </c>
      <c r="F159" s="1" t="str">
        <f ca="1">IFERROR(__xludf.DUMMYFUNCTION("""COMPUTED_VALUE"""),"Standard Class")</f>
        <v>Standard Class</v>
      </c>
      <c r="G159" s="1" t="str">
        <f ca="1">IFERROR(__xludf.DUMMYFUNCTION("""COMPUTED_VALUE"""),"PG-18820")</f>
        <v>PG-18820</v>
      </c>
      <c r="H159" s="1" t="str">
        <f ca="1">IFERROR(__xludf.DUMMYFUNCTION("""COMPUTED_VALUE"""),"Patrick")</f>
        <v>Patrick</v>
      </c>
      <c r="I159" s="1" t="str">
        <f ca="1">IFERROR(__xludf.DUMMYFUNCTION("""COMPUTED_VALUE"""),"Gardner")</f>
        <v>Gardner</v>
      </c>
      <c r="J159" s="1"/>
      <c r="K159" s="1" t="str">
        <f ca="1">IFERROR(__xludf.DUMMYFUNCTION("""COMPUTED_VALUE"""),"Consumer")</f>
        <v>Consumer</v>
      </c>
      <c r="L159" s="1" t="str">
        <f ca="1">IFERROR(__xludf.DUMMYFUNCTION("""COMPUTED_VALUE"""),"United States")</f>
        <v>United States</v>
      </c>
      <c r="M159" s="1" t="str">
        <f ca="1">IFERROR(__xludf.DUMMYFUNCTION("""COMPUTED_VALUE"""),"San Francisco")</f>
        <v>San Francisco</v>
      </c>
      <c r="N159" s="1" t="str">
        <f ca="1">IFERROR(__xludf.DUMMYFUNCTION("""COMPUTED_VALUE"""),"California")</f>
        <v>California</v>
      </c>
      <c r="O159" s="1">
        <f ca="1">IFERROR(__xludf.DUMMYFUNCTION("""COMPUTED_VALUE"""),94110)</f>
        <v>94110</v>
      </c>
      <c r="P159" s="1" t="str">
        <f ca="1">IFERROR(__xludf.DUMMYFUNCTION("""COMPUTED_VALUE"""),"West")</f>
        <v>West</v>
      </c>
      <c r="Q159" s="1" t="str">
        <f ca="1">IFERROR(__xludf.DUMMYFUNCTION("""COMPUTED_VALUE"""),"TEC-AC-10003441")</f>
        <v>TEC-AC-10003441</v>
      </c>
      <c r="R159" s="1" t="str">
        <f ca="1">IFERROR(__xludf.DUMMYFUNCTION("""COMPUTED_VALUE"""),"Technology")</f>
        <v>Technology</v>
      </c>
      <c r="S159" s="7">
        <f ca="1">IFERROR(__xludf.DUMMYFUNCTION("""COMPUTED_VALUE"""),67.8)</f>
        <v>67.8</v>
      </c>
      <c r="T159" s="1">
        <f ca="1">IFERROR(__xludf.DUMMYFUNCTION("""COMPUTED_VALUE"""),9)</f>
        <v>9</v>
      </c>
      <c r="U159" s="9">
        <f ca="1">IFERROR(__xludf.DUMMYFUNCTION("""COMPUTED_VALUE"""),610.199999999999)</f>
        <v>610.19999999999902</v>
      </c>
      <c r="V159" s="9">
        <f ca="1">IFERROR(__xludf.DUMMYFUNCTION("""COMPUTED_VALUE"""),601.379999999999)</f>
        <v>601.37999999999897</v>
      </c>
      <c r="W159" s="12">
        <f ca="1">IFERROR(__xludf.DUMMYFUNCTION("""COMPUTED_VALUE"""),8.82000000000005)</f>
        <v>8.82000000000005</v>
      </c>
    </row>
    <row r="160" spans="1:23" ht="13.2">
      <c r="A160" s="1" t="str">
        <f ca="1">IFERROR(__xludf.DUMMYFUNCTION("""COMPUTED_VALUE"""),"US-2015-102071")</f>
        <v>US-2015-102071</v>
      </c>
      <c r="B160" s="8">
        <f ca="1">IFERROR(__xludf.DUMMYFUNCTION("""COMPUTED_VALUE"""),42252)</f>
        <v>42252</v>
      </c>
      <c r="C160" s="1" t="str">
        <f ca="1">IFERROR(__xludf.DUMMYFUNCTION("""COMPUTED_VALUE"""),"Sep")</f>
        <v>Sep</v>
      </c>
      <c r="D160" s="1" t="str">
        <f ca="1">IFERROR(__xludf.DUMMYFUNCTION("""COMPUTED_VALUE"""),"Qtr 3")</f>
        <v>Qtr 3</v>
      </c>
      <c r="E160" s="1" t="str">
        <f ca="1">IFERROR(__xludf.DUMMYFUNCTION("""COMPUTED_VALUE"""),"15/05/2015")</f>
        <v>15/05/2015</v>
      </c>
      <c r="F160" s="1" t="str">
        <f ca="1">IFERROR(__xludf.DUMMYFUNCTION("""COMPUTED_VALUE"""),"Standard Class")</f>
        <v>Standard Class</v>
      </c>
      <c r="G160" s="1" t="str">
        <f ca="1">IFERROR(__xludf.DUMMYFUNCTION("""COMPUTED_VALUE"""),"PG-18820")</f>
        <v>PG-18820</v>
      </c>
      <c r="H160" s="1" t="str">
        <f ca="1">IFERROR(__xludf.DUMMYFUNCTION("""COMPUTED_VALUE"""),"Patrick")</f>
        <v>Patrick</v>
      </c>
      <c r="I160" s="1" t="str">
        <f ca="1">IFERROR(__xludf.DUMMYFUNCTION("""COMPUTED_VALUE"""),"Gardner")</f>
        <v>Gardner</v>
      </c>
      <c r="J160" s="1"/>
      <c r="K160" s="1" t="str">
        <f ca="1">IFERROR(__xludf.DUMMYFUNCTION("""COMPUTED_VALUE"""),"Consumer")</f>
        <v>Consumer</v>
      </c>
      <c r="L160" s="1" t="str">
        <f ca="1">IFERROR(__xludf.DUMMYFUNCTION("""COMPUTED_VALUE"""),"United States")</f>
        <v>United States</v>
      </c>
      <c r="M160" s="1" t="str">
        <f ca="1">IFERROR(__xludf.DUMMYFUNCTION("""COMPUTED_VALUE"""),"San Francisco")</f>
        <v>San Francisco</v>
      </c>
      <c r="N160" s="1" t="str">
        <f ca="1">IFERROR(__xludf.DUMMYFUNCTION("""COMPUTED_VALUE"""),"California")</f>
        <v>California</v>
      </c>
      <c r="O160" s="1">
        <f ca="1">IFERROR(__xludf.DUMMYFUNCTION("""COMPUTED_VALUE"""),94110)</f>
        <v>94110</v>
      </c>
      <c r="P160" s="1" t="str">
        <f ca="1">IFERROR(__xludf.DUMMYFUNCTION("""COMPUTED_VALUE"""),"West")</f>
        <v>West</v>
      </c>
      <c r="Q160" s="1" t="str">
        <f ca="1">IFERROR(__xludf.DUMMYFUNCTION("""COMPUTED_VALUE"""),"TEC-AC-10000109")</f>
        <v>TEC-AC-10000109</v>
      </c>
      <c r="R160" s="1" t="str">
        <f ca="1">IFERROR(__xludf.DUMMYFUNCTION("""COMPUTED_VALUE"""),"Technology")</f>
        <v>Technology</v>
      </c>
      <c r="S160" s="7">
        <f ca="1">IFERROR(__xludf.DUMMYFUNCTION("""COMPUTED_VALUE"""),167.97)</f>
        <v>167.97</v>
      </c>
      <c r="T160" s="1">
        <f ca="1">IFERROR(__xludf.DUMMYFUNCTION("""COMPUTED_VALUE"""),9)</f>
        <v>9</v>
      </c>
      <c r="U160" s="9">
        <f ca="1">IFERROR(__xludf.DUMMYFUNCTION("""COMPUTED_VALUE"""),1511.73)</f>
        <v>1511.73</v>
      </c>
      <c r="V160" s="9">
        <f ca="1">IFERROR(__xludf.DUMMYFUNCTION("""COMPUTED_VALUE"""),1503.54)</f>
        <v>1503.54</v>
      </c>
      <c r="W160" s="12">
        <f ca="1">IFERROR(__xludf.DUMMYFUNCTION("""COMPUTED_VALUE"""),8.19000000000005)</f>
        <v>8.1900000000000492</v>
      </c>
    </row>
    <row r="161" spans="1:23" ht="13.2">
      <c r="A161" s="1" t="str">
        <f ca="1">IFERROR(__xludf.DUMMYFUNCTION("""COMPUTED_VALUE"""),"CA-2017-161669")</f>
        <v>CA-2017-161669</v>
      </c>
      <c r="B161" s="8">
        <f ca="1">IFERROR(__xludf.DUMMYFUNCTION("""COMPUTED_VALUE"""),42927)</f>
        <v>42927</v>
      </c>
      <c r="C161" s="1" t="str">
        <f ca="1">IFERROR(__xludf.DUMMYFUNCTION("""COMPUTED_VALUE"""),"Jul")</f>
        <v>Jul</v>
      </c>
      <c r="D161" s="1" t="str">
        <f ca="1">IFERROR(__xludf.DUMMYFUNCTION("""COMPUTED_VALUE"""),"Qtr 3")</f>
        <v>Qtr 3</v>
      </c>
      <c r="E161" s="1" t="str">
        <f ca="1">IFERROR(__xludf.DUMMYFUNCTION("""COMPUTED_VALUE"""),"9/11/2017")</f>
        <v>9/11/2017</v>
      </c>
      <c r="F161" s="1" t="str">
        <f ca="1">IFERROR(__xludf.DUMMYFUNCTION("""COMPUTED_VALUE"""),"First Class")</f>
        <v>First Class</v>
      </c>
      <c r="G161" s="1" t="str">
        <f ca="1">IFERROR(__xludf.DUMMYFUNCTION("""COMPUTED_VALUE"""),"EM-14095")</f>
        <v>EM-14095</v>
      </c>
      <c r="H161" s="1" t="str">
        <f ca="1">IFERROR(__xludf.DUMMYFUNCTION("""COMPUTED_VALUE"""),"Eudokia")</f>
        <v>Eudokia</v>
      </c>
      <c r="I161" s="1" t="str">
        <f ca="1">IFERROR(__xludf.DUMMYFUNCTION("""COMPUTED_VALUE"""),"Martin")</f>
        <v>Martin</v>
      </c>
      <c r="J161" s="1"/>
      <c r="K161" s="1" t="str">
        <f ca="1">IFERROR(__xludf.DUMMYFUNCTION("""COMPUTED_VALUE"""),"Corporate")</f>
        <v>Corporate</v>
      </c>
      <c r="L161" s="1" t="str">
        <f ca="1">IFERROR(__xludf.DUMMYFUNCTION("""COMPUTED_VALUE"""),"United States")</f>
        <v>United States</v>
      </c>
      <c r="M161" s="1" t="str">
        <f ca="1">IFERROR(__xludf.DUMMYFUNCTION("""COMPUTED_VALUE"""),"Los Angeles")</f>
        <v>Los Angeles</v>
      </c>
      <c r="N161" s="1" t="str">
        <f ca="1">IFERROR(__xludf.DUMMYFUNCTION("""COMPUTED_VALUE"""),"California")</f>
        <v>California</v>
      </c>
      <c r="O161" s="1">
        <f ca="1">IFERROR(__xludf.DUMMYFUNCTION("""COMPUTED_VALUE"""),90036)</f>
        <v>90036</v>
      </c>
      <c r="P161" s="1" t="str">
        <f ca="1">IFERROR(__xludf.DUMMYFUNCTION("""COMPUTED_VALUE"""),"West")</f>
        <v>West</v>
      </c>
      <c r="Q161" s="1" t="str">
        <f ca="1">IFERROR(__xludf.DUMMYFUNCTION("""COMPUTED_VALUE"""),"OFF-BI-10001294")</f>
        <v>OFF-BI-10001294</v>
      </c>
      <c r="R161" s="1" t="str">
        <f ca="1">IFERROR(__xludf.DUMMYFUNCTION("""COMPUTED_VALUE"""),"Office Supplies")</f>
        <v>Office Supplies</v>
      </c>
      <c r="S161" s="7">
        <f ca="1">IFERROR(__xludf.DUMMYFUNCTION("""COMPUTED_VALUE"""),37.44)</f>
        <v>37.44</v>
      </c>
      <c r="T161" s="1">
        <f ca="1">IFERROR(__xludf.DUMMYFUNCTION("""COMPUTED_VALUE"""),9)</f>
        <v>9</v>
      </c>
      <c r="U161" s="9">
        <f ca="1">IFERROR(__xludf.DUMMYFUNCTION("""COMPUTED_VALUE"""),336.96)</f>
        <v>336.96</v>
      </c>
      <c r="V161" s="9">
        <f ca="1">IFERROR(__xludf.DUMMYFUNCTION("""COMPUTED_VALUE"""),334.53)</f>
        <v>334.53</v>
      </c>
      <c r="W161" s="12">
        <f ca="1">IFERROR(__xludf.DUMMYFUNCTION("""COMPUTED_VALUE"""),2.42999999999995)</f>
        <v>2.42999999999995</v>
      </c>
    </row>
    <row r="162" spans="1:23" ht="13.2">
      <c r="A162" s="1" t="str">
        <f ca="1">IFERROR(__xludf.DUMMYFUNCTION("""COMPUTED_VALUE"""),"CA-2017-161669")</f>
        <v>CA-2017-161669</v>
      </c>
      <c r="B162" s="8">
        <f ca="1">IFERROR(__xludf.DUMMYFUNCTION("""COMPUTED_VALUE"""),42927)</f>
        <v>42927</v>
      </c>
      <c r="C162" s="1" t="str">
        <f ca="1">IFERROR(__xludf.DUMMYFUNCTION("""COMPUTED_VALUE"""),"Jul")</f>
        <v>Jul</v>
      </c>
      <c r="D162" s="1" t="str">
        <f ca="1">IFERROR(__xludf.DUMMYFUNCTION("""COMPUTED_VALUE"""),"Qtr 3")</f>
        <v>Qtr 3</v>
      </c>
      <c r="E162" s="1" t="str">
        <f ca="1">IFERROR(__xludf.DUMMYFUNCTION("""COMPUTED_VALUE"""),"9/11/2017")</f>
        <v>9/11/2017</v>
      </c>
      <c r="F162" s="1" t="str">
        <f ca="1">IFERROR(__xludf.DUMMYFUNCTION("""COMPUTED_VALUE"""),"First Class")</f>
        <v>First Class</v>
      </c>
      <c r="G162" s="1" t="str">
        <f ca="1">IFERROR(__xludf.DUMMYFUNCTION("""COMPUTED_VALUE"""),"EM-14095")</f>
        <v>EM-14095</v>
      </c>
      <c r="H162" s="1" t="str">
        <f ca="1">IFERROR(__xludf.DUMMYFUNCTION("""COMPUTED_VALUE"""),"Eudokia")</f>
        <v>Eudokia</v>
      </c>
      <c r="I162" s="1" t="str">
        <f ca="1">IFERROR(__xludf.DUMMYFUNCTION("""COMPUTED_VALUE"""),"Martin")</f>
        <v>Martin</v>
      </c>
      <c r="J162" s="1"/>
      <c r="K162" s="1" t="str">
        <f ca="1">IFERROR(__xludf.DUMMYFUNCTION("""COMPUTED_VALUE"""),"Corporate")</f>
        <v>Corporate</v>
      </c>
      <c r="L162" s="1" t="str">
        <f ca="1">IFERROR(__xludf.DUMMYFUNCTION("""COMPUTED_VALUE"""),"United States")</f>
        <v>United States</v>
      </c>
      <c r="M162" s="1" t="str">
        <f ca="1">IFERROR(__xludf.DUMMYFUNCTION("""COMPUTED_VALUE"""),"Los Angeles")</f>
        <v>Los Angeles</v>
      </c>
      <c r="N162" s="1" t="str">
        <f ca="1">IFERROR(__xludf.DUMMYFUNCTION("""COMPUTED_VALUE"""),"California")</f>
        <v>California</v>
      </c>
      <c r="O162" s="1">
        <f ca="1">IFERROR(__xludf.DUMMYFUNCTION("""COMPUTED_VALUE"""),90036)</f>
        <v>90036</v>
      </c>
      <c r="P162" s="1" t="str">
        <f ca="1">IFERROR(__xludf.DUMMYFUNCTION("""COMPUTED_VALUE"""),"West")</f>
        <v>West</v>
      </c>
      <c r="Q162" s="1" t="str">
        <f ca="1">IFERROR(__xludf.DUMMYFUNCTION("""COMPUTED_VALUE"""),"OFF-BI-10001636")</f>
        <v>OFF-BI-10001636</v>
      </c>
      <c r="R162" s="1" t="str">
        <f ca="1">IFERROR(__xludf.DUMMYFUNCTION("""COMPUTED_VALUE"""),"Office Supplies")</f>
        <v>Office Supplies</v>
      </c>
      <c r="S162" s="7">
        <f ca="1">IFERROR(__xludf.DUMMYFUNCTION("""COMPUTED_VALUE"""),26.976)</f>
        <v>26.975999999999999</v>
      </c>
      <c r="T162" s="1">
        <f ca="1">IFERROR(__xludf.DUMMYFUNCTION("""COMPUTED_VALUE"""),9)</f>
        <v>9</v>
      </c>
      <c r="U162" s="9">
        <f ca="1">IFERROR(__xludf.DUMMYFUNCTION("""COMPUTED_VALUE"""),242.784)</f>
        <v>242.78399999999999</v>
      </c>
      <c r="V162" s="9">
        <f ca="1">IFERROR(__xludf.DUMMYFUNCTION("""COMPUTED_VALUE"""),235.98)</f>
        <v>235.98</v>
      </c>
      <c r="W162" s="12">
        <f ca="1">IFERROR(__xludf.DUMMYFUNCTION("""COMPUTED_VALUE"""),6.804)</f>
        <v>6.8040000000000003</v>
      </c>
    </row>
    <row r="163" spans="1:23" ht="13.2">
      <c r="A163" s="1" t="str">
        <f ca="1">IFERROR(__xludf.DUMMYFUNCTION("""COMPUTED_VALUE"""),"CA-2017-161669")</f>
        <v>CA-2017-161669</v>
      </c>
      <c r="B163" s="8">
        <f ca="1">IFERROR(__xludf.DUMMYFUNCTION("""COMPUTED_VALUE"""),42927)</f>
        <v>42927</v>
      </c>
      <c r="C163" s="1" t="str">
        <f ca="1">IFERROR(__xludf.DUMMYFUNCTION("""COMPUTED_VALUE"""),"Jul")</f>
        <v>Jul</v>
      </c>
      <c r="D163" s="1" t="str">
        <f ca="1">IFERROR(__xludf.DUMMYFUNCTION("""COMPUTED_VALUE"""),"Qtr 3")</f>
        <v>Qtr 3</v>
      </c>
      <c r="E163" s="1" t="str">
        <f ca="1">IFERROR(__xludf.DUMMYFUNCTION("""COMPUTED_VALUE"""),"9/11/2017")</f>
        <v>9/11/2017</v>
      </c>
      <c r="F163" s="1" t="str">
        <f ca="1">IFERROR(__xludf.DUMMYFUNCTION("""COMPUTED_VALUE"""),"First Class")</f>
        <v>First Class</v>
      </c>
      <c r="G163" s="1" t="str">
        <f ca="1">IFERROR(__xludf.DUMMYFUNCTION("""COMPUTED_VALUE"""),"EM-14095")</f>
        <v>EM-14095</v>
      </c>
      <c r="H163" s="1" t="str">
        <f ca="1">IFERROR(__xludf.DUMMYFUNCTION("""COMPUTED_VALUE"""),"Eudokia")</f>
        <v>Eudokia</v>
      </c>
      <c r="I163" s="1" t="str">
        <f ca="1">IFERROR(__xludf.DUMMYFUNCTION("""COMPUTED_VALUE"""),"Martin")</f>
        <v>Martin</v>
      </c>
      <c r="J163" s="1"/>
      <c r="K163" s="1" t="str">
        <f ca="1">IFERROR(__xludf.DUMMYFUNCTION("""COMPUTED_VALUE"""),"Corporate")</f>
        <v>Corporate</v>
      </c>
      <c r="L163" s="1" t="str">
        <f ca="1">IFERROR(__xludf.DUMMYFUNCTION("""COMPUTED_VALUE"""),"United States")</f>
        <v>United States</v>
      </c>
      <c r="M163" s="1" t="str">
        <f ca="1">IFERROR(__xludf.DUMMYFUNCTION("""COMPUTED_VALUE"""),"Los Angeles")</f>
        <v>Los Angeles</v>
      </c>
      <c r="N163" s="1" t="str">
        <f ca="1">IFERROR(__xludf.DUMMYFUNCTION("""COMPUTED_VALUE"""),"California")</f>
        <v>California</v>
      </c>
      <c r="O163" s="1">
        <f ca="1">IFERROR(__xludf.DUMMYFUNCTION("""COMPUTED_VALUE"""),90036)</f>
        <v>90036</v>
      </c>
      <c r="P163" s="1" t="str">
        <f ca="1">IFERROR(__xludf.DUMMYFUNCTION("""COMPUTED_VALUE"""),"West")</f>
        <v>West</v>
      </c>
      <c r="Q163" s="1" t="str">
        <f ca="1">IFERROR(__xludf.DUMMYFUNCTION("""COMPUTED_VALUE"""),"OFF-SU-10002503")</f>
        <v>OFF-SU-10002503</v>
      </c>
      <c r="R163" s="1" t="str">
        <f ca="1">IFERROR(__xludf.DUMMYFUNCTION("""COMPUTED_VALUE"""),"Office Supplies")</f>
        <v>Office Supplies</v>
      </c>
      <c r="S163" s="7">
        <f ca="1">IFERROR(__xludf.DUMMYFUNCTION("""COMPUTED_VALUE"""),11.36)</f>
        <v>11.36</v>
      </c>
      <c r="T163" s="1">
        <f ca="1">IFERROR(__xludf.DUMMYFUNCTION("""COMPUTED_VALUE"""),9)</f>
        <v>9</v>
      </c>
      <c r="U163" s="9">
        <f ca="1">IFERROR(__xludf.DUMMYFUNCTION("""COMPUTED_VALUE"""),102.24)</f>
        <v>102.24</v>
      </c>
      <c r="V163" s="9">
        <f ca="1">IFERROR(__xludf.DUMMYFUNCTION("""COMPUTED_VALUE"""),101.52)</f>
        <v>101.52</v>
      </c>
      <c r="W163" s="12">
        <f ca="1">IFERROR(__xludf.DUMMYFUNCTION("""COMPUTED_VALUE"""),0.719999999999998)</f>
        <v>0.71999999999999797</v>
      </c>
    </row>
    <row r="164" spans="1:23" ht="13.2">
      <c r="A164" s="1" t="str">
        <f ca="1">IFERROR(__xludf.DUMMYFUNCTION("""COMPUTED_VALUE"""),"CA-2017-161669")</f>
        <v>CA-2017-161669</v>
      </c>
      <c r="B164" s="8">
        <f ca="1">IFERROR(__xludf.DUMMYFUNCTION("""COMPUTED_VALUE"""),42927)</f>
        <v>42927</v>
      </c>
      <c r="C164" s="1" t="str">
        <f ca="1">IFERROR(__xludf.DUMMYFUNCTION("""COMPUTED_VALUE"""),"Jul")</f>
        <v>Jul</v>
      </c>
      <c r="D164" s="1" t="str">
        <f ca="1">IFERROR(__xludf.DUMMYFUNCTION("""COMPUTED_VALUE"""),"Qtr 3")</f>
        <v>Qtr 3</v>
      </c>
      <c r="E164" s="1" t="str">
        <f ca="1">IFERROR(__xludf.DUMMYFUNCTION("""COMPUTED_VALUE"""),"9/11/2017")</f>
        <v>9/11/2017</v>
      </c>
      <c r="F164" s="1" t="str">
        <f ca="1">IFERROR(__xludf.DUMMYFUNCTION("""COMPUTED_VALUE"""),"First Class")</f>
        <v>First Class</v>
      </c>
      <c r="G164" s="1" t="str">
        <f ca="1">IFERROR(__xludf.DUMMYFUNCTION("""COMPUTED_VALUE"""),"EM-14095")</f>
        <v>EM-14095</v>
      </c>
      <c r="H164" s="1" t="str">
        <f ca="1">IFERROR(__xludf.DUMMYFUNCTION("""COMPUTED_VALUE"""),"Eudokia")</f>
        <v>Eudokia</v>
      </c>
      <c r="I164" s="1" t="str">
        <f ca="1">IFERROR(__xludf.DUMMYFUNCTION("""COMPUTED_VALUE"""),"Martin")</f>
        <v>Martin</v>
      </c>
      <c r="J164" s="1"/>
      <c r="K164" s="1" t="str">
        <f ca="1">IFERROR(__xludf.DUMMYFUNCTION("""COMPUTED_VALUE"""),"Corporate")</f>
        <v>Corporate</v>
      </c>
      <c r="L164" s="1" t="str">
        <f ca="1">IFERROR(__xludf.DUMMYFUNCTION("""COMPUTED_VALUE"""),"United States")</f>
        <v>United States</v>
      </c>
      <c r="M164" s="1" t="str">
        <f ca="1">IFERROR(__xludf.DUMMYFUNCTION("""COMPUTED_VALUE"""),"Los Angeles")</f>
        <v>Los Angeles</v>
      </c>
      <c r="N164" s="1" t="str">
        <f ca="1">IFERROR(__xludf.DUMMYFUNCTION("""COMPUTED_VALUE"""),"California")</f>
        <v>California</v>
      </c>
      <c r="O164" s="1">
        <f ca="1">IFERROR(__xludf.DUMMYFUNCTION("""COMPUTED_VALUE"""),90036)</f>
        <v>90036</v>
      </c>
      <c r="P164" s="1" t="str">
        <f ca="1">IFERROR(__xludf.DUMMYFUNCTION("""COMPUTED_VALUE"""),"West")</f>
        <v>West</v>
      </c>
      <c r="Q164" s="1" t="str">
        <f ca="1">IFERROR(__xludf.DUMMYFUNCTION("""COMPUTED_VALUE"""),"OFF-LA-10004093")</f>
        <v>OFF-LA-10004093</v>
      </c>
      <c r="R164" s="1" t="str">
        <f ca="1">IFERROR(__xludf.DUMMYFUNCTION("""COMPUTED_VALUE"""),"Office Supplies")</f>
        <v>Office Supplies</v>
      </c>
      <c r="S164" s="7">
        <f ca="1">IFERROR(__xludf.DUMMYFUNCTION("""COMPUTED_VALUE"""),14.62)</f>
        <v>14.62</v>
      </c>
      <c r="T164" s="1">
        <f ca="1">IFERROR(__xludf.DUMMYFUNCTION("""COMPUTED_VALUE"""),9)</f>
        <v>9</v>
      </c>
      <c r="U164" s="9">
        <f ca="1">IFERROR(__xludf.DUMMYFUNCTION("""COMPUTED_VALUE"""),131.579999999999)</f>
        <v>131.57999999999899</v>
      </c>
      <c r="V164" s="9">
        <f ca="1">IFERROR(__xludf.DUMMYFUNCTION("""COMPUTED_VALUE"""),130.95)</f>
        <v>130.94999999999999</v>
      </c>
      <c r="W164" s="12">
        <f ca="1">IFERROR(__xludf.DUMMYFUNCTION("""COMPUTED_VALUE"""),0.629999999999967)</f>
        <v>0.62999999999996703</v>
      </c>
    </row>
    <row r="165" spans="1:23" ht="13.2">
      <c r="A165" s="1" t="str">
        <f ca="1">IFERROR(__xludf.DUMMYFUNCTION("""COMPUTED_VALUE"""),"CA-2017-152534")</f>
        <v>CA-2017-152534</v>
      </c>
      <c r="B165" s="8">
        <f ca="1">IFERROR(__xludf.DUMMYFUNCTION("""COMPUTED_VALUE"""),42906)</f>
        <v>42906</v>
      </c>
      <c r="C165" s="1" t="str">
        <f ca="1">IFERROR(__xludf.DUMMYFUNCTION("""COMPUTED_VALUE"""),"Jun")</f>
        <v>Jun</v>
      </c>
      <c r="D165" s="1" t="str">
        <f ca="1">IFERROR(__xludf.DUMMYFUNCTION("""COMPUTED_VALUE"""),"Qtr 2")</f>
        <v>Qtr 2</v>
      </c>
      <c r="E165" s="1" t="str">
        <f ca="1">IFERROR(__xludf.DUMMYFUNCTION("""COMPUTED_VALUE"""),"25/06/2017")</f>
        <v>25/06/2017</v>
      </c>
      <c r="F165" s="1" t="str">
        <f ca="1">IFERROR(__xludf.DUMMYFUNCTION("""COMPUTED_VALUE"""),"Second Class")</f>
        <v>Second Class</v>
      </c>
      <c r="G165" s="1" t="str">
        <f ca="1">IFERROR(__xludf.DUMMYFUNCTION("""COMPUTED_VALUE"""),"DP-13105")</f>
        <v>DP-13105</v>
      </c>
      <c r="H165" s="1" t="str">
        <f ca="1">IFERROR(__xludf.DUMMYFUNCTION("""COMPUTED_VALUE"""),"Dave")</f>
        <v>Dave</v>
      </c>
      <c r="I165" s="1" t="str">
        <f ca="1">IFERROR(__xludf.DUMMYFUNCTION("""COMPUTED_VALUE"""),"Poirier")</f>
        <v>Poirier</v>
      </c>
      <c r="J165" s="1"/>
      <c r="K165" s="1" t="str">
        <f ca="1">IFERROR(__xludf.DUMMYFUNCTION("""COMPUTED_VALUE"""),"Corporate")</f>
        <v>Corporate</v>
      </c>
      <c r="L165" s="1" t="str">
        <f ca="1">IFERROR(__xludf.DUMMYFUNCTION("""COMPUTED_VALUE"""),"United States")</f>
        <v>United States</v>
      </c>
      <c r="M165" s="1" t="str">
        <f ca="1">IFERROR(__xludf.DUMMYFUNCTION("""COMPUTED_VALUE"""),"Salinas")</f>
        <v>Salinas</v>
      </c>
      <c r="N165" s="1" t="str">
        <f ca="1">IFERROR(__xludf.DUMMYFUNCTION("""COMPUTED_VALUE"""),"California")</f>
        <v>California</v>
      </c>
      <c r="O165" s="1">
        <f ca="1">IFERROR(__xludf.DUMMYFUNCTION("""COMPUTED_VALUE"""),93905)</f>
        <v>93905</v>
      </c>
      <c r="P165" s="1" t="str">
        <f ca="1">IFERROR(__xludf.DUMMYFUNCTION("""COMPUTED_VALUE"""),"West")</f>
        <v>West</v>
      </c>
      <c r="Q165" s="1" t="str">
        <f ca="1">IFERROR(__xludf.DUMMYFUNCTION("""COMPUTED_VALUE"""),"OFF-AR-10002335")</f>
        <v>OFF-AR-10002335</v>
      </c>
      <c r="R165" s="1" t="str">
        <f ca="1">IFERROR(__xludf.DUMMYFUNCTION("""COMPUTED_VALUE"""),"Office Supplies")</f>
        <v>Office Supplies</v>
      </c>
      <c r="S165" s="7">
        <f ca="1">IFERROR(__xludf.DUMMYFUNCTION("""COMPUTED_VALUE"""),5.16)</f>
        <v>5.16</v>
      </c>
      <c r="T165" s="1">
        <f ca="1">IFERROR(__xludf.DUMMYFUNCTION("""COMPUTED_VALUE"""),9)</f>
        <v>9</v>
      </c>
      <c r="U165" s="9">
        <f ca="1">IFERROR(__xludf.DUMMYFUNCTION("""COMPUTED_VALUE"""),46.44)</f>
        <v>46.44</v>
      </c>
      <c r="V165" s="9">
        <f ca="1">IFERROR(__xludf.DUMMYFUNCTION("""COMPUTED_VALUE"""),45.1799999999999)</f>
        <v>45.1799999999999</v>
      </c>
      <c r="W165" s="12">
        <f ca="1">IFERROR(__xludf.DUMMYFUNCTION("""COMPUTED_VALUE"""),1.26)</f>
        <v>1.26</v>
      </c>
    </row>
    <row r="166" spans="1:23" ht="13.2">
      <c r="A166" s="1" t="str">
        <f ca="1">IFERROR(__xludf.DUMMYFUNCTION("""COMPUTED_VALUE"""),"CA-2017-152534")</f>
        <v>CA-2017-152534</v>
      </c>
      <c r="B166" s="8">
        <f ca="1">IFERROR(__xludf.DUMMYFUNCTION("""COMPUTED_VALUE"""),42906)</f>
        <v>42906</v>
      </c>
      <c r="C166" s="1" t="str">
        <f ca="1">IFERROR(__xludf.DUMMYFUNCTION("""COMPUTED_VALUE"""),"Jun")</f>
        <v>Jun</v>
      </c>
      <c r="D166" s="1" t="str">
        <f ca="1">IFERROR(__xludf.DUMMYFUNCTION("""COMPUTED_VALUE"""),"Qtr 2")</f>
        <v>Qtr 2</v>
      </c>
      <c r="E166" s="1" t="str">
        <f ca="1">IFERROR(__xludf.DUMMYFUNCTION("""COMPUTED_VALUE"""),"25/06/2017")</f>
        <v>25/06/2017</v>
      </c>
      <c r="F166" s="1" t="str">
        <f ca="1">IFERROR(__xludf.DUMMYFUNCTION("""COMPUTED_VALUE"""),"Second Class")</f>
        <v>Second Class</v>
      </c>
      <c r="G166" s="1" t="str">
        <f ca="1">IFERROR(__xludf.DUMMYFUNCTION("""COMPUTED_VALUE"""),"DP-13105")</f>
        <v>DP-13105</v>
      </c>
      <c r="H166" s="1" t="str">
        <f ca="1">IFERROR(__xludf.DUMMYFUNCTION("""COMPUTED_VALUE"""),"Dave")</f>
        <v>Dave</v>
      </c>
      <c r="I166" s="1" t="str">
        <f ca="1">IFERROR(__xludf.DUMMYFUNCTION("""COMPUTED_VALUE"""),"Poirier")</f>
        <v>Poirier</v>
      </c>
      <c r="J166" s="1"/>
      <c r="K166" s="1" t="str">
        <f ca="1">IFERROR(__xludf.DUMMYFUNCTION("""COMPUTED_VALUE"""),"Corporate")</f>
        <v>Corporate</v>
      </c>
      <c r="L166" s="1" t="str">
        <f ca="1">IFERROR(__xludf.DUMMYFUNCTION("""COMPUTED_VALUE"""),"United States")</f>
        <v>United States</v>
      </c>
      <c r="M166" s="1" t="str">
        <f ca="1">IFERROR(__xludf.DUMMYFUNCTION("""COMPUTED_VALUE"""),"Salinas")</f>
        <v>Salinas</v>
      </c>
      <c r="N166" s="1" t="str">
        <f ca="1">IFERROR(__xludf.DUMMYFUNCTION("""COMPUTED_VALUE"""),"California")</f>
        <v>California</v>
      </c>
      <c r="O166" s="1">
        <f ca="1">IFERROR(__xludf.DUMMYFUNCTION("""COMPUTED_VALUE"""),93905)</f>
        <v>93905</v>
      </c>
      <c r="P166" s="1" t="str">
        <f ca="1">IFERROR(__xludf.DUMMYFUNCTION("""COMPUTED_VALUE"""),"West")</f>
        <v>West</v>
      </c>
      <c r="Q166" s="1" t="str">
        <f ca="1">IFERROR(__xludf.DUMMYFUNCTION("""COMPUTED_VALUE"""),"OFF-PA-10001870")</f>
        <v>OFF-PA-10001870</v>
      </c>
      <c r="R166" s="1" t="str">
        <f ca="1">IFERROR(__xludf.DUMMYFUNCTION("""COMPUTED_VALUE"""),"Office Supplies")</f>
        <v>Office Supplies</v>
      </c>
      <c r="S166" s="7">
        <f ca="1">IFERROR(__xludf.DUMMYFUNCTION("""COMPUTED_VALUE"""),38.88)</f>
        <v>38.880000000000003</v>
      </c>
      <c r="T166" s="1">
        <f ca="1">IFERROR(__xludf.DUMMYFUNCTION("""COMPUTED_VALUE"""),9)</f>
        <v>9</v>
      </c>
      <c r="U166" s="9">
        <f ca="1">IFERROR(__xludf.DUMMYFUNCTION("""COMPUTED_VALUE"""),349.92)</f>
        <v>349.92</v>
      </c>
      <c r="V166" s="9">
        <f ca="1">IFERROR(__xludf.DUMMYFUNCTION("""COMPUTED_VALUE"""),349.74)</f>
        <v>349.74</v>
      </c>
      <c r="W166" s="12">
        <f ca="1">IFERROR(__xludf.DUMMYFUNCTION("""COMPUTED_VALUE"""),0.180000000000006)</f>
        <v>0.18000000000000599</v>
      </c>
    </row>
    <row r="167" spans="1:23" ht="13.2">
      <c r="A167" s="1" t="str">
        <f ca="1">IFERROR(__xludf.DUMMYFUNCTION("""COMPUTED_VALUE"""),"CA-2015-133851")</f>
        <v>CA-2015-133851</v>
      </c>
      <c r="B167" s="8">
        <f ca="1">IFERROR(__xludf.DUMMYFUNCTION("""COMPUTED_VALUE"""),42253)</f>
        <v>42253</v>
      </c>
      <c r="C167" s="1" t="str">
        <f ca="1">IFERROR(__xludf.DUMMYFUNCTION("""COMPUTED_VALUE"""),"Sep")</f>
        <v>Sep</v>
      </c>
      <c r="D167" s="1" t="str">
        <f ca="1">IFERROR(__xludf.DUMMYFUNCTION("""COMPUTED_VALUE"""),"Qtr 3")</f>
        <v>Qtr 3</v>
      </c>
      <c r="E167" s="1" t="str">
        <f ca="1">IFERROR(__xludf.DUMMYFUNCTION("""COMPUTED_VALUE"""),"16/06/2015")</f>
        <v>16/06/2015</v>
      </c>
      <c r="F167" s="1" t="str">
        <f ca="1">IFERROR(__xludf.DUMMYFUNCTION("""COMPUTED_VALUE"""),"Standard Class")</f>
        <v>Standard Class</v>
      </c>
      <c r="G167" s="1" t="str">
        <f ca="1">IFERROR(__xludf.DUMMYFUNCTION("""COMPUTED_VALUE"""),"CM-12445")</f>
        <v>CM-12445</v>
      </c>
      <c r="H167" s="1" t="str">
        <f ca="1">IFERROR(__xludf.DUMMYFUNCTION("""COMPUTED_VALUE"""),"Chuck")</f>
        <v>Chuck</v>
      </c>
      <c r="I167" s="1" t="str">
        <f ca="1">IFERROR(__xludf.DUMMYFUNCTION("""COMPUTED_VALUE"""),"Magee")</f>
        <v>Magee</v>
      </c>
      <c r="J167" s="1"/>
      <c r="K167" s="1" t="str">
        <f ca="1">IFERROR(__xludf.DUMMYFUNCTION("""COMPUTED_VALUE"""),"Consumer")</f>
        <v>Consumer</v>
      </c>
      <c r="L167" s="1" t="str">
        <f ca="1">IFERROR(__xludf.DUMMYFUNCTION("""COMPUTED_VALUE"""),"United States")</f>
        <v>United States</v>
      </c>
      <c r="M167" s="1" t="str">
        <f ca="1">IFERROR(__xludf.DUMMYFUNCTION("""COMPUTED_VALUE"""),"San Francisco")</f>
        <v>San Francisco</v>
      </c>
      <c r="N167" s="1" t="str">
        <f ca="1">IFERROR(__xludf.DUMMYFUNCTION("""COMPUTED_VALUE"""),"California")</f>
        <v>California</v>
      </c>
      <c r="O167" s="1">
        <f ca="1">IFERROR(__xludf.DUMMYFUNCTION("""COMPUTED_VALUE"""),94122)</f>
        <v>94122</v>
      </c>
      <c r="P167" s="1" t="str">
        <f ca="1">IFERROR(__xludf.DUMMYFUNCTION("""COMPUTED_VALUE"""),"West")</f>
        <v>West</v>
      </c>
      <c r="Q167" s="1" t="str">
        <f ca="1">IFERROR(__xludf.DUMMYFUNCTION("""COMPUTED_VALUE"""),"OFF-SU-10001225")</f>
        <v>OFF-SU-10001225</v>
      </c>
      <c r="R167" s="1" t="str">
        <f ca="1">IFERROR(__xludf.DUMMYFUNCTION("""COMPUTED_VALUE"""),"Office Supplies")</f>
        <v>Office Supplies</v>
      </c>
      <c r="S167" s="7">
        <f ca="1">IFERROR(__xludf.DUMMYFUNCTION("""COMPUTED_VALUE"""),7.36)</f>
        <v>7.36</v>
      </c>
      <c r="T167" s="1">
        <f ca="1">IFERROR(__xludf.DUMMYFUNCTION("""COMPUTED_VALUE"""),9)</f>
        <v>9</v>
      </c>
      <c r="U167" s="9">
        <f ca="1">IFERROR(__xludf.DUMMYFUNCTION("""COMPUTED_VALUE"""),66.24)</f>
        <v>66.239999999999995</v>
      </c>
      <c r="V167" s="9">
        <f ca="1">IFERROR(__xludf.DUMMYFUNCTION("""COMPUTED_VALUE"""),60.3)</f>
        <v>60.3</v>
      </c>
      <c r="W167" s="12">
        <f ca="1">IFERROR(__xludf.DUMMYFUNCTION("""COMPUTED_VALUE"""),5.94)</f>
        <v>5.94</v>
      </c>
    </row>
    <row r="168" spans="1:23" ht="13.2">
      <c r="A168" s="1" t="str">
        <f ca="1">IFERROR(__xludf.DUMMYFUNCTION("""COMPUTED_VALUE"""),"CA-2015-133851")</f>
        <v>CA-2015-133851</v>
      </c>
      <c r="B168" s="8">
        <f ca="1">IFERROR(__xludf.DUMMYFUNCTION("""COMPUTED_VALUE"""),42253)</f>
        <v>42253</v>
      </c>
      <c r="C168" s="1" t="str">
        <f ca="1">IFERROR(__xludf.DUMMYFUNCTION("""COMPUTED_VALUE"""),"Sep")</f>
        <v>Sep</v>
      </c>
      <c r="D168" s="1" t="str">
        <f ca="1">IFERROR(__xludf.DUMMYFUNCTION("""COMPUTED_VALUE"""),"Qtr 3")</f>
        <v>Qtr 3</v>
      </c>
      <c r="E168" s="1" t="str">
        <f ca="1">IFERROR(__xludf.DUMMYFUNCTION("""COMPUTED_VALUE"""),"16/06/2015")</f>
        <v>16/06/2015</v>
      </c>
      <c r="F168" s="1" t="str">
        <f ca="1">IFERROR(__xludf.DUMMYFUNCTION("""COMPUTED_VALUE"""),"Standard Class")</f>
        <v>Standard Class</v>
      </c>
      <c r="G168" s="1" t="str">
        <f ca="1">IFERROR(__xludf.DUMMYFUNCTION("""COMPUTED_VALUE"""),"CM-12445")</f>
        <v>CM-12445</v>
      </c>
      <c r="H168" s="1" t="str">
        <f ca="1">IFERROR(__xludf.DUMMYFUNCTION("""COMPUTED_VALUE"""),"Chuck")</f>
        <v>Chuck</v>
      </c>
      <c r="I168" s="1" t="str">
        <f ca="1">IFERROR(__xludf.DUMMYFUNCTION("""COMPUTED_VALUE"""),"Magee")</f>
        <v>Magee</v>
      </c>
      <c r="J168" s="1"/>
      <c r="K168" s="1" t="str">
        <f ca="1">IFERROR(__xludf.DUMMYFUNCTION("""COMPUTED_VALUE"""),"Consumer")</f>
        <v>Consumer</v>
      </c>
      <c r="L168" s="1" t="str">
        <f ca="1">IFERROR(__xludf.DUMMYFUNCTION("""COMPUTED_VALUE"""),"United States")</f>
        <v>United States</v>
      </c>
      <c r="M168" s="1" t="str">
        <f ca="1">IFERROR(__xludf.DUMMYFUNCTION("""COMPUTED_VALUE"""),"San Francisco")</f>
        <v>San Francisco</v>
      </c>
      <c r="N168" s="1" t="str">
        <f ca="1">IFERROR(__xludf.DUMMYFUNCTION("""COMPUTED_VALUE"""),"California")</f>
        <v>California</v>
      </c>
      <c r="O168" s="1">
        <f ca="1">IFERROR(__xludf.DUMMYFUNCTION("""COMPUTED_VALUE"""),94122)</f>
        <v>94122</v>
      </c>
      <c r="P168" s="1" t="str">
        <f ca="1">IFERROR(__xludf.DUMMYFUNCTION("""COMPUTED_VALUE"""),"West")</f>
        <v>West</v>
      </c>
      <c r="Q168" s="1" t="str">
        <f ca="1">IFERROR(__xludf.DUMMYFUNCTION("""COMPUTED_VALUE"""),"OFF-AR-10003752")</f>
        <v>OFF-AR-10003752</v>
      </c>
      <c r="R168" s="1" t="str">
        <f ca="1">IFERROR(__xludf.DUMMYFUNCTION("""COMPUTED_VALUE"""),"Office Supplies")</f>
        <v>Office Supplies</v>
      </c>
      <c r="S168" s="7">
        <f ca="1">IFERROR(__xludf.DUMMYFUNCTION("""COMPUTED_VALUE"""),23.1)</f>
        <v>23.1</v>
      </c>
      <c r="T168" s="1">
        <f ca="1">IFERROR(__xludf.DUMMYFUNCTION("""COMPUTED_VALUE"""),9)</f>
        <v>9</v>
      </c>
      <c r="U168" s="9">
        <f ca="1">IFERROR(__xludf.DUMMYFUNCTION("""COMPUTED_VALUE"""),207.9)</f>
        <v>207.9</v>
      </c>
      <c r="V168" s="9">
        <f ca="1">IFERROR(__xludf.DUMMYFUNCTION("""COMPUTED_VALUE"""),199.35)</f>
        <v>199.35</v>
      </c>
      <c r="W168" s="12">
        <f ca="1">IFERROR(__xludf.DUMMYFUNCTION("""COMPUTED_VALUE"""),8.55000000000001)</f>
        <v>8.5500000000000096</v>
      </c>
    </row>
    <row r="169" spans="1:23" ht="13.2">
      <c r="A169" s="1" t="str">
        <f ca="1">IFERROR(__xludf.DUMMYFUNCTION("""COMPUTED_VALUE"""),"US-2018-123463")</f>
        <v>US-2018-123463</v>
      </c>
      <c r="B169" s="8">
        <f ca="1">IFERROR(__xludf.DUMMYFUNCTION("""COMPUTED_VALUE"""),43457)</f>
        <v>43457</v>
      </c>
      <c r="C169" s="1" t="str">
        <f ca="1">IFERROR(__xludf.DUMMYFUNCTION("""COMPUTED_VALUE"""),"Dec")</f>
        <v>Dec</v>
      </c>
      <c r="D169" s="1" t="str">
        <f ca="1">IFERROR(__xludf.DUMMYFUNCTION("""COMPUTED_VALUE"""),"Qtr 4")</f>
        <v>Qtr 4</v>
      </c>
      <c r="E169" s="1" t="str">
        <f ca="1">IFERROR(__xludf.DUMMYFUNCTION("""COMPUTED_VALUE"""),"23/12/2018")</f>
        <v>23/12/2018</v>
      </c>
      <c r="F169" s="1" t="str">
        <f ca="1">IFERROR(__xludf.DUMMYFUNCTION("""COMPUTED_VALUE"""),"Same Day")</f>
        <v>Same Day</v>
      </c>
      <c r="G169" s="1" t="str">
        <f ca="1">IFERROR(__xludf.DUMMYFUNCTION("""COMPUTED_VALUE"""),"GZ-14470")</f>
        <v>GZ-14470</v>
      </c>
      <c r="H169" s="1" t="str">
        <f ca="1">IFERROR(__xludf.DUMMYFUNCTION("""COMPUTED_VALUE"""),"Gary")</f>
        <v>Gary</v>
      </c>
      <c r="I169" s="1" t="str">
        <f ca="1">IFERROR(__xludf.DUMMYFUNCTION("""COMPUTED_VALUE"""),"Zandusky")</f>
        <v>Zandusky</v>
      </c>
      <c r="J169" s="1"/>
      <c r="K169" s="1" t="str">
        <f ca="1">IFERROR(__xludf.DUMMYFUNCTION("""COMPUTED_VALUE"""),"Consumer")</f>
        <v>Consumer</v>
      </c>
      <c r="L169" s="1" t="str">
        <f ca="1">IFERROR(__xludf.DUMMYFUNCTION("""COMPUTED_VALUE"""),"United States")</f>
        <v>United States</v>
      </c>
      <c r="M169" s="1" t="str">
        <f ca="1">IFERROR(__xludf.DUMMYFUNCTION("""COMPUTED_VALUE"""),"San Francisco")</f>
        <v>San Francisco</v>
      </c>
      <c r="N169" s="1" t="str">
        <f ca="1">IFERROR(__xludf.DUMMYFUNCTION("""COMPUTED_VALUE"""),"California")</f>
        <v>California</v>
      </c>
      <c r="O169" s="1">
        <f ca="1">IFERROR(__xludf.DUMMYFUNCTION("""COMPUTED_VALUE"""),94109)</f>
        <v>94109</v>
      </c>
      <c r="P169" s="1" t="str">
        <f ca="1">IFERROR(__xludf.DUMMYFUNCTION("""COMPUTED_VALUE"""),"West")</f>
        <v>West</v>
      </c>
      <c r="Q169" s="1" t="str">
        <f ca="1">IFERROR(__xludf.DUMMYFUNCTION("""COMPUTED_VALUE"""),"OFF-AR-10001118")</f>
        <v>OFF-AR-10001118</v>
      </c>
      <c r="R169" s="1" t="str">
        <f ca="1">IFERROR(__xludf.DUMMYFUNCTION("""COMPUTED_VALUE"""),"Office Supplies")</f>
        <v>Office Supplies</v>
      </c>
      <c r="S169" s="7">
        <f ca="1">IFERROR(__xludf.DUMMYFUNCTION("""COMPUTED_VALUE"""),13.48)</f>
        <v>13.48</v>
      </c>
      <c r="T169" s="1">
        <f ca="1">IFERROR(__xludf.DUMMYFUNCTION("""COMPUTED_VALUE"""),9)</f>
        <v>9</v>
      </c>
      <c r="U169" s="9">
        <f ca="1">IFERROR(__xludf.DUMMYFUNCTION("""COMPUTED_VALUE"""),121.32)</f>
        <v>121.32</v>
      </c>
      <c r="V169" s="9">
        <f ca="1">IFERROR(__xludf.DUMMYFUNCTION("""COMPUTED_VALUE"""),112.5)</f>
        <v>112.5</v>
      </c>
      <c r="W169" s="12">
        <f ca="1">IFERROR(__xludf.DUMMYFUNCTION("""COMPUTED_VALUE"""),8.82)</f>
        <v>8.82</v>
      </c>
    </row>
    <row r="170" spans="1:23" ht="13.2">
      <c r="A170" s="1" t="str">
        <f ca="1">IFERROR(__xludf.DUMMYFUNCTION("""COMPUTED_VALUE"""),"CA-2016-143602")</f>
        <v>CA-2016-143602</v>
      </c>
      <c r="B170" s="8">
        <f ca="1">IFERROR(__xludf.DUMMYFUNCTION("""COMPUTED_VALUE"""),42485)</f>
        <v>42485</v>
      </c>
      <c r="C170" s="1" t="str">
        <f ca="1">IFERROR(__xludf.DUMMYFUNCTION("""COMPUTED_VALUE"""),"Apr")</f>
        <v>Apr</v>
      </c>
      <c r="D170" s="1" t="str">
        <f ca="1">IFERROR(__xludf.DUMMYFUNCTION("""COMPUTED_VALUE"""),"Qtr 2")</f>
        <v>Qtr 2</v>
      </c>
      <c r="E170" s="1" t="str">
        <f ca="1">IFERROR(__xludf.DUMMYFUNCTION("""COMPUTED_VALUE"""),"28/04/2016")</f>
        <v>28/04/2016</v>
      </c>
      <c r="F170" s="1" t="str">
        <f ca="1">IFERROR(__xludf.DUMMYFUNCTION("""COMPUTED_VALUE"""),"Second Class")</f>
        <v>Second Class</v>
      </c>
      <c r="G170" s="1" t="str">
        <f ca="1">IFERROR(__xludf.DUMMYFUNCTION("""COMPUTED_VALUE"""),"JS-15595")</f>
        <v>JS-15595</v>
      </c>
      <c r="H170" s="1" t="str">
        <f ca="1">IFERROR(__xludf.DUMMYFUNCTION("""COMPUTED_VALUE"""),"Jill")</f>
        <v>Jill</v>
      </c>
      <c r="I170" s="1" t="str">
        <f ca="1">IFERROR(__xludf.DUMMYFUNCTION("""COMPUTED_VALUE"""),"Stevenson")</f>
        <v>Stevenson</v>
      </c>
      <c r="J170" s="1"/>
      <c r="K170" s="1" t="str">
        <f ca="1">IFERROR(__xludf.DUMMYFUNCTION("""COMPUTED_VALUE"""),"Corporate")</f>
        <v>Corporate</v>
      </c>
      <c r="L170" s="1" t="str">
        <f ca="1">IFERROR(__xludf.DUMMYFUNCTION("""COMPUTED_VALUE"""),"United States")</f>
        <v>United States</v>
      </c>
      <c r="M170" s="1" t="str">
        <f ca="1">IFERROR(__xludf.DUMMYFUNCTION("""COMPUTED_VALUE"""),"Los Angeles")</f>
        <v>Los Angeles</v>
      </c>
      <c r="N170" s="1" t="str">
        <f ca="1">IFERROR(__xludf.DUMMYFUNCTION("""COMPUTED_VALUE"""),"California")</f>
        <v>California</v>
      </c>
      <c r="O170" s="1">
        <f ca="1">IFERROR(__xludf.DUMMYFUNCTION("""COMPUTED_VALUE"""),90045)</f>
        <v>90045</v>
      </c>
      <c r="P170" s="1" t="str">
        <f ca="1">IFERROR(__xludf.DUMMYFUNCTION("""COMPUTED_VALUE"""),"West")</f>
        <v>West</v>
      </c>
      <c r="Q170" s="1" t="str">
        <f ca="1">IFERROR(__xludf.DUMMYFUNCTION("""COMPUTED_VALUE"""),"OFF-BI-10002071")</f>
        <v>OFF-BI-10002071</v>
      </c>
      <c r="R170" s="1" t="str">
        <f ca="1">IFERROR(__xludf.DUMMYFUNCTION("""COMPUTED_VALUE"""),"Office Supplies")</f>
        <v>Office Supplies</v>
      </c>
      <c r="S170" s="7">
        <f ca="1">IFERROR(__xludf.DUMMYFUNCTION("""COMPUTED_VALUE"""),13.944)</f>
        <v>13.944000000000001</v>
      </c>
      <c r="T170" s="1">
        <f ca="1">IFERROR(__xludf.DUMMYFUNCTION("""COMPUTED_VALUE"""),9)</f>
        <v>9</v>
      </c>
      <c r="U170" s="9">
        <f ca="1">IFERROR(__xludf.DUMMYFUNCTION("""COMPUTED_VALUE"""),125.496)</f>
        <v>125.496</v>
      </c>
      <c r="V170" s="9">
        <f ca="1">IFERROR(__xludf.DUMMYFUNCTION("""COMPUTED_VALUE"""),122.67)</f>
        <v>122.67</v>
      </c>
      <c r="W170" s="12">
        <f ca="1">IFERROR(__xludf.DUMMYFUNCTION("""COMPUTED_VALUE"""),2.826)</f>
        <v>2.8260000000000001</v>
      </c>
    </row>
    <row r="171" spans="1:23" ht="13.2">
      <c r="A171" s="1" t="str">
        <f ca="1">IFERROR(__xludf.DUMMYFUNCTION("""COMPUTED_VALUE"""),"CA-2018-115364")</f>
        <v>CA-2018-115364</v>
      </c>
      <c r="B171" s="8">
        <f ca="1">IFERROR(__xludf.DUMMYFUNCTION("""COMPUTED_VALUE"""),43277)</f>
        <v>43277</v>
      </c>
      <c r="C171" s="1" t="str">
        <f ca="1">IFERROR(__xludf.DUMMYFUNCTION("""COMPUTED_VALUE"""),"Jun")</f>
        <v>Jun</v>
      </c>
      <c r="D171" s="1" t="str">
        <f ca="1">IFERROR(__xludf.DUMMYFUNCTION("""COMPUTED_VALUE"""),"Qtr 2")</f>
        <v>Qtr 2</v>
      </c>
      <c r="E171" s="1" t="str">
        <f ca="1">IFERROR(__xludf.DUMMYFUNCTION("""COMPUTED_VALUE"""),"2/7/2018")</f>
        <v>2/7/2018</v>
      </c>
      <c r="F171" s="1" t="str">
        <f ca="1">IFERROR(__xludf.DUMMYFUNCTION("""COMPUTED_VALUE"""),"Standard Class")</f>
        <v>Standard Class</v>
      </c>
      <c r="G171" s="1" t="str">
        <f ca="1">IFERROR(__xludf.DUMMYFUNCTION("""COMPUTED_VALUE"""),"OT-18730")</f>
        <v>OT-18730</v>
      </c>
      <c r="H171" s="1" t="str">
        <f ca="1">IFERROR(__xludf.DUMMYFUNCTION("""COMPUTED_VALUE"""),"Olvera")</f>
        <v>Olvera</v>
      </c>
      <c r="I171" s="1" t="str">
        <f ca="1">IFERROR(__xludf.DUMMYFUNCTION("""COMPUTED_VALUE"""),"Toch")</f>
        <v>Toch</v>
      </c>
      <c r="J171" s="1"/>
      <c r="K171" s="1" t="str">
        <f ca="1">IFERROR(__xludf.DUMMYFUNCTION("""COMPUTED_VALUE"""),"Consumer")</f>
        <v>Consumer</v>
      </c>
      <c r="L171" s="1" t="str">
        <f ca="1">IFERROR(__xludf.DUMMYFUNCTION("""COMPUTED_VALUE"""),"United States")</f>
        <v>United States</v>
      </c>
      <c r="M171" s="1" t="str">
        <f ca="1">IFERROR(__xludf.DUMMYFUNCTION("""COMPUTED_VALUE"""),"San Diego")</f>
        <v>San Diego</v>
      </c>
      <c r="N171" s="1" t="str">
        <f ca="1">IFERROR(__xludf.DUMMYFUNCTION("""COMPUTED_VALUE"""),"California")</f>
        <v>California</v>
      </c>
      <c r="O171" s="1">
        <f ca="1">IFERROR(__xludf.DUMMYFUNCTION("""COMPUTED_VALUE"""),92105)</f>
        <v>92105</v>
      </c>
      <c r="P171" s="1" t="str">
        <f ca="1">IFERROR(__xludf.DUMMYFUNCTION("""COMPUTED_VALUE"""),"West")</f>
        <v>West</v>
      </c>
      <c r="Q171" s="1" t="str">
        <f ca="1">IFERROR(__xludf.DUMMYFUNCTION("""COMPUTED_VALUE"""),"OFF-ST-10002486")</f>
        <v>OFF-ST-10002486</v>
      </c>
      <c r="R171" s="1" t="str">
        <f ca="1">IFERROR(__xludf.DUMMYFUNCTION("""COMPUTED_VALUE"""),"Office Supplies")</f>
        <v>Office Supplies</v>
      </c>
      <c r="S171" s="7">
        <f ca="1">IFERROR(__xludf.DUMMYFUNCTION("""COMPUTED_VALUE"""),83.76)</f>
        <v>83.76</v>
      </c>
      <c r="T171" s="1">
        <f ca="1">IFERROR(__xludf.DUMMYFUNCTION("""COMPUTED_VALUE"""),9)</f>
        <v>9</v>
      </c>
      <c r="U171" s="9">
        <f ca="1">IFERROR(__xludf.DUMMYFUNCTION("""COMPUTED_VALUE"""),753.84)</f>
        <v>753.84</v>
      </c>
      <c r="V171" s="9">
        <f ca="1">IFERROR(__xludf.DUMMYFUNCTION("""COMPUTED_VALUE"""),751.41)</f>
        <v>751.41</v>
      </c>
      <c r="W171" s="12">
        <f ca="1">IFERROR(__xludf.DUMMYFUNCTION("""COMPUTED_VALUE"""),2.43000000000006)</f>
        <v>2.4300000000000601</v>
      </c>
    </row>
    <row r="172" spans="1:23" ht="13.2">
      <c r="A172" s="1" t="str">
        <f ca="1">IFERROR(__xludf.DUMMYFUNCTION("""COMPUTED_VALUE"""),"CA-2015-104976")</f>
        <v>CA-2015-104976</v>
      </c>
      <c r="B172" s="8">
        <f ca="1">IFERROR(__xludf.DUMMYFUNCTION("""COMPUTED_VALUE"""),42259)</f>
        <v>42259</v>
      </c>
      <c r="C172" s="1" t="str">
        <f ca="1">IFERROR(__xludf.DUMMYFUNCTION("""COMPUTED_VALUE"""),"Sep")</f>
        <v>Sep</v>
      </c>
      <c r="D172" s="1" t="str">
        <f ca="1">IFERROR(__xludf.DUMMYFUNCTION("""COMPUTED_VALUE"""),"Qtr 3")</f>
        <v>Qtr 3</v>
      </c>
      <c r="E172" s="1" t="str">
        <f ca="1">IFERROR(__xludf.DUMMYFUNCTION("""COMPUTED_VALUE"""),"16/12/2015")</f>
        <v>16/12/2015</v>
      </c>
      <c r="F172" s="1" t="str">
        <f ca="1">IFERROR(__xludf.DUMMYFUNCTION("""COMPUTED_VALUE"""),"Standard Class")</f>
        <v>Standard Class</v>
      </c>
      <c r="G172" s="1" t="str">
        <f ca="1">IFERROR(__xludf.DUMMYFUNCTION("""COMPUTED_VALUE"""),"CK-12760")</f>
        <v>CK-12760</v>
      </c>
      <c r="H172" s="1" t="str">
        <f ca="1">IFERROR(__xludf.DUMMYFUNCTION("""COMPUTED_VALUE"""),"Cyma")</f>
        <v>Cyma</v>
      </c>
      <c r="I172" s="1" t="str">
        <f ca="1">IFERROR(__xludf.DUMMYFUNCTION("""COMPUTED_VALUE"""),"Kinney")</f>
        <v>Kinney</v>
      </c>
      <c r="J172" s="1"/>
      <c r="K172" s="1" t="str">
        <f ca="1">IFERROR(__xludf.DUMMYFUNCTION("""COMPUTED_VALUE"""),"Corporate")</f>
        <v>Corporate</v>
      </c>
      <c r="L172" s="1" t="str">
        <f ca="1">IFERROR(__xludf.DUMMYFUNCTION("""COMPUTED_VALUE"""),"United States")</f>
        <v>United States</v>
      </c>
      <c r="M172" s="1" t="str">
        <f ca="1">IFERROR(__xludf.DUMMYFUNCTION("""COMPUTED_VALUE"""),"San Francisco")</f>
        <v>San Francisco</v>
      </c>
      <c r="N172" s="1" t="str">
        <f ca="1">IFERROR(__xludf.DUMMYFUNCTION("""COMPUTED_VALUE"""),"California")</f>
        <v>California</v>
      </c>
      <c r="O172" s="1">
        <f ca="1">IFERROR(__xludf.DUMMYFUNCTION("""COMPUTED_VALUE"""),94122)</f>
        <v>94122</v>
      </c>
      <c r="P172" s="1" t="str">
        <f ca="1">IFERROR(__xludf.DUMMYFUNCTION("""COMPUTED_VALUE"""),"West")</f>
        <v>West</v>
      </c>
      <c r="Q172" s="1" t="str">
        <f ca="1">IFERROR(__xludf.DUMMYFUNCTION("""COMPUTED_VALUE"""),"OFF-PA-10003845")</f>
        <v>OFF-PA-10003845</v>
      </c>
      <c r="R172" s="1" t="str">
        <f ca="1">IFERROR(__xludf.DUMMYFUNCTION("""COMPUTED_VALUE"""),"Office Supplies")</f>
        <v>Office Supplies</v>
      </c>
      <c r="S172" s="7">
        <f ca="1">IFERROR(__xludf.DUMMYFUNCTION("""COMPUTED_VALUE"""),34.68)</f>
        <v>34.68</v>
      </c>
      <c r="T172" s="1">
        <f ca="1">IFERROR(__xludf.DUMMYFUNCTION("""COMPUTED_VALUE"""),9)</f>
        <v>9</v>
      </c>
      <c r="U172" s="9">
        <f ca="1">IFERROR(__xludf.DUMMYFUNCTION("""COMPUTED_VALUE"""),312.12)</f>
        <v>312.12</v>
      </c>
      <c r="V172" s="9">
        <f ca="1">IFERROR(__xludf.DUMMYFUNCTION("""COMPUTED_VALUE"""),304.83)</f>
        <v>304.83</v>
      </c>
      <c r="W172" s="12">
        <f ca="1">IFERROR(__xludf.DUMMYFUNCTION("""COMPUTED_VALUE"""),7.29000000000002)</f>
        <v>7.2900000000000196</v>
      </c>
    </row>
    <row r="173" spans="1:23" ht="13.2">
      <c r="A173" s="1" t="str">
        <f ca="1">IFERROR(__xludf.DUMMYFUNCTION("""COMPUTED_VALUE"""),"CA-2017-105494")</f>
        <v>CA-2017-105494</v>
      </c>
      <c r="B173" s="8">
        <f ca="1">IFERROR(__xludf.DUMMYFUNCTION("""COMPUTED_VALUE"""),43019)</f>
        <v>43019</v>
      </c>
      <c r="C173" s="1" t="str">
        <f ca="1">IFERROR(__xludf.DUMMYFUNCTION("""COMPUTED_VALUE"""),"Oct")</f>
        <v>Oct</v>
      </c>
      <c r="D173" s="1" t="str">
        <f ca="1">IFERROR(__xludf.DUMMYFUNCTION("""COMPUTED_VALUE"""),"Qtr 4")</f>
        <v>Qtr 4</v>
      </c>
      <c r="E173" s="1" t="str">
        <f ca="1">IFERROR(__xludf.DUMMYFUNCTION("""COMPUTED_VALUE"""),"12/11/2017")</f>
        <v>12/11/2017</v>
      </c>
      <c r="F173" s="1" t="str">
        <f ca="1">IFERROR(__xludf.DUMMYFUNCTION("""COMPUTED_VALUE"""),"First Class")</f>
        <v>First Class</v>
      </c>
      <c r="G173" s="1" t="str">
        <f ca="1">IFERROR(__xludf.DUMMYFUNCTION("""COMPUTED_VALUE"""),"PC-18745")</f>
        <v>PC-18745</v>
      </c>
      <c r="H173" s="1" t="str">
        <f ca="1">IFERROR(__xludf.DUMMYFUNCTION("""COMPUTED_VALUE"""),"Pamela")</f>
        <v>Pamela</v>
      </c>
      <c r="I173" s="1" t="str">
        <f ca="1">IFERROR(__xludf.DUMMYFUNCTION("""COMPUTED_VALUE"""),"Coakley")</f>
        <v>Coakley</v>
      </c>
      <c r="J173" s="1"/>
      <c r="K173" s="1" t="str">
        <f ca="1">IFERROR(__xludf.DUMMYFUNCTION("""COMPUTED_VALUE"""),"Corporate")</f>
        <v>Corporate</v>
      </c>
      <c r="L173" s="1" t="str">
        <f ca="1">IFERROR(__xludf.DUMMYFUNCTION("""COMPUTED_VALUE"""),"United States")</f>
        <v>United States</v>
      </c>
      <c r="M173" s="1" t="str">
        <f ca="1">IFERROR(__xludf.DUMMYFUNCTION("""COMPUTED_VALUE"""),"San Francisco")</f>
        <v>San Francisco</v>
      </c>
      <c r="N173" s="1" t="str">
        <f ca="1">IFERROR(__xludf.DUMMYFUNCTION("""COMPUTED_VALUE"""),"California")</f>
        <v>California</v>
      </c>
      <c r="O173" s="1">
        <f ca="1">IFERROR(__xludf.DUMMYFUNCTION("""COMPUTED_VALUE"""),94122)</f>
        <v>94122</v>
      </c>
      <c r="P173" s="1" t="str">
        <f ca="1">IFERROR(__xludf.DUMMYFUNCTION("""COMPUTED_VALUE"""),"West")</f>
        <v>West</v>
      </c>
      <c r="Q173" s="1" t="str">
        <f ca="1">IFERROR(__xludf.DUMMYFUNCTION("""COMPUTED_VALUE"""),"OFF-ST-10002205")</f>
        <v>OFF-ST-10002205</v>
      </c>
      <c r="R173" s="1" t="str">
        <f ca="1">IFERROR(__xludf.DUMMYFUNCTION("""COMPUTED_VALUE"""),"Office Supplies")</f>
        <v>Office Supplies</v>
      </c>
      <c r="S173" s="7">
        <f ca="1">IFERROR(__xludf.DUMMYFUNCTION("""COMPUTED_VALUE"""),155.82)</f>
        <v>155.82</v>
      </c>
      <c r="T173" s="1">
        <f ca="1">IFERROR(__xludf.DUMMYFUNCTION("""COMPUTED_VALUE"""),9)</f>
        <v>9</v>
      </c>
      <c r="U173" s="9">
        <f ca="1">IFERROR(__xludf.DUMMYFUNCTION("""COMPUTED_VALUE"""),1402.37999999999)</f>
        <v>1402.3799999999901</v>
      </c>
      <c r="V173" s="9">
        <f ca="1">IFERROR(__xludf.DUMMYFUNCTION("""COMPUTED_VALUE"""),1395.99)</f>
        <v>1395.99</v>
      </c>
      <c r="W173" s="12">
        <f ca="1">IFERROR(__xludf.DUMMYFUNCTION("""COMPUTED_VALUE"""),6.38999999999964)</f>
        <v>6.38999999999964</v>
      </c>
    </row>
    <row r="174" spans="1:23" ht="13.2">
      <c r="A174" s="1" t="str">
        <f ca="1">IFERROR(__xludf.DUMMYFUNCTION("""COMPUTED_VALUE"""),"CA-2017-105494")</f>
        <v>CA-2017-105494</v>
      </c>
      <c r="B174" s="8">
        <f ca="1">IFERROR(__xludf.DUMMYFUNCTION("""COMPUTED_VALUE"""),43019)</f>
        <v>43019</v>
      </c>
      <c r="C174" s="1" t="str">
        <f ca="1">IFERROR(__xludf.DUMMYFUNCTION("""COMPUTED_VALUE"""),"Oct")</f>
        <v>Oct</v>
      </c>
      <c r="D174" s="1" t="str">
        <f ca="1">IFERROR(__xludf.DUMMYFUNCTION("""COMPUTED_VALUE"""),"Qtr 4")</f>
        <v>Qtr 4</v>
      </c>
      <c r="E174" s="1" t="str">
        <f ca="1">IFERROR(__xludf.DUMMYFUNCTION("""COMPUTED_VALUE"""),"12/11/2017")</f>
        <v>12/11/2017</v>
      </c>
      <c r="F174" s="1" t="str">
        <f ca="1">IFERROR(__xludf.DUMMYFUNCTION("""COMPUTED_VALUE"""),"First Class")</f>
        <v>First Class</v>
      </c>
      <c r="G174" s="1" t="str">
        <f ca="1">IFERROR(__xludf.DUMMYFUNCTION("""COMPUTED_VALUE"""),"PC-18745")</f>
        <v>PC-18745</v>
      </c>
      <c r="H174" s="1" t="str">
        <f ca="1">IFERROR(__xludf.DUMMYFUNCTION("""COMPUTED_VALUE"""),"Pamela")</f>
        <v>Pamela</v>
      </c>
      <c r="I174" s="1" t="str">
        <f ca="1">IFERROR(__xludf.DUMMYFUNCTION("""COMPUTED_VALUE"""),"Coakley")</f>
        <v>Coakley</v>
      </c>
      <c r="J174" s="1"/>
      <c r="K174" s="1" t="str">
        <f ca="1">IFERROR(__xludf.DUMMYFUNCTION("""COMPUTED_VALUE"""),"Corporate")</f>
        <v>Corporate</v>
      </c>
      <c r="L174" s="1" t="str">
        <f ca="1">IFERROR(__xludf.DUMMYFUNCTION("""COMPUTED_VALUE"""),"United States")</f>
        <v>United States</v>
      </c>
      <c r="M174" s="1" t="str">
        <f ca="1">IFERROR(__xludf.DUMMYFUNCTION("""COMPUTED_VALUE"""),"San Francisco")</f>
        <v>San Francisco</v>
      </c>
      <c r="N174" s="1" t="str">
        <f ca="1">IFERROR(__xludf.DUMMYFUNCTION("""COMPUTED_VALUE"""),"California")</f>
        <v>California</v>
      </c>
      <c r="O174" s="1">
        <f ca="1">IFERROR(__xludf.DUMMYFUNCTION("""COMPUTED_VALUE"""),94122)</f>
        <v>94122</v>
      </c>
      <c r="P174" s="1" t="str">
        <f ca="1">IFERROR(__xludf.DUMMYFUNCTION("""COMPUTED_VALUE"""),"West")</f>
        <v>West</v>
      </c>
      <c r="Q174" s="1" t="str">
        <f ca="1">IFERROR(__xludf.DUMMYFUNCTION("""COMPUTED_VALUE"""),"OFF-BI-10003364")</f>
        <v>OFF-BI-10003364</v>
      </c>
      <c r="R174" s="1" t="str">
        <f ca="1">IFERROR(__xludf.DUMMYFUNCTION("""COMPUTED_VALUE"""),"Office Supplies")</f>
        <v>Office Supplies</v>
      </c>
      <c r="S174" s="7">
        <f ca="1">IFERROR(__xludf.DUMMYFUNCTION("""COMPUTED_VALUE"""),70.008)</f>
        <v>70.007999999999996</v>
      </c>
      <c r="T174" s="1">
        <f ca="1">IFERROR(__xludf.DUMMYFUNCTION("""COMPUTED_VALUE"""),9)</f>
        <v>9</v>
      </c>
      <c r="U174" s="9">
        <f ca="1">IFERROR(__xludf.DUMMYFUNCTION("""COMPUTED_VALUE"""),630.072)</f>
        <v>630.072</v>
      </c>
      <c r="V174" s="9">
        <f ca="1">IFERROR(__xludf.DUMMYFUNCTION("""COMPUTED_VALUE"""),630)</f>
        <v>630</v>
      </c>
      <c r="W174" s="12">
        <f ca="1">IFERROR(__xludf.DUMMYFUNCTION("""COMPUTED_VALUE"""),0.0720000000000027)</f>
        <v>7.2000000000002701E-2</v>
      </c>
    </row>
    <row r="175" spans="1:23" ht="13.2">
      <c r="A175" s="1" t="str">
        <f ca="1">IFERROR(__xludf.DUMMYFUNCTION("""COMPUTED_VALUE"""),"CA-2017-130477")</f>
        <v>CA-2017-130477</v>
      </c>
      <c r="B175" s="8">
        <f ca="1">IFERROR(__xludf.DUMMYFUNCTION("""COMPUTED_VALUE"""),42951)</f>
        <v>42951</v>
      </c>
      <c r="C175" s="1" t="str">
        <f ca="1">IFERROR(__xludf.DUMMYFUNCTION("""COMPUTED_VALUE"""),"Aug")</f>
        <v>Aug</v>
      </c>
      <c r="D175" s="1" t="str">
        <f ca="1">IFERROR(__xludf.DUMMYFUNCTION("""COMPUTED_VALUE"""),"Qtr 3")</f>
        <v>Qtr 3</v>
      </c>
      <c r="E175" s="1" t="str">
        <f ca="1">IFERROR(__xludf.DUMMYFUNCTION("""COMPUTED_VALUE"""),"12/4/2017")</f>
        <v>12/4/2017</v>
      </c>
      <c r="F175" s="1" t="str">
        <f ca="1">IFERROR(__xludf.DUMMYFUNCTION("""COMPUTED_VALUE"""),"Standard Class")</f>
        <v>Standard Class</v>
      </c>
      <c r="G175" s="1" t="str">
        <f ca="1">IFERROR(__xludf.DUMMYFUNCTION("""COMPUTED_VALUE"""),"LC-17140")</f>
        <v>LC-17140</v>
      </c>
      <c r="H175" s="1" t="str">
        <f ca="1">IFERROR(__xludf.DUMMYFUNCTION("""COMPUTED_VALUE"""),"Logan")</f>
        <v>Logan</v>
      </c>
      <c r="I175" s="1" t="str">
        <f ca="1">IFERROR(__xludf.DUMMYFUNCTION("""COMPUTED_VALUE"""),"Currie")</f>
        <v>Currie</v>
      </c>
      <c r="J175" s="1"/>
      <c r="K175" s="1" t="str">
        <f ca="1">IFERROR(__xludf.DUMMYFUNCTION("""COMPUTED_VALUE"""),"Consumer")</f>
        <v>Consumer</v>
      </c>
      <c r="L175" s="1" t="str">
        <f ca="1">IFERROR(__xludf.DUMMYFUNCTION("""COMPUTED_VALUE"""),"United States")</f>
        <v>United States</v>
      </c>
      <c r="M175" s="1" t="str">
        <f ca="1">IFERROR(__xludf.DUMMYFUNCTION("""COMPUTED_VALUE"""),"Los Angeles")</f>
        <v>Los Angeles</v>
      </c>
      <c r="N175" s="1" t="str">
        <f ca="1">IFERROR(__xludf.DUMMYFUNCTION("""COMPUTED_VALUE"""),"California")</f>
        <v>California</v>
      </c>
      <c r="O175" s="1">
        <f ca="1">IFERROR(__xludf.DUMMYFUNCTION("""COMPUTED_VALUE"""),90032)</f>
        <v>90032</v>
      </c>
      <c r="P175" s="1" t="str">
        <f ca="1">IFERROR(__xludf.DUMMYFUNCTION("""COMPUTED_VALUE"""),"West")</f>
        <v>West</v>
      </c>
      <c r="Q175" s="1" t="str">
        <f ca="1">IFERROR(__xludf.DUMMYFUNCTION("""COMPUTED_VALUE"""),"OFF-PA-10002947")</f>
        <v>OFF-PA-10002947</v>
      </c>
      <c r="R175" s="1" t="str">
        <f ca="1">IFERROR(__xludf.DUMMYFUNCTION("""COMPUTED_VALUE"""),"Office Supplies")</f>
        <v>Office Supplies</v>
      </c>
      <c r="S175" s="7">
        <f ca="1">IFERROR(__xludf.DUMMYFUNCTION("""COMPUTED_VALUE"""),20.04)</f>
        <v>20.04</v>
      </c>
      <c r="T175" s="1">
        <f ca="1">IFERROR(__xludf.DUMMYFUNCTION("""COMPUTED_VALUE"""),9)</f>
        <v>9</v>
      </c>
      <c r="U175" s="9">
        <f ca="1">IFERROR(__xludf.DUMMYFUNCTION("""COMPUTED_VALUE"""),180.359999999999)</f>
        <v>180.35999999999899</v>
      </c>
      <c r="V175" s="9">
        <f ca="1">IFERROR(__xludf.DUMMYFUNCTION("""COMPUTED_VALUE"""),178.92)</f>
        <v>178.92</v>
      </c>
      <c r="W175" s="12">
        <f ca="1">IFERROR(__xludf.DUMMYFUNCTION("""COMPUTED_VALUE"""),1.43999999999999)</f>
        <v>1.43999999999999</v>
      </c>
    </row>
    <row r="176" spans="1:23" ht="13.2">
      <c r="A176" s="1" t="str">
        <f ca="1">IFERROR(__xludf.DUMMYFUNCTION("""COMPUTED_VALUE"""),"CA-2017-130477")</f>
        <v>CA-2017-130477</v>
      </c>
      <c r="B176" s="8">
        <f ca="1">IFERROR(__xludf.DUMMYFUNCTION("""COMPUTED_VALUE"""),42951)</f>
        <v>42951</v>
      </c>
      <c r="C176" s="1" t="str">
        <f ca="1">IFERROR(__xludf.DUMMYFUNCTION("""COMPUTED_VALUE"""),"Aug")</f>
        <v>Aug</v>
      </c>
      <c r="D176" s="1" t="str">
        <f ca="1">IFERROR(__xludf.DUMMYFUNCTION("""COMPUTED_VALUE"""),"Qtr 3")</f>
        <v>Qtr 3</v>
      </c>
      <c r="E176" s="1" t="str">
        <f ca="1">IFERROR(__xludf.DUMMYFUNCTION("""COMPUTED_VALUE"""),"12/4/2017")</f>
        <v>12/4/2017</v>
      </c>
      <c r="F176" s="1" t="str">
        <f ca="1">IFERROR(__xludf.DUMMYFUNCTION("""COMPUTED_VALUE"""),"Standard Class")</f>
        <v>Standard Class</v>
      </c>
      <c r="G176" s="1" t="str">
        <f ca="1">IFERROR(__xludf.DUMMYFUNCTION("""COMPUTED_VALUE"""),"LC-17140")</f>
        <v>LC-17140</v>
      </c>
      <c r="H176" s="1" t="str">
        <f ca="1">IFERROR(__xludf.DUMMYFUNCTION("""COMPUTED_VALUE"""),"Logan")</f>
        <v>Logan</v>
      </c>
      <c r="I176" s="1" t="str">
        <f ca="1">IFERROR(__xludf.DUMMYFUNCTION("""COMPUTED_VALUE"""),"Currie")</f>
        <v>Currie</v>
      </c>
      <c r="J176" s="1"/>
      <c r="K176" s="1" t="str">
        <f ca="1">IFERROR(__xludf.DUMMYFUNCTION("""COMPUTED_VALUE"""),"Consumer")</f>
        <v>Consumer</v>
      </c>
      <c r="L176" s="1" t="str">
        <f ca="1">IFERROR(__xludf.DUMMYFUNCTION("""COMPUTED_VALUE"""),"United States")</f>
        <v>United States</v>
      </c>
      <c r="M176" s="1" t="str">
        <f ca="1">IFERROR(__xludf.DUMMYFUNCTION("""COMPUTED_VALUE"""),"Los Angeles")</f>
        <v>Los Angeles</v>
      </c>
      <c r="N176" s="1" t="str">
        <f ca="1">IFERROR(__xludf.DUMMYFUNCTION("""COMPUTED_VALUE"""),"California")</f>
        <v>California</v>
      </c>
      <c r="O176" s="1">
        <f ca="1">IFERROR(__xludf.DUMMYFUNCTION("""COMPUTED_VALUE"""),90032)</f>
        <v>90032</v>
      </c>
      <c r="P176" s="1" t="str">
        <f ca="1">IFERROR(__xludf.DUMMYFUNCTION("""COMPUTED_VALUE"""),"West")</f>
        <v>West</v>
      </c>
      <c r="Q176" s="1" t="str">
        <f ca="1">IFERROR(__xludf.DUMMYFUNCTION("""COMPUTED_VALUE"""),"OFF-ST-10002583")</f>
        <v>OFF-ST-10002583</v>
      </c>
      <c r="R176" s="1" t="str">
        <f ca="1">IFERROR(__xludf.DUMMYFUNCTION("""COMPUTED_VALUE"""),"Office Supplies")</f>
        <v>Office Supplies</v>
      </c>
      <c r="S176" s="7">
        <f ca="1">IFERROR(__xludf.DUMMYFUNCTION("""COMPUTED_VALUE"""),64.96)</f>
        <v>64.959999999999994</v>
      </c>
      <c r="T176" s="1">
        <f ca="1">IFERROR(__xludf.DUMMYFUNCTION("""COMPUTED_VALUE"""),9)</f>
        <v>9</v>
      </c>
      <c r="U176" s="9">
        <f ca="1">IFERROR(__xludf.DUMMYFUNCTION("""COMPUTED_VALUE"""),584.64)</f>
        <v>584.64</v>
      </c>
      <c r="V176" s="9">
        <f ca="1">IFERROR(__xludf.DUMMYFUNCTION("""COMPUTED_VALUE"""),583.29)</f>
        <v>583.29</v>
      </c>
      <c r="W176" s="12">
        <f ca="1">IFERROR(__xludf.DUMMYFUNCTION("""COMPUTED_VALUE"""),1.35000000000002)</f>
        <v>1.3500000000000201</v>
      </c>
    </row>
    <row r="177" spans="1:23" ht="13.2">
      <c r="A177" s="1" t="str">
        <f ca="1">IFERROR(__xludf.DUMMYFUNCTION("""COMPUTED_VALUE"""),"CA-2017-130477")</f>
        <v>CA-2017-130477</v>
      </c>
      <c r="B177" s="8">
        <f ca="1">IFERROR(__xludf.DUMMYFUNCTION("""COMPUTED_VALUE"""),42951)</f>
        <v>42951</v>
      </c>
      <c r="C177" s="1" t="str">
        <f ca="1">IFERROR(__xludf.DUMMYFUNCTION("""COMPUTED_VALUE"""),"Aug")</f>
        <v>Aug</v>
      </c>
      <c r="D177" s="1" t="str">
        <f ca="1">IFERROR(__xludf.DUMMYFUNCTION("""COMPUTED_VALUE"""),"Qtr 3")</f>
        <v>Qtr 3</v>
      </c>
      <c r="E177" s="1" t="str">
        <f ca="1">IFERROR(__xludf.DUMMYFUNCTION("""COMPUTED_VALUE"""),"12/4/2017")</f>
        <v>12/4/2017</v>
      </c>
      <c r="F177" s="1" t="str">
        <f ca="1">IFERROR(__xludf.DUMMYFUNCTION("""COMPUTED_VALUE"""),"Standard Class")</f>
        <v>Standard Class</v>
      </c>
      <c r="G177" s="1" t="str">
        <f ca="1">IFERROR(__xludf.DUMMYFUNCTION("""COMPUTED_VALUE"""),"LC-17140")</f>
        <v>LC-17140</v>
      </c>
      <c r="H177" s="1" t="str">
        <f ca="1">IFERROR(__xludf.DUMMYFUNCTION("""COMPUTED_VALUE"""),"Logan")</f>
        <v>Logan</v>
      </c>
      <c r="I177" s="1" t="str">
        <f ca="1">IFERROR(__xludf.DUMMYFUNCTION("""COMPUTED_VALUE"""),"Currie")</f>
        <v>Currie</v>
      </c>
      <c r="J177" s="1"/>
      <c r="K177" s="1" t="str">
        <f ca="1">IFERROR(__xludf.DUMMYFUNCTION("""COMPUTED_VALUE"""),"Consumer")</f>
        <v>Consumer</v>
      </c>
      <c r="L177" s="1" t="str">
        <f ca="1">IFERROR(__xludf.DUMMYFUNCTION("""COMPUTED_VALUE"""),"United States")</f>
        <v>United States</v>
      </c>
      <c r="M177" s="1" t="str">
        <f ca="1">IFERROR(__xludf.DUMMYFUNCTION("""COMPUTED_VALUE"""),"Los Angeles")</f>
        <v>Los Angeles</v>
      </c>
      <c r="N177" s="1" t="str">
        <f ca="1">IFERROR(__xludf.DUMMYFUNCTION("""COMPUTED_VALUE"""),"California")</f>
        <v>California</v>
      </c>
      <c r="O177" s="1">
        <f ca="1">IFERROR(__xludf.DUMMYFUNCTION("""COMPUTED_VALUE"""),90032)</f>
        <v>90032</v>
      </c>
      <c r="P177" s="1" t="str">
        <f ca="1">IFERROR(__xludf.DUMMYFUNCTION("""COMPUTED_VALUE"""),"West")</f>
        <v>West</v>
      </c>
      <c r="Q177" s="1" t="str">
        <f ca="1">IFERROR(__xludf.DUMMYFUNCTION("""COMPUTED_VALUE"""),"OFF-PA-10000019")</f>
        <v>OFF-PA-10000019</v>
      </c>
      <c r="R177" s="1" t="str">
        <f ca="1">IFERROR(__xludf.DUMMYFUNCTION("""COMPUTED_VALUE"""),"Office Supplies")</f>
        <v>Office Supplies</v>
      </c>
      <c r="S177" s="7">
        <f ca="1">IFERROR(__xludf.DUMMYFUNCTION("""COMPUTED_VALUE"""),12.96)</f>
        <v>12.96</v>
      </c>
      <c r="T177" s="1">
        <f ca="1">IFERROR(__xludf.DUMMYFUNCTION("""COMPUTED_VALUE"""),9)</f>
        <v>9</v>
      </c>
      <c r="U177" s="9">
        <f ca="1">IFERROR(__xludf.DUMMYFUNCTION("""COMPUTED_VALUE"""),116.64)</f>
        <v>116.64</v>
      </c>
      <c r="V177" s="9">
        <f ca="1">IFERROR(__xludf.DUMMYFUNCTION("""COMPUTED_VALUE"""),113.67)</f>
        <v>113.67</v>
      </c>
      <c r="W177" s="12">
        <f ca="1">IFERROR(__xludf.DUMMYFUNCTION("""COMPUTED_VALUE"""),2.97000000000001)</f>
        <v>2.97000000000001</v>
      </c>
    </row>
    <row r="178" spans="1:23" ht="13.2">
      <c r="A178" s="1" t="str">
        <f ca="1">IFERROR(__xludf.DUMMYFUNCTION("""COMPUTED_VALUE"""),"CA-2016-148250")</f>
        <v>CA-2016-148250</v>
      </c>
      <c r="B178" s="8">
        <f ca="1">IFERROR(__xludf.DUMMYFUNCTION("""COMPUTED_VALUE"""),42717)</f>
        <v>42717</v>
      </c>
      <c r="C178" s="1" t="str">
        <f ca="1">IFERROR(__xludf.DUMMYFUNCTION("""COMPUTED_VALUE"""),"Dec")</f>
        <v>Dec</v>
      </c>
      <c r="D178" s="1" t="str">
        <f ca="1">IFERROR(__xludf.DUMMYFUNCTION("""COMPUTED_VALUE"""),"Qtr 4")</f>
        <v>Qtr 4</v>
      </c>
      <c r="E178" s="1" t="str">
        <f ca="1">IFERROR(__xludf.DUMMYFUNCTION("""COMPUTED_VALUE"""),"17/12/2016")</f>
        <v>17/12/2016</v>
      </c>
      <c r="F178" s="1" t="str">
        <f ca="1">IFERROR(__xludf.DUMMYFUNCTION("""COMPUTED_VALUE"""),"Standard Class")</f>
        <v>Standard Class</v>
      </c>
      <c r="G178" s="1" t="str">
        <f ca="1">IFERROR(__xludf.DUMMYFUNCTION("""COMPUTED_VALUE"""),"RP-19270")</f>
        <v>RP-19270</v>
      </c>
      <c r="H178" s="1" t="str">
        <f ca="1">IFERROR(__xludf.DUMMYFUNCTION("""COMPUTED_VALUE"""),"Rachel")</f>
        <v>Rachel</v>
      </c>
      <c r="I178" s="1" t="str">
        <f ca="1">IFERROR(__xludf.DUMMYFUNCTION("""COMPUTED_VALUE"""),"Payne")</f>
        <v>Payne</v>
      </c>
      <c r="J178" s="1"/>
      <c r="K178" s="1" t="str">
        <f ca="1">IFERROR(__xludf.DUMMYFUNCTION("""COMPUTED_VALUE"""),"Corporate")</f>
        <v>Corporate</v>
      </c>
      <c r="L178" s="1" t="str">
        <f ca="1">IFERROR(__xludf.DUMMYFUNCTION("""COMPUTED_VALUE"""),"United States")</f>
        <v>United States</v>
      </c>
      <c r="M178" s="1" t="str">
        <f ca="1">IFERROR(__xludf.DUMMYFUNCTION("""COMPUTED_VALUE"""),"Riverside")</f>
        <v>Riverside</v>
      </c>
      <c r="N178" s="1" t="str">
        <f ca="1">IFERROR(__xludf.DUMMYFUNCTION("""COMPUTED_VALUE"""),"California")</f>
        <v>California</v>
      </c>
      <c r="O178" s="1">
        <f ca="1">IFERROR(__xludf.DUMMYFUNCTION("""COMPUTED_VALUE"""),92503)</f>
        <v>92503</v>
      </c>
      <c r="P178" s="1" t="str">
        <f ca="1">IFERROR(__xludf.DUMMYFUNCTION("""COMPUTED_VALUE"""),"West")</f>
        <v>West</v>
      </c>
      <c r="Q178" s="1" t="str">
        <f ca="1">IFERROR(__xludf.DUMMYFUNCTION("""COMPUTED_VALUE"""),"OFF-PA-10000289")</f>
        <v>OFF-PA-10000289</v>
      </c>
      <c r="R178" s="1" t="str">
        <f ca="1">IFERROR(__xludf.DUMMYFUNCTION("""COMPUTED_VALUE"""),"Office Supplies")</f>
        <v>Office Supplies</v>
      </c>
      <c r="S178" s="7">
        <f ca="1">IFERROR(__xludf.DUMMYFUNCTION("""COMPUTED_VALUE"""),12.96)</f>
        <v>12.96</v>
      </c>
      <c r="T178" s="1">
        <f ca="1">IFERROR(__xludf.DUMMYFUNCTION("""COMPUTED_VALUE"""),9)</f>
        <v>9</v>
      </c>
      <c r="U178" s="9">
        <f ca="1">IFERROR(__xludf.DUMMYFUNCTION("""COMPUTED_VALUE"""),116.64)</f>
        <v>116.64</v>
      </c>
      <c r="V178" s="9">
        <f ca="1">IFERROR(__xludf.DUMMYFUNCTION("""COMPUTED_VALUE"""),111.33)</f>
        <v>111.33</v>
      </c>
      <c r="W178" s="12">
        <f ca="1">IFERROR(__xludf.DUMMYFUNCTION("""COMPUTED_VALUE"""),5.31000000000001)</f>
        <v>5.3100000000000103</v>
      </c>
    </row>
    <row r="179" spans="1:23" ht="13.2">
      <c r="A179" s="1" t="str">
        <f ca="1">IFERROR(__xludf.DUMMYFUNCTION("""COMPUTED_VALUE"""),"CA-2016-148250")</f>
        <v>CA-2016-148250</v>
      </c>
      <c r="B179" s="8">
        <f ca="1">IFERROR(__xludf.DUMMYFUNCTION("""COMPUTED_VALUE"""),42717)</f>
        <v>42717</v>
      </c>
      <c r="C179" s="1" t="str">
        <f ca="1">IFERROR(__xludf.DUMMYFUNCTION("""COMPUTED_VALUE"""),"Dec")</f>
        <v>Dec</v>
      </c>
      <c r="D179" s="1" t="str">
        <f ca="1">IFERROR(__xludf.DUMMYFUNCTION("""COMPUTED_VALUE"""),"Qtr 4")</f>
        <v>Qtr 4</v>
      </c>
      <c r="E179" s="1" t="str">
        <f ca="1">IFERROR(__xludf.DUMMYFUNCTION("""COMPUTED_VALUE"""),"17/12/2016")</f>
        <v>17/12/2016</v>
      </c>
      <c r="F179" s="1" t="str">
        <f ca="1">IFERROR(__xludf.DUMMYFUNCTION("""COMPUTED_VALUE"""),"Standard Class")</f>
        <v>Standard Class</v>
      </c>
      <c r="G179" s="1" t="str">
        <f ca="1">IFERROR(__xludf.DUMMYFUNCTION("""COMPUTED_VALUE"""),"RP-19270")</f>
        <v>RP-19270</v>
      </c>
      <c r="H179" s="1" t="str">
        <f ca="1">IFERROR(__xludf.DUMMYFUNCTION("""COMPUTED_VALUE"""),"Rachel")</f>
        <v>Rachel</v>
      </c>
      <c r="I179" s="1" t="str">
        <f ca="1">IFERROR(__xludf.DUMMYFUNCTION("""COMPUTED_VALUE"""),"Payne")</f>
        <v>Payne</v>
      </c>
      <c r="J179" s="1"/>
      <c r="K179" s="1" t="str">
        <f ca="1">IFERROR(__xludf.DUMMYFUNCTION("""COMPUTED_VALUE"""),"Corporate")</f>
        <v>Corporate</v>
      </c>
      <c r="L179" s="1" t="str">
        <f ca="1">IFERROR(__xludf.DUMMYFUNCTION("""COMPUTED_VALUE"""),"United States")</f>
        <v>United States</v>
      </c>
      <c r="M179" s="1" t="str">
        <f ca="1">IFERROR(__xludf.DUMMYFUNCTION("""COMPUTED_VALUE"""),"Riverside")</f>
        <v>Riverside</v>
      </c>
      <c r="N179" s="1" t="str">
        <f ca="1">IFERROR(__xludf.DUMMYFUNCTION("""COMPUTED_VALUE"""),"California")</f>
        <v>California</v>
      </c>
      <c r="O179" s="1">
        <f ca="1">IFERROR(__xludf.DUMMYFUNCTION("""COMPUTED_VALUE"""),92503)</f>
        <v>92503</v>
      </c>
      <c r="P179" s="1" t="str">
        <f ca="1">IFERROR(__xludf.DUMMYFUNCTION("""COMPUTED_VALUE"""),"West")</f>
        <v>West</v>
      </c>
      <c r="Q179" s="1" t="str">
        <f ca="1">IFERROR(__xludf.DUMMYFUNCTION("""COMPUTED_VALUE"""),"OFF-AP-10003040")</f>
        <v>OFF-AP-10003040</v>
      </c>
      <c r="R179" s="1" t="str">
        <f ca="1">IFERROR(__xludf.DUMMYFUNCTION("""COMPUTED_VALUE"""),"Office Supplies")</f>
        <v>Office Supplies</v>
      </c>
      <c r="S179" s="7">
        <f ca="1">IFERROR(__xludf.DUMMYFUNCTION("""COMPUTED_VALUE"""),134.48)</f>
        <v>134.47999999999999</v>
      </c>
      <c r="T179" s="1">
        <f ca="1">IFERROR(__xludf.DUMMYFUNCTION("""COMPUTED_VALUE"""),9)</f>
        <v>9</v>
      </c>
      <c r="U179" s="9">
        <f ca="1">IFERROR(__xludf.DUMMYFUNCTION("""COMPUTED_VALUE"""),1210.32)</f>
        <v>1210.32</v>
      </c>
      <c r="V179" s="9">
        <f ca="1">IFERROR(__xludf.DUMMYFUNCTION("""COMPUTED_VALUE"""),1207.62)</f>
        <v>1207.6199999999999</v>
      </c>
      <c r="W179" s="12">
        <f ca="1">IFERROR(__xludf.DUMMYFUNCTION("""COMPUTED_VALUE"""),2.69999999999981)</f>
        <v>2.6999999999998101</v>
      </c>
    </row>
    <row r="180" spans="1:23" ht="13.2">
      <c r="A180" s="1" t="str">
        <f ca="1">IFERROR(__xludf.DUMMYFUNCTION("""COMPUTED_VALUE"""),"CA-2017-105760")</f>
        <v>CA-2017-105760</v>
      </c>
      <c r="B180" s="8">
        <f ca="1">IFERROR(__xludf.DUMMYFUNCTION("""COMPUTED_VALUE"""),42905)</f>
        <v>42905</v>
      </c>
      <c r="C180" s="1" t="str">
        <f ca="1">IFERROR(__xludf.DUMMYFUNCTION("""COMPUTED_VALUE"""),"Jun")</f>
        <v>Jun</v>
      </c>
      <c r="D180" s="1" t="str">
        <f ca="1">IFERROR(__xludf.DUMMYFUNCTION("""COMPUTED_VALUE"""),"Qtr 2")</f>
        <v>Qtr 2</v>
      </c>
      <c r="E180" s="1" t="str">
        <f ca="1">IFERROR(__xludf.DUMMYFUNCTION("""COMPUTED_VALUE"""),"20/06/2017")</f>
        <v>20/06/2017</v>
      </c>
      <c r="F180" s="1" t="str">
        <f ca="1">IFERROR(__xludf.DUMMYFUNCTION("""COMPUTED_VALUE"""),"First Class")</f>
        <v>First Class</v>
      </c>
      <c r="G180" s="1" t="str">
        <f ca="1">IFERROR(__xludf.DUMMYFUNCTION("""COMPUTED_VALUE"""),"KC-16255")</f>
        <v>KC-16255</v>
      </c>
      <c r="H180" s="1" t="str">
        <f ca="1">IFERROR(__xludf.DUMMYFUNCTION("""COMPUTED_VALUE"""),"Karen")</f>
        <v>Karen</v>
      </c>
      <c r="I180" s="1" t="str">
        <f ca="1">IFERROR(__xludf.DUMMYFUNCTION("""COMPUTED_VALUE"""),"Carlisle")</f>
        <v>Carlisle</v>
      </c>
      <c r="J180" s="1"/>
      <c r="K180" s="1" t="str">
        <f ca="1">IFERROR(__xludf.DUMMYFUNCTION("""COMPUTED_VALUE"""),"Corporate")</f>
        <v>Corporate</v>
      </c>
      <c r="L180" s="1" t="str">
        <f ca="1">IFERROR(__xludf.DUMMYFUNCTION("""COMPUTED_VALUE"""),"United States")</f>
        <v>United States</v>
      </c>
      <c r="M180" s="1" t="str">
        <f ca="1">IFERROR(__xludf.DUMMYFUNCTION("""COMPUTED_VALUE"""),"San Francisco")</f>
        <v>San Francisco</v>
      </c>
      <c r="N180" s="1" t="str">
        <f ca="1">IFERROR(__xludf.DUMMYFUNCTION("""COMPUTED_VALUE"""),"California")</f>
        <v>California</v>
      </c>
      <c r="O180" s="1">
        <f ca="1">IFERROR(__xludf.DUMMYFUNCTION("""COMPUTED_VALUE"""),94110)</f>
        <v>94110</v>
      </c>
      <c r="P180" s="1" t="str">
        <f ca="1">IFERROR(__xludf.DUMMYFUNCTION("""COMPUTED_VALUE"""),"West")</f>
        <v>West</v>
      </c>
      <c r="Q180" s="1" t="str">
        <f ca="1">IFERROR(__xludf.DUMMYFUNCTION("""COMPUTED_VALUE"""),"OFF-PA-10000350")</f>
        <v>OFF-PA-10000350</v>
      </c>
      <c r="R180" s="1" t="str">
        <f ca="1">IFERROR(__xludf.DUMMYFUNCTION("""COMPUTED_VALUE"""),"Office Supplies")</f>
        <v>Office Supplies</v>
      </c>
      <c r="S180" s="7">
        <f ca="1">IFERROR(__xludf.DUMMYFUNCTION("""COMPUTED_VALUE"""),17.12)</f>
        <v>17.12</v>
      </c>
      <c r="T180" s="1">
        <f ca="1">IFERROR(__xludf.DUMMYFUNCTION("""COMPUTED_VALUE"""),9)</f>
        <v>9</v>
      </c>
      <c r="U180" s="9">
        <f ca="1">IFERROR(__xludf.DUMMYFUNCTION("""COMPUTED_VALUE"""),154.08)</f>
        <v>154.08000000000001</v>
      </c>
      <c r="V180" s="9">
        <f ca="1">IFERROR(__xludf.DUMMYFUNCTION("""COMPUTED_VALUE"""),153.99)</f>
        <v>153.99</v>
      </c>
      <c r="W180" s="12">
        <f ca="1">IFERROR(__xludf.DUMMYFUNCTION("""COMPUTED_VALUE"""),0.0900000000000034)</f>
        <v>9.0000000000003397E-2</v>
      </c>
    </row>
    <row r="181" spans="1:23" ht="13.2">
      <c r="A181" s="1" t="str">
        <f ca="1">IFERROR(__xludf.DUMMYFUNCTION("""COMPUTED_VALUE"""),"CA-2017-142958")</f>
        <v>CA-2017-142958</v>
      </c>
      <c r="B181" s="8">
        <f ca="1">IFERROR(__xludf.DUMMYFUNCTION("""COMPUTED_VALUE"""),43082)</f>
        <v>43082</v>
      </c>
      <c r="C181" s="1" t="str">
        <f ca="1">IFERROR(__xludf.DUMMYFUNCTION("""COMPUTED_VALUE"""),"Dec")</f>
        <v>Dec</v>
      </c>
      <c r="D181" s="1" t="str">
        <f ca="1">IFERROR(__xludf.DUMMYFUNCTION("""COMPUTED_VALUE"""),"Qtr 4")</f>
        <v>Qtr 4</v>
      </c>
      <c r="E181" s="1" t="str">
        <f ca="1">IFERROR(__xludf.DUMMYFUNCTION("""COMPUTED_VALUE"""),"20/12/2017")</f>
        <v>20/12/2017</v>
      </c>
      <c r="F181" s="1" t="str">
        <f ca="1">IFERROR(__xludf.DUMMYFUNCTION("""COMPUTED_VALUE"""),"Standard Class")</f>
        <v>Standard Class</v>
      </c>
      <c r="G181" s="1" t="str">
        <f ca="1">IFERROR(__xludf.DUMMYFUNCTION("""COMPUTED_VALUE"""),"RW-19630")</f>
        <v>RW-19630</v>
      </c>
      <c r="H181" s="1" t="str">
        <f ca="1">IFERROR(__xludf.DUMMYFUNCTION("""COMPUTED_VALUE"""),"Rob")</f>
        <v>Rob</v>
      </c>
      <c r="I181" s="1" t="str">
        <f ca="1">IFERROR(__xludf.DUMMYFUNCTION("""COMPUTED_VALUE"""),"Williams")</f>
        <v>Williams</v>
      </c>
      <c r="J181" s="1"/>
      <c r="K181" s="1" t="str">
        <f ca="1">IFERROR(__xludf.DUMMYFUNCTION("""COMPUTED_VALUE"""),"Corporate")</f>
        <v>Corporate</v>
      </c>
      <c r="L181" s="1" t="str">
        <f ca="1">IFERROR(__xludf.DUMMYFUNCTION("""COMPUTED_VALUE"""),"United States")</f>
        <v>United States</v>
      </c>
      <c r="M181" s="1" t="str">
        <f ca="1">IFERROR(__xludf.DUMMYFUNCTION("""COMPUTED_VALUE"""),"Torrance")</f>
        <v>Torrance</v>
      </c>
      <c r="N181" s="1" t="str">
        <f ca="1">IFERROR(__xludf.DUMMYFUNCTION("""COMPUTED_VALUE"""),"California")</f>
        <v>California</v>
      </c>
      <c r="O181" s="1">
        <f ca="1">IFERROR(__xludf.DUMMYFUNCTION("""COMPUTED_VALUE"""),90503)</f>
        <v>90503</v>
      </c>
      <c r="P181" s="1" t="str">
        <f ca="1">IFERROR(__xludf.DUMMYFUNCTION("""COMPUTED_VALUE"""),"West")</f>
        <v>West</v>
      </c>
      <c r="Q181" s="1" t="str">
        <f ca="1">IFERROR(__xludf.DUMMYFUNCTION("""COMPUTED_VALUE"""),"OFF-BI-10001759")</f>
        <v>OFF-BI-10001759</v>
      </c>
      <c r="R181" s="1" t="str">
        <f ca="1">IFERROR(__xludf.DUMMYFUNCTION("""COMPUTED_VALUE"""),"Office Supplies")</f>
        <v>Office Supplies</v>
      </c>
      <c r="S181" s="7">
        <f ca="1">IFERROR(__xludf.DUMMYFUNCTION("""COMPUTED_VALUE"""),6.096)</f>
        <v>6.0960000000000001</v>
      </c>
      <c r="T181" s="1">
        <f ca="1">IFERROR(__xludf.DUMMYFUNCTION("""COMPUTED_VALUE"""),9)</f>
        <v>9</v>
      </c>
      <c r="U181" s="9">
        <f ca="1">IFERROR(__xludf.DUMMYFUNCTION("""COMPUTED_VALUE"""),54.864)</f>
        <v>54.863999999999997</v>
      </c>
      <c r="V181" s="9">
        <f ca="1">IFERROR(__xludf.DUMMYFUNCTION("""COMPUTED_VALUE"""),48.87)</f>
        <v>48.87</v>
      </c>
      <c r="W181" s="12">
        <f ca="1">IFERROR(__xludf.DUMMYFUNCTION("""COMPUTED_VALUE"""),5.994)</f>
        <v>5.9939999999999998</v>
      </c>
    </row>
    <row r="182" spans="1:23" ht="13.2">
      <c r="A182" s="1" t="str">
        <f ca="1">IFERROR(__xludf.DUMMYFUNCTION("""COMPUTED_VALUE"""),"CA-2017-142958")</f>
        <v>CA-2017-142958</v>
      </c>
      <c r="B182" s="8">
        <f ca="1">IFERROR(__xludf.DUMMYFUNCTION("""COMPUTED_VALUE"""),43082)</f>
        <v>43082</v>
      </c>
      <c r="C182" s="1" t="str">
        <f ca="1">IFERROR(__xludf.DUMMYFUNCTION("""COMPUTED_VALUE"""),"Dec")</f>
        <v>Dec</v>
      </c>
      <c r="D182" s="1" t="str">
        <f ca="1">IFERROR(__xludf.DUMMYFUNCTION("""COMPUTED_VALUE"""),"Qtr 4")</f>
        <v>Qtr 4</v>
      </c>
      <c r="E182" s="1" t="str">
        <f ca="1">IFERROR(__xludf.DUMMYFUNCTION("""COMPUTED_VALUE"""),"20/12/2017")</f>
        <v>20/12/2017</v>
      </c>
      <c r="F182" s="1" t="str">
        <f ca="1">IFERROR(__xludf.DUMMYFUNCTION("""COMPUTED_VALUE"""),"Standard Class")</f>
        <v>Standard Class</v>
      </c>
      <c r="G182" s="1" t="str">
        <f ca="1">IFERROR(__xludf.DUMMYFUNCTION("""COMPUTED_VALUE"""),"RW-19630")</f>
        <v>RW-19630</v>
      </c>
      <c r="H182" s="1" t="str">
        <f ca="1">IFERROR(__xludf.DUMMYFUNCTION("""COMPUTED_VALUE"""),"Rob")</f>
        <v>Rob</v>
      </c>
      <c r="I182" s="1" t="str">
        <f ca="1">IFERROR(__xludf.DUMMYFUNCTION("""COMPUTED_VALUE"""),"Williams")</f>
        <v>Williams</v>
      </c>
      <c r="J182" s="1"/>
      <c r="K182" s="1" t="str">
        <f ca="1">IFERROR(__xludf.DUMMYFUNCTION("""COMPUTED_VALUE"""),"Corporate")</f>
        <v>Corporate</v>
      </c>
      <c r="L182" s="1" t="str">
        <f ca="1">IFERROR(__xludf.DUMMYFUNCTION("""COMPUTED_VALUE"""),"United States")</f>
        <v>United States</v>
      </c>
      <c r="M182" s="1" t="str">
        <f ca="1">IFERROR(__xludf.DUMMYFUNCTION("""COMPUTED_VALUE"""),"Torrance")</f>
        <v>Torrance</v>
      </c>
      <c r="N182" s="1" t="str">
        <f ca="1">IFERROR(__xludf.DUMMYFUNCTION("""COMPUTED_VALUE"""),"California")</f>
        <v>California</v>
      </c>
      <c r="O182" s="1">
        <f ca="1">IFERROR(__xludf.DUMMYFUNCTION("""COMPUTED_VALUE"""),90503)</f>
        <v>90503</v>
      </c>
      <c r="P182" s="1" t="str">
        <f ca="1">IFERROR(__xludf.DUMMYFUNCTION("""COMPUTED_VALUE"""),"West")</f>
        <v>West</v>
      </c>
      <c r="Q182" s="1" t="str">
        <f ca="1">IFERROR(__xludf.DUMMYFUNCTION("""COMPUTED_VALUE"""),"FUR-TA-10000577")</f>
        <v>FUR-TA-10000577</v>
      </c>
      <c r="R182" s="1" t="str">
        <f ca="1">IFERROR(__xludf.DUMMYFUNCTION("""COMPUTED_VALUE"""),"Furniture")</f>
        <v>Furniture</v>
      </c>
      <c r="S182" s="7">
        <f ca="1">IFERROR(__xludf.DUMMYFUNCTION("""COMPUTED_VALUE"""),1114.272)</f>
        <v>1114.2719999999999</v>
      </c>
      <c r="T182" s="1">
        <f ca="1">IFERROR(__xludf.DUMMYFUNCTION("""COMPUTED_VALUE"""),9)</f>
        <v>9</v>
      </c>
      <c r="U182" s="9">
        <f ca="1">IFERROR(__xludf.DUMMYFUNCTION("""COMPUTED_VALUE"""),10028.448)</f>
        <v>10028.448</v>
      </c>
      <c r="V182" s="9">
        <f ca="1">IFERROR(__xludf.DUMMYFUNCTION("""COMPUTED_VALUE"""),10021.32)</f>
        <v>10021.32</v>
      </c>
      <c r="W182" s="12">
        <f ca="1">IFERROR(__xludf.DUMMYFUNCTION("""COMPUTED_VALUE"""),7.12800000000061)</f>
        <v>7.1280000000006103</v>
      </c>
    </row>
    <row r="183" spans="1:23" ht="13.2">
      <c r="A183" s="1" t="str">
        <f ca="1">IFERROR(__xludf.DUMMYFUNCTION("""COMPUTED_VALUE"""),"CA-2016-112571")</f>
        <v>CA-2016-112571</v>
      </c>
      <c r="B183" s="8">
        <f ca="1">IFERROR(__xludf.DUMMYFUNCTION("""COMPUTED_VALUE"""),42635)</f>
        <v>42635</v>
      </c>
      <c r="C183" s="1" t="str">
        <f ca="1">IFERROR(__xludf.DUMMYFUNCTION("""COMPUTED_VALUE"""),"Sep")</f>
        <v>Sep</v>
      </c>
      <c r="D183" s="1" t="str">
        <f ca="1">IFERROR(__xludf.DUMMYFUNCTION("""COMPUTED_VALUE"""),"Qtr 3")</f>
        <v>Qtr 3</v>
      </c>
      <c r="E183" s="1" t="str">
        <f ca="1">IFERROR(__xludf.DUMMYFUNCTION("""COMPUTED_VALUE"""),"22/09/2016")</f>
        <v>22/09/2016</v>
      </c>
      <c r="F183" s="1" t="str">
        <f ca="1">IFERROR(__xludf.DUMMYFUNCTION("""COMPUTED_VALUE"""),"Same Day")</f>
        <v>Same Day</v>
      </c>
      <c r="G183" s="1" t="str">
        <f ca="1">IFERROR(__xludf.DUMMYFUNCTION("""COMPUTED_VALUE"""),"DL-12925")</f>
        <v>DL-12925</v>
      </c>
      <c r="H183" s="1" t="str">
        <f ca="1">IFERROR(__xludf.DUMMYFUNCTION("""COMPUTED_VALUE"""),"Daniel")</f>
        <v>Daniel</v>
      </c>
      <c r="I183" s="1" t="str">
        <f ca="1">IFERROR(__xludf.DUMMYFUNCTION("""COMPUTED_VALUE"""),"Lacy")</f>
        <v>Lacy</v>
      </c>
      <c r="J183" s="1"/>
      <c r="K183" s="1" t="str">
        <f ca="1">IFERROR(__xludf.DUMMYFUNCTION("""COMPUTED_VALUE"""),"Consumer")</f>
        <v>Consumer</v>
      </c>
      <c r="L183" s="1" t="str">
        <f ca="1">IFERROR(__xludf.DUMMYFUNCTION("""COMPUTED_VALUE"""),"United States")</f>
        <v>United States</v>
      </c>
      <c r="M183" s="1" t="str">
        <f ca="1">IFERROR(__xludf.DUMMYFUNCTION("""COMPUTED_VALUE"""),"Oceanside")</f>
        <v>Oceanside</v>
      </c>
      <c r="N183" s="1" t="str">
        <f ca="1">IFERROR(__xludf.DUMMYFUNCTION("""COMPUTED_VALUE"""),"California")</f>
        <v>California</v>
      </c>
      <c r="O183" s="1">
        <f ca="1">IFERROR(__xludf.DUMMYFUNCTION("""COMPUTED_VALUE"""),92054)</f>
        <v>92054</v>
      </c>
      <c r="P183" s="1" t="str">
        <f ca="1">IFERROR(__xludf.DUMMYFUNCTION("""COMPUTED_VALUE"""),"West")</f>
        <v>West</v>
      </c>
      <c r="Q183" s="1" t="str">
        <f ca="1">IFERROR(__xludf.DUMMYFUNCTION("""COMPUTED_VALUE"""),"FUR-FU-10004188")</f>
        <v>FUR-FU-10004188</v>
      </c>
      <c r="R183" s="1" t="str">
        <f ca="1">IFERROR(__xludf.DUMMYFUNCTION("""COMPUTED_VALUE"""),"Furniture")</f>
        <v>Furniture</v>
      </c>
      <c r="S183" s="7">
        <f ca="1">IFERROR(__xludf.DUMMYFUNCTION("""COMPUTED_VALUE"""),204.6)</f>
        <v>204.6</v>
      </c>
      <c r="T183" s="1">
        <f ca="1">IFERROR(__xludf.DUMMYFUNCTION("""COMPUTED_VALUE"""),9)</f>
        <v>9</v>
      </c>
      <c r="U183" s="9">
        <f ca="1">IFERROR(__xludf.DUMMYFUNCTION("""COMPUTED_VALUE"""),1841.39999999999)</f>
        <v>1841.3999999999901</v>
      </c>
      <c r="V183" s="9">
        <f ca="1">IFERROR(__xludf.DUMMYFUNCTION("""COMPUTED_VALUE"""),1838.61)</f>
        <v>1838.61</v>
      </c>
      <c r="W183" s="12">
        <f ca="1">IFERROR(__xludf.DUMMYFUNCTION("""COMPUTED_VALUE"""),2.78999999999996)</f>
        <v>2.7899999999999601</v>
      </c>
    </row>
    <row r="184" spans="1:23" ht="13.2">
      <c r="A184" s="1" t="str">
        <f ca="1">IFERROR(__xludf.DUMMYFUNCTION("""COMPUTED_VALUE"""),"CA-2018-152142")</f>
        <v>CA-2018-152142</v>
      </c>
      <c r="B184" s="8">
        <f ca="1">IFERROR(__xludf.DUMMYFUNCTION("""COMPUTED_VALUE"""),43418)</f>
        <v>43418</v>
      </c>
      <c r="C184" s="1" t="str">
        <f ca="1">IFERROR(__xludf.DUMMYFUNCTION("""COMPUTED_VALUE"""),"Nov")</f>
        <v>Nov</v>
      </c>
      <c r="D184" s="1" t="str">
        <f ca="1">IFERROR(__xludf.DUMMYFUNCTION("""COMPUTED_VALUE"""),"Qtr 4")</f>
        <v>Qtr 4</v>
      </c>
      <c r="E184" s="1" t="str">
        <f ca="1">IFERROR(__xludf.DUMMYFUNCTION("""COMPUTED_VALUE"""),"19/11/2018")</f>
        <v>19/11/2018</v>
      </c>
      <c r="F184" s="1" t="str">
        <f ca="1">IFERROR(__xludf.DUMMYFUNCTION("""COMPUTED_VALUE"""),"Standard Class")</f>
        <v>Standard Class</v>
      </c>
      <c r="G184" s="1" t="str">
        <f ca="1">IFERROR(__xludf.DUMMYFUNCTION("""COMPUTED_VALUE"""),"LW-16990")</f>
        <v>LW-16990</v>
      </c>
      <c r="H184" s="1" t="str">
        <f ca="1">IFERROR(__xludf.DUMMYFUNCTION("""COMPUTED_VALUE"""),"Lindsay")</f>
        <v>Lindsay</v>
      </c>
      <c r="I184" s="1" t="str">
        <f ca="1">IFERROR(__xludf.DUMMYFUNCTION("""COMPUTED_VALUE"""),"Williams")</f>
        <v>Williams</v>
      </c>
      <c r="J184" s="1"/>
      <c r="K184" s="1" t="str">
        <f ca="1">IFERROR(__xludf.DUMMYFUNCTION("""COMPUTED_VALUE"""),"Corporate")</f>
        <v>Corporate</v>
      </c>
      <c r="L184" s="1" t="str">
        <f ca="1">IFERROR(__xludf.DUMMYFUNCTION("""COMPUTED_VALUE"""),"United States")</f>
        <v>United States</v>
      </c>
      <c r="M184" s="1" t="str">
        <f ca="1">IFERROR(__xludf.DUMMYFUNCTION("""COMPUTED_VALUE"""),"San Francisco")</f>
        <v>San Francisco</v>
      </c>
      <c r="N184" s="1" t="str">
        <f ca="1">IFERROR(__xludf.DUMMYFUNCTION("""COMPUTED_VALUE"""),"California")</f>
        <v>California</v>
      </c>
      <c r="O184" s="1">
        <f ca="1">IFERROR(__xludf.DUMMYFUNCTION("""COMPUTED_VALUE"""),94110)</f>
        <v>94110</v>
      </c>
      <c r="P184" s="1" t="str">
        <f ca="1">IFERROR(__xludf.DUMMYFUNCTION("""COMPUTED_VALUE"""),"West")</f>
        <v>West</v>
      </c>
      <c r="Q184" s="1" t="str">
        <f ca="1">IFERROR(__xludf.DUMMYFUNCTION("""COMPUTED_VALUE"""),"FUR-CH-10002965")</f>
        <v>FUR-CH-10002965</v>
      </c>
      <c r="R184" s="1" t="str">
        <f ca="1">IFERROR(__xludf.DUMMYFUNCTION("""COMPUTED_VALUE"""),"Furniture")</f>
        <v>Furniture</v>
      </c>
      <c r="S184" s="7">
        <f ca="1">IFERROR(__xludf.DUMMYFUNCTION("""COMPUTED_VALUE"""),321.568)</f>
        <v>321.56799999999998</v>
      </c>
      <c r="T184" s="1">
        <f ca="1">IFERROR(__xludf.DUMMYFUNCTION("""COMPUTED_VALUE"""),9)</f>
        <v>9</v>
      </c>
      <c r="U184" s="9">
        <f ca="1">IFERROR(__xludf.DUMMYFUNCTION("""COMPUTED_VALUE"""),2894.112)</f>
        <v>2894.1120000000001</v>
      </c>
      <c r="V184" s="9">
        <f ca="1">IFERROR(__xludf.DUMMYFUNCTION("""COMPUTED_VALUE"""),2892.96)</f>
        <v>2892.96</v>
      </c>
      <c r="W184" s="12">
        <f ca="1">IFERROR(__xludf.DUMMYFUNCTION("""COMPUTED_VALUE"""),1.15200000000004)</f>
        <v>1.1520000000000401</v>
      </c>
    </row>
    <row r="185" spans="1:23" ht="13.2">
      <c r="A185" s="1" t="str">
        <f ca="1">IFERROR(__xludf.DUMMYFUNCTION("""COMPUTED_VALUE"""),"CA-2017-120859")</f>
        <v>CA-2017-120859</v>
      </c>
      <c r="B185" s="8">
        <f ca="1">IFERROR(__xludf.DUMMYFUNCTION("""COMPUTED_VALUE"""),42744)</f>
        <v>42744</v>
      </c>
      <c r="C185" s="1" t="str">
        <f ca="1">IFERROR(__xludf.DUMMYFUNCTION("""COMPUTED_VALUE"""),"Jan")</f>
        <v>Jan</v>
      </c>
      <c r="D185" s="1" t="str">
        <f ca="1">IFERROR(__xludf.DUMMYFUNCTION("""COMPUTED_VALUE"""),"Qtr 1")</f>
        <v>Qtr 1</v>
      </c>
      <c r="E185" s="1" t="str">
        <f ca="1">IFERROR(__xludf.DUMMYFUNCTION("""COMPUTED_VALUE"""),"4/9/2017")</f>
        <v>4/9/2017</v>
      </c>
      <c r="F185" s="1" t="str">
        <f ca="1">IFERROR(__xludf.DUMMYFUNCTION("""COMPUTED_VALUE"""),"First Class")</f>
        <v>First Class</v>
      </c>
      <c r="G185" s="1" t="str">
        <f ca="1">IFERROR(__xludf.DUMMYFUNCTION("""COMPUTED_VALUE"""),"CV-12805")</f>
        <v>CV-12805</v>
      </c>
      <c r="H185" s="1" t="str">
        <f ca="1">IFERROR(__xludf.DUMMYFUNCTION("""COMPUTED_VALUE"""),"Cynthia")</f>
        <v>Cynthia</v>
      </c>
      <c r="I185" s="1" t="str">
        <f ca="1">IFERROR(__xludf.DUMMYFUNCTION("""COMPUTED_VALUE"""),"Voltz")</f>
        <v>Voltz</v>
      </c>
      <c r="J185" s="1"/>
      <c r="K185" s="1" t="str">
        <f ca="1">IFERROR(__xludf.DUMMYFUNCTION("""COMPUTED_VALUE"""),"Corporate")</f>
        <v>Corporate</v>
      </c>
      <c r="L185" s="1" t="str">
        <f ca="1">IFERROR(__xludf.DUMMYFUNCTION("""COMPUTED_VALUE"""),"United States")</f>
        <v>United States</v>
      </c>
      <c r="M185" s="1" t="str">
        <f ca="1">IFERROR(__xludf.DUMMYFUNCTION("""COMPUTED_VALUE"""),"San Francisco")</f>
        <v>San Francisco</v>
      </c>
      <c r="N185" s="1" t="str">
        <f ca="1">IFERROR(__xludf.DUMMYFUNCTION("""COMPUTED_VALUE"""),"California")</f>
        <v>California</v>
      </c>
      <c r="O185" s="1">
        <f ca="1">IFERROR(__xludf.DUMMYFUNCTION("""COMPUTED_VALUE"""),94110)</f>
        <v>94110</v>
      </c>
      <c r="P185" s="1" t="str">
        <f ca="1">IFERROR(__xludf.DUMMYFUNCTION("""COMPUTED_VALUE"""),"West")</f>
        <v>West</v>
      </c>
      <c r="Q185" s="1" t="str">
        <f ca="1">IFERROR(__xludf.DUMMYFUNCTION("""COMPUTED_VALUE"""),"OFF-EN-10001335")</f>
        <v>OFF-EN-10001335</v>
      </c>
      <c r="R185" s="1" t="str">
        <f ca="1">IFERROR(__xludf.DUMMYFUNCTION("""COMPUTED_VALUE"""),"Office Supplies")</f>
        <v>Office Supplies</v>
      </c>
      <c r="S185" s="7">
        <f ca="1">IFERROR(__xludf.DUMMYFUNCTION("""COMPUTED_VALUE"""),21.88)</f>
        <v>21.88</v>
      </c>
      <c r="T185" s="1">
        <f ca="1">IFERROR(__xludf.DUMMYFUNCTION("""COMPUTED_VALUE"""),9)</f>
        <v>9</v>
      </c>
      <c r="U185" s="9">
        <f ca="1">IFERROR(__xludf.DUMMYFUNCTION("""COMPUTED_VALUE"""),196.92)</f>
        <v>196.92</v>
      </c>
      <c r="V185" s="9">
        <f ca="1">IFERROR(__xludf.DUMMYFUNCTION("""COMPUTED_VALUE"""),191.52)</f>
        <v>191.52</v>
      </c>
      <c r="W185" s="12">
        <f ca="1">IFERROR(__xludf.DUMMYFUNCTION("""COMPUTED_VALUE"""),5.39999999999997)</f>
        <v>5.3999999999999702</v>
      </c>
    </row>
    <row r="186" spans="1:23" ht="13.2">
      <c r="A186" s="1" t="str">
        <f ca="1">IFERROR(__xludf.DUMMYFUNCTION("""COMPUTED_VALUE"""),"CA-2017-105585")</f>
        <v>CA-2017-105585</v>
      </c>
      <c r="B186" s="8">
        <f ca="1">IFERROR(__xludf.DUMMYFUNCTION("""COMPUTED_VALUE"""),42973)</f>
        <v>42973</v>
      </c>
      <c r="C186" s="1" t="str">
        <f ca="1">IFERROR(__xludf.DUMMYFUNCTION("""COMPUTED_VALUE"""),"Aug")</f>
        <v>Aug</v>
      </c>
      <c r="D186" s="1" t="str">
        <f ca="1">IFERROR(__xludf.DUMMYFUNCTION("""COMPUTED_VALUE"""),"Qtr 3")</f>
        <v>Qtr 3</v>
      </c>
      <c r="E186" s="1" t="str">
        <f ca="1">IFERROR(__xludf.DUMMYFUNCTION("""COMPUTED_VALUE"""),"27/08/2017")</f>
        <v>27/08/2017</v>
      </c>
      <c r="F186" s="1" t="str">
        <f ca="1">IFERROR(__xludf.DUMMYFUNCTION("""COMPUTED_VALUE"""),"First Class")</f>
        <v>First Class</v>
      </c>
      <c r="G186" s="1" t="str">
        <f ca="1">IFERROR(__xludf.DUMMYFUNCTION("""COMPUTED_VALUE"""),"RF-19735")</f>
        <v>RF-19735</v>
      </c>
      <c r="H186" s="1" t="str">
        <f ca="1">IFERROR(__xludf.DUMMYFUNCTION("""COMPUTED_VALUE"""),"Roland")</f>
        <v>Roland</v>
      </c>
      <c r="I186" s="1" t="str">
        <f ca="1">IFERROR(__xludf.DUMMYFUNCTION("""COMPUTED_VALUE"""),"Fjeld")</f>
        <v>Fjeld</v>
      </c>
      <c r="J186" s="1"/>
      <c r="K186" s="1" t="str">
        <f ca="1">IFERROR(__xludf.DUMMYFUNCTION("""COMPUTED_VALUE"""),"Consumer")</f>
        <v>Consumer</v>
      </c>
      <c r="L186" s="1" t="str">
        <f ca="1">IFERROR(__xludf.DUMMYFUNCTION("""COMPUTED_VALUE"""),"United States")</f>
        <v>United States</v>
      </c>
      <c r="M186" s="1" t="str">
        <f ca="1">IFERROR(__xludf.DUMMYFUNCTION("""COMPUTED_VALUE"""),"San Jose")</f>
        <v>San Jose</v>
      </c>
      <c r="N186" s="1" t="str">
        <f ca="1">IFERROR(__xludf.DUMMYFUNCTION("""COMPUTED_VALUE"""),"California")</f>
        <v>California</v>
      </c>
      <c r="O186" s="1">
        <f ca="1">IFERROR(__xludf.DUMMYFUNCTION("""COMPUTED_VALUE"""),95123)</f>
        <v>95123</v>
      </c>
      <c r="P186" s="1" t="str">
        <f ca="1">IFERROR(__xludf.DUMMYFUNCTION("""COMPUTED_VALUE"""),"West")</f>
        <v>West</v>
      </c>
      <c r="Q186" s="1" t="str">
        <f ca="1">IFERROR(__xludf.DUMMYFUNCTION("""COMPUTED_VALUE"""),"OFF-FA-10002983")</f>
        <v>OFF-FA-10002983</v>
      </c>
      <c r="R186" s="1" t="str">
        <f ca="1">IFERROR(__xludf.DUMMYFUNCTION("""COMPUTED_VALUE"""),"Office Supplies")</f>
        <v>Office Supplies</v>
      </c>
      <c r="S186" s="7">
        <f ca="1">IFERROR(__xludf.DUMMYFUNCTION("""COMPUTED_VALUE"""),10.23)</f>
        <v>10.23</v>
      </c>
      <c r="T186" s="1">
        <f ca="1">IFERROR(__xludf.DUMMYFUNCTION("""COMPUTED_VALUE"""),9)</f>
        <v>9</v>
      </c>
      <c r="U186" s="9">
        <f ca="1">IFERROR(__xludf.DUMMYFUNCTION("""COMPUTED_VALUE"""),92.07)</f>
        <v>92.07</v>
      </c>
      <c r="V186" s="9">
        <f ca="1">IFERROR(__xludf.DUMMYFUNCTION("""COMPUTED_VALUE"""),89.28)</f>
        <v>89.28</v>
      </c>
      <c r="W186" s="12">
        <f ca="1">IFERROR(__xludf.DUMMYFUNCTION("""COMPUTED_VALUE"""),2.79)</f>
        <v>2.79</v>
      </c>
    </row>
    <row r="187" spans="1:23" ht="13.2">
      <c r="A187" s="1" t="str">
        <f ca="1">IFERROR(__xludf.DUMMYFUNCTION("""COMPUTED_VALUE"""),"CA-2017-105585")</f>
        <v>CA-2017-105585</v>
      </c>
      <c r="B187" s="8">
        <f ca="1">IFERROR(__xludf.DUMMYFUNCTION("""COMPUTED_VALUE"""),42973)</f>
        <v>42973</v>
      </c>
      <c r="C187" s="1" t="str">
        <f ca="1">IFERROR(__xludf.DUMMYFUNCTION("""COMPUTED_VALUE"""),"Aug")</f>
        <v>Aug</v>
      </c>
      <c r="D187" s="1" t="str">
        <f ca="1">IFERROR(__xludf.DUMMYFUNCTION("""COMPUTED_VALUE"""),"Qtr 3")</f>
        <v>Qtr 3</v>
      </c>
      <c r="E187" s="1" t="str">
        <f ca="1">IFERROR(__xludf.DUMMYFUNCTION("""COMPUTED_VALUE"""),"27/08/2017")</f>
        <v>27/08/2017</v>
      </c>
      <c r="F187" s="1" t="str">
        <f ca="1">IFERROR(__xludf.DUMMYFUNCTION("""COMPUTED_VALUE"""),"First Class")</f>
        <v>First Class</v>
      </c>
      <c r="G187" s="1" t="str">
        <f ca="1">IFERROR(__xludf.DUMMYFUNCTION("""COMPUTED_VALUE"""),"RF-19735")</f>
        <v>RF-19735</v>
      </c>
      <c r="H187" s="1" t="str">
        <f ca="1">IFERROR(__xludf.DUMMYFUNCTION("""COMPUTED_VALUE"""),"Roland")</f>
        <v>Roland</v>
      </c>
      <c r="I187" s="1" t="str">
        <f ca="1">IFERROR(__xludf.DUMMYFUNCTION("""COMPUTED_VALUE"""),"Fjeld")</f>
        <v>Fjeld</v>
      </c>
      <c r="J187" s="1"/>
      <c r="K187" s="1" t="str">
        <f ca="1">IFERROR(__xludf.DUMMYFUNCTION("""COMPUTED_VALUE"""),"Consumer")</f>
        <v>Consumer</v>
      </c>
      <c r="L187" s="1" t="str">
        <f ca="1">IFERROR(__xludf.DUMMYFUNCTION("""COMPUTED_VALUE"""),"United States")</f>
        <v>United States</v>
      </c>
      <c r="M187" s="1" t="str">
        <f ca="1">IFERROR(__xludf.DUMMYFUNCTION("""COMPUTED_VALUE"""),"San Jose")</f>
        <v>San Jose</v>
      </c>
      <c r="N187" s="1" t="str">
        <f ca="1">IFERROR(__xludf.DUMMYFUNCTION("""COMPUTED_VALUE"""),"California")</f>
        <v>California</v>
      </c>
      <c r="O187" s="1">
        <f ca="1">IFERROR(__xludf.DUMMYFUNCTION("""COMPUTED_VALUE"""),95123)</f>
        <v>95123</v>
      </c>
      <c r="P187" s="1" t="str">
        <f ca="1">IFERROR(__xludf.DUMMYFUNCTION("""COMPUTED_VALUE"""),"West")</f>
        <v>West</v>
      </c>
      <c r="Q187" s="1" t="str">
        <f ca="1">IFERROR(__xludf.DUMMYFUNCTION("""COMPUTED_VALUE"""),"OFF-PA-10003625")</f>
        <v>OFF-PA-10003625</v>
      </c>
      <c r="R187" s="1" t="str">
        <f ca="1">IFERROR(__xludf.DUMMYFUNCTION("""COMPUTED_VALUE"""),"Office Supplies")</f>
        <v>Office Supplies</v>
      </c>
      <c r="S187" s="7">
        <f ca="1">IFERROR(__xludf.DUMMYFUNCTION("""COMPUTED_VALUE"""),154.9)</f>
        <v>154.9</v>
      </c>
      <c r="T187" s="1">
        <f ca="1">IFERROR(__xludf.DUMMYFUNCTION("""COMPUTED_VALUE"""),9)</f>
        <v>9</v>
      </c>
      <c r="U187" s="9">
        <f ca="1">IFERROR(__xludf.DUMMYFUNCTION("""COMPUTED_VALUE"""),1394.1)</f>
        <v>1394.1</v>
      </c>
      <c r="V187" s="9">
        <f ca="1">IFERROR(__xludf.DUMMYFUNCTION("""COMPUTED_VALUE"""),1388.97)</f>
        <v>1388.97</v>
      </c>
      <c r="W187" s="12">
        <f ca="1">IFERROR(__xludf.DUMMYFUNCTION("""COMPUTED_VALUE"""),5.1300000000001)</f>
        <v>5.1300000000001003</v>
      </c>
    </row>
    <row r="188" spans="1:23" ht="13.2">
      <c r="A188" s="1" t="str">
        <f ca="1">IFERROR(__xludf.DUMMYFUNCTION("""COMPUTED_VALUE"""),"CA-2016-126445")</f>
        <v>CA-2016-126445</v>
      </c>
      <c r="B188" s="8">
        <f ca="1">IFERROR(__xludf.DUMMYFUNCTION("""COMPUTED_VALUE"""),42609)</f>
        <v>42609</v>
      </c>
      <c r="C188" s="1" t="str">
        <f ca="1">IFERROR(__xludf.DUMMYFUNCTION("""COMPUTED_VALUE"""),"Aug")</f>
        <v>Aug</v>
      </c>
      <c r="D188" s="1" t="str">
        <f ca="1">IFERROR(__xludf.DUMMYFUNCTION("""COMPUTED_VALUE"""),"Qtr 3")</f>
        <v>Qtr 3</v>
      </c>
      <c r="E188" s="1" t="str">
        <f ca="1">IFERROR(__xludf.DUMMYFUNCTION("""COMPUTED_VALUE"""),"31/08/2016")</f>
        <v>31/08/2016</v>
      </c>
      <c r="F188" s="1" t="str">
        <f ca="1">IFERROR(__xludf.DUMMYFUNCTION("""COMPUTED_VALUE"""),"Standard Class")</f>
        <v>Standard Class</v>
      </c>
      <c r="G188" s="1" t="str">
        <f ca="1">IFERROR(__xludf.DUMMYFUNCTION("""COMPUTED_VALUE"""),"RA-19945")</f>
        <v>RA-19945</v>
      </c>
      <c r="H188" s="1" t="str">
        <f ca="1">IFERROR(__xludf.DUMMYFUNCTION("""COMPUTED_VALUE"""),"Ryan")</f>
        <v>Ryan</v>
      </c>
      <c r="I188" s="1" t="str">
        <f ca="1">IFERROR(__xludf.DUMMYFUNCTION("""COMPUTED_VALUE"""),"Akin")</f>
        <v>Akin</v>
      </c>
      <c r="J188" s="1"/>
      <c r="K188" s="1" t="str">
        <f ca="1">IFERROR(__xludf.DUMMYFUNCTION("""COMPUTED_VALUE"""),"Consumer")</f>
        <v>Consumer</v>
      </c>
      <c r="L188" s="1" t="str">
        <f ca="1">IFERROR(__xludf.DUMMYFUNCTION("""COMPUTED_VALUE"""),"United States")</f>
        <v>United States</v>
      </c>
      <c r="M188" s="1" t="str">
        <f ca="1">IFERROR(__xludf.DUMMYFUNCTION("""COMPUTED_VALUE"""),"Murrieta")</f>
        <v>Murrieta</v>
      </c>
      <c r="N188" s="1" t="str">
        <f ca="1">IFERROR(__xludf.DUMMYFUNCTION("""COMPUTED_VALUE"""),"California")</f>
        <v>California</v>
      </c>
      <c r="O188" s="1">
        <f ca="1">IFERROR(__xludf.DUMMYFUNCTION("""COMPUTED_VALUE"""),92563)</f>
        <v>92563</v>
      </c>
      <c r="P188" s="1" t="str">
        <f ca="1">IFERROR(__xludf.DUMMYFUNCTION("""COMPUTED_VALUE"""),"West")</f>
        <v>West</v>
      </c>
      <c r="Q188" s="1" t="str">
        <f ca="1">IFERROR(__xludf.DUMMYFUNCTION("""COMPUTED_VALUE"""),"OFF-ST-10000046")</f>
        <v>OFF-ST-10000046</v>
      </c>
      <c r="R188" s="1" t="str">
        <f ca="1">IFERROR(__xludf.DUMMYFUNCTION("""COMPUTED_VALUE"""),"Office Supplies")</f>
        <v>Office Supplies</v>
      </c>
      <c r="S188" s="7">
        <f ca="1">IFERROR(__xludf.DUMMYFUNCTION("""COMPUTED_VALUE"""),484.65)</f>
        <v>484.65</v>
      </c>
      <c r="T188" s="1">
        <f ca="1">IFERROR(__xludf.DUMMYFUNCTION("""COMPUTED_VALUE"""),9)</f>
        <v>9</v>
      </c>
      <c r="U188" s="9">
        <f ca="1">IFERROR(__xludf.DUMMYFUNCTION("""COMPUTED_VALUE"""),4361.84999999999)</f>
        <v>4361.8499999999904</v>
      </c>
      <c r="V188" s="9">
        <f ca="1">IFERROR(__xludf.DUMMYFUNCTION("""COMPUTED_VALUE"""),4356.36)</f>
        <v>4356.3599999999997</v>
      </c>
      <c r="W188" s="12">
        <f ca="1">IFERROR(__xludf.DUMMYFUNCTION("""COMPUTED_VALUE"""),5.48999999999887)</f>
        <v>5.4899999999988696</v>
      </c>
    </row>
    <row r="189" spans="1:23" ht="13.2">
      <c r="A189" s="1" t="str">
        <f ca="1">IFERROR(__xludf.DUMMYFUNCTION("""COMPUTED_VALUE"""),"CA-2015-158540")</f>
        <v>CA-2015-158540</v>
      </c>
      <c r="B189" s="8">
        <f ca="1">IFERROR(__xludf.DUMMYFUNCTION("""COMPUTED_VALUE"""),42332)</f>
        <v>42332</v>
      </c>
      <c r="C189" s="1" t="str">
        <f ca="1">IFERROR(__xludf.DUMMYFUNCTION("""COMPUTED_VALUE"""),"Nov")</f>
        <v>Nov</v>
      </c>
      <c r="D189" s="1" t="str">
        <f ca="1">IFERROR(__xludf.DUMMYFUNCTION("""COMPUTED_VALUE"""),"Qtr 4")</f>
        <v>Qtr 4</v>
      </c>
      <c r="E189" s="1" t="str">
        <f ca="1">IFERROR(__xludf.DUMMYFUNCTION("""COMPUTED_VALUE"""),"26/11/2015")</f>
        <v>26/11/2015</v>
      </c>
      <c r="F189" s="1" t="str">
        <f ca="1">IFERROR(__xludf.DUMMYFUNCTION("""COMPUTED_VALUE"""),"First Class")</f>
        <v>First Class</v>
      </c>
      <c r="G189" s="1" t="str">
        <f ca="1">IFERROR(__xludf.DUMMYFUNCTION("""COMPUTED_VALUE"""),"VG-21790")</f>
        <v>VG-21790</v>
      </c>
      <c r="H189" s="1" t="str">
        <f ca="1">IFERROR(__xludf.DUMMYFUNCTION("""COMPUTED_VALUE"""),"Vivek")</f>
        <v>Vivek</v>
      </c>
      <c r="I189" s="1" t="str">
        <f ca="1">IFERROR(__xludf.DUMMYFUNCTION("""COMPUTED_VALUE"""),"Gonzalez")</f>
        <v>Gonzalez</v>
      </c>
      <c r="J189" s="1"/>
      <c r="K189" s="1" t="str">
        <f ca="1">IFERROR(__xludf.DUMMYFUNCTION("""COMPUTED_VALUE"""),"Consumer")</f>
        <v>Consumer</v>
      </c>
      <c r="L189" s="1" t="str">
        <f ca="1">IFERROR(__xludf.DUMMYFUNCTION("""COMPUTED_VALUE"""),"United States")</f>
        <v>United States</v>
      </c>
      <c r="M189" s="1" t="str">
        <f ca="1">IFERROR(__xludf.DUMMYFUNCTION("""COMPUTED_VALUE"""),"San Diego")</f>
        <v>San Diego</v>
      </c>
      <c r="N189" s="1" t="str">
        <f ca="1">IFERROR(__xludf.DUMMYFUNCTION("""COMPUTED_VALUE"""),"California")</f>
        <v>California</v>
      </c>
      <c r="O189" s="1">
        <f ca="1">IFERROR(__xludf.DUMMYFUNCTION("""COMPUTED_VALUE"""),92037)</f>
        <v>92037</v>
      </c>
      <c r="P189" s="1" t="str">
        <f ca="1">IFERROR(__xludf.DUMMYFUNCTION("""COMPUTED_VALUE"""),"West")</f>
        <v>West</v>
      </c>
      <c r="Q189" s="1" t="str">
        <f ca="1">IFERROR(__xludf.DUMMYFUNCTION("""COMPUTED_VALUE"""),"FUR-FU-10001602")</f>
        <v>FUR-FU-10001602</v>
      </c>
      <c r="R189" s="1" t="str">
        <f ca="1">IFERROR(__xludf.DUMMYFUNCTION("""COMPUTED_VALUE"""),"Furniture")</f>
        <v>Furniture</v>
      </c>
      <c r="S189" s="7">
        <f ca="1">IFERROR(__xludf.DUMMYFUNCTION("""COMPUTED_VALUE"""),151.72)</f>
        <v>151.72</v>
      </c>
      <c r="T189" s="1">
        <f ca="1">IFERROR(__xludf.DUMMYFUNCTION("""COMPUTED_VALUE"""),9)</f>
        <v>9</v>
      </c>
      <c r="U189" s="9">
        <f ca="1">IFERROR(__xludf.DUMMYFUNCTION("""COMPUTED_VALUE"""),1365.48)</f>
        <v>1365.48</v>
      </c>
      <c r="V189" s="9">
        <f ca="1">IFERROR(__xludf.DUMMYFUNCTION("""COMPUTED_VALUE"""),1364.04)</f>
        <v>1364.04</v>
      </c>
      <c r="W189" s="12">
        <f ca="1">IFERROR(__xludf.DUMMYFUNCTION("""COMPUTED_VALUE"""),1.44000000000005)</f>
        <v>1.4400000000000499</v>
      </c>
    </row>
    <row r="190" spans="1:23" ht="13.2">
      <c r="A190" s="1" t="str">
        <f ca="1">IFERROR(__xludf.DUMMYFUNCTION("""COMPUTED_VALUE"""),"CA-2016-133025")</f>
        <v>CA-2016-133025</v>
      </c>
      <c r="B190" s="8">
        <f ca="1">IFERROR(__xludf.DUMMYFUNCTION("""COMPUTED_VALUE"""),42630)</f>
        <v>42630</v>
      </c>
      <c r="C190" s="1" t="str">
        <f ca="1">IFERROR(__xludf.DUMMYFUNCTION("""COMPUTED_VALUE"""),"Sep")</f>
        <v>Sep</v>
      </c>
      <c r="D190" s="1" t="str">
        <f ca="1">IFERROR(__xludf.DUMMYFUNCTION("""COMPUTED_VALUE"""),"Qtr 3")</f>
        <v>Qtr 3</v>
      </c>
      <c r="E190" s="1" t="str">
        <f ca="1">IFERROR(__xludf.DUMMYFUNCTION("""COMPUTED_VALUE"""),"19/09/2016")</f>
        <v>19/09/2016</v>
      </c>
      <c r="F190" s="1" t="str">
        <f ca="1">IFERROR(__xludf.DUMMYFUNCTION("""COMPUTED_VALUE"""),"Second Class")</f>
        <v>Second Class</v>
      </c>
      <c r="G190" s="1" t="str">
        <f ca="1">IFERROR(__xludf.DUMMYFUNCTION("""COMPUTED_VALUE"""),"MO-17800")</f>
        <v>MO-17800</v>
      </c>
      <c r="H190" s="1" t="str">
        <f ca="1">IFERROR(__xludf.DUMMYFUNCTION("""COMPUTED_VALUE"""),"Meg")</f>
        <v>Meg</v>
      </c>
      <c r="I190" s="1" t="str">
        <f ca="1">IFERROR(__xludf.DUMMYFUNCTION("""COMPUTED_VALUE"""),"O'Connel")</f>
        <v>O'Connel</v>
      </c>
      <c r="J190" s="1"/>
      <c r="K190" s="1" t="str">
        <f ca="1">IFERROR(__xludf.DUMMYFUNCTION("""COMPUTED_VALUE"""),"Home Office")</f>
        <v>Home Office</v>
      </c>
      <c r="L190" s="1" t="str">
        <f ca="1">IFERROR(__xludf.DUMMYFUNCTION("""COMPUTED_VALUE"""),"United States")</f>
        <v>United States</v>
      </c>
      <c r="M190" s="1" t="str">
        <f ca="1">IFERROR(__xludf.DUMMYFUNCTION("""COMPUTED_VALUE"""),"Los Angeles")</f>
        <v>Los Angeles</v>
      </c>
      <c r="N190" s="1" t="str">
        <f ca="1">IFERROR(__xludf.DUMMYFUNCTION("""COMPUTED_VALUE"""),"California")</f>
        <v>California</v>
      </c>
      <c r="O190" s="1">
        <f ca="1">IFERROR(__xludf.DUMMYFUNCTION("""COMPUTED_VALUE"""),90036)</f>
        <v>90036</v>
      </c>
      <c r="P190" s="1" t="str">
        <f ca="1">IFERROR(__xludf.DUMMYFUNCTION("""COMPUTED_VALUE"""),"West")</f>
        <v>West</v>
      </c>
      <c r="Q190" s="1" t="str">
        <f ca="1">IFERROR(__xludf.DUMMYFUNCTION("""COMPUTED_VALUE"""),"OFF-PA-10004100")</f>
        <v>OFF-PA-10004100</v>
      </c>
      <c r="R190" s="1" t="str">
        <f ca="1">IFERROR(__xludf.DUMMYFUNCTION("""COMPUTED_VALUE"""),"Office Supplies")</f>
        <v>Office Supplies</v>
      </c>
      <c r="S190" s="7">
        <f ca="1">IFERROR(__xludf.DUMMYFUNCTION("""COMPUTED_VALUE"""),32.4)</f>
        <v>32.4</v>
      </c>
      <c r="T190" s="1">
        <f ca="1">IFERROR(__xludf.DUMMYFUNCTION("""COMPUTED_VALUE"""),9)</f>
        <v>9</v>
      </c>
      <c r="U190" s="9">
        <f ca="1">IFERROR(__xludf.DUMMYFUNCTION("""COMPUTED_VALUE"""),291.599999999999)</f>
        <v>291.599999999999</v>
      </c>
      <c r="V190" s="9">
        <f ca="1">IFERROR(__xludf.DUMMYFUNCTION("""COMPUTED_VALUE"""),287.28)</f>
        <v>287.27999999999997</v>
      </c>
      <c r="W190" s="12">
        <f ca="1">IFERROR(__xludf.DUMMYFUNCTION("""COMPUTED_VALUE"""),4.31999999999993)</f>
        <v>4.3199999999999301</v>
      </c>
    </row>
    <row r="191" spans="1:23" ht="13.2">
      <c r="A191" s="1" t="str">
        <f ca="1">IFERROR(__xludf.DUMMYFUNCTION("""COMPUTED_VALUE"""),"CA-2018-106964")</f>
        <v>CA-2018-106964</v>
      </c>
      <c r="B191" s="8">
        <f ca="1">IFERROR(__xludf.DUMMYFUNCTION("""COMPUTED_VALUE"""),43451)</f>
        <v>43451</v>
      </c>
      <c r="C191" s="1" t="str">
        <f ca="1">IFERROR(__xludf.DUMMYFUNCTION("""COMPUTED_VALUE"""),"Dec")</f>
        <v>Dec</v>
      </c>
      <c r="D191" s="1" t="str">
        <f ca="1">IFERROR(__xludf.DUMMYFUNCTION("""COMPUTED_VALUE"""),"Qtr 4")</f>
        <v>Qtr 4</v>
      </c>
      <c r="E191" s="1" t="str">
        <f ca="1">IFERROR(__xludf.DUMMYFUNCTION("""COMPUTED_VALUE"""),"20/12/2018")</f>
        <v>20/12/2018</v>
      </c>
      <c r="F191" s="1" t="str">
        <f ca="1">IFERROR(__xludf.DUMMYFUNCTION("""COMPUTED_VALUE"""),"First Class")</f>
        <v>First Class</v>
      </c>
      <c r="G191" s="1" t="str">
        <f ca="1">IFERROR(__xludf.DUMMYFUNCTION("""COMPUTED_VALUE"""),"HR-14770")</f>
        <v>HR-14770</v>
      </c>
      <c r="H191" s="1" t="str">
        <f ca="1">IFERROR(__xludf.DUMMYFUNCTION("""COMPUTED_VALUE"""),"Hallie")</f>
        <v>Hallie</v>
      </c>
      <c r="I191" s="1" t="str">
        <f ca="1">IFERROR(__xludf.DUMMYFUNCTION("""COMPUTED_VALUE"""),"Redmond")</f>
        <v>Redmond</v>
      </c>
      <c r="J191" s="1"/>
      <c r="K191" s="1" t="str">
        <f ca="1">IFERROR(__xludf.DUMMYFUNCTION("""COMPUTED_VALUE"""),"Home Office")</f>
        <v>Home Office</v>
      </c>
      <c r="L191" s="1" t="str">
        <f ca="1">IFERROR(__xludf.DUMMYFUNCTION("""COMPUTED_VALUE"""),"United States")</f>
        <v>United States</v>
      </c>
      <c r="M191" s="1" t="str">
        <f ca="1">IFERROR(__xludf.DUMMYFUNCTION("""COMPUTED_VALUE"""),"Los Angeles")</f>
        <v>Los Angeles</v>
      </c>
      <c r="N191" s="1" t="str">
        <f ca="1">IFERROR(__xludf.DUMMYFUNCTION("""COMPUTED_VALUE"""),"California")</f>
        <v>California</v>
      </c>
      <c r="O191" s="1">
        <f ca="1">IFERROR(__xludf.DUMMYFUNCTION("""COMPUTED_VALUE"""),90045)</f>
        <v>90045</v>
      </c>
      <c r="P191" s="1" t="str">
        <f ca="1">IFERROR(__xludf.DUMMYFUNCTION("""COMPUTED_VALUE"""),"West")</f>
        <v>West</v>
      </c>
      <c r="Q191" s="1" t="str">
        <f ca="1">IFERROR(__xludf.DUMMYFUNCTION("""COMPUTED_VALUE"""),"OFF-BI-10000320")</f>
        <v>OFF-BI-10000320</v>
      </c>
      <c r="R191" s="1" t="str">
        <f ca="1">IFERROR(__xludf.DUMMYFUNCTION("""COMPUTED_VALUE"""),"Office Supplies")</f>
        <v>Office Supplies</v>
      </c>
      <c r="S191" s="7">
        <f ca="1">IFERROR(__xludf.DUMMYFUNCTION("""COMPUTED_VALUE"""),11.808)</f>
        <v>11.808</v>
      </c>
      <c r="T191" s="1">
        <f ca="1">IFERROR(__xludf.DUMMYFUNCTION("""COMPUTED_VALUE"""),9)</f>
        <v>9</v>
      </c>
      <c r="U191" s="9">
        <f ca="1">IFERROR(__xludf.DUMMYFUNCTION("""COMPUTED_VALUE"""),106.271999999999)</f>
        <v>106.271999999999</v>
      </c>
      <c r="V191" s="9">
        <f ca="1">IFERROR(__xludf.DUMMYFUNCTION("""COMPUTED_VALUE"""),104.04)</f>
        <v>104.04</v>
      </c>
      <c r="W191" s="12">
        <f ca="1">IFERROR(__xludf.DUMMYFUNCTION("""COMPUTED_VALUE"""),2.23199999999998)</f>
        <v>2.2319999999999798</v>
      </c>
    </row>
    <row r="192" spans="1:23" ht="13.2">
      <c r="A192" s="1" t="str">
        <f ca="1">IFERROR(__xludf.DUMMYFUNCTION("""COMPUTED_VALUE"""),"CA-2016-127418")</f>
        <v>CA-2016-127418</v>
      </c>
      <c r="B192" s="8">
        <f ca="1">IFERROR(__xludf.DUMMYFUNCTION("""COMPUTED_VALUE"""),42534)</f>
        <v>42534</v>
      </c>
      <c r="C192" s="1" t="str">
        <f ca="1">IFERROR(__xludf.DUMMYFUNCTION("""COMPUTED_VALUE"""),"Jun")</f>
        <v>Jun</v>
      </c>
      <c r="D192" s="1" t="str">
        <f ca="1">IFERROR(__xludf.DUMMYFUNCTION("""COMPUTED_VALUE"""),"Qtr 2")</f>
        <v>Qtr 2</v>
      </c>
      <c r="E192" s="1" t="str">
        <f ca="1">IFERROR(__xludf.DUMMYFUNCTION("""COMPUTED_VALUE"""),"14/06/2016")</f>
        <v>14/06/2016</v>
      </c>
      <c r="F192" s="1" t="str">
        <f ca="1">IFERROR(__xludf.DUMMYFUNCTION("""COMPUTED_VALUE"""),"First Class")</f>
        <v>First Class</v>
      </c>
      <c r="G192" s="1" t="str">
        <f ca="1">IFERROR(__xludf.DUMMYFUNCTION("""COMPUTED_VALUE"""),"JJ-15445")</f>
        <v>JJ-15445</v>
      </c>
      <c r="H192" s="1" t="str">
        <f ca="1">IFERROR(__xludf.DUMMYFUNCTION("""COMPUTED_VALUE"""),"Jennifer")</f>
        <v>Jennifer</v>
      </c>
      <c r="I192" s="1" t="str">
        <f ca="1">IFERROR(__xludf.DUMMYFUNCTION("""COMPUTED_VALUE"""),"Jackson")</f>
        <v>Jackson</v>
      </c>
      <c r="J192" s="1"/>
      <c r="K192" s="1" t="str">
        <f ca="1">IFERROR(__xludf.DUMMYFUNCTION("""COMPUTED_VALUE"""),"Consumer")</f>
        <v>Consumer</v>
      </c>
      <c r="L192" s="1" t="str">
        <f ca="1">IFERROR(__xludf.DUMMYFUNCTION("""COMPUTED_VALUE"""),"United States")</f>
        <v>United States</v>
      </c>
      <c r="M192" s="1" t="str">
        <f ca="1">IFERROR(__xludf.DUMMYFUNCTION("""COMPUTED_VALUE"""),"Los Angeles")</f>
        <v>Los Angeles</v>
      </c>
      <c r="N192" s="1" t="str">
        <f ca="1">IFERROR(__xludf.DUMMYFUNCTION("""COMPUTED_VALUE"""),"California")</f>
        <v>California</v>
      </c>
      <c r="O192" s="1">
        <f ca="1">IFERROR(__xludf.DUMMYFUNCTION("""COMPUTED_VALUE"""),90004)</f>
        <v>90004</v>
      </c>
      <c r="P192" s="1" t="str">
        <f ca="1">IFERROR(__xludf.DUMMYFUNCTION("""COMPUTED_VALUE"""),"West")</f>
        <v>West</v>
      </c>
      <c r="Q192" s="1" t="str">
        <f ca="1">IFERROR(__xludf.DUMMYFUNCTION("""COMPUTED_VALUE"""),"OFF-BI-10003707")</f>
        <v>OFF-BI-10003707</v>
      </c>
      <c r="R192" s="1" t="str">
        <f ca="1">IFERROR(__xludf.DUMMYFUNCTION("""COMPUTED_VALUE"""),"Office Supplies")</f>
        <v>Office Supplies</v>
      </c>
      <c r="S192" s="7">
        <f ca="1">IFERROR(__xludf.DUMMYFUNCTION("""COMPUTED_VALUE"""),36.624)</f>
        <v>36.624000000000002</v>
      </c>
      <c r="T192" s="1">
        <f ca="1">IFERROR(__xludf.DUMMYFUNCTION("""COMPUTED_VALUE"""),9)</f>
        <v>9</v>
      </c>
      <c r="U192" s="9">
        <f ca="1">IFERROR(__xludf.DUMMYFUNCTION("""COMPUTED_VALUE"""),329.616)</f>
        <v>329.61599999999999</v>
      </c>
      <c r="V192" s="9">
        <f ca="1">IFERROR(__xludf.DUMMYFUNCTION("""COMPUTED_VALUE"""),321.39)</f>
        <v>321.39</v>
      </c>
      <c r="W192" s="12">
        <f ca="1">IFERROR(__xludf.DUMMYFUNCTION("""COMPUTED_VALUE"""),8.22600000000005)</f>
        <v>8.2260000000000506</v>
      </c>
    </row>
    <row r="193" spans="1:23" ht="13.2">
      <c r="A193" s="1" t="str">
        <f ca="1">IFERROR(__xludf.DUMMYFUNCTION("""COMPUTED_VALUE"""),"CA-2015-139192")</f>
        <v>CA-2015-139192</v>
      </c>
      <c r="B193" s="8">
        <f ca="1">IFERROR(__xludf.DUMMYFUNCTION("""COMPUTED_VALUE"""),42151)</f>
        <v>42151</v>
      </c>
      <c r="C193" s="1" t="str">
        <f ca="1">IFERROR(__xludf.DUMMYFUNCTION("""COMPUTED_VALUE"""),"May")</f>
        <v>May</v>
      </c>
      <c r="D193" s="1" t="str">
        <f ca="1">IFERROR(__xludf.DUMMYFUNCTION("""COMPUTED_VALUE"""),"Qtr 2")</f>
        <v>Qtr 2</v>
      </c>
      <c r="E193" s="1" t="str">
        <f ca="1">IFERROR(__xludf.DUMMYFUNCTION("""COMPUTED_VALUE"""),"1/6/2015")</f>
        <v>1/6/2015</v>
      </c>
      <c r="F193" s="1" t="str">
        <f ca="1">IFERROR(__xludf.DUMMYFUNCTION("""COMPUTED_VALUE"""),"Second Class")</f>
        <v>Second Class</v>
      </c>
      <c r="G193" s="1" t="str">
        <f ca="1">IFERROR(__xludf.DUMMYFUNCTION("""COMPUTED_VALUE"""),"LC-16885")</f>
        <v>LC-16885</v>
      </c>
      <c r="H193" s="1" t="str">
        <f ca="1">IFERROR(__xludf.DUMMYFUNCTION("""COMPUTED_VALUE"""),"Lena")</f>
        <v>Lena</v>
      </c>
      <c r="I193" s="1" t="str">
        <f ca="1">IFERROR(__xludf.DUMMYFUNCTION("""COMPUTED_VALUE"""),"Creighton")</f>
        <v>Creighton</v>
      </c>
      <c r="J193" s="1"/>
      <c r="K193" s="1" t="str">
        <f ca="1">IFERROR(__xludf.DUMMYFUNCTION("""COMPUTED_VALUE"""),"Consumer")</f>
        <v>Consumer</v>
      </c>
      <c r="L193" s="1" t="str">
        <f ca="1">IFERROR(__xludf.DUMMYFUNCTION("""COMPUTED_VALUE"""),"United States")</f>
        <v>United States</v>
      </c>
      <c r="M193" s="1" t="str">
        <f ca="1">IFERROR(__xludf.DUMMYFUNCTION("""COMPUTED_VALUE"""),"San Francisco")</f>
        <v>San Francisco</v>
      </c>
      <c r="N193" s="1" t="str">
        <f ca="1">IFERROR(__xludf.DUMMYFUNCTION("""COMPUTED_VALUE"""),"California")</f>
        <v>California</v>
      </c>
      <c r="O193" s="1">
        <f ca="1">IFERROR(__xludf.DUMMYFUNCTION("""COMPUTED_VALUE"""),94109)</f>
        <v>94109</v>
      </c>
      <c r="P193" s="1" t="str">
        <f ca="1">IFERROR(__xludf.DUMMYFUNCTION("""COMPUTED_VALUE"""),"West")</f>
        <v>West</v>
      </c>
      <c r="Q193" s="1" t="str">
        <f ca="1">IFERROR(__xludf.DUMMYFUNCTION("""COMPUTED_VALUE"""),"TEC-PH-10000486")</f>
        <v>TEC-PH-10000486</v>
      </c>
      <c r="R193" s="1" t="str">
        <f ca="1">IFERROR(__xludf.DUMMYFUNCTION("""COMPUTED_VALUE"""),"Technology")</f>
        <v>Technology</v>
      </c>
      <c r="S193" s="7">
        <f ca="1">IFERROR(__xludf.DUMMYFUNCTION("""COMPUTED_VALUE"""),1113.504)</f>
        <v>1113.5039999999999</v>
      </c>
      <c r="T193" s="1">
        <f ca="1">IFERROR(__xludf.DUMMYFUNCTION("""COMPUTED_VALUE"""),9)</f>
        <v>9</v>
      </c>
      <c r="U193" s="9">
        <f ca="1">IFERROR(__xludf.DUMMYFUNCTION("""COMPUTED_VALUE"""),10021.536)</f>
        <v>10021.536</v>
      </c>
      <c r="V193" s="9">
        <f ca="1">IFERROR(__xludf.DUMMYFUNCTION("""COMPUTED_VALUE"""),10021.05)</f>
        <v>10021.049999999999</v>
      </c>
      <c r="W193" s="12">
        <f ca="1">IFERROR(__xludf.DUMMYFUNCTION("""COMPUTED_VALUE"""),0.485999999998966)</f>
        <v>0.48599999999896598</v>
      </c>
    </row>
    <row r="194" spans="1:23" ht="13.2">
      <c r="A194" s="1" t="str">
        <f ca="1">IFERROR(__xludf.DUMMYFUNCTION("""COMPUTED_VALUE"""),"CA-2015-139192")</f>
        <v>CA-2015-139192</v>
      </c>
      <c r="B194" s="8">
        <f ca="1">IFERROR(__xludf.DUMMYFUNCTION("""COMPUTED_VALUE"""),42151)</f>
        <v>42151</v>
      </c>
      <c r="C194" s="1" t="str">
        <f ca="1">IFERROR(__xludf.DUMMYFUNCTION("""COMPUTED_VALUE"""),"May")</f>
        <v>May</v>
      </c>
      <c r="D194" s="1" t="str">
        <f ca="1">IFERROR(__xludf.DUMMYFUNCTION("""COMPUTED_VALUE"""),"Qtr 2")</f>
        <v>Qtr 2</v>
      </c>
      <c r="E194" s="1" t="str">
        <f ca="1">IFERROR(__xludf.DUMMYFUNCTION("""COMPUTED_VALUE"""),"1/6/2015")</f>
        <v>1/6/2015</v>
      </c>
      <c r="F194" s="1" t="str">
        <f ca="1">IFERROR(__xludf.DUMMYFUNCTION("""COMPUTED_VALUE"""),"Second Class")</f>
        <v>Second Class</v>
      </c>
      <c r="G194" s="1" t="str">
        <f ca="1">IFERROR(__xludf.DUMMYFUNCTION("""COMPUTED_VALUE"""),"LC-16885")</f>
        <v>LC-16885</v>
      </c>
      <c r="H194" s="1" t="str">
        <f ca="1">IFERROR(__xludf.DUMMYFUNCTION("""COMPUTED_VALUE"""),"Lena")</f>
        <v>Lena</v>
      </c>
      <c r="I194" s="1" t="str">
        <f ca="1">IFERROR(__xludf.DUMMYFUNCTION("""COMPUTED_VALUE"""),"Creighton")</f>
        <v>Creighton</v>
      </c>
      <c r="J194" s="1"/>
      <c r="K194" s="1" t="str">
        <f ca="1">IFERROR(__xludf.DUMMYFUNCTION("""COMPUTED_VALUE"""),"Consumer")</f>
        <v>Consumer</v>
      </c>
      <c r="L194" s="1" t="str">
        <f ca="1">IFERROR(__xludf.DUMMYFUNCTION("""COMPUTED_VALUE"""),"United States")</f>
        <v>United States</v>
      </c>
      <c r="M194" s="1" t="str">
        <f ca="1">IFERROR(__xludf.DUMMYFUNCTION("""COMPUTED_VALUE"""),"San Francisco")</f>
        <v>San Francisco</v>
      </c>
      <c r="N194" s="1" t="str">
        <f ca="1">IFERROR(__xludf.DUMMYFUNCTION("""COMPUTED_VALUE"""),"California")</f>
        <v>California</v>
      </c>
      <c r="O194" s="1">
        <f ca="1">IFERROR(__xludf.DUMMYFUNCTION("""COMPUTED_VALUE"""),94109)</f>
        <v>94109</v>
      </c>
      <c r="P194" s="1" t="str">
        <f ca="1">IFERROR(__xludf.DUMMYFUNCTION("""COMPUTED_VALUE"""),"West")</f>
        <v>West</v>
      </c>
      <c r="Q194" s="1" t="str">
        <f ca="1">IFERROR(__xludf.DUMMYFUNCTION("""COMPUTED_VALUE"""),"TEC-AC-10001606")</f>
        <v>TEC-AC-10001606</v>
      </c>
      <c r="R194" s="1" t="str">
        <f ca="1">IFERROR(__xludf.DUMMYFUNCTION("""COMPUTED_VALUE"""),"Technology")</f>
        <v>Technology</v>
      </c>
      <c r="S194" s="7">
        <f ca="1">IFERROR(__xludf.DUMMYFUNCTION("""COMPUTED_VALUE"""),99.99)</f>
        <v>99.99</v>
      </c>
      <c r="T194" s="1">
        <f ca="1">IFERROR(__xludf.DUMMYFUNCTION("""COMPUTED_VALUE"""),9)</f>
        <v>9</v>
      </c>
      <c r="U194" s="9">
        <f ca="1">IFERROR(__xludf.DUMMYFUNCTION("""COMPUTED_VALUE"""),899.91)</f>
        <v>899.91</v>
      </c>
      <c r="V194" s="9">
        <f ca="1">IFERROR(__xludf.DUMMYFUNCTION("""COMPUTED_VALUE"""),894.42)</f>
        <v>894.42</v>
      </c>
      <c r="W194" s="12">
        <f ca="1">IFERROR(__xludf.DUMMYFUNCTION("""COMPUTED_VALUE"""),5.49)</f>
        <v>5.49</v>
      </c>
    </row>
    <row r="195" spans="1:23" ht="13.2">
      <c r="A195" s="1" t="str">
        <f ca="1">IFERROR(__xludf.DUMMYFUNCTION("""COMPUTED_VALUE"""),"CA-2018-167150")</f>
        <v>CA-2018-167150</v>
      </c>
      <c r="B195" s="8">
        <f ca="1">IFERROR(__xludf.DUMMYFUNCTION("""COMPUTED_VALUE"""),43385)</f>
        <v>43385</v>
      </c>
      <c r="C195" s="1" t="str">
        <f ca="1">IFERROR(__xludf.DUMMYFUNCTION("""COMPUTED_VALUE"""),"Oct")</f>
        <v>Oct</v>
      </c>
      <c r="D195" s="1" t="str">
        <f ca="1">IFERROR(__xludf.DUMMYFUNCTION("""COMPUTED_VALUE"""),"Qtr 4")</f>
        <v>Qtr 4</v>
      </c>
      <c r="E195" s="1" t="str">
        <f ca="1">IFERROR(__xludf.DUMMYFUNCTION("""COMPUTED_VALUE"""),"17/12/2018")</f>
        <v>17/12/2018</v>
      </c>
      <c r="F195" s="1" t="str">
        <f ca="1">IFERROR(__xludf.DUMMYFUNCTION("""COMPUTED_VALUE"""),"Standard Class")</f>
        <v>Standard Class</v>
      </c>
      <c r="G195" s="1" t="str">
        <f ca="1">IFERROR(__xludf.DUMMYFUNCTION("""COMPUTED_VALUE"""),"BP-11185")</f>
        <v>BP-11185</v>
      </c>
      <c r="H195" s="1" t="str">
        <f ca="1">IFERROR(__xludf.DUMMYFUNCTION("""COMPUTED_VALUE"""),"Ben")</f>
        <v>Ben</v>
      </c>
      <c r="I195" s="1" t="str">
        <f ca="1">IFERROR(__xludf.DUMMYFUNCTION("""COMPUTED_VALUE"""),"Peterman")</f>
        <v>Peterman</v>
      </c>
      <c r="J195" s="1"/>
      <c r="K195" s="1" t="str">
        <f ca="1">IFERROR(__xludf.DUMMYFUNCTION("""COMPUTED_VALUE"""),"Corporate")</f>
        <v>Corporate</v>
      </c>
      <c r="L195" s="1" t="str">
        <f ca="1">IFERROR(__xludf.DUMMYFUNCTION("""COMPUTED_VALUE"""),"United States")</f>
        <v>United States</v>
      </c>
      <c r="M195" s="1" t="str">
        <f ca="1">IFERROR(__xludf.DUMMYFUNCTION("""COMPUTED_VALUE"""),"San Diego")</f>
        <v>San Diego</v>
      </c>
      <c r="N195" s="1" t="str">
        <f ca="1">IFERROR(__xludf.DUMMYFUNCTION("""COMPUTED_VALUE"""),"California")</f>
        <v>California</v>
      </c>
      <c r="O195" s="1">
        <f ca="1">IFERROR(__xludf.DUMMYFUNCTION("""COMPUTED_VALUE"""),92037)</f>
        <v>92037</v>
      </c>
      <c r="P195" s="1" t="str">
        <f ca="1">IFERROR(__xludf.DUMMYFUNCTION("""COMPUTED_VALUE"""),"West")</f>
        <v>West</v>
      </c>
      <c r="Q195" s="1" t="str">
        <f ca="1">IFERROR(__xludf.DUMMYFUNCTION("""COMPUTED_VALUE"""),"OFF-BI-10001097")</f>
        <v>OFF-BI-10001097</v>
      </c>
      <c r="R195" s="1" t="str">
        <f ca="1">IFERROR(__xludf.DUMMYFUNCTION("""COMPUTED_VALUE"""),"Office Supplies")</f>
        <v>Office Supplies</v>
      </c>
      <c r="S195" s="7">
        <f ca="1">IFERROR(__xludf.DUMMYFUNCTION("""COMPUTED_VALUE"""),19.936)</f>
        <v>19.936</v>
      </c>
      <c r="T195" s="1">
        <f ca="1">IFERROR(__xludf.DUMMYFUNCTION("""COMPUTED_VALUE"""),9)</f>
        <v>9</v>
      </c>
      <c r="U195" s="9">
        <f ca="1">IFERROR(__xludf.DUMMYFUNCTION("""COMPUTED_VALUE"""),179.424)</f>
        <v>179.42400000000001</v>
      </c>
      <c r="V195" s="9">
        <f ca="1">IFERROR(__xludf.DUMMYFUNCTION("""COMPUTED_VALUE"""),177.39)</f>
        <v>177.39</v>
      </c>
      <c r="W195" s="12">
        <f ca="1">IFERROR(__xludf.DUMMYFUNCTION("""COMPUTED_VALUE"""),2.03399999999999)</f>
        <v>2.03399999999999</v>
      </c>
    </row>
    <row r="196" spans="1:23" ht="13.2">
      <c r="A196" s="1" t="str">
        <f ca="1">IFERROR(__xludf.DUMMYFUNCTION("""COMPUTED_VALUE"""),"CA-2018-167150")</f>
        <v>CA-2018-167150</v>
      </c>
      <c r="B196" s="8">
        <f ca="1">IFERROR(__xludf.DUMMYFUNCTION("""COMPUTED_VALUE"""),43385)</f>
        <v>43385</v>
      </c>
      <c r="C196" s="1" t="str">
        <f ca="1">IFERROR(__xludf.DUMMYFUNCTION("""COMPUTED_VALUE"""),"Oct")</f>
        <v>Oct</v>
      </c>
      <c r="D196" s="1" t="str">
        <f ca="1">IFERROR(__xludf.DUMMYFUNCTION("""COMPUTED_VALUE"""),"Qtr 4")</f>
        <v>Qtr 4</v>
      </c>
      <c r="E196" s="1" t="str">
        <f ca="1">IFERROR(__xludf.DUMMYFUNCTION("""COMPUTED_VALUE"""),"17/12/2018")</f>
        <v>17/12/2018</v>
      </c>
      <c r="F196" s="1" t="str">
        <f ca="1">IFERROR(__xludf.DUMMYFUNCTION("""COMPUTED_VALUE"""),"Standard Class")</f>
        <v>Standard Class</v>
      </c>
      <c r="G196" s="1" t="str">
        <f ca="1">IFERROR(__xludf.DUMMYFUNCTION("""COMPUTED_VALUE"""),"BP-11185")</f>
        <v>BP-11185</v>
      </c>
      <c r="H196" s="1" t="str">
        <f ca="1">IFERROR(__xludf.DUMMYFUNCTION("""COMPUTED_VALUE"""),"Ben")</f>
        <v>Ben</v>
      </c>
      <c r="I196" s="1" t="str">
        <f ca="1">IFERROR(__xludf.DUMMYFUNCTION("""COMPUTED_VALUE"""),"Peterman")</f>
        <v>Peterman</v>
      </c>
      <c r="J196" s="1"/>
      <c r="K196" s="1" t="str">
        <f ca="1">IFERROR(__xludf.DUMMYFUNCTION("""COMPUTED_VALUE"""),"Corporate")</f>
        <v>Corporate</v>
      </c>
      <c r="L196" s="1" t="str">
        <f ca="1">IFERROR(__xludf.DUMMYFUNCTION("""COMPUTED_VALUE"""),"United States")</f>
        <v>United States</v>
      </c>
      <c r="M196" s="1" t="str">
        <f ca="1">IFERROR(__xludf.DUMMYFUNCTION("""COMPUTED_VALUE"""),"San Diego")</f>
        <v>San Diego</v>
      </c>
      <c r="N196" s="1" t="str">
        <f ca="1">IFERROR(__xludf.DUMMYFUNCTION("""COMPUTED_VALUE"""),"California")</f>
        <v>California</v>
      </c>
      <c r="O196" s="1">
        <f ca="1">IFERROR(__xludf.DUMMYFUNCTION("""COMPUTED_VALUE"""),92037)</f>
        <v>92037</v>
      </c>
      <c r="P196" s="1" t="str">
        <f ca="1">IFERROR(__xludf.DUMMYFUNCTION("""COMPUTED_VALUE"""),"West")</f>
        <v>West</v>
      </c>
      <c r="Q196" s="1" t="str">
        <f ca="1">IFERROR(__xludf.DUMMYFUNCTION("""COMPUTED_VALUE"""),"OFF-BI-10001597")</f>
        <v>OFF-BI-10001597</v>
      </c>
      <c r="R196" s="1" t="str">
        <f ca="1">IFERROR(__xludf.DUMMYFUNCTION("""COMPUTED_VALUE"""),"Office Supplies")</f>
        <v>Office Supplies</v>
      </c>
      <c r="S196" s="7">
        <f ca="1">IFERROR(__xludf.DUMMYFUNCTION("""COMPUTED_VALUE"""),65.568)</f>
        <v>65.567999999999998</v>
      </c>
      <c r="T196" s="1">
        <f ca="1">IFERROR(__xludf.DUMMYFUNCTION("""COMPUTED_VALUE"""),9)</f>
        <v>9</v>
      </c>
      <c r="U196" s="9">
        <f ca="1">IFERROR(__xludf.DUMMYFUNCTION("""COMPUTED_VALUE"""),590.112)</f>
        <v>590.11199999999997</v>
      </c>
      <c r="V196" s="9">
        <f ca="1">IFERROR(__xludf.DUMMYFUNCTION("""COMPUTED_VALUE"""),590.04)</f>
        <v>590.04</v>
      </c>
      <c r="W196" s="12">
        <f ca="1">IFERROR(__xludf.DUMMYFUNCTION("""COMPUTED_VALUE"""),0.0720000000000027)</f>
        <v>7.2000000000002701E-2</v>
      </c>
    </row>
    <row r="197" spans="1:23" ht="13.2">
      <c r="A197" s="1" t="str">
        <f ca="1">IFERROR(__xludf.DUMMYFUNCTION("""COMPUTED_VALUE"""),"CA-2017-157686")</f>
        <v>CA-2017-157686</v>
      </c>
      <c r="B197" s="8">
        <f ca="1">IFERROR(__xludf.DUMMYFUNCTION("""COMPUTED_VALUE"""),42745)</f>
        <v>42745</v>
      </c>
      <c r="C197" s="1" t="str">
        <f ca="1">IFERROR(__xludf.DUMMYFUNCTION("""COMPUTED_VALUE"""),"Jan")</f>
        <v>Jan</v>
      </c>
      <c r="D197" s="1" t="str">
        <f ca="1">IFERROR(__xludf.DUMMYFUNCTION("""COMPUTED_VALUE"""),"Qtr 1")</f>
        <v>Qtr 1</v>
      </c>
      <c r="E197" s="1" t="str">
        <f ca="1">IFERROR(__xludf.DUMMYFUNCTION("""COMPUTED_VALUE"""),"2/10/2017")</f>
        <v>2/10/2017</v>
      </c>
      <c r="F197" s="1" t="str">
        <f ca="1">IFERROR(__xludf.DUMMYFUNCTION("""COMPUTED_VALUE"""),"First Class")</f>
        <v>First Class</v>
      </c>
      <c r="G197" s="1" t="str">
        <f ca="1">IFERROR(__xludf.DUMMYFUNCTION("""COMPUTED_VALUE"""),"BD-11620")</f>
        <v>BD-11620</v>
      </c>
      <c r="H197" s="1" t="str">
        <f ca="1">IFERROR(__xludf.DUMMYFUNCTION("""COMPUTED_VALUE"""),"Brian")</f>
        <v>Brian</v>
      </c>
      <c r="I197" s="1" t="str">
        <f ca="1">IFERROR(__xludf.DUMMYFUNCTION("""COMPUTED_VALUE"""),"DeCherney")</f>
        <v>DeCherney</v>
      </c>
      <c r="J197" s="1"/>
      <c r="K197" s="1" t="str">
        <f ca="1">IFERROR(__xludf.DUMMYFUNCTION("""COMPUTED_VALUE"""),"Consumer")</f>
        <v>Consumer</v>
      </c>
      <c r="L197" s="1" t="str">
        <f ca="1">IFERROR(__xludf.DUMMYFUNCTION("""COMPUTED_VALUE"""),"United States")</f>
        <v>United States</v>
      </c>
      <c r="M197" s="1" t="str">
        <f ca="1">IFERROR(__xludf.DUMMYFUNCTION("""COMPUTED_VALUE"""),"San Francisco")</f>
        <v>San Francisco</v>
      </c>
      <c r="N197" s="1" t="str">
        <f ca="1">IFERROR(__xludf.DUMMYFUNCTION("""COMPUTED_VALUE"""),"California")</f>
        <v>California</v>
      </c>
      <c r="O197" s="1">
        <f ca="1">IFERROR(__xludf.DUMMYFUNCTION("""COMPUTED_VALUE"""),94122)</f>
        <v>94122</v>
      </c>
      <c r="P197" s="1" t="str">
        <f ca="1">IFERROR(__xludf.DUMMYFUNCTION("""COMPUTED_VALUE"""),"West")</f>
        <v>West</v>
      </c>
      <c r="Q197" s="1" t="str">
        <f ca="1">IFERROR(__xludf.DUMMYFUNCTION("""COMPUTED_VALUE"""),"FUR-CH-10001146")</f>
        <v>FUR-CH-10001146</v>
      </c>
      <c r="R197" s="1" t="str">
        <f ca="1">IFERROR(__xludf.DUMMYFUNCTION("""COMPUTED_VALUE"""),"Furniture")</f>
        <v>Furniture</v>
      </c>
      <c r="S197" s="7">
        <f ca="1">IFERROR(__xludf.DUMMYFUNCTION("""COMPUTED_VALUE"""),194.848)</f>
        <v>194.84800000000001</v>
      </c>
      <c r="T197" s="1">
        <f ca="1">IFERROR(__xludf.DUMMYFUNCTION("""COMPUTED_VALUE"""),9)</f>
        <v>9</v>
      </c>
      <c r="U197" s="9">
        <f ca="1">IFERROR(__xludf.DUMMYFUNCTION("""COMPUTED_VALUE"""),1753.632)</f>
        <v>1753.6320000000001</v>
      </c>
      <c r="V197" s="9">
        <f ca="1">IFERROR(__xludf.DUMMYFUNCTION("""COMPUTED_VALUE"""),1753.11)</f>
        <v>1753.11</v>
      </c>
      <c r="W197" s="12">
        <f ca="1">IFERROR(__xludf.DUMMYFUNCTION("""COMPUTED_VALUE"""),0.522000000000161)</f>
        <v>0.522000000000161</v>
      </c>
    </row>
    <row r="198" spans="1:23" ht="13.2">
      <c r="A198" s="1" t="str">
        <f ca="1">IFERROR(__xludf.DUMMYFUNCTION("""COMPUTED_VALUE"""),"CA-2016-144652")</f>
        <v>CA-2016-144652</v>
      </c>
      <c r="B198" s="8">
        <f ca="1">IFERROR(__xludf.DUMMYFUNCTION("""COMPUTED_VALUE"""),42694)</f>
        <v>42694</v>
      </c>
      <c r="C198" s="1" t="str">
        <f ca="1">IFERROR(__xludf.DUMMYFUNCTION("""COMPUTED_VALUE"""),"Nov")</f>
        <v>Nov</v>
      </c>
      <c r="D198" s="1" t="str">
        <f ca="1">IFERROR(__xludf.DUMMYFUNCTION("""COMPUTED_VALUE"""),"Qtr 4")</f>
        <v>Qtr 4</v>
      </c>
      <c r="E198" s="1" t="str">
        <f ca="1">IFERROR(__xludf.DUMMYFUNCTION("""COMPUTED_VALUE"""),"26/11/2016")</f>
        <v>26/11/2016</v>
      </c>
      <c r="F198" s="1" t="str">
        <f ca="1">IFERROR(__xludf.DUMMYFUNCTION("""COMPUTED_VALUE"""),"Standard Class")</f>
        <v>Standard Class</v>
      </c>
      <c r="G198" s="1" t="str">
        <f ca="1">IFERROR(__xludf.DUMMYFUNCTION("""COMPUTED_VALUE"""),"SN-20560")</f>
        <v>SN-20560</v>
      </c>
      <c r="H198" s="1" t="str">
        <f ca="1">IFERROR(__xludf.DUMMYFUNCTION("""COMPUTED_VALUE"""),"Skye")</f>
        <v>Skye</v>
      </c>
      <c r="I198" s="1" t="str">
        <f ca="1">IFERROR(__xludf.DUMMYFUNCTION("""COMPUTED_VALUE"""),"Norling")</f>
        <v>Norling</v>
      </c>
      <c r="J198" s="1"/>
      <c r="K198" s="1" t="str">
        <f ca="1">IFERROR(__xludf.DUMMYFUNCTION("""COMPUTED_VALUE"""),"Home Office")</f>
        <v>Home Office</v>
      </c>
      <c r="L198" s="1" t="str">
        <f ca="1">IFERROR(__xludf.DUMMYFUNCTION("""COMPUTED_VALUE"""),"United States")</f>
        <v>United States</v>
      </c>
      <c r="M198" s="1" t="str">
        <f ca="1">IFERROR(__xludf.DUMMYFUNCTION("""COMPUTED_VALUE"""),"Los Angeles")</f>
        <v>Los Angeles</v>
      </c>
      <c r="N198" s="1" t="str">
        <f ca="1">IFERROR(__xludf.DUMMYFUNCTION("""COMPUTED_VALUE"""),"California")</f>
        <v>California</v>
      </c>
      <c r="O198" s="1">
        <f ca="1">IFERROR(__xludf.DUMMYFUNCTION("""COMPUTED_VALUE"""),90008)</f>
        <v>90008</v>
      </c>
      <c r="P198" s="1" t="str">
        <f ca="1">IFERROR(__xludf.DUMMYFUNCTION("""COMPUTED_VALUE"""),"West")</f>
        <v>West</v>
      </c>
      <c r="Q198" s="1" t="str">
        <f ca="1">IFERROR(__xludf.DUMMYFUNCTION("""COMPUTED_VALUE"""),"OFF-AR-10003732")</f>
        <v>OFF-AR-10003732</v>
      </c>
      <c r="R198" s="1" t="str">
        <f ca="1">IFERROR(__xludf.DUMMYFUNCTION("""COMPUTED_VALUE"""),"Office Supplies")</f>
        <v>Office Supplies</v>
      </c>
      <c r="S198" s="7">
        <f ca="1">IFERROR(__xludf.DUMMYFUNCTION("""COMPUTED_VALUE"""),19.46)</f>
        <v>19.46</v>
      </c>
      <c r="T198" s="1">
        <f ca="1">IFERROR(__xludf.DUMMYFUNCTION("""COMPUTED_VALUE"""),9)</f>
        <v>9</v>
      </c>
      <c r="U198" s="9">
        <f ca="1">IFERROR(__xludf.DUMMYFUNCTION("""COMPUTED_VALUE"""),175.14)</f>
        <v>175.14</v>
      </c>
      <c r="V198" s="9">
        <f ca="1">IFERROR(__xludf.DUMMYFUNCTION("""COMPUTED_VALUE"""),170.1)</f>
        <v>170.1</v>
      </c>
      <c r="W198" s="12">
        <f ca="1">IFERROR(__xludf.DUMMYFUNCTION("""COMPUTED_VALUE"""),5.04000000000002)</f>
        <v>5.0400000000000196</v>
      </c>
    </row>
    <row r="199" spans="1:23" ht="13.2">
      <c r="A199" s="1" t="str">
        <f ca="1">IFERROR(__xludf.DUMMYFUNCTION("""COMPUTED_VALUE"""),"CA-2017-166163")</f>
        <v>CA-2017-166163</v>
      </c>
      <c r="B199" s="8">
        <f ca="1">IFERROR(__xludf.DUMMYFUNCTION("""COMPUTED_VALUE"""),42962)</f>
        <v>42962</v>
      </c>
      <c r="C199" s="1" t="str">
        <f ca="1">IFERROR(__xludf.DUMMYFUNCTION("""COMPUTED_VALUE"""),"Aug")</f>
        <v>Aug</v>
      </c>
      <c r="D199" s="1" t="str">
        <f ca="1">IFERROR(__xludf.DUMMYFUNCTION("""COMPUTED_VALUE"""),"Qtr 3")</f>
        <v>Qtr 3</v>
      </c>
      <c r="E199" s="1" t="str">
        <f ca="1">IFERROR(__xludf.DUMMYFUNCTION("""COMPUTED_VALUE"""),"20/08/2017")</f>
        <v>20/08/2017</v>
      </c>
      <c r="F199" s="1" t="str">
        <f ca="1">IFERROR(__xludf.DUMMYFUNCTION("""COMPUTED_VALUE"""),"Second Class")</f>
        <v>Second Class</v>
      </c>
      <c r="G199" s="1" t="str">
        <f ca="1">IFERROR(__xludf.DUMMYFUNCTION("""COMPUTED_VALUE"""),"CY-12745")</f>
        <v>CY-12745</v>
      </c>
      <c r="H199" s="1" t="str">
        <f ca="1">IFERROR(__xludf.DUMMYFUNCTION("""COMPUTED_VALUE"""),"Craig")</f>
        <v>Craig</v>
      </c>
      <c r="I199" s="1" t="str">
        <f ca="1">IFERROR(__xludf.DUMMYFUNCTION("""COMPUTED_VALUE"""),"Yedwab")</f>
        <v>Yedwab</v>
      </c>
      <c r="J199" s="1"/>
      <c r="K199" s="1" t="str">
        <f ca="1">IFERROR(__xludf.DUMMYFUNCTION("""COMPUTED_VALUE"""),"Corporate")</f>
        <v>Corporate</v>
      </c>
      <c r="L199" s="1" t="str">
        <f ca="1">IFERROR(__xludf.DUMMYFUNCTION("""COMPUTED_VALUE"""),"United States")</f>
        <v>United States</v>
      </c>
      <c r="M199" s="1" t="str">
        <f ca="1">IFERROR(__xludf.DUMMYFUNCTION("""COMPUTED_VALUE"""),"Oakland")</f>
        <v>Oakland</v>
      </c>
      <c r="N199" s="1" t="str">
        <f ca="1">IFERROR(__xludf.DUMMYFUNCTION("""COMPUTED_VALUE"""),"California")</f>
        <v>California</v>
      </c>
      <c r="O199" s="1">
        <f ca="1">IFERROR(__xludf.DUMMYFUNCTION("""COMPUTED_VALUE"""),94601)</f>
        <v>94601</v>
      </c>
      <c r="P199" s="1" t="str">
        <f ca="1">IFERROR(__xludf.DUMMYFUNCTION("""COMPUTED_VALUE"""),"West")</f>
        <v>West</v>
      </c>
      <c r="Q199" s="1" t="str">
        <f ca="1">IFERROR(__xludf.DUMMYFUNCTION("""COMPUTED_VALUE"""),"TEC-PH-10004896")</f>
        <v>TEC-PH-10004896</v>
      </c>
      <c r="R199" s="1" t="str">
        <f ca="1">IFERROR(__xludf.DUMMYFUNCTION("""COMPUTED_VALUE"""),"Technology")</f>
        <v>Technology</v>
      </c>
      <c r="S199" s="7">
        <f ca="1">IFERROR(__xludf.DUMMYFUNCTION("""COMPUTED_VALUE"""),71.976)</f>
        <v>71.975999999999999</v>
      </c>
      <c r="T199" s="1">
        <f ca="1">IFERROR(__xludf.DUMMYFUNCTION("""COMPUTED_VALUE"""),9)</f>
        <v>9</v>
      </c>
      <c r="U199" s="9">
        <f ca="1">IFERROR(__xludf.DUMMYFUNCTION("""COMPUTED_VALUE"""),647.784)</f>
        <v>647.78399999999999</v>
      </c>
      <c r="V199" s="9">
        <f ca="1">IFERROR(__xludf.DUMMYFUNCTION("""COMPUTED_VALUE"""),640.53)</f>
        <v>640.53</v>
      </c>
      <c r="W199" s="12">
        <f ca="1">IFERROR(__xludf.DUMMYFUNCTION("""COMPUTED_VALUE"""),7.25400000000001)</f>
        <v>7.2540000000000102</v>
      </c>
    </row>
    <row r="200" spans="1:23" ht="13.2">
      <c r="A200" s="1" t="str">
        <f ca="1">IFERROR(__xludf.DUMMYFUNCTION("""COMPUTED_VALUE"""),"CA-2017-166163")</f>
        <v>CA-2017-166163</v>
      </c>
      <c r="B200" s="8">
        <f ca="1">IFERROR(__xludf.DUMMYFUNCTION("""COMPUTED_VALUE"""),42962)</f>
        <v>42962</v>
      </c>
      <c r="C200" s="1" t="str">
        <f ca="1">IFERROR(__xludf.DUMMYFUNCTION("""COMPUTED_VALUE"""),"Aug")</f>
        <v>Aug</v>
      </c>
      <c r="D200" s="1" t="str">
        <f ca="1">IFERROR(__xludf.DUMMYFUNCTION("""COMPUTED_VALUE"""),"Qtr 3")</f>
        <v>Qtr 3</v>
      </c>
      <c r="E200" s="1" t="str">
        <f ca="1">IFERROR(__xludf.DUMMYFUNCTION("""COMPUTED_VALUE"""),"20/08/2017")</f>
        <v>20/08/2017</v>
      </c>
      <c r="F200" s="1" t="str">
        <f ca="1">IFERROR(__xludf.DUMMYFUNCTION("""COMPUTED_VALUE"""),"Second Class")</f>
        <v>Second Class</v>
      </c>
      <c r="G200" s="1" t="str">
        <f ca="1">IFERROR(__xludf.DUMMYFUNCTION("""COMPUTED_VALUE"""),"CY-12745")</f>
        <v>CY-12745</v>
      </c>
      <c r="H200" s="1" t="str">
        <f ca="1">IFERROR(__xludf.DUMMYFUNCTION("""COMPUTED_VALUE"""),"Craig")</f>
        <v>Craig</v>
      </c>
      <c r="I200" s="1" t="str">
        <f ca="1">IFERROR(__xludf.DUMMYFUNCTION("""COMPUTED_VALUE"""),"Yedwab")</f>
        <v>Yedwab</v>
      </c>
      <c r="J200" s="1"/>
      <c r="K200" s="1" t="str">
        <f ca="1">IFERROR(__xludf.DUMMYFUNCTION("""COMPUTED_VALUE"""),"Corporate")</f>
        <v>Corporate</v>
      </c>
      <c r="L200" s="1" t="str">
        <f ca="1">IFERROR(__xludf.DUMMYFUNCTION("""COMPUTED_VALUE"""),"United States")</f>
        <v>United States</v>
      </c>
      <c r="M200" s="1" t="str">
        <f ca="1">IFERROR(__xludf.DUMMYFUNCTION("""COMPUTED_VALUE"""),"Oakland")</f>
        <v>Oakland</v>
      </c>
      <c r="N200" s="1" t="str">
        <f ca="1">IFERROR(__xludf.DUMMYFUNCTION("""COMPUTED_VALUE"""),"California")</f>
        <v>California</v>
      </c>
      <c r="O200" s="1">
        <f ca="1">IFERROR(__xludf.DUMMYFUNCTION("""COMPUTED_VALUE"""),94601)</f>
        <v>94601</v>
      </c>
      <c r="P200" s="1" t="str">
        <f ca="1">IFERROR(__xludf.DUMMYFUNCTION("""COMPUTED_VALUE"""),"West")</f>
        <v>West</v>
      </c>
      <c r="Q200" s="1" t="str">
        <f ca="1">IFERROR(__xludf.DUMMYFUNCTION("""COMPUTED_VALUE"""),"OFF-LA-10000452")</f>
        <v>OFF-LA-10000452</v>
      </c>
      <c r="R200" s="1" t="str">
        <f ca="1">IFERROR(__xludf.DUMMYFUNCTION("""COMPUTED_VALUE"""),"Office Supplies")</f>
        <v>Office Supplies</v>
      </c>
      <c r="S200" s="7">
        <f ca="1">IFERROR(__xludf.DUMMYFUNCTION("""COMPUTED_VALUE"""),3.15)</f>
        <v>3.15</v>
      </c>
      <c r="T200" s="1">
        <f ca="1">IFERROR(__xludf.DUMMYFUNCTION("""COMPUTED_VALUE"""),9)</f>
        <v>9</v>
      </c>
      <c r="U200" s="9">
        <f ca="1">IFERROR(__xludf.DUMMYFUNCTION("""COMPUTED_VALUE"""),28.3499999999999)</f>
        <v>28.349999999999898</v>
      </c>
      <c r="V200" s="9">
        <f ca="1">IFERROR(__xludf.DUMMYFUNCTION("""COMPUTED_VALUE"""),19.44)</f>
        <v>19.440000000000001</v>
      </c>
      <c r="W200" s="12">
        <f ca="1">IFERROR(__xludf.DUMMYFUNCTION("""COMPUTED_VALUE"""),8.90999999999999)</f>
        <v>8.9099999999999895</v>
      </c>
    </row>
    <row r="201" spans="1:23" ht="13.2">
      <c r="A201" s="1" t="str">
        <f ca="1">IFERROR(__xludf.DUMMYFUNCTION("""COMPUTED_VALUE"""),"CA-2016-143490")</f>
        <v>CA-2016-143490</v>
      </c>
      <c r="B201" s="8">
        <f ca="1">IFERROR(__xludf.DUMMYFUNCTION("""COMPUTED_VALUE"""),42533)</f>
        <v>42533</v>
      </c>
      <c r="C201" s="1" t="str">
        <f ca="1">IFERROR(__xludf.DUMMYFUNCTION("""COMPUTED_VALUE"""),"Jun")</f>
        <v>Jun</v>
      </c>
      <c r="D201" s="1" t="str">
        <f ca="1">IFERROR(__xludf.DUMMYFUNCTION("""COMPUTED_VALUE"""),"Qtr 2")</f>
        <v>Qtr 2</v>
      </c>
      <c r="E201" s="1" t="str">
        <f ca="1">IFERROR(__xludf.DUMMYFUNCTION("""COMPUTED_VALUE"""),"13/12/2016")</f>
        <v>13/12/2016</v>
      </c>
      <c r="F201" s="1" t="str">
        <f ca="1">IFERROR(__xludf.DUMMYFUNCTION("""COMPUTED_VALUE"""),"Standard Class")</f>
        <v>Standard Class</v>
      </c>
      <c r="G201" s="1" t="str">
        <f ca="1">IFERROR(__xludf.DUMMYFUNCTION("""COMPUTED_VALUE"""),"NP-18325")</f>
        <v>NP-18325</v>
      </c>
      <c r="H201" s="1" t="str">
        <f ca="1">IFERROR(__xludf.DUMMYFUNCTION("""COMPUTED_VALUE"""),"Naresj")</f>
        <v>Naresj</v>
      </c>
      <c r="I201" s="1" t="str">
        <f ca="1">IFERROR(__xludf.DUMMYFUNCTION("""COMPUTED_VALUE"""),"Patel")</f>
        <v>Patel</v>
      </c>
      <c r="J201" s="1"/>
      <c r="K201" s="1" t="str">
        <f ca="1">IFERROR(__xludf.DUMMYFUNCTION("""COMPUTED_VALUE"""),"Consumer")</f>
        <v>Consumer</v>
      </c>
      <c r="L201" s="1" t="str">
        <f ca="1">IFERROR(__xludf.DUMMYFUNCTION("""COMPUTED_VALUE"""),"United States")</f>
        <v>United States</v>
      </c>
      <c r="M201" s="1" t="str">
        <f ca="1">IFERROR(__xludf.DUMMYFUNCTION("""COMPUTED_VALUE"""),"San Diego")</f>
        <v>San Diego</v>
      </c>
      <c r="N201" s="1" t="str">
        <f ca="1">IFERROR(__xludf.DUMMYFUNCTION("""COMPUTED_VALUE"""),"California")</f>
        <v>California</v>
      </c>
      <c r="O201" s="1">
        <f ca="1">IFERROR(__xludf.DUMMYFUNCTION("""COMPUTED_VALUE"""),92105)</f>
        <v>92105</v>
      </c>
      <c r="P201" s="1" t="str">
        <f ca="1">IFERROR(__xludf.DUMMYFUNCTION("""COMPUTED_VALUE"""),"West")</f>
        <v>West</v>
      </c>
      <c r="Q201" s="1" t="str">
        <f ca="1">IFERROR(__xludf.DUMMYFUNCTION("""COMPUTED_VALUE"""),"OFF-AR-10002952")</f>
        <v>OFF-AR-10002952</v>
      </c>
      <c r="R201" s="1" t="str">
        <f ca="1">IFERROR(__xludf.DUMMYFUNCTION("""COMPUTED_VALUE"""),"Office Supplies")</f>
        <v>Office Supplies</v>
      </c>
      <c r="S201" s="7">
        <f ca="1">IFERROR(__xludf.DUMMYFUNCTION("""COMPUTED_VALUE"""),120.15)</f>
        <v>120.15</v>
      </c>
      <c r="T201" s="1">
        <f ca="1">IFERROR(__xludf.DUMMYFUNCTION("""COMPUTED_VALUE"""),9)</f>
        <v>9</v>
      </c>
      <c r="U201" s="9">
        <f ca="1">IFERROR(__xludf.DUMMYFUNCTION("""COMPUTED_VALUE"""),1081.35)</f>
        <v>1081.3499999999999</v>
      </c>
      <c r="V201" s="9">
        <f ca="1">IFERROR(__xludf.DUMMYFUNCTION("""COMPUTED_VALUE"""),1078.64999999999)</f>
        <v>1078.6499999999901</v>
      </c>
      <c r="W201" s="12">
        <f ca="1">IFERROR(__xludf.DUMMYFUNCTION("""COMPUTED_VALUE"""),2.70000000000027)</f>
        <v>2.7000000000002702</v>
      </c>
    </row>
    <row r="202" spans="1:23" ht="13.2">
      <c r="A202" s="1" t="str">
        <f ca="1">IFERROR(__xludf.DUMMYFUNCTION("""COMPUTED_VALUE"""),"CA-2016-143490")</f>
        <v>CA-2016-143490</v>
      </c>
      <c r="B202" s="8">
        <f ca="1">IFERROR(__xludf.DUMMYFUNCTION("""COMPUTED_VALUE"""),42533)</f>
        <v>42533</v>
      </c>
      <c r="C202" s="1" t="str">
        <f ca="1">IFERROR(__xludf.DUMMYFUNCTION("""COMPUTED_VALUE"""),"Jun")</f>
        <v>Jun</v>
      </c>
      <c r="D202" s="1" t="str">
        <f ca="1">IFERROR(__xludf.DUMMYFUNCTION("""COMPUTED_VALUE"""),"Qtr 2")</f>
        <v>Qtr 2</v>
      </c>
      <c r="E202" s="1" t="str">
        <f ca="1">IFERROR(__xludf.DUMMYFUNCTION("""COMPUTED_VALUE"""),"13/12/2016")</f>
        <v>13/12/2016</v>
      </c>
      <c r="F202" s="1" t="str">
        <f ca="1">IFERROR(__xludf.DUMMYFUNCTION("""COMPUTED_VALUE"""),"Standard Class")</f>
        <v>Standard Class</v>
      </c>
      <c r="G202" s="1" t="str">
        <f ca="1">IFERROR(__xludf.DUMMYFUNCTION("""COMPUTED_VALUE"""),"NP-18325")</f>
        <v>NP-18325</v>
      </c>
      <c r="H202" s="1" t="str">
        <f ca="1">IFERROR(__xludf.DUMMYFUNCTION("""COMPUTED_VALUE"""),"Naresj")</f>
        <v>Naresj</v>
      </c>
      <c r="I202" s="1" t="str">
        <f ca="1">IFERROR(__xludf.DUMMYFUNCTION("""COMPUTED_VALUE"""),"Patel")</f>
        <v>Patel</v>
      </c>
      <c r="J202" s="1"/>
      <c r="K202" s="1" t="str">
        <f ca="1">IFERROR(__xludf.DUMMYFUNCTION("""COMPUTED_VALUE"""),"Consumer")</f>
        <v>Consumer</v>
      </c>
      <c r="L202" s="1" t="str">
        <f ca="1">IFERROR(__xludf.DUMMYFUNCTION("""COMPUTED_VALUE"""),"United States")</f>
        <v>United States</v>
      </c>
      <c r="M202" s="1" t="str">
        <f ca="1">IFERROR(__xludf.DUMMYFUNCTION("""COMPUTED_VALUE"""),"San Diego")</f>
        <v>San Diego</v>
      </c>
      <c r="N202" s="1" t="str">
        <f ca="1">IFERROR(__xludf.DUMMYFUNCTION("""COMPUTED_VALUE"""),"California")</f>
        <v>California</v>
      </c>
      <c r="O202" s="1">
        <f ca="1">IFERROR(__xludf.DUMMYFUNCTION("""COMPUTED_VALUE"""),92105)</f>
        <v>92105</v>
      </c>
      <c r="P202" s="1" t="str">
        <f ca="1">IFERROR(__xludf.DUMMYFUNCTION("""COMPUTED_VALUE"""),"West")</f>
        <v>West</v>
      </c>
      <c r="Q202" s="1" t="str">
        <f ca="1">IFERROR(__xludf.DUMMYFUNCTION("""COMPUTED_VALUE"""),"TEC-PH-10000576")</f>
        <v>TEC-PH-10000576</v>
      </c>
      <c r="R202" s="1" t="str">
        <f ca="1">IFERROR(__xludf.DUMMYFUNCTION("""COMPUTED_VALUE"""),"Technology")</f>
        <v>Technology</v>
      </c>
      <c r="S202" s="7">
        <f ca="1">IFERROR(__xludf.DUMMYFUNCTION("""COMPUTED_VALUE"""),219.184)</f>
        <v>219.184</v>
      </c>
      <c r="T202" s="1">
        <f ca="1">IFERROR(__xludf.DUMMYFUNCTION("""COMPUTED_VALUE"""),9)</f>
        <v>9</v>
      </c>
      <c r="U202" s="9">
        <f ca="1">IFERROR(__xludf.DUMMYFUNCTION("""COMPUTED_VALUE"""),1972.656)</f>
        <v>1972.6559999999999</v>
      </c>
      <c r="V202" s="9">
        <f ca="1">IFERROR(__xludf.DUMMYFUNCTION("""COMPUTED_VALUE"""),1968.21)</f>
        <v>1968.21</v>
      </c>
      <c r="W202" s="12">
        <f ca="1">IFERROR(__xludf.DUMMYFUNCTION("""COMPUTED_VALUE"""),4.44599999999991)</f>
        <v>4.44599999999991</v>
      </c>
    </row>
    <row r="203" spans="1:23" ht="13.2">
      <c r="A203" s="1" t="str">
        <f ca="1">IFERROR(__xludf.DUMMYFUNCTION("""COMPUTED_VALUE"""),"CA-2015-159338")</f>
        <v>CA-2015-159338</v>
      </c>
      <c r="B203" s="8">
        <f ca="1">IFERROR(__xludf.DUMMYFUNCTION("""COMPUTED_VALUE"""),42180)</f>
        <v>42180</v>
      </c>
      <c r="C203" s="1" t="str">
        <f ca="1">IFERROR(__xludf.DUMMYFUNCTION("""COMPUTED_VALUE"""),"Jun")</f>
        <v>Jun</v>
      </c>
      <c r="D203" s="1" t="str">
        <f ca="1">IFERROR(__xludf.DUMMYFUNCTION("""COMPUTED_VALUE"""),"Qtr 2")</f>
        <v>Qtr 2</v>
      </c>
      <c r="E203" s="1" t="str">
        <f ca="1">IFERROR(__xludf.DUMMYFUNCTION("""COMPUTED_VALUE"""),"28/06/2015")</f>
        <v>28/06/2015</v>
      </c>
      <c r="F203" s="1" t="str">
        <f ca="1">IFERROR(__xludf.DUMMYFUNCTION("""COMPUTED_VALUE"""),"First Class")</f>
        <v>First Class</v>
      </c>
      <c r="G203" s="1" t="str">
        <f ca="1">IFERROR(__xludf.DUMMYFUNCTION("""COMPUTED_VALUE"""),"NS-18640")</f>
        <v>NS-18640</v>
      </c>
      <c r="H203" s="1" t="str">
        <f ca="1">IFERROR(__xludf.DUMMYFUNCTION("""COMPUTED_VALUE"""),"Noel")</f>
        <v>Noel</v>
      </c>
      <c r="I203" s="1" t="str">
        <f ca="1">IFERROR(__xludf.DUMMYFUNCTION("""COMPUTED_VALUE"""),"Staavos")</f>
        <v>Staavos</v>
      </c>
      <c r="J203" s="1"/>
      <c r="K203" s="1" t="str">
        <f ca="1">IFERROR(__xludf.DUMMYFUNCTION("""COMPUTED_VALUE"""),"Corporate")</f>
        <v>Corporate</v>
      </c>
      <c r="L203" s="1" t="str">
        <f ca="1">IFERROR(__xludf.DUMMYFUNCTION("""COMPUTED_VALUE"""),"United States")</f>
        <v>United States</v>
      </c>
      <c r="M203" s="1" t="str">
        <f ca="1">IFERROR(__xludf.DUMMYFUNCTION("""COMPUTED_VALUE"""),"Los Angeles")</f>
        <v>Los Angeles</v>
      </c>
      <c r="N203" s="1" t="str">
        <f ca="1">IFERROR(__xludf.DUMMYFUNCTION("""COMPUTED_VALUE"""),"California")</f>
        <v>California</v>
      </c>
      <c r="O203" s="1">
        <f ca="1">IFERROR(__xludf.DUMMYFUNCTION("""COMPUTED_VALUE"""),90049)</f>
        <v>90049</v>
      </c>
      <c r="P203" s="1" t="str">
        <f ca="1">IFERROR(__xludf.DUMMYFUNCTION("""COMPUTED_VALUE"""),"West")</f>
        <v>West</v>
      </c>
      <c r="Q203" s="1" t="str">
        <f ca="1">IFERROR(__xludf.DUMMYFUNCTION("""COMPUTED_VALUE"""),"FUR-TA-10004147")</f>
        <v>FUR-TA-10004147</v>
      </c>
      <c r="R203" s="1" t="str">
        <f ca="1">IFERROR(__xludf.DUMMYFUNCTION("""COMPUTED_VALUE"""),"Furniture")</f>
        <v>Furniture</v>
      </c>
      <c r="S203" s="7">
        <f ca="1">IFERROR(__xludf.DUMMYFUNCTION("""COMPUTED_VALUE"""),447.84)</f>
        <v>447.84</v>
      </c>
      <c r="T203" s="1">
        <f ca="1">IFERROR(__xludf.DUMMYFUNCTION("""COMPUTED_VALUE"""),9)</f>
        <v>9</v>
      </c>
      <c r="U203" s="9">
        <f ca="1">IFERROR(__xludf.DUMMYFUNCTION("""COMPUTED_VALUE"""),4030.56)</f>
        <v>4030.56</v>
      </c>
      <c r="V203" s="9">
        <f ca="1">IFERROR(__xludf.DUMMYFUNCTION("""COMPUTED_VALUE"""),4026.87)</f>
        <v>4026.87</v>
      </c>
      <c r="W203" s="12">
        <f ca="1">IFERROR(__xludf.DUMMYFUNCTION("""COMPUTED_VALUE"""),3.69000000000005)</f>
        <v>3.6900000000000501</v>
      </c>
    </row>
    <row r="204" spans="1:23" ht="13.2">
      <c r="A204" s="1" t="str">
        <f ca="1">IFERROR(__xludf.DUMMYFUNCTION("""COMPUTED_VALUE"""),"CA-2017-107216")</f>
        <v>CA-2017-107216</v>
      </c>
      <c r="B204" s="8">
        <f ca="1">IFERROR(__xludf.DUMMYFUNCTION("""COMPUTED_VALUE"""),42900)</f>
        <v>42900</v>
      </c>
      <c r="C204" s="1" t="str">
        <f ca="1">IFERROR(__xludf.DUMMYFUNCTION("""COMPUTED_VALUE"""),"Jun")</f>
        <v>Jun</v>
      </c>
      <c r="D204" s="1" t="str">
        <f ca="1">IFERROR(__xludf.DUMMYFUNCTION("""COMPUTED_VALUE"""),"Qtr 2")</f>
        <v>Qtr 2</v>
      </c>
      <c r="E204" s="1" t="str">
        <f ca="1">IFERROR(__xludf.DUMMYFUNCTION("""COMPUTED_VALUE"""),"17/06/2017")</f>
        <v>17/06/2017</v>
      </c>
      <c r="F204" s="1" t="str">
        <f ca="1">IFERROR(__xludf.DUMMYFUNCTION("""COMPUTED_VALUE"""),"First Class")</f>
        <v>First Class</v>
      </c>
      <c r="G204" s="1" t="str">
        <f ca="1">IFERROR(__xludf.DUMMYFUNCTION("""COMPUTED_VALUE"""),"PV-18985")</f>
        <v>PV-18985</v>
      </c>
      <c r="H204" s="1" t="str">
        <f ca="1">IFERROR(__xludf.DUMMYFUNCTION("""COMPUTED_VALUE"""),"Paul")</f>
        <v>Paul</v>
      </c>
      <c r="I204" s="1" t="str">
        <f ca="1">IFERROR(__xludf.DUMMYFUNCTION("""COMPUTED_VALUE"""),"Van")</f>
        <v>Van</v>
      </c>
      <c r="J204" s="1" t="str">
        <f ca="1">IFERROR(__xludf.DUMMYFUNCTION("""COMPUTED_VALUE"""),"Hugh")</f>
        <v>Hugh</v>
      </c>
      <c r="K204" s="1" t="str">
        <f ca="1">IFERROR(__xludf.DUMMYFUNCTION("""COMPUTED_VALUE"""),"Home Office")</f>
        <v>Home Office</v>
      </c>
      <c r="L204" s="1" t="str">
        <f ca="1">IFERROR(__xludf.DUMMYFUNCTION("""COMPUTED_VALUE"""),"United States")</f>
        <v>United States</v>
      </c>
      <c r="M204" s="1" t="str">
        <f ca="1">IFERROR(__xludf.DUMMYFUNCTION("""COMPUTED_VALUE"""),"San Francisco")</f>
        <v>San Francisco</v>
      </c>
      <c r="N204" s="1" t="str">
        <f ca="1">IFERROR(__xludf.DUMMYFUNCTION("""COMPUTED_VALUE"""),"California")</f>
        <v>California</v>
      </c>
      <c r="O204" s="1">
        <f ca="1">IFERROR(__xludf.DUMMYFUNCTION("""COMPUTED_VALUE"""),94122)</f>
        <v>94122</v>
      </c>
      <c r="P204" s="1" t="str">
        <f ca="1">IFERROR(__xludf.DUMMYFUNCTION("""COMPUTED_VALUE"""),"West")</f>
        <v>West</v>
      </c>
      <c r="Q204" s="1" t="str">
        <f ca="1">IFERROR(__xludf.DUMMYFUNCTION("""COMPUTED_VALUE"""),"OFF-AR-10001545")</f>
        <v>OFF-AR-10001545</v>
      </c>
      <c r="R204" s="1" t="str">
        <f ca="1">IFERROR(__xludf.DUMMYFUNCTION("""COMPUTED_VALUE"""),"Office Supplies")</f>
        <v>Office Supplies</v>
      </c>
      <c r="S204" s="7">
        <f ca="1">IFERROR(__xludf.DUMMYFUNCTION("""COMPUTED_VALUE"""),7.04)</f>
        <v>7.04</v>
      </c>
      <c r="T204" s="1">
        <f ca="1">IFERROR(__xludf.DUMMYFUNCTION("""COMPUTED_VALUE"""),9)</f>
        <v>9</v>
      </c>
      <c r="U204" s="9">
        <f ca="1">IFERROR(__xludf.DUMMYFUNCTION("""COMPUTED_VALUE"""),63.36)</f>
        <v>63.36</v>
      </c>
      <c r="V204" s="9">
        <f ca="1">IFERROR(__xludf.DUMMYFUNCTION("""COMPUTED_VALUE"""),56.16)</f>
        <v>56.16</v>
      </c>
      <c r="W204" s="12">
        <f ca="1">IFERROR(__xludf.DUMMYFUNCTION("""COMPUTED_VALUE"""),7.19999999999999)</f>
        <v>7.1999999999999904</v>
      </c>
    </row>
    <row r="205" spans="1:23" ht="13.2">
      <c r="A205" s="1" t="str">
        <f ca="1">IFERROR(__xludf.DUMMYFUNCTION("""COMPUTED_VALUE"""),"CA-2017-107216")</f>
        <v>CA-2017-107216</v>
      </c>
      <c r="B205" s="8">
        <f ca="1">IFERROR(__xludf.DUMMYFUNCTION("""COMPUTED_VALUE"""),42900)</f>
        <v>42900</v>
      </c>
      <c r="C205" s="1" t="str">
        <f ca="1">IFERROR(__xludf.DUMMYFUNCTION("""COMPUTED_VALUE"""),"Jun")</f>
        <v>Jun</v>
      </c>
      <c r="D205" s="1" t="str">
        <f ca="1">IFERROR(__xludf.DUMMYFUNCTION("""COMPUTED_VALUE"""),"Qtr 2")</f>
        <v>Qtr 2</v>
      </c>
      <c r="E205" s="1" t="str">
        <f ca="1">IFERROR(__xludf.DUMMYFUNCTION("""COMPUTED_VALUE"""),"17/06/2017")</f>
        <v>17/06/2017</v>
      </c>
      <c r="F205" s="1" t="str">
        <f ca="1">IFERROR(__xludf.DUMMYFUNCTION("""COMPUTED_VALUE"""),"First Class")</f>
        <v>First Class</v>
      </c>
      <c r="G205" s="1" t="str">
        <f ca="1">IFERROR(__xludf.DUMMYFUNCTION("""COMPUTED_VALUE"""),"PV-18985")</f>
        <v>PV-18985</v>
      </c>
      <c r="H205" s="1" t="str">
        <f ca="1">IFERROR(__xludf.DUMMYFUNCTION("""COMPUTED_VALUE"""),"Paul")</f>
        <v>Paul</v>
      </c>
      <c r="I205" s="1" t="str">
        <f ca="1">IFERROR(__xludf.DUMMYFUNCTION("""COMPUTED_VALUE"""),"Van")</f>
        <v>Van</v>
      </c>
      <c r="J205" s="1" t="str">
        <f ca="1">IFERROR(__xludf.DUMMYFUNCTION("""COMPUTED_VALUE"""),"Hugh")</f>
        <v>Hugh</v>
      </c>
      <c r="K205" s="1" t="str">
        <f ca="1">IFERROR(__xludf.DUMMYFUNCTION("""COMPUTED_VALUE"""),"Home Office")</f>
        <v>Home Office</v>
      </c>
      <c r="L205" s="1" t="str">
        <f ca="1">IFERROR(__xludf.DUMMYFUNCTION("""COMPUTED_VALUE"""),"United States")</f>
        <v>United States</v>
      </c>
      <c r="M205" s="1" t="str">
        <f ca="1">IFERROR(__xludf.DUMMYFUNCTION("""COMPUTED_VALUE"""),"San Francisco")</f>
        <v>San Francisco</v>
      </c>
      <c r="N205" s="1" t="str">
        <f ca="1">IFERROR(__xludf.DUMMYFUNCTION("""COMPUTED_VALUE"""),"California")</f>
        <v>California</v>
      </c>
      <c r="O205" s="1">
        <f ca="1">IFERROR(__xludf.DUMMYFUNCTION("""COMPUTED_VALUE"""),94122)</f>
        <v>94122</v>
      </c>
      <c r="P205" s="1" t="str">
        <f ca="1">IFERROR(__xludf.DUMMYFUNCTION("""COMPUTED_VALUE"""),"West")</f>
        <v>West</v>
      </c>
      <c r="Q205" s="1" t="str">
        <f ca="1">IFERROR(__xludf.DUMMYFUNCTION("""COMPUTED_VALUE"""),"FUR-FU-10000206")</f>
        <v>FUR-FU-10000206</v>
      </c>
      <c r="R205" s="1" t="str">
        <f ca="1">IFERROR(__xludf.DUMMYFUNCTION("""COMPUTED_VALUE"""),"Furniture")</f>
        <v>Furniture</v>
      </c>
      <c r="S205" s="7">
        <f ca="1">IFERROR(__xludf.DUMMYFUNCTION("""COMPUTED_VALUE"""),8.73)</f>
        <v>8.73</v>
      </c>
      <c r="T205" s="1">
        <f ca="1">IFERROR(__xludf.DUMMYFUNCTION("""COMPUTED_VALUE"""),9)</f>
        <v>9</v>
      </c>
      <c r="U205" s="9">
        <f ca="1">IFERROR(__xludf.DUMMYFUNCTION("""COMPUTED_VALUE"""),78.57)</f>
        <v>78.569999999999993</v>
      </c>
      <c r="V205" s="9">
        <f ca="1">IFERROR(__xludf.DUMMYFUNCTION("""COMPUTED_VALUE"""),69.75)</f>
        <v>69.75</v>
      </c>
      <c r="W205" s="12">
        <f ca="1">IFERROR(__xludf.DUMMYFUNCTION("""COMPUTED_VALUE"""),8.82)</f>
        <v>8.82</v>
      </c>
    </row>
    <row r="206" spans="1:23" ht="13.2">
      <c r="A206" s="1" t="str">
        <f ca="1">IFERROR(__xludf.DUMMYFUNCTION("""COMPUTED_VALUE"""),"CA-2017-107216")</f>
        <v>CA-2017-107216</v>
      </c>
      <c r="B206" s="8">
        <f ca="1">IFERROR(__xludf.DUMMYFUNCTION("""COMPUTED_VALUE"""),42900)</f>
        <v>42900</v>
      </c>
      <c r="C206" s="1" t="str">
        <f ca="1">IFERROR(__xludf.DUMMYFUNCTION("""COMPUTED_VALUE"""),"Jun")</f>
        <v>Jun</v>
      </c>
      <c r="D206" s="1" t="str">
        <f ca="1">IFERROR(__xludf.DUMMYFUNCTION("""COMPUTED_VALUE"""),"Qtr 2")</f>
        <v>Qtr 2</v>
      </c>
      <c r="E206" s="1" t="str">
        <f ca="1">IFERROR(__xludf.DUMMYFUNCTION("""COMPUTED_VALUE"""),"17/06/2017")</f>
        <v>17/06/2017</v>
      </c>
      <c r="F206" s="1" t="str">
        <f ca="1">IFERROR(__xludf.DUMMYFUNCTION("""COMPUTED_VALUE"""),"First Class")</f>
        <v>First Class</v>
      </c>
      <c r="G206" s="1" t="str">
        <f ca="1">IFERROR(__xludf.DUMMYFUNCTION("""COMPUTED_VALUE"""),"PV-18985")</f>
        <v>PV-18985</v>
      </c>
      <c r="H206" s="1" t="str">
        <f ca="1">IFERROR(__xludf.DUMMYFUNCTION("""COMPUTED_VALUE"""),"Paul")</f>
        <v>Paul</v>
      </c>
      <c r="I206" s="1" t="str">
        <f ca="1">IFERROR(__xludf.DUMMYFUNCTION("""COMPUTED_VALUE"""),"Van")</f>
        <v>Van</v>
      </c>
      <c r="J206" s="1" t="str">
        <f ca="1">IFERROR(__xludf.DUMMYFUNCTION("""COMPUTED_VALUE"""),"Hugh")</f>
        <v>Hugh</v>
      </c>
      <c r="K206" s="1" t="str">
        <f ca="1">IFERROR(__xludf.DUMMYFUNCTION("""COMPUTED_VALUE"""),"Home Office")</f>
        <v>Home Office</v>
      </c>
      <c r="L206" s="1" t="str">
        <f ca="1">IFERROR(__xludf.DUMMYFUNCTION("""COMPUTED_VALUE"""),"United States")</f>
        <v>United States</v>
      </c>
      <c r="M206" s="1" t="str">
        <f ca="1">IFERROR(__xludf.DUMMYFUNCTION("""COMPUTED_VALUE"""),"San Francisco")</f>
        <v>San Francisco</v>
      </c>
      <c r="N206" s="1" t="str">
        <f ca="1">IFERROR(__xludf.DUMMYFUNCTION("""COMPUTED_VALUE"""),"California")</f>
        <v>California</v>
      </c>
      <c r="O206" s="1">
        <f ca="1">IFERROR(__xludf.DUMMYFUNCTION("""COMPUTED_VALUE"""),94122)</f>
        <v>94122</v>
      </c>
      <c r="P206" s="1" t="str">
        <f ca="1">IFERROR(__xludf.DUMMYFUNCTION("""COMPUTED_VALUE"""),"West")</f>
        <v>West</v>
      </c>
      <c r="Q206" s="1" t="str">
        <f ca="1">IFERROR(__xludf.DUMMYFUNCTION("""COMPUTED_VALUE"""),"TEC-AC-10001013")</f>
        <v>TEC-AC-10001013</v>
      </c>
      <c r="R206" s="1" t="str">
        <f ca="1">IFERROR(__xludf.DUMMYFUNCTION("""COMPUTED_VALUE"""),"Technology")</f>
        <v>Technology</v>
      </c>
      <c r="S206" s="7">
        <f ca="1">IFERROR(__xludf.DUMMYFUNCTION("""COMPUTED_VALUE"""),29.29)</f>
        <v>29.29</v>
      </c>
      <c r="T206" s="1">
        <f ca="1">IFERROR(__xludf.DUMMYFUNCTION("""COMPUTED_VALUE"""),9)</f>
        <v>9</v>
      </c>
      <c r="U206" s="9">
        <f ca="1">IFERROR(__xludf.DUMMYFUNCTION("""COMPUTED_VALUE"""),263.61)</f>
        <v>263.61</v>
      </c>
      <c r="V206" s="9">
        <f ca="1">IFERROR(__xludf.DUMMYFUNCTION("""COMPUTED_VALUE"""),261.81)</f>
        <v>261.81</v>
      </c>
      <c r="W206" s="12">
        <f ca="1">IFERROR(__xludf.DUMMYFUNCTION("""COMPUTED_VALUE"""),1.80000000000001)</f>
        <v>1.80000000000001</v>
      </c>
    </row>
    <row r="207" spans="1:23" ht="13.2">
      <c r="A207" s="1" t="str">
        <f ca="1">IFERROR(__xludf.DUMMYFUNCTION("""COMPUTED_VALUE"""),"CA-2017-107216")</f>
        <v>CA-2017-107216</v>
      </c>
      <c r="B207" s="8">
        <f ca="1">IFERROR(__xludf.DUMMYFUNCTION("""COMPUTED_VALUE"""),42900)</f>
        <v>42900</v>
      </c>
      <c r="C207" s="1" t="str">
        <f ca="1">IFERROR(__xludf.DUMMYFUNCTION("""COMPUTED_VALUE"""),"Jun")</f>
        <v>Jun</v>
      </c>
      <c r="D207" s="1" t="str">
        <f ca="1">IFERROR(__xludf.DUMMYFUNCTION("""COMPUTED_VALUE"""),"Qtr 2")</f>
        <v>Qtr 2</v>
      </c>
      <c r="E207" s="1" t="str">
        <f ca="1">IFERROR(__xludf.DUMMYFUNCTION("""COMPUTED_VALUE"""),"17/06/2017")</f>
        <v>17/06/2017</v>
      </c>
      <c r="F207" s="1" t="str">
        <f ca="1">IFERROR(__xludf.DUMMYFUNCTION("""COMPUTED_VALUE"""),"First Class")</f>
        <v>First Class</v>
      </c>
      <c r="G207" s="1" t="str">
        <f ca="1">IFERROR(__xludf.DUMMYFUNCTION("""COMPUTED_VALUE"""),"PV-18985")</f>
        <v>PV-18985</v>
      </c>
      <c r="H207" s="1" t="str">
        <f ca="1">IFERROR(__xludf.DUMMYFUNCTION("""COMPUTED_VALUE"""),"Paul")</f>
        <v>Paul</v>
      </c>
      <c r="I207" s="1" t="str">
        <f ca="1">IFERROR(__xludf.DUMMYFUNCTION("""COMPUTED_VALUE"""),"Van")</f>
        <v>Van</v>
      </c>
      <c r="J207" s="1" t="str">
        <f ca="1">IFERROR(__xludf.DUMMYFUNCTION("""COMPUTED_VALUE"""),"Hugh")</f>
        <v>Hugh</v>
      </c>
      <c r="K207" s="1" t="str">
        <f ca="1">IFERROR(__xludf.DUMMYFUNCTION("""COMPUTED_VALUE"""),"Home Office")</f>
        <v>Home Office</v>
      </c>
      <c r="L207" s="1" t="str">
        <f ca="1">IFERROR(__xludf.DUMMYFUNCTION("""COMPUTED_VALUE"""),"United States")</f>
        <v>United States</v>
      </c>
      <c r="M207" s="1" t="str">
        <f ca="1">IFERROR(__xludf.DUMMYFUNCTION("""COMPUTED_VALUE"""),"San Francisco")</f>
        <v>San Francisco</v>
      </c>
      <c r="N207" s="1" t="str">
        <f ca="1">IFERROR(__xludf.DUMMYFUNCTION("""COMPUTED_VALUE"""),"California")</f>
        <v>California</v>
      </c>
      <c r="O207" s="1">
        <f ca="1">IFERROR(__xludf.DUMMYFUNCTION("""COMPUTED_VALUE"""),94122)</f>
        <v>94122</v>
      </c>
      <c r="P207" s="1" t="str">
        <f ca="1">IFERROR(__xludf.DUMMYFUNCTION("""COMPUTED_VALUE"""),"West")</f>
        <v>West</v>
      </c>
      <c r="Q207" s="1" t="str">
        <f ca="1">IFERROR(__xludf.DUMMYFUNCTION("""COMPUTED_VALUE"""),"OFF-AR-10002255")</f>
        <v>OFF-AR-10002255</v>
      </c>
      <c r="R207" s="1" t="str">
        <f ca="1">IFERROR(__xludf.DUMMYFUNCTION("""COMPUTED_VALUE"""),"Office Supplies")</f>
        <v>Office Supplies</v>
      </c>
      <c r="S207" s="7">
        <f ca="1">IFERROR(__xludf.DUMMYFUNCTION("""COMPUTED_VALUE"""),8.64)</f>
        <v>8.64</v>
      </c>
      <c r="T207" s="1">
        <f ca="1">IFERROR(__xludf.DUMMYFUNCTION("""COMPUTED_VALUE"""),9)</f>
        <v>9</v>
      </c>
      <c r="U207" s="9">
        <f ca="1">IFERROR(__xludf.DUMMYFUNCTION("""COMPUTED_VALUE"""),77.76)</f>
        <v>77.760000000000005</v>
      </c>
      <c r="V207" s="9">
        <f ca="1">IFERROR(__xludf.DUMMYFUNCTION("""COMPUTED_VALUE"""),70.11)</f>
        <v>70.11</v>
      </c>
      <c r="W207" s="12">
        <f ca="1">IFERROR(__xludf.DUMMYFUNCTION("""COMPUTED_VALUE"""),7.65)</f>
        <v>7.65</v>
      </c>
    </row>
    <row r="208" spans="1:23" ht="13.2">
      <c r="A208" s="1" t="str">
        <f ca="1">IFERROR(__xludf.DUMMYFUNCTION("""COMPUTED_VALUE"""),"CA-2017-112340")</f>
        <v>CA-2017-112340</v>
      </c>
      <c r="B208" s="8">
        <f ca="1">IFERROR(__xludf.DUMMYFUNCTION("""COMPUTED_VALUE"""),43029)</f>
        <v>43029</v>
      </c>
      <c r="C208" s="1" t="str">
        <f ca="1">IFERROR(__xludf.DUMMYFUNCTION("""COMPUTED_VALUE"""),"Oct")</f>
        <v>Oct</v>
      </c>
      <c r="D208" s="1" t="str">
        <f ca="1">IFERROR(__xludf.DUMMYFUNCTION("""COMPUTED_VALUE"""),"Qtr 4")</f>
        <v>Qtr 4</v>
      </c>
      <c r="E208" s="1" t="str">
        <f ca="1">IFERROR(__xludf.DUMMYFUNCTION("""COMPUTED_VALUE"""),"27/10/2017")</f>
        <v>27/10/2017</v>
      </c>
      <c r="F208" s="1" t="str">
        <f ca="1">IFERROR(__xludf.DUMMYFUNCTION("""COMPUTED_VALUE"""),"Standard Class")</f>
        <v>Standard Class</v>
      </c>
      <c r="G208" s="1" t="str">
        <f ca="1">IFERROR(__xludf.DUMMYFUNCTION("""COMPUTED_VALUE"""),"NM-18520")</f>
        <v>NM-18520</v>
      </c>
      <c r="H208" s="1" t="str">
        <f ca="1">IFERROR(__xludf.DUMMYFUNCTION("""COMPUTED_VALUE"""),"Neoma")</f>
        <v>Neoma</v>
      </c>
      <c r="I208" s="1" t="str">
        <f ca="1">IFERROR(__xludf.DUMMYFUNCTION("""COMPUTED_VALUE"""),"Murray")</f>
        <v>Murray</v>
      </c>
      <c r="J208" s="1"/>
      <c r="K208" s="1" t="str">
        <f ca="1">IFERROR(__xludf.DUMMYFUNCTION("""COMPUTED_VALUE"""),"Consumer")</f>
        <v>Consumer</v>
      </c>
      <c r="L208" s="1" t="str">
        <f ca="1">IFERROR(__xludf.DUMMYFUNCTION("""COMPUTED_VALUE"""),"United States")</f>
        <v>United States</v>
      </c>
      <c r="M208" s="1" t="str">
        <f ca="1">IFERROR(__xludf.DUMMYFUNCTION("""COMPUTED_VALUE"""),"Riverside")</f>
        <v>Riverside</v>
      </c>
      <c r="N208" s="1" t="str">
        <f ca="1">IFERROR(__xludf.DUMMYFUNCTION("""COMPUTED_VALUE"""),"California")</f>
        <v>California</v>
      </c>
      <c r="O208" s="1">
        <f ca="1">IFERROR(__xludf.DUMMYFUNCTION("""COMPUTED_VALUE"""),92503)</f>
        <v>92503</v>
      </c>
      <c r="P208" s="1" t="str">
        <f ca="1">IFERROR(__xludf.DUMMYFUNCTION("""COMPUTED_VALUE"""),"West")</f>
        <v>West</v>
      </c>
      <c r="Q208" s="1" t="str">
        <f ca="1">IFERROR(__xludf.DUMMYFUNCTION("""COMPUTED_VALUE"""),"OFF-PA-10001892")</f>
        <v>OFF-PA-10001892</v>
      </c>
      <c r="R208" s="1" t="str">
        <f ca="1">IFERROR(__xludf.DUMMYFUNCTION("""COMPUTED_VALUE"""),"Office Supplies")</f>
        <v>Office Supplies</v>
      </c>
      <c r="S208" s="7">
        <f ca="1">IFERROR(__xludf.DUMMYFUNCTION("""COMPUTED_VALUE"""),22.92)</f>
        <v>22.92</v>
      </c>
      <c r="T208" s="1">
        <f ca="1">IFERROR(__xludf.DUMMYFUNCTION("""COMPUTED_VALUE"""),9)</f>
        <v>9</v>
      </c>
      <c r="U208" s="9">
        <f ca="1">IFERROR(__xludf.DUMMYFUNCTION("""COMPUTED_VALUE"""),206.28)</f>
        <v>206.28</v>
      </c>
      <c r="V208" s="9">
        <f ca="1">IFERROR(__xludf.DUMMYFUNCTION("""COMPUTED_VALUE"""),198.719999999999)</f>
        <v>198.719999999999</v>
      </c>
      <c r="W208" s="12">
        <f ca="1">IFERROR(__xludf.DUMMYFUNCTION("""COMPUTED_VALUE"""),7.56000000000005)</f>
        <v>7.5600000000000502</v>
      </c>
    </row>
    <row r="209" spans="1:23" ht="13.2">
      <c r="A209" s="1" t="str">
        <f ca="1">IFERROR(__xludf.DUMMYFUNCTION("""COMPUTED_VALUE"""),"CA-2018-140585")</f>
        <v>CA-2018-140585</v>
      </c>
      <c r="B209" s="8">
        <f ca="1">IFERROR(__xludf.DUMMYFUNCTION("""COMPUTED_VALUE"""),43452)</f>
        <v>43452</v>
      </c>
      <c r="C209" s="1" t="str">
        <f ca="1">IFERROR(__xludf.DUMMYFUNCTION("""COMPUTED_VALUE"""),"Dec")</f>
        <v>Dec</v>
      </c>
      <c r="D209" s="1" t="str">
        <f ca="1">IFERROR(__xludf.DUMMYFUNCTION("""COMPUTED_VALUE"""),"Qtr 4")</f>
        <v>Qtr 4</v>
      </c>
      <c r="E209" s="1" t="str">
        <f ca="1">IFERROR(__xludf.DUMMYFUNCTION("""COMPUTED_VALUE"""),"23/12/2018")</f>
        <v>23/12/2018</v>
      </c>
      <c r="F209" s="1" t="str">
        <f ca="1">IFERROR(__xludf.DUMMYFUNCTION("""COMPUTED_VALUE"""),"Second Class")</f>
        <v>Second Class</v>
      </c>
      <c r="G209" s="1" t="str">
        <f ca="1">IFERROR(__xludf.DUMMYFUNCTION("""COMPUTED_VALUE"""),"RA-19915")</f>
        <v>RA-19915</v>
      </c>
      <c r="H209" s="1" t="str">
        <f ca="1">IFERROR(__xludf.DUMMYFUNCTION("""COMPUTED_VALUE"""),"Russell")</f>
        <v>Russell</v>
      </c>
      <c r="I209" s="1" t="str">
        <f ca="1">IFERROR(__xludf.DUMMYFUNCTION("""COMPUTED_VALUE"""),"Applegate")</f>
        <v>Applegate</v>
      </c>
      <c r="J209" s="1"/>
      <c r="K209" s="1" t="str">
        <f ca="1">IFERROR(__xludf.DUMMYFUNCTION("""COMPUTED_VALUE"""),"Consumer")</f>
        <v>Consumer</v>
      </c>
      <c r="L209" s="1" t="str">
        <f ca="1">IFERROR(__xludf.DUMMYFUNCTION("""COMPUTED_VALUE"""),"United States")</f>
        <v>United States</v>
      </c>
      <c r="M209" s="1" t="str">
        <f ca="1">IFERROR(__xludf.DUMMYFUNCTION("""COMPUTED_VALUE"""),"Encinitas")</f>
        <v>Encinitas</v>
      </c>
      <c r="N209" s="1" t="str">
        <f ca="1">IFERROR(__xludf.DUMMYFUNCTION("""COMPUTED_VALUE"""),"California")</f>
        <v>California</v>
      </c>
      <c r="O209" s="1">
        <f ca="1">IFERROR(__xludf.DUMMYFUNCTION("""COMPUTED_VALUE"""),92024)</f>
        <v>92024</v>
      </c>
      <c r="P209" s="1" t="str">
        <f ca="1">IFERROR(__xludf.DUMMYFUNCTION("""COMPUTED_VALUE"""),"West")</f>
        <v>West</v>
      </c>
      <c r="Q209" s="1" t="str">
        <f ca="1">IFERROR(__xludf.DUMMYFUNCTION("""COMPUTED_VALUE"""),"OFF-BI-10003364")</f>
        <v>OFF-BI-10003364</v>
      </c>
      <c r="R209" s="1" t="str">
        <f ca="1">IFERROR(__xludf.DUMMYFUNCTION("""COMPUTED_VALUE"""),"Office Supplies")</f>
        <v>Office Supplies</v>
      </c>
      <c r="S209" s="7">
        <f ca="1">IFERROR(__xludf.DUMMYFUNCTION("""COMPUTED_VALUE"""),46.672)</f>
        <v>46.671999999999997</v>
      </c>
      <c r="T209" s="1">
        <f ca="1">IFERROR(__xludf.DUMMYFUNCTION("""COMPUTED_VALUE"""),9)</f>
        <v>9</v>
      </c>
      <c r="U209" s="9">
        <f ca="1">IFERROR(__xludf.DUMMYFUNCTION("""COMPUTED_VALUE"""),420.048)</f>
        <v>420.048</v>
      </c>
      <c r="V209" s="9">
        <f ca="1">IFERROR(__xludf.DUMMYFUNCTION("""COMPUTED_VALUE"""),414.09)</f>
        <v>414.09</v>
      </c>
      <c r="W209" s="12">
        <f ca="1">IFERROR(__xludf.DUMMYFUNCTION("""COMPUTED_VALUE"""),5.95800000000002)</f>
        <v>5.9580000000000197</v>
      </c>
    </row>
    <row r="210" spans="1:23" ht="13.2">
      <c r="A210" s="1" t="str">
        <f ca="1">IFERROR(__xludf.DUMMYFUNCTION("""COMPUTED_VALUE"""),"CA-2018-140585")</f>
        <v>CA-2018-140585</v>
      </c>
      <c r="B210" s="8">
        <f ca="1">IFERROR(__xludf.DUMMYFUNCTION("""COMPUTED_VALUE"""),43452)</f>
        <v>43452</v>
      </c>
      <c r="C210" s="1" t="str">
        <f ca="1">IFERROR(__xludf.DUMMYFUNCTION("""COMPUTED_VALUE"""),"Dec")</f>
        <v>Dec</v>
      </c>
      <c r="D210" s="1" t="str">
        <f ca="1">IFERROR(__xludf.DUMMYFUNCTION("""COMPUTED_VALUE"""),"Qtr 4")</f>
        <v>Qtr 4</v>
      </c>
      <c r="E210" s="1" t="str">
        <f ca="1">IFERROR(__xludf.DUMMYFUNCTION("""COMPUTED_VALUE"""),"23/12/2018")</f>
        <v>23/12/2018</v>
      </c>
      <c r="F210" s="1" t="str">
        <f ca="1">IFERROR(__xludf.DUMMYFUNCTION("""COMPUTED_VALUE"""),"Second Class")</f>
        <v>Second Class</v>
      </c>
      <c r="G210" s="1" t="str">
        <f ca="1">IFERROR(__xludf.DUMMYFUNCTION("""COMPUTED_VALUE"""),"RA-19915")</f>
        <v>RA-19915</v>
      </c>
      <c r="H210" s="1" t="str">
        <f ca="1">IFERROR(__xludf.DUMMYFUNCTION("""COMPUTED_VALUE"""),"Russell")</f>
        <v>Russell</v>
      </c>
      <c r="I210" s="1" t="str">
        <f ca="1">IFERROR(__xludf.DUMMYFUNCTION("""COMPUTED_VALUE"""),"Applegate")</f>
        <v>Applegate</v>
      </c>
      <c r="J210" s="1"/>
      <c r="K210" s="1" t="str">
        <f ca="1">IFERROR(__xludf.DUMMYFUNCTION("""COMPUTED_VALUE"""),"Consumer")</f>
        <v>Consumer</v>
      </c>
      <c r="L210" s="1" t="str">
        <f ca="1">IFERROR(__xludf.DUMMYFUNCTION("""COMPUTED_VALUE"""),"United States")</f>
        <v>United States</v>
      </c>
      <c r="M210" s="1" t="str">
        <f ca="1">IFERROR(__xludf.DUMMYFUNCTION("""COMPUTED_VALUE"""),"Encinitas")</f>
        <v>Encinitas</v>
      </c>
      <c r="N210" s="1" t="str">
        <f ca="1">IFERROR(__xludf.DUMMYFUNCTION("""COMPUTED_VALUE"""),"California")</f>
        <v>California</v>
      </c>
      <c r="O210" s="1">
        <f ca="1">IFERROR(__xludf.DUMMYFUNCTION("""COMPUTED_VALUE"""),92024)</f>
        <v>92024</v>
      </c>
      <c r="P210" s="1" t="str">
        <f ca="1">IFERROR(__xludf.DUMMYFUNCTION("""COMPUTED_VALUE"""),"West")</f>
        <v>West</v>
      </c>
      <c r="Q210" s="1" t="str">
        <f ca="1">IFERROR(__xludf.DUMMYFUNCTION("""COMPUTED_VALUE"""),"FUR-BO-10002206")</f>
        <v>FUR-BO-10002206</v>
      </c>
      <c r="R210" s="1" t="str">
        <f ca="1">IFERROR(__xludf.DUMMYFUNCTION("""COMPUTED_VALUE"""),"Furniture")</f>
        <v>Furniture</v>
      </c>
      <c r="S210" s="7">
        <f ca="1">IFERROR(__xludf.DUMMYFUNCTION("""COMPUTED_VALUE"""),119.833)</f>
        <v>119.833</v>
      </c>
      <c r="T210" s="1">
        <f ca="1">IFERROR(__xludf.DUMMYFUNCTION("""COMPUTED_VALUE"""),9)</f>
        <v>9</v>
      </c>
      <c r="U210" s="9">
        <f ca="1">IFERROR(__xludf.DUMMYFUNCTION("""COMPUTED_VALUE"""),1078.497)</f>
        <v>1078.4970000000001</v>
      </c>
      <c r="V210" s="9">
        <f ca="1">IFERROR(__xludf.DUMMYFUNCTION("""COMPUTED_VALUE"""),1075.40999999999)</f>
        <v>1075.4099999999901</v>
      </c>
      <c r="W210" s="12">
        <f ca="1">IFERROR(__xludf.DUMMYFUNCTION("""COMPUTED_VALUE"""),3.08700000000021)</f>
        <v>3.0870000000002098</v>
      </c>
    </row>
    <row r="211" spans="1:23" ht="13.2">
      <c r="A211" s="1" t="str">
        <f ca="1">IFERROR(__xludf.DUMMYFUNCTION("""COMPUTED_VALUE"""),"CA-2018-140585")</f>
        <v>CA-2018-140585</v>
      </c>
      <c r="B211" s="8">
        <f ca="1">IFERROR(__xludf.DUMMYFUNCTION("""COMPUTED_VALUE"""),43452)</f>
        <v>43452</v>
      </c>
      <c r="C211" s="1" t="str">
        <f ca="1">IFERROR(__xludf.DUMMYFUNCTION("""COMPUTED_VALUE"""),"Dec")</f>
        <v>Dec</v>
      </c>
      <c r="D211" s="1" t="str">
        <f ca="1">IFERROR(__xludf.DUMMYFUNCTION("""COMPUTED_VALUE"""),"Qtr 4")</f>
        <v>Qtr 4</v>
      </c>
      <c r="E211" s="1" t="str">
        <f ca="1">IFERROR(__xludf.DUMMYFUNCTION("""COMPUTED_VALUE"""),"23/12/2018")</f>
        <v>23/12/2018</v>
      </c>
      <c r="F211" s="1" t="str">
        <f ca="1">IFERROR(__xludf.DUMMYFUNCTION("""COMPUTED_VALUE"""),"Second Class")</f>
        <v>Second Class</v>
      </c>
      <c r="G211" s="1" t="str">
        <f ca="1">IFERROR(__xludf.DUMMYFUNCTION("""COMPUTED_VALUE"""),"RA-19915")</f>
        <v>RA-19915</v>
      </c>
      <c r="H211" s="1" t="str">
        <f ca="1">IFERROR(__xludf.DUMMYFUNCTION("""COMPUTED_VALUE"""),"Russell")</f>
        <v>Russell</v>
      </c>
      <c r="I211" s="1" t="str">
        <f ca="1">IFERROR(__xludf.DUMMYFUNCTION("""COMPUTED_VALUE"""),"Applegate")</f>
        <v>Applegate</v>
      </c>
      <c r="J211" s="1"/>
      <c r="K211" s="1" t="str">
        <f ca="1">IFERROR(__xludf.DUMMYFUNCTION("""COMPUTED_VALUE"""),"Consumer")</f>
        <v>Consumer</v>
      </c>
      <c r="L211" s="1" t="str">
        <f ca="1">IFERROR(__xludf.DUMMYFUNCTION("""COMPUTED_VALUE"""),"United States")</f>
        <v>United States</v>
      </c>
      <c r="M211" s="1" t="str">
        <f ca="1">IFERROR(__xludf.DUMMYFUNCTION("""COMPUTED_VALUE"""),"Encinitas")</f>
        <v>Encinitas</v>
      </c>
      <c r="N211" s="1" t="str">
        <f ca="1">IFERROR(__xludf.DUMMYFUNCTION("""COMPUTED_VALUE"""),"California")</f>
        <v>California</v>
      </c>
      <c r="O211" s="1">
        <f ca="1">IFERROR(__xludf.DUMMYFUNCTION("""COMPUTED_VALUE"""),92024)</f>
        <v>92024</v>
      </c>
      <c r="P211" s="1" t="str">
        <f ca="1">IFERROR(__xludf.DUMMYFUNCTION("""COMPUTED_VALUE"""),"West")</f>
        <v>West</v>
      </c>
      <c r="Q211" s="1" t="str">
        <f ca="1">IFERROR(__xludf.DUMMYFUNCTION("""COMPUTED_VALUE"""),"TEC-AC-10003610")</f>
        <v>TEC-AC-10003610</v>
      </c>
      <c r="R211" s="1" t="str">
        <f ca="1">IFERROR(__xludf.DUMMYFUNCTION("""COMPUTED_VALUE"""),"Technology")</f>
        <v>Technology</v>
      </c>
      <c r="S211" s="7">
        <f ca="1">IFERROR(__xludf.DUMMYFUNCTION("""COMPUTED_VALUE"""),119.98)</f>
        <v>119.98</v>
      </c>
      <c r="T211" s="1">
        <f ca="1">IFERROR(__xludf.DUMMYFUNCTION("""COMPUTED_VALUE"""),9)</f>
        <v>9</v>
      </c>
      <c r="U211" s="9">
        <f ca="1">IFERROR(__xludf.DUMMYFUNCTION("""COMPUTED_VALUE"""),1079.82)</f>
        <v>1079.82</v>
      </c>
      <c r="V211" s="9">
        <f ca="1">IFERROR(__xludf.DUMMYFUNCTION("""COMPUTED_VALUE"""),1077.93)</f>
        <v>1077.93</v>
      </c>
      <c r="W211" s="12">
        <f ca="1">IFERROR(__xludf.DUMMYFUNCTION("""COMPUTED_VALUE"""),1.88999999999987)</f>
        <v>1.88999999999987</v>
      </c>
    </row>
    <row r="212" spans="1:23" ht="13.2">
      <c r="A212" s="1" t="str">
        <f ca="1">IFERROR(__xludf.DUMMYFUNCTION("""COMPUTED_VALUE"""),"CA-2017-144855")</f>
        <v>CA-2017-144855</v>
      </c>
      <c r="B212" s="8">
        <f ca="1">IFERROR(__xludf.DUMMYFUNCTION("""COMPUTED_VALUE"""),42938)</f>
        <v>42938</v>
      </c>
      <c r="C212" s="1" t="str">
        <f ca="1">IFERROR(__xludf.DUMMYFUNCTION("""COMPUTED_VALUE"""),"Jul")</f>
        <v>Jul</v>
      </c>
      <c r="D212" s="1" t="str">
        <f ca="1">IFERROR(__xludf.DUMMYFUNCTION("""COMPUTED_VALUE"""),"Qtr 3")</f>
        <v>Qtr 3</v>
      </c>
      <c r="E212" s="1" t="str">
        <f ca="1">IFERROR(__xludf.DUMMYFUNCTION("""COMPUTED_VALUE"""),"24/07/2017")</f>
        <v>24/07/2017</v>
      </c>
      <c r="F212" s="1" t="str">
        <f ca="1">IFERROR(__xludf.DUMMYFUNCTION("""COMPUTED_VALUE"""),"Second Class")</f>
        <v>Second Class</v>
      </c>
      <c r="G212" s="1" t="str">
        <f ca="1">IFERROR(__xludf.DUMMYFUNCTION("""COMPUTED_VALUE"""),"DL-13495")</f>
        <v>DL-13495</v>
      </c>
      <c r="H212" s="1" t="str">
        <f ca="1">IFERROR(__xludf.DUMMYFUNCTION("""COMPUTED_VALUE"""),"Dionis")</f>
        <v>Dionis</v>
      </c>
      <c r="I212" s="1" t="str">
        <f ca="1">IFERROR(__xludf.DUMMYFUNCTION("""COMPUTED_VALUE"""),"Lloyd")</f>
        <v>Lloyd</v>
      </c>
      <c r="J212" s="1"/>
      <c r="K212" s="1" t="str">
        <f ca="1">IFERROR(__xludf.DUMMYFUNCTION("""COMPUTED_VALUE"""),"Corporate")</f>
        <v>Corporate</v>
      </c>
      <c r="L212" s="1" t="str">
        <f ca="1">IFERROR(__xludf.DUMMYFUNCTION("""COMPUTED_VALUE"""),"United States")</f>
        <v>United States</v>
      </c>
      <c r="M212" s="1" t="str">
        <f ca="1">IFERROR(__xludf.DUMMYFUNCTION("""COMPUTED_VALUE"""),"San Francisco")</f>
        <v>San Francisco</v>
      </c>
      <c r="N212" s="1" t="str">
        <f ca="1">IFERROR(__xludf.DUMMYFUNCTION("""COMPUTED_VALUE"""),"California")</f>
        <v>California</v>
      </c>
      <c r="O212" s="1">
        <f ca="1">IFERROR(__xludf.DUMMYFUNCTION("""COMPUTED_VALUE"""),94110)</f>
        <v>94110</v>
      </c>
      <c r="P212" s="1" t="str">
        <f ca="1">IFERROR(__xludf.DUMMYFUNCTION("""COMPUTED_VALUE"""),"West")</f>
        <v>West</v>
      </c>
      <c r="Q212" s="1" t="str">
        <f ca="1">IFERROR(__xludf.DUMMYFUNCTION("""COMPUTED_VALUE"""),"OFF-LA-10003766")</f>
        <v>OFF-LA-10003766</v>
      </c>
      <c r="R212" s="1" t="str">
        <f ca="1">IFERROR(__xludf.DUMMYFUNCTION("""COMPUTED_VALUE"""),"Office Supplies")</f>
        <v>Office Supplies</v>
      </c>
      <c r="S212" s="7">
        <f ca="1">IFERROR(__xludf.DUMMYFUNCTION("""COMPUTED_VALUE"""),6.3)</f>
        <v>6.3</v>
      </c>
      <c r="T212" s="1">
        <f ca="1">IFERROR(__xludf.DUMMYFUNCTION("""COMPUTED_VALUE"""),9)</f>
        <v>9</v>
      </c>
      <c r="U212" s="9">
        <f ca="1">IFERROR(__xludf.DUMMYFUNCTION("""COMPUTED_VALUE"""),56.6999999999999)</f>
        <v>56.699999999999903</v>
      </c>
      <c r="V212" s="9">
        <f ca="1">IFERROR(__xludf.DUMMYFUNCTION("""COMPUTED_VALUE"""),55.26)</f>
        <v>55.26</v>
      </c>
      <c r="W212" s="12">
        <f ca="1">IFERROR(__xludf.DUMMYFUNCTION("""COMPUTED_VALUE"""),1.43999999999999)</f>
        <v>1.43999999999999</v>
      </c>
    </row>
    <row r="213" spans="1:23" ht="13.2">
      <c r="A213" s="1" t="str">
        <f ca="1">IFERROR(__xludf.DUMMYFUNCTION("""COMPUTED_VALUE"""),"US-2017-114776")</f>
        <v>US-2017-114776</v>
      </c>
      <c r="B213" s="8">
        <f ca="1">IFERROR(__xludf.DUMMYFUNCTION("""COMPUTED_VALUE"""),42898)</f>
        <v>42898</v>
      </c>
      <c r="C213" s="1" t="str">
        <f ca="1">IFERROR(__xludf.DUMMYFUNCTION("""COMPUTED_VALUE"""),"Jun")</f>
        <v>Jun</v>
      </c>
      <c r="D213" s="1" t="str">
        <f ca="1">IFERROR(__xludf.DUMMYFUNCTION("""COMPUTED_VALUE"""),"Qtr 2")</f>
        <v>Qtr 2</v>
      </c>
      <c r="E213" s="1" t="str">
        <f ca="1">IFERROR(__xludf.DUMMYFUNCTION("""COMPUTED_VALUE"""),"7/12/2017")</f>
        <v>7/12/2017</v>
      </c>
      <c r="F213" s="1" t="str">
        <f ca="1">IFERROR(__xludf.DUMMYFUNCTION("""COMPUTED_VALUE"""),"First Class")</f>
        <v>First Class</v>
      </c>
      <c r="G213" s="1" t="str">
        <f ca="1">IFERROR(__xludf.DUMMYFUNCTION("""COMPUTED_VALUE"""),"GG-14650")</f>
        <v>GG-14650</v>
      </c>
      <c r="H213" s="1" t="str">
        <f ca="1">IFERROR(__xludf.DUMMYFUNCTION("""COMPUTED_VALUE"""),"Greg")</f>
        <v>Greg</v>
      </c>
      <c r="I213" s="1" t="str">
        <f ca="1">IFERROR(__xludf.DUMMYFUNCTION("""COMPUTED_VALUE"""),"Guthrie")</f>
        <v>Guthrie</v>
      </c>
      <c r="J213" s="1"/>
      <c r="K213" s="1" t="str">
        <f ca="1">IFERROR(__xludf.DUMMYFUNCTION("""COMPUTED_VALUE"""),"Corporate")</f>
        <v>Corporate</v>
      </c>
      <c r="L213" s="1" t="str">
        <f ca="1">IFERROR(__xludf.DUMMYFUNCTION("""COMPUTED_VALUE"""),"United States")</f>
        <v>United States</v>
      </c>
      <c r="M213" s="1" t="str">
        <f ca="1">IFERROR(__xludf.DUMMYFUNCTION("""COMPUTED_VALUE"""),"Antioch")</f>
        <v>Antioch</v>
      </c>
      <c r="N213" s="1" t="str">
        <f ca="1">IFERROR(__xludf.DUMMYFUNCTION("""COMPUTED_VALUE"""),"California")</f>
        <v>California</v>
      </c>
      <c r="O213" s="1">
        <f ca="1">IFERROR(__xludf.DUMMYFUNCTION("""COMPUTED_VALUE"""),94509)</f>
        <v>94509</v>
      </c>
      <c r="P213" s="1" t="str">
        <f ca="1">IFERROR(__xludf.DUMMYFUNCTION("""COMPUTED_VALUE"""),"West")</f>
        <v>West</v>
      </c>
      <c r="Q213" s="1" t="str">
        <f ca="1">IFERROR(__xludf.DUMMYFUNCTION("""COMPUTED_VALUE"""),"OFF-PA-10004100")</f>
        <v>OFF-PA-10004100</v>
      </c>
      <c r="R213" s="1" t="str">
        <f ca="1">IFERROR(__xludf.DUMMYFUNCTION("""COMPUTED_VALUE"""),"Office Supplies")</f>
        <v>Office Supplies</v>
      </c>
      <c r="S213" s="7">
        <f ca="1">IFERROR(__xludf.DUMMYFUNCTION("""COMPUTED_VALUE"""),19.44)</f>
        <v>19.440000000000001</v>
      </c>
      <c r="T213" s="1">
        <f ca="1">IFERROR(__xludf.DUMMYFUNCTION("""COMPUTED_VALUE"""),9)</f>
        <v>9</v>
      </c>
      <c r="U213" s="9">
        <f ca="1">IFERROR(__xludf.DUMMYFUNCTION("""COMPUTED_VALUE"""),174.96)</f>
        <v>174.96</v>
      </c>
      <c r="V213" s="9">
        <f ca="1">IFERROR(__xludf.DUMMYFUNCTION("""COMPUTED_VALUE"""),170.82)</f>
        <v>170.82</v>
      </c>
      <c r="W213" s="12">
        <f ca="1">IFERROR(__xludf.DUMMYFUNCTION("""COMPUTED_VALUE"""),4.14000000000001)</f>
        <v>4.1400000000000103</v>
      </c>
    </row>
    <row r="214" spans="1:23" ht="13.2">
      <c r="A214" s="1" t="str">
        <f ca="1">IFERROR(__xludf.DUMMYFUNCTION("""COMPUTED_VALUE"""),"CA-2015-146969")</f>
        <v>CA-2015-146969</v>
      </c>
      <c r="B214" s="8">
        <f ca="1">IFERROR(__xludf.DUMMYFUNCTION("""COMPUTED_VALUE"""),42276)</f>
        <v>42276</v>
      </c>
      <c r="C214" s="1" t="str">
        <f ca="1">IFERROR(__xludf.DUMMYFUNCTION("""COMPUTED_VALUE"""),"Sep")</f>
        <v>Sep</v>
      </c>
      <c r="D214" s="1" t="str">
        <f ca="1">IFERROR(__xludf.DUMMYFUNCTION("""COMPUTED_VALUE"""),"Qtr 3")</f>
        <v>Qtr 3</v>
      </c>
      <c r="E214" s="1" t="str">
        <f ca="1">IFERROR(__xludf.DUMMYFUNCTION("""COMPUTED_VALUE"""),"3/10/2015")</f>
        <v>3/10/2015</v>
      </c>
      <c r="F214" s="1" t="str">
        <f ca="1">IFERROR(__xludf.DUMMYFUNCTION("""COMPUTED_VALUE"""),"Standard Class")</f>
        <v>Standard Class</v>
      </c>
      <c r="G214" s="1" t="str">
        <f ca="1">IFERROR(__xludf.DUMMYFUNCTION("""COMPUTED_VALUE"""),"AP-10915")</f>
        <v>AP-10915</v>
      </c>
      <c r="H214" s="1" t="str">
        <f ca="1">IFERROR(__xludf.DUMMYFUNCTION("""COMPUTED_VALUE"""),"Arthur")</f>
        <v>Arthur</v>
      </c>
      <c r="I214" s="1" t="str">
        <f ca="1">IFERROR(__xludf.DUMMYFUNCTION("""COMPUTED_VALUE"""),"Prichep")</f>
        <v>Prichep</v>
      </c>
      <c r="J214" s="1"/>
      <c r="K214" s="1" t="str">
        <f ca="1">IFERROR(__xludf.DUMMYFUNCTION("""COMPUTED_VALUE"""),"Consumer")</f>
        <v>Consumer</v>
      </c>
      <c r="L214" s="1" t="str">
        <f ca="1">IFERROR(__xludf.DUMMYFUNCTION("""COMPUTED_VALUE"""),"United States")</f>
        <v>United States</v>
      </c>
      <c r="M214" s="1" t="str">
        <f ca="1">IFERROR(__xludf.DUMMYFUNCTION("""COMPUTED_VALUE"""),"Los Angeles")</f>
        <v>Los Angeles</v>
      </c>
      <c r="N214" s="1" t="str">
        <f ca="1">IFERROR(__xludf.DUMMYFUNCTION("""COMPUTED_VALUE"""),"California")</f>
        <v>California</v>
      </c>
      <c r="O214" s="1">
        <f ca="1">IFERROR(__xludf.DUMMYFUNCTION("""COMPUTED_VALUE"""),90045)</f>
        <v>90045</v>
      </c>
      <c r="P214" s="1" t="str">
        <f ca="1">IFERROR(__xludf.DUMMYFUNCTION("""COMPUTED_VALUE"""),"West")</f>
        <v>West</v>
      </c>
      <c r="Q214" s="1" t="str">
        <f ca="1">IFERROR(__xludf.DUMMYFUNCTION("""COMPUTED_VALUE"""),"FUR-FU-10004188")</f>
        <v>FUR-FU-10004188</v>
      </c>
      <c r="R214" s="1" t="str">
        <f ca="1">IFERROR(__xludf.DUMMYFUNCTION("""COMPUTED_VALUE"""),"Furniture")</f>
        <v>Furniture</v>
      </c>
      <c r="S214" s="7">
        <f ca="1">IFERROR(__xludf.DUMMYFUNCTION("""COMPUTED_VALUE"""),204.6)</f>
        <v>204.6</v>
      </c>
      <c r="T214" s="1">
        <f ca="1">IFERROR(__xludf.DUMMYFUNCTION("""COMPUTED_VALUE"""),9)</f>
        <v>9</v>
      </c>
      <c r="U214" s="9">
        <f ca="1">IFERROR(__xludf.DUMMYFUNCTION("""COMPUTED_VALUE"""),1841.39999999999)</f>
        <v>1841.3999999999901</v>
      </c>
      <c r="V214" s="9">
        <f ca="1">IFERROR(__xludf.DUMMYFUNCTION("""COMPUTED_VALUE"""),1833.93)</f>
        <v>1833.93</v>
      </c>
      <c r="W214" s="12">
        <f ca="1">IFERROR(__xludf.DUMMYFUNCTION("""COMPUTED_VALUE"""),7.4699999999998)</f>
        <v>7.4699999999997999</v>
      </c>
    </row>
    <row r="215" spans="1:23" ht="13.2">
      <c r="A215" s="1" t="str">
        <f ca="1">IFERROR(__xludf.DUMMYFUNCTION("""COMPUTED_VALUE"""),"CA-2015-146969")</f>
        <v>CA-2015-146969</v>
      </c>
      <c r="B215" s="8">
        <f ca="1">IFERROR(__xludf.DUMMYFUNCTION("""COMPUTED_VALUE"""),42276)</f>
        <v>42276</v>
      </c>
      <c r="C215" s="1" t="str">
        <f ca="1">IFERROR(__xludf.DUMMYFUNCTION("""COMPUTED_VALUE"""),"Sep")</f>
        <v>Sep</v>
      </c>
      <c r="D215" s="1" t="str">
        <f ca="1">IFERROR(__xludf.DUMMYFUNCTION("""COMPUTED_VALUE"""),"Qtr 3")</f>
        <v>Qtr 3</v>
      </c>
      <c r="E215" s="1" t="str">
        <f ca="1">IFERROR(__xludf.DUMMYFUNCTION("""COMPUTED_VALUE"""),"3/10/2015")</f>
        <v>3/10/2015</v>
      </c>
      <c r="F215" s="1" t="str">
        <f ca="1">IFERROR(__xludf.DUMMYFUNCTION("""COMPUTED_VALUE"""),"Standard Class")</f>
        <v>Standard Class</v>
      </c>
      <c r="G215" s="1" t="str">
        <f ca="1">IFERROR(__xludf.DUMMYFUNCTION("""COMPUTED_VALUE"""),"AP-10915")</f>
        <v>AP-10915</v>
      </c>
      <c r="H215" s="1" t="str">
        <f ca="1">IFERROR(__xludf.DUMMYFUNCTION("""COMPUTED_VALUE"""),"Arthur")</f>
        <v>Arthur</v>
      </c>
      <c r="I215" s="1" t="str">
        <f ca="1">IFERROR(__xludf.DUMMYFUNCTION("""COMPUTED_VALUE"""),"Prichep")</f>
        <v>Prichep</v>
      </c>
      <c r="J215" s="1"/>
      <c r="K215" s="1" t="str">
        <f ca="1">IFERROR(__xludf.DUMMYFUNCTION("""COMPUTED_VALUE"""),"Consumer")</f>
        <v>Consumer</v>
      </c>
      <c r="L215" s="1" t="str">
        <f ca="1">IFERROR(__xludf.DUMMYFUNCTION("""COMPUTED_VALUE"""),"United States")</f>
        <v>United States</v>
      </c>
      <c r="M215" s="1" t="str">
        <f ca="1">IFERROR(__xludf.DUMMYFUNCTION("""COMPUTED_VALUE"""),"Los Angeles")</f>
        <v>Los Angeles</v>
      </c>
      <c r="N215" s="1" t="str">
        <f ca="1">IFERROR(__xludf.DUMMYFUNCTION("""COMPUTED_VALUE"""),"California")</f>
        <v>California</v>
      </c>
      <c r="O215" s="1">
        <f ca="1">IFERROR(__xludf.DUMMYFUNCTION("""COMPUTED_VALUE"""),90045)</f>
        <v>90045</v>
      </c>
      <c r="P215" s="1" t="str">
        <f ca="1">IFERROR(__xludf.DUMMYFUNCTION("""COMPUTED_VALUE"""),"West")</f>
        <v>West</v>
      </c>
      <c r="Q215" s="1" t="str">
        <f ca="1">IFERROR(__xludf.DUMMYFUNCTION("""COMPUTED_VALUE"""),"OFF-FA-10001561")</f>
        <v>OFF-FA-10001561</v>
      </c>
      <c r="R215" s="1" t="str">
        <f ca="1">IFERROR(__xludf.DUMMYFUNCTION("""COMPUTED_VALUE"""),"Office Supplies")</f>
        <v>Office Supplies</v>
      </c>
      <c r="S215" s="7">
        <f ca="1">IFERROR(__xludf.DUMMYFUNCTION("""COMPUTED_VALUE"""),8.72)</f>
        <v>8.7200000000000006</v>
      </c>
      <c r="T215" s="1">
        <f ca="1">IFERROR(__xludf.DUMMYFUNCTION("""COMPUTED_VALUE"""),9)</f>
        <v>9</v>
      </c>
      <c r="U215" s="9">
        <f ca="1">IFERROR(__xludf.DUMMYFUNCTION("""COMPUTED_VALUE"""),78.48)</f>
        <v>78.48</v>
      </c>
      <c r="V215" s="9">
        <f ca="1">IFERROR(__xludf.DUMMYFUNCTION("""COMPUTED_VALUE"""),71.73)</f>
        <v>71.73</v>
      </c>
      <c r="W215" s="12">
        <f ca="1">IFERROR(__xludf.DUMMYFUNCTION("""COMPUTED_VALUE"""),6.75)</f>
        <v>6.75</v>
      </c>
    </row>
    <row r="216" spans="1:23" ht="13.2">
      <c r="A216" s="1" t="str">
        <f ca="1">IFERROR(__xludf.DUMMYFUNCTION("""COMPUTED_VALUE"""),"CA-2015-146969")</f>
        <v>CA-2015-146969</v>
      </c>
      <c r="B216" s="8">
        <f ca="1">IFERROR(__xludf.DUMMYFUNCTION("""COMPUTED_VALUE"""),42276)</f>
        <v>42276</v>
      </c>
      <c r="C216" s="1" t="str">
        <f ca="1">IFERROR(__xludf.DUMMYFUNCTION("""COMPUTED_VALUE"""),"Sep")</f>
        <v>Sep</v>
      </c>
      <c r="D216" s="1" t="str">
        <f ca="1">IFERROR(__xludf.DUMMYFUNCTION("""COMPUTED_VALUE"""),"Qtr 3")</f>
        <v>Qtr 3</v>
      </c>
      <c r="E216" s="1" t="str">
        <f ca="1">IFERROR(__xludf.DUMMYFUNCTION("""COMPUTED_VALUE"""),"3/10/2015")</f>
        <v>3/10/2015</v>
      </c>
      <c r="F216" s="1" t="str">
        <f ca="1">IFERROR(__xludf.DUMMYFUNCTION("""COMPUTED_VALUE"""),"Standard Class")</f>
        <v>Standard Class</v>
      </c>
      <c r="G216" s="1" t="str">
        <f ca="1">IFERROR(__xludf.DUMMYFUNCTION("""COMPUTED_VALUE"""),"AP-10915")</f>
        <v>AP-10915</v>
      </c>
      <c r="H216" s="1" t="str">
        <f ca="1">IFERROR(__xludf.DUMMYFUNCTION("""COMPUTED_VALUE"""),"Arthur")</f>
        <v>Arthur</v>
      </c>
      <c r="I216" s="1" t="str">
        <f ca="1">IFERROR(__xludf.DUMMYFUNCTION("""COMPUTED_VALUE"""),"Prichep")</f>
        <v>Prichep</v>
      </c>
      <c r="J216" s="1"/>
      <c r="K216" s="1" t="str">
        <f ca="1">IFERROR(__xludf.DUMMYFUNCTION("""COMPUTED_VALUE"""),"Consumer")</f>
        <v>Consumer</v>
      </c>
      <c r="L216" s="1" t="str">
        <f ca="1">IFERROR(__xludf.DUMMYFUNCTION("""COMPUTED_VALUE"""),"United States")</f>
        <v>United States</v>
      </c>
      <c r="M216" s="1" t="str">
        <f ca="1">IFERROR(__xludf.DUMMYFUNCTION("""COMPUTED_VALUE"""),"Los Angeles")</f>
        <v>Los Angeles</v>
      </c>
      <c r="N216" s="1" t="str">
        <f ca="1">IFERROR(__xludf.DUMMYFUNCTION("""COMPUTED_VALUE"""),"California")</f>
        <v>California</v>
      </c>
      <c r="O216" s="1">
        <f ca="1">IFERROR(__xludf.DUMMYFUNCTION("""COMPUTED_VALUE"""),90045)</f>
        <v>90045</v>
      </c>
      <c r="P216" s="1" t="str">
        <f ca="1">IFERROR(__xludf.DUMMYFUNCTION("""COMPUTED_VALUE"""),"West")</f>
        <v>West</v>
      </c>
      <c r="Q216" s="1" t="str">
        <f ca="1">IFERROR(__xludf.DUMMYFUNCTION("""COMPUTED_VALUE"""),"OFF-PA-10002105")</f>
        <v>OFF-PA-10002105</v>
      </c>
      <c r="R216" s="1" t="str">
        <f ca="1">IFERROR(__xludf.DUMMYFUNCTION("""COMPUTED_VALUE"""),"Office Supplies")</f>
        <v>Office Supplies</v>
      </c>
      <c r="S216" s="7">
        <f ca="1">IFERROR(__xludf.DUMMYFUNCTION("""COMPUTED_VALUE"""),6.48)</f>
        <v>6.48</v>
      </c>
      <c r="T216" s="1">
        <f ca="1">IFERROR(__xludf.DUMMYFUNCTION("""COMPUTED_VALUE"""),9)</f>
        <v>9</v>
      </c>
      <c r="U216" s="9">
        <f ca="1">IFERROR(__xludf.DUMMYFUNCTION("""COMPUTED_VALUE"""),58.32)</f>
        <v>58.32</v>
      </c>
      <c r="V216" s="9">
        <f ca="1">IFERROR(__xludf.DUMMYFUNCTION("""COMPUTED_VALUE"""),55.8)</f>
        <v>55.8</v>
      </c>
      <c r="W216" s="12">
        <f ca="1">IFERROR(__xludf.DUMMYFUNCTION("""COMPUTED_VALUE"""),2.52)</f>
        <v>2.52</v>
      </c>
    </row>
    <row r="217" spans="1:23" ht="13.2">
      <c r="A217" s="1" t="str">
        <f ca="1">IFERROR(__xludf.DUMMYFUNCTION("""COMPUTED_VALUE"""),"CA-2015-146969")</f>
        <v>CA-2015-146969</v>
      </c>
      <c r="B217" s="8">
        <f ca="1">IFERROR(__xludf.DUMMYFUNCTION("""COMPUTED_VALUE"""),42276)</f>
        <v>42276</v>
      </c>
      <c r="C217" s="1" t="str">
        <f ca="1">IFERROR(__xludf.DUMMYFUNCTION("""COMPUTED_VALUE"""),"Sep")</f>
        <v>Sep</v>
      </c>
      <c r="D217" s="1" t="str">
        <f ca="1">IFERROR(__xludf.DUMMYFUNCTION("""COMPUTED_VALUE"""),"Qtr 3")</f>
        <v>Qtr 3</v>
      </c>
      <c r="E217" s="1" t="str">
        <f ca="1">IFERROR(__xludf.DUMMYFUNCTION("""COMPUTED_VALUE"""),"3/10/2015")</f>
        <v>3/10/2015</v>
      </c>
      <c r="F217" s="1" t="str">
        <f ca="1">IFERROR(__xludf.DUMMYFUNCTION("""COMPUTED_VALUE"""),"Standard Class")</f>
        <v>Standard Class</v>
      </c>
      <c r="G217" s="1" t="str">
        <f ca="1">IFERROR(__xludf.DUMMYFUNCTION("""COMPUTED_VALUE"""),"AP-10915")</f>
        <v>AP-10915</v>
      </c>
      <c r="H217" s="1" t="str">
        <f ca="1">IFERROR(__xludf.DUMMYFUNCTION("""COMPUTED_VALUE"""),"Arthur")</f>
        <v>Arthur</v>
      </c>
      <c r="I217" s="1" t="str">
        <f ca="1">IFERROR(__xludf.DUMMYFUNCTION("""COMPUTED_VALUE"""),"Prichep")</f>
        <v>Prichep</v>
      </c>
      <c r="J217" s="1"/>
      <c r="K217" s="1" t="str">
        <f ca="1">IFERROR(__xludf.DUMMYFUNCTION("""COMPUTED_VALUE"""),"Consumer")</f>
        <v>Consumer</v>
      </c>
      <c r="L217" s="1" t="str">
        <f ca="1">IFERROR(__xludf.DUMMYFUNCTION("""COMPUTED_VALUE"""),"United States")</f>
        <v>United States</v>
      </c>
      <c r="M217" s="1" t="str">
        <f ca="1">IFERROR(__xludf.DUMMYFUNCTION("""COMPUTED_VALUE"""),"Los Angeles")</f>
        <v>Los Angeles</v>
      </c>
      <c r="N217" s="1" t="str">
        <f ca="1">IFERROR(__xludf.DUMMYFUNCTION("""COMPUTED_VALUE"""),"California")</f>
        <v>California</v>
      </c>
      <c r="O217" s="1">
        <f ca="1">IFERROR(__xludf.DUMMYFUNCTION("""COMPUTED_VALUE"""),90045)</f>
        <v>90045</v>
      </c>
      <c r="P217" s="1" t="str">
        <f ca="1">IFERROR(__xludf.DUMMYFUNCTION("""COMPUTED_VALUE"""),"West")</f>
        <v>West</v>
      </c>
      <c r="Q217" s="1" t="str">
        <f ca="1">IFERROR(__xludf.DUMMYFUNCTION("""COMPUTED_VALUE"""),"TEC-MA-10004241")</f>
        <v>TEC-MA-10004241</v>
      </c>
      <c r="R217" s="1" t="str">
        <f ca="1">IFERROR(__xludf.DUMMYFUNCTION("""COMPUTED_VALUE"""),"Technology")</f>
        <v>Technology</v>
      </c>
      <c r="S217" s="7">
        <f ca="1">IFERROR(__xludf.DUMMYFUNCTION("""COMPUTED_VALUE"""),686.32)</f>
        <v>686.32</v>
      </c>
      <c r="T217" s="1">
        <f ca="1">IFERROR(__xludf.DUMMYFUNCTION("""COMPUTED_VALUE"""),9)</f>
        <v>9</v>
      </c>
      <c r="U217" s="9">
        <f ca="1">IFERROR(__xludf.DUMMYFUNCTION("""COMPUTED_VALUE"""),6176.88)</f>
        <v>6176.88</v>
      </c>
      <c r="V217" s="9">
        <f ca="1">IFERROR(__xludf.DUMMYFUNCTION("""COMPUTED_VALUE"""),6168.06)</f>
        <v>6168.06</v>
      </c>
      <c r="W217" s="12">
        <f ca="1">IFERROR(__xludf.DUMMYFUNCTION("""COMPUTED_VALUE"""),8.8199999999997)</f>
        <v>8.8199999999997001</v>
      </c>
    </row>
    <row r="218" spans="1:23" ht="13.2">
      <c r="A218" s="1" t="str">
        <f ca="1">IFERROR(__xludf.DUMMYFUNCTION("""COMPUTED_VALUE"""),"CA-2015-146969")</f>
        <v>CA-2015-146969</v>
      </c>
      <c r="B218" s="8">
        <f ca="1">IFERROR(__xludf.DUMMYFUNCTION("""COMPUTED_VALUE"""),42276)</f>
        <v>42276</v>
      </c>
      <c r="C218" s="1" t="str">
        <f ca="1">IFERROR(__xludf.DUMMYFUNCTION("""COMPUTED_VALUE"""),"Sep")</f>
        <v>Sep</v>
      </c>
      <c r="D218" s="1" t="str">
        <f ca="1">IFERROR(__xludf.DUMMYFUNCTION("""COMPUTED_VALUE"""),"Qtr 3")</f>
        <v>Qtr 3</v>
      </c>
      <c r="E218" s="1" t="str">
        <f ca="1">IFERROR(__xludf.DUMMYFUNCTION("""COMPUTED_VALUE"""),"3/10/2015")</f>
        <v>3/10/2015</v>
      </c>
      <c r="F218" s="1" t="str">
        <f ca="1">IFERROR(__xludf.DUMMYFUNCTION("""COMPUTED_VALUE"""),"Standard Class")</f>
        <v>Standard Class</v>
      </c>
      <c r="G218" s="1" t="str">
        <f ca="1">IFERROR(__xludf.DUMMYFUNCTION("""COMPUTED_VALUE"""),"AP-10915")</f>
        <v>AP-10915</v>
      </c>
      <c r="H218" s="1" t="str">
        <f ca="1">IFERROR(__xludf.DUMMYFUNCTION("""COMPUTED_VALUE"""),"Arthur")</f>
        <v>Arthur</v>
      </c>
      <c r="I218" s="1" t="str">
        <f ca="1">IFERROR(__xludf.DUMMYFUNCTION("""COMPUTED_VALUE"""),"Prichep")</f>
        <v>Prichep</v>
      </c>
      <c r="J218" s="1"/>
      <c r="K218" s="1" t="str">
        <f ca="1">IFERROR(__xludf.DUMMYFUNCTION("""COMPUTED_VALUE"""),"Consumer")</f>
        <v>Consumer</v>
      </c>
      <c r="L218" s="1" t="str">
        <f ca="1">IFERROR(__xludf.DUMMYFUNCTION("""COMPUTED_VALUE"""),"United States")</f>
        <v>United States</v>
      </c>
      <c r="M218" s="1" t="str">
        <f ca="1">IFERROR(__xludf.DUMMYFUNCTION("""COMPUTED_VALUE"""),"Los Angeles")</f>
        <v>Los Angeles</v>
      </c>
      <c r="N218" s="1" t="str">
        <f ca="1">IFERROR(__xludf.DUMMYFUNCTION("""COMPUTED_VALUE"""),"California")</f>
        <v>California</v>
      </c>
      <c r="O218" s="1">
        <f ca="1">IFERROR(__xludf.DUMMYFUNCTION("""COMPUTED_VALUE"""),90045)</f>
        <v>90045</v>
      </c>
      <c r="P218" s="1" t="str">
        <f ca="1">IFERROR(__xludf.DUMMYFUNCTION("""COMPUTED_VALUE"""),"West")</f>
        <v>West</v>
      </c>
      <c r="Q218" s="1" t="str">
        <f ca="1">IFERROR(__xludf.DUMMYFUNCTION("""COMPUTED_VALUE"""),"OFF-ST-10004340")</f>
        <v>OFF-ST-10004340</v>
      </c>
      <c r="R218" s="1" t="str">
        <f ca="1">IFERROR(__xludf.DUMMYFUNCTION("""COMPUTED_VALUE"""),"Office Supplies")</f>
        <v>Office Supplies</v>
      </c>
      <c r="S218" s="7">
        <f ca="1">IFERROR(__xludf.DUMMYFUNCTION("""COMPUTED_VALUE"""),62.18)</f>
        <v>62.18</v>
      </c>
      <c r="T218" s="1">
        <f ca="1">IFERROR(__xludf.DUMMYFUNCTION("""COMPUTED_VALUE"""),9)</f>
        <v>9</v>
      </c>
      <c r="U218" s="9">
        <f ca="1">IFERROR(__xludf.DUMMYFUNCTION("""COMPUTED_VALUE"""),559.62)</f>
        <v>559.62</v>
      </c>
      <c r="V218" s="9">
        <f ca="1">IFERROR(__xludf.DUMMYFUNCTION("""COMPUTED_VALUE"""),551.88)</f>
        <v>551.88</v>
      </c>
      <c r="W218" s="12">
        <f ca="1">IFERROR(__xludf.DUMMYFUNCTION("""COMPUTED_VALUE"""),7.74)</f>
        <v>7.74</v>
      </c>
    </row>
    <row r="219" spans="1:23" ht="13.2">
      <c r="A219" s="1" t="str">
        <f ca="1">IFERROR(__xludf.DUMMYFUNCTION("""COMPUTED_VALUE"""),"CA-2017-149314")</f>
        <v>CA-2017-149314</v>
      </c>
      <c r="B219" s="8">
        <f ca="1">IFERROR(__xludf.DUMMYFUNCTION("""COMPUTED_VALUE"""),42773)</f>
        <v>42773</v>
      </c>
      <c r="C219" s="1" t="str">
        <f ca="1">IFERROR(__xludf.DUMMYFUNCTION("""COMPUTED_VALUE"""),"Feb")</f>
        <v>Feb</v>
      </c>
      <c r="D219" s="1" t="str">
        <f ca="1">IFERROR(__xludf.DUMMYFUNCTION("""COMPUTED_VALUE"""),"Qtr 1")</f>
        <v>Qtr 1</v>
      </c>
      <c r="E219" s="1" t="str">
        <f ca="1">IFERROR(__xludf.DUMMYFUNCTION("""COMPUTED_VALUE"""),"7/7/2017")</f>
        <v>7/7/2017</v>
      </c>
      <c r="F219" s="1" t="str">
        <f ca="1">IFERROR(__xludf.DUMMYFUNCTION("""COMPUTED_VALUE"""),"Second Class")</f>
        <v>Second Class</v>
      </c>
      <c r="G219" s="1" t="str">
        <f ca="1">IFERROR(__xludf.DUMMYFUNCTION("""COMPUTED_VALUE"""),"GB-14530")</f>
        <v>GB-14530</v>
      </c>
      <c r="H219" s="1" t="str">
        <f ca="1">IFERROR(__xludf.DUMMYFUNCTION("""COMPUTED_VALUE"""),"George")</f>
        <v>George</v>
      </c>
      <c r="I219" s="1" t="str">
        <f ca="1">IFERROR(__xludf.DUMMYFUNCTION("""COMPUTED_VALUE"""),"Bell")</f>
        <v>Bell</v>
      </c>
      <c r="J219" s="1"/>
      <c r="K219" s="1" t="str">
        <f ca="1">IFERROR(__xludf.DUMMYFUNCTION("""COMPUTED_VALUE"""),"Corporate")</f>
        <v>Corporate</v>
      </c>
      <c r="L219" s="1" t="str">
        <f ca="1">IFERROR(__xludf.DUMMYFUNCTION("""COMPUTED_VALUE"""),"United States")</f>
        <v>United States</v>
      </c>
      <c r="M219" s="1" t="str">
        <f ca="1">IFERROR(__xludf.DUMMYFUNCTION("""COMPUTED_VALUE"""),"Los Angeles")</f>
        <v>Los Angeles</v>
      </c>
      <c r="N219" s="1" t="str">
        <f ca="1">IFERROR(__xludf.DUMMYFUNCTION("""COMPUTED_VALUE"""),"California")</f>
        <v>California</v>
      </c>
      <c r="O219" s="1">
        <f ca="1">IFERROR(__xludf.DUMMYFUNCTION("""COMPUTED_VALUE"""),90004)</f>
        <v>90004</v>
      </c>
      <c r="P219" s="1" t="str">
        <f ca="1">IFERROR(__xludf.DUMMYFUNCTION("""COMPUTED_VALUE"""),"West")</f>
        <v>West</v>
      </c>
      <c r="Q219" s="1" t="str">
        <f ca="1">IFERROR(__xludf.DUMMYFUNCTION("""COMPUTED_VALUE"""),"FUR-CH-10002126")</f>
        <v>FUR-CH-10002126</v>
      </c>
      <c r="R219" s="1" t="str">
        <f ca="1">IFERROR(__xludf.DUMMYFUNCTION("""COMPUTED_VALUE"""),"Furniture")</f>
        <v>Furniture</v>
      </c>
      <c r="S219" s="7">
        <f ca="1">IFERROR(__xludf.DUMMYFUNCTION("""COMPUTED_VALUE"""),195.184)</f>
        <v>195.184</v>
      </c>
      <c r="T219" s="1">
        <f ca="1">IFERROR(__xludf.DUMMYFUNCTION("""COMPUTED_VALUE"""),9)</f>
        <v>9</v>
      </c>
      <c r="U219" s="9">
        <f ca="1">IFERROR(__xludf.DUMMYFUNCTION("""COMPUTED_VALUE"""),1756.656)</f>
        <v>1756.6559999999999</v>
      </c>
      <c r="V219" s="9">
        <f ca="1">IFERROR(__xludf.DUMMYFUNCTION("""COMPUTED_VALUE"""),1755.18)</f>
        <v>1755.18</v>
      </c>
      <c r="W219" s="12">
        <f ca="1">IFERROR(__xludf.DUMMYFUNCTION("""COMPUTED_VALUE"""),1.47599999999988)</f>
        <v>1.4759999999998801</v>
      </c>
    </row>
    <row r="220" spans="1:23" ht="13.2">
      <c r="A220" s="1" t="str">
        <f ca="1">IFERROR(__xludf.DUMMYFUNCTION("""COMPUTED_VALUE"""),"CA-2015-126522")</f>
        <v>CA-2015-126522</v>
      </c>
      <c r="B220" s="8">
        <f ca="1">IFERROR(__xludf.DUMMYFUNCTION("""COMPUTED_VALUE"""),42013)</f>
        <v>42013</v>
      </c>
      <c r="C220" s="1" t="str">
        <f ca="1">IFERROR(__xludf.DUMMYFUNCTION("""COMPUTED_VALUE"""),"Jan")</f>
        <v>Jan</v>
      </c>
      <c r="D220" s="1" t="str">
        <f ca="1">IFERROR(__xludf.DUMMYFUNCTION("""COMPUTED_VALUE"""),"Qtr 1")</f>
        <v>Qtr 1</v>
      </c>
      <c r="E220" s="1" t="str">
        <f ca="1">IFERROR(__xludf.DUMMYFUNCTION("""COMPUTED_VALUE"""),"5/9/2015")</f>
        <v>5/9/2015</v>
      </c>
      <c r="F220" s="1" t="str">
        <f ca="1">IFERROR(__xludf.DUMMYFUNCTION("""COMPUTED_VALUE"""),"Second Class")</f>
        <v>Second Class</v>
      </c>
      <c r="G220" s="1" t="str">
        <f ca="1">IFERROR(__xludf.DUMMYFUNCTION("""COMPUTED_VALUE"""),"LT-16765")</f>
        <v>LT-16765</v>
      </c>
      <c r="H220" s="1" t="str">
        <f ca="1">IFERROR(__xludf.DUMMYFUNCTION("""COMPUTED_VALUE"""),"Larry")</f>
        <v>Larry</v>
      </c>
      <c r="I220" s="1" t="str">
        <f ca="1">IFERROR(__xludf.DUMMYFUNCTION("""COMPUTED_VALUE"""),"Tron")</f>
        <v>Tron</v>
      </c>
      <c r="J220" s="1"/>
      <c r="K220" s="1" t="str">
        <f ca="1">IFERROR(__xludf.DUMMYFUNCTION("""COMPUTED_VALUE"""),"Consumer")</f>
        <v>Consumer</v>
      </c>
      <c r="L220" s="1" t="str">
        <f ca="1">IFERROR(__xludf.DUMMYFUNCTION("""COMPUTED_VALUE"""),"United States")</f>
        <v>United States</v>
      </c>
      <c r="M220" s="1" t="str">
        <f ca="1">IFERROR(__xludf.DUMMYFUNCTION("""COMPUTED_VALUE"""),"Escondido")</f>
        <v>Escondido</v>
      </c>
      <c r="N220" s="1" t="str">
        <f ca="1">IFERROR(__xludf.DUMMYFUNCTION("""COMPUTED_VALUE"""),"California")</f>
        <v>California</v>
      </c>
      <c r="O220" s="1">
        <f ca="1">IFERROR(__xludf.DUMMYFUNCTION("""COMPUTED_VALUE"""),92025)</f>
        <v>92025</v>
      </c>
      <c r="P220" s="1" t="str">
        <f ca="1">IFERROR(__xludf.DUMMYFUNCTION("""COMPUTED_VALUE"""),"West")</f>
        <v>West</v>
      </c>
      <c r="Q220" s="1" t="str">
        <f ca="1">IFERROR(__xludf.DUMMYFUNCTION("""COMPUTED_VALUE"""),"OFF-AR-10004042")</f>
        <v>OFF-AR-10004042</v>
      </c>
      <c r="R220" s="1" t="str">
        <f ca="1">IFERROR(__xludf.DUMMYFUNCTION("""COMPUTED_VALUE"""),"Office Supplies")</f>
        <v>Office Supplies</v>
      </c>
      <c r="S220" s="7">
        <f ca="1">IFERROR(__xludf.DUMMYFUNCTION("""COMPUTED_VALUE"""),53.94)</f>
        <v>53.94</v>
      </c>
      <c r="T220" s="1">
        <f ca="1">IFERROR(__xludf.DUMMYFUNCTION("""COMPUTED_VALUE"""),9)</f>
        <v>9</v>
      </c>
      <c r="U220" s="9">
        <f ca="1">IFERROR(__xludf.DUMMYFUNCTION("""COMPUTED_VALUE"""),485.46)</f>
        <v>485.46</v>
      </c>
      <c r="V220" s="9">
        <f ca="1">IFERROR(__xludf.DUMMYFUNCTION("""COMPUTED_VALUE"""),482.67)</f>
        <v>482.67</v>
      </c>
      <c r="W220" s="12">
        <f ca="1">IFERROR(__xludf.DUMMYFUNCTION("""COMPUTED_VALUE"""),2.78999999999996)</f>
        <v>2.7899999999999601</v>
      </c>
    </row>
    <row r="221" spans="1:23" ht="13.2">
      <c r="A221" s="1" t="str">
        <f ca="1">IFERROR(__xludf.DUMMYFUNCTION("""COMPUTED_VALUE"""),"CA-2015-158064")</f>
        <v>CA-2015-158064</v>
      </c>
      <c r="B221" s="8">
        <f ca="1">IFERROR(__xludf.DUMMYFUNCTION("""COMPUTED_VALUE"""),42115)</f>
        <v>42115</v>
      </c>
      <c r="C221" s="1" t="str">
        <f ca="1">IFERROR(__xludf.DUMMYFUNCTION("""COMPUTED_VALUE"""),"Apr")</f>
        <v>Apr</v>
      </c>
      <c r="D221" s="1" t="str">
        <f ca="1">IFERROR(__xludf.DUMMYFUNCTION("""COMPUTED_VALUE"""),"Qtr 2")</f>
        <v>Qtr 2</v>
      </c>
      <c r="E221" s="1" t="str">
        <f ca="1">IFERROR(__xludf.DUMMYFUNCTION("""COMPUTED_VALUE"""),"25/04/2015")</f>
        <v>25/04/2015</v>
      </c>
      <c r="F221" s="1" t="str">
        <f ca="1">IFERROR(__xludf.DUMMYFUNCTION("""COMPUTED_VALUE"""),"Standard Class")</f>
        <v>Standard Class</v>
      </c>
      <c r="G221" s="1" t="str">
        <f ca="1">IFERROR(__xludf.DUMMYFUNCTION("""COMPUTED_VALUE"""),"AA-10375")</f>
        <v>AA-10375</v>
      </c>
      <c r="H221" s="1" t="str">
        <f ca="1">IFERROR(__xludf.DUMMYFUNCTION("""COMPUTED_VALUE"""),"Allen")</f>
        <v>Allen</v>
      </c>
      <c r="I221" s="1" t="str">
        <f ca="1">IFERROR(__xludf.DUMMYFUNCTION("""COMPUTED_VALUE"""),"Armold")</f>
        <v>Armold</v>
      </c>
      <c r="J221" s="1"/>
      <c r="K221" s="1" t="str">
        <f ca="1">IFERROR(__xludf.DUMMYFUNCTION("""COMPUTED_VALUE"""),"Consumer")</f>
        <v>Consumer</v>
      </c>
      <c r="L221" s="1" t="str">
        <f ca="1">IFERROR(__xludf.DUMMYFUNCTION("""COMPUTED_VALUE"""),"United States")</f>
        <v>United States</v>
      </c>
      <c r="M221" s="1" t="str">
        <f ca="1">IFERROR(__xludf.DUMMYFUNCTION("""COMPUTED_VALUE"""),"Los Angeles")</f>
        <v>Los Angeles</v>
      </c>
      <c r="N221" s="1" t="str">
        <f ca="1">IFERROR(__xludf.DUMMYFUNCTION("""COMPUTED_VALUE"""),"California")</f>
        <v>California</v>
      </c>
      <c r="O221" s="1">
        <f ca="1">IFERROR(__xludf.DUMMYFUNCTION("""COMPUTED_VALUE"""),90008)</f>
        <v>90008</v>
      </c>
      <c r="P221" s="1" t="str">
        <f ca="1">IFERROR(__xludf.DUMMYFUNCTION("""COMPUTED_VALUE"""),"West")</f>
        <v>West</v>
      </c>
      <c r="Q221" s="1" t="str">
        <f ca="1">IFERROR(__xludf.DUMMYFUNCTION("""COMPUTED_VALUE"""),"OFF-BI-10002976")</f>
        <v>OFF-BI-10002976</v>
      </c>
      <c r="R221" s="1" t="str">
        <f ca="1">IFERROR(__xludf.DUMMYFUNCTION("""COMPUTED_VALUE"""),"Office Supplies")</f>
        <v>Office Supplies</v>
      </c>
      <c r="S221" s="7">
        <f ca="1">IFERROR(__xludf.DUMMYFUNCTION("""COMPUTED_VALUE"""),16.52)</f>
        <v>16.52</v>
      </c>
      <c r="T221" s="1">
        <f ca="1">IFERROR(__xludf.DUMMYFUNCTION("""COMPUTED_VALUE"""),9)</f>
        <v>9</v>
      </c>
      <c r="U221" s="9">
        <f ca="1">IFERROR(__xludf.DUMMYFUNCTION("""COMPUTED_VALUE"""),148.68)</f>
        <v>148.68</v>
      </c>
      <c r="V221" s="9">
        <f ca="1">IFERROR(__xludf.DUMMYFUNCTION("""COMPUTED_VALUE"""),142.109999999999)</f>
        <v>142.10999999999899</v>
      </c>
      <c r="W221" s="12">
        <f ca="1">IFERROR(__xludf.DUMMYFUNCTION("""COMPUTED_VALUE"""),6.57000000000002)</f>
        <v>6.5700000000000198</v>
      </c>
    </row>
    <row r="222" spans="1:23" ht="13.2">
      <c r="A222" s="1" t="str">
        <f ca="1">IFERROR(__xludf.DUMMYFUNCTION("""COMPUTED_VALUE"""),"CA-2015-120243")</f>
        <v>CA-2015-120243</v>
      </c>
      <c r="B222" s="8">
        <f ca="1">IFERROR(__xludf.DUMMYFUNCTION("""COMPUTED_VALUE"""),42365)</f>
        <v>42365</v>
      </c>
      <c r="C222" s="1" t="str">
        <f ca="1">IFERROR(__xludf.DUMMYFUNCTION("""COMPUTED_VALUE"""),"Dec")</f>
        <v>Dec</v>
      </c>
      <c r="D222" s="1" t="str">
        <f ca="1">IFERROR(__xludf.DUMMYFUNCTION("""COMPUTED_VALUE"""),"Qtr 4")</f>
        <v>Qtr 4</v>
      </c>
      <c r="E222" s="1" t="str">
        <f ca="1">IFERROR(__xludf.DUMMYFUNCTION("""COMPUTED_VALUE"""),"30/12/2015")</f>
        <v>30/12/2015</v>
      </c>
      <c r="F222" s="1" t="str">
        <f ca="1">IFERROR(__xludf.DUMMYFUNCTION("""COMPUTED_VALUE"""),"Second Class")</f>
        <v>Second Class</v>
      </c>
      <c r="G222" s="1" t="str">
        <f ca="1">IFERROR(__xludf.DUMMYFUNCTION("""COMPUTED_VALUE"""),"AT-10435")</f>
        <v>AT-10435</v>
      </c>
      <c r="H222" s="1" t="str">
        <f ca="1">IFERROR(__xludf.DUMMYFUNCTION("""COMPUTED_VALUE"""),"Alyssa")</f>
        <v>Alyssa</v>
      </c>
      <c r="I222" s="1" t="str">
        <f ca="1">IFERROR(__xludf.DUMMYFUNCTION("""COMPUTED_VALUE"""),"Tate")</f>
        <v>Tate</v>
      </c>
      <c r="J222" s="1"/>
      <c r="K222" s="1" t="str">
        <f ca="1">IFERROR(__xludf.DUMMYFUNCTION("""COMPUTED_VALUE"""),"Home Office")</f>
        <v>Home Office</v>
      </c>
      <c r="L222" s="1" t="str">
        <f ca="1">IFERROR(__xludf.DUMMYFUNCTION("""COMPUTED_VALUE"""),"United States")</f>
        <v>United States</v>
      </c>
      <c r="M222" s="1" t="str">
        <f ca="1">IFERROR(__xludf.DUMMYFUNCTION("""COMPUTED_VALUE"""),"Los Angeles")</f>
        <v>Los Angeles</v>
      </c>
      <c r="N222" s="1" t="str">
        <f ca="1">IFERROR(__xludf.DUMMYFUNCTION("""COMPUTED_VALUE"""),"California")</f>
        <v>California</v>
      </c>
      <c r="O222" s="1">
        <f ca="1">IFERROR(__xludf.DUMMYFUNCTION("""COMPUTED_VALUE"""),90004)</f>
        <v>90004</v>
      </c>
      <c r="P222" s="1" t="str">
        <f ca="1">IFERROR(__xludf.DUMMYFUNCTION("""COMPUTED_VALUE"""),"West")</f>
        <v>West</v>
      </c>
      <c r="Q222" s="1" t="str">
        <f ca="1">IFERROR(__xludf.DUMMYFUNCTION("""COMPUTED_VALUE"""),"OFF-LA-10004425")</f>
        <v>OFF-LA-10004425</v>
      </c>
      <c r="R222" s="1" t="str">
        <f ca="1">IFERROR(__xludf.DUMMYFUNCTION("""COMPUTED_VALUE"""),"Office Supplies")</f>
        <v>Office Supplies</v>
      </c>
      <c r="S222" s="7">
        <f ca="1">IFERROR(__xludf.DUMMYFUNCTION("""COMPUTED_VALUE"""),11.56)</f>
        <v>11.56</v>
      </c>
      <c r="T222" s="1">
        <f ca="1">IFERROR(__xludf.DUMMYFUNCTION("""COMPUTED_VALUE"""),9)</f>
        <v>9</v>
      </c>
      <c r="U222" s="9">
        <f ca="1">IFERROR(__xludf.DUMMYFUNCTION("""COMPUTED_VALUE"""),104.04)</f>
        <v>104.04</v>
      </c>
      <c r="V222" s="9">
        <f ca="1">IFERROR(__xludf.DUMMYFUNCTION("""COMPUTED_VALUE"""),102.42)</f>
        <v>102.42</v>
      </c>
      <c r="W222" s="12">
        <f ca="1">IFERROR(__xludf.DUMMYFUNCTION("""COMPUTED_VALUE"""),1.62)</f>
        <v>1.62</v>
      </c>
    </row>
    <row r="223" spans="1:23" ht="13.2">
      <c r="A223" s="1" t="str">
        <f ca="1">IFERROR(__xludf.DUMMYFUNCTION("""COMPUTED_VALUE"""),"CA-2018-117212")</f>
        <v>CA-2018-117212</v>
      </c>
      <c r="B223" s="8">
        <f ca="1">IFERROR(__xludf.DUMMYFUNCTION("""COMPUTED_VALUE"""),43157)</f>
        <v>43157</v>
      </c>
      <c r="C223" s="1" t="str">
        <f ca="1">IFERROR(__xludf.DUMMYFUNCTION("""COMPUTED_VALUE"""),"Feb")</f>
        <v>Feb</v>
      </c>
      <c r="D223" s="1" t="str">
        <f ca="1">IFERROR(__xludf.DUMMYFUNCTION("""COMPUTED_VALUE"""),"Qtr 1")</f>
        <v>Qtr 1</v>
      </c>
      <c r="E223" s="1" t="str">
        <f ca="1">IFERROR(__xludf.DUMMYFUNCTION("""COMPUTED_VALUE"""),"28/02/2018")</f>
        <v>28/02/2018</v>
      </c>
      <c r="F223" s="1" t="str">
        <f ca="1">IFERROR(__xludf.DUMMYFUNCTION("""COMPUTED_VALUE"""),"Second Class")</f>
        <v>Second Class</v>
      </c>
      <c r="G223" s="1" t="str">
        <f ca="1">IFERROR(__xludf.DUMMYFUNCTION("""COMPUTED_VALUE"""),"BT-11530")</f>
        <v>BT-11530</v>
      </c>
      <c r="H223" s="1" t="str">
        <f ca="1">IFERROR(__xludf.DUMMYFUNCTION("""COMPUTED_VALUE"""),"Bradley")</f>
        <v>Bradley</v>
      </c>
      <c r="I223" s="1" t="str">
        <f ca="1">IFERROR(__xludf.DUMMYFUNCTION("""COMPUTED_VALUE"""),"Talbott")</f>
        <v>Talbott</v>
      </c>
      <c r="J223" s="1"/>
      <c r="K223" s="1" t="str">
        <f ca="1">IFERROR(__xludf.DUMMYFUNCTION("""COMPUTED_VALUE"""),"Home Office")</f>
        <v>Home Office</v>
      </c>
      <c r="L223" s="1" t="str">
        <f ca="1">IFERROR(__xludf.DUMMYFUNCTION("""COMPUTED_VALUE"""),"United States")</f>
        <v>United States</v>
      </c>
      <c r="M223" s="1" t="str">
        <f ca="1">IFERROR(__xludf.DUMMYFUNCTION("""COMPUTED_VALUE"""),"Los Angeles")</f>
        <v>Los Angeles</v>
      </c>
      <c r="N223" s="1" t="str">
        <f ca="1">IFERROR(__xludf.DUMMYFUNCTION("""COMPUTED_VALUE"""),"California")</f>
        <v>California</v>
      </c>
      <c r="O223" s="1">
        <f ca="1">IFERROR(__xludf.DUMMYFUNCTION("""COMPUTED_VALUE"""),90036)</f>
        <v>90036</v>
      </c>
      <c r="P223" s="1" t="str">
        <f ca="1">IFERROR(__xludf.DUMMYFUNCTION("""COMPUTED_VALUE"""),"West")</f>
        <v>West</v>
      </c>
      <c r="Q223" s="1" t="str">
        <f ca="1">IFERROR(__xludf.DUMMYFUNCTION("""COMPUTED_VALUE"""),"OFF-AP-10004532")</f>
        <v>OFF-AP-10004532</v>
      </c>
      <c r="R223" s="1" t="str">
        <f ca="1">IFERROR(__xludf.DUMMYFUNCTION("""COMPUTED_VALUE"""),"Office Supplies")</f>
        <v>Office Supplies</v>
      </c>
      <c r="S223" s="7">
        <f ca="1">IFERROR(__xludf.DUMMYFUNCTION("""COMPUTED_VALUE"""),81.92)</f>
        <v>81.92</v>
      </c>
      <c r="T223" s="1">
        <f ca="1">IFERROR(__xludf.DUMMYFUNCTION("""COMPUTED_VALUE"""),9)</f>
        <v>9</v>
      </c>
      <c r="U223" s="9">
        <f ca="1">IFERROR(__xludf.DUMMYFUNCTION("""COMPUTED_VALUE"""),737.28)</f>
        <v>737.28</v>
      </c>
      <c r="V223" s="9">
        <f ca="1">IFERROR(__xludf.DUMMYFUNCTION("""COMPUTED_VALUE"""),735.21)</f>
        <v>735.21</v>
      </c>
      <c r="W223" s="12">
        <f ca="1">IFERROR(__xludf.DUMMYFUNCTION("""COMPUTED_VALUE"""),2.06999999999993)</f>
        <v>2.0699999999999301</v>
      </c>
    </row>
    <row r="224" spans="1:23" ht="13.2">
      <c r="A224" s="1" t="str">
        <f ca="1">IFERROR(__xludf.DUMMYFUNCTION("""COMPUTED_VALUE"""),"CA-2018-117212")</f>
        <v>CA-2018-117212</v>
      </c>
      <c r="B224" s="8">
        <f ca="1">IFERROR(__xludf.DUMMYFUNCTION("""COMPUTED_VALUE"""),43157)</f>
        <v>43157</v>
      </c>
      <c r="C224" s="1" t="str">
        <f ca="1">IFERROR(__xludf.DUMMYFUNCTION("""COMPUTED_VALUE"""),"Feb")</f>
        <v>Feb</v>
      </c>
      <c r="D224" s="1" t="str">
        <f ca="1">IFERROR(__xludf.DUMMYFUNCTION("""COMPUTED_VALUE"""),"Qtr 1")</f>
        <v>Qtr 1</v>
      </c>
      <c r="E224" s="1" t="str">
        <f ca="1">IFERROR(__xludf.DUMMYFUNCTION("""COMPUTED_VALUE"""),"28/02/2018")</f>
        <v>28/02/2018</v>
      </c>
      <c r="F224" s="1" t="str">
        <f ca="1">IFERROR(__xludf.DUMMYFUNCTION("""COMPUTED_VALUE"""),"Second Class")</f>
        <v>Second Class</v>
      </c>
      <c r="G224" s="1" t="str">
        <f ca="1">IFERROR(__xludf.DUMMYFUNCTION("""COMPUTED_VALUE"""),"BT-11530")</f>
        <v>BT-11530</v>
      </c>
      <c r="H224" s="1" t="str">
        <f ca="1">IFERROR(__xludf.DUMMYFUNCTION("""COMPUTED_VALUE"""),"Bradley")</f>
        <v>Bradley</v>
      </c>
      <c r="I224" s="1" t="str">
        <f ca="1">IFERROR(__xludf.DUMMYFUNCTION("""COMPUTED_VALUE"""),"Talbott")</f>
        <v>Talbott</v>
      </c>
      <c r="J224" s="1"/>
      <c r="K224" s="1" t="str">
        <f ca="1">IFERROR(__xludf.DUMMYFUNCTION("""COMPUTED_VALUE"""),"Home Office")</f>
        <v>Home Office</v>
      </c>
      <c r="L224" s="1" t="str">
        <f ca="1">IFERROR(__xludf.DUMMYFUNCTION("""COMPUTED_VALUE"""),"United States")</f>
        <v>United States</v>
      </c>
      <c r="M224" s="1" t="str">
        <f ca="1">IFERROR(__xludf.DUMMYFUNCTION("""COMPUTED_VALUE"""),"Los Angeles")</f>
        <v>Los Angeles</v>
      </c>
      <c r="N224" s="1" t="str">
        <f ca="1">IFERROR(__xludf.DUMMYFUNCTION("""COMPUTED_VALUE"""),"California")</f>
        <v>California</v>
      </c>
      <c r="O224" s="1">
        <f ca="1">IFERROR(__xludf.DUMMYFUNCTION("""COMPUTED_VALUE"""),90036)</f>
        <v>90036</v>
      </c>
      <c r="P224" s="1" t="str">
        <f ca="1">IFERROR(__xludf.DUMMYFUNCTION("""COMPUTED_VALUE"""),"West")</f>
        <v>West</v>
      </c>
      <c r="Q224" s="1" t="str">
        <f ca="1">IFERROR(__xludf.DUMMYFUNCTION("""COMPUTED_VALUE"""),"TEC-PH-10004447")</f>
        <v>TEC-PH-10004447</v>
      </c>
      <c r="R224" s="1" t="str">
        <f ca="1">IFERROR(__xludf.DUMMYFUNCTION("""COMPUTED_VALUE"""),"Technology")</f>
        <v>Technology</v>
      </c>
      <c r="S224" s="7">
        <f ca="1">IFERROR(__xludf.DUMMYFUNCTION("""COMPUTED_VALUE"""),889.536)</f>
        <v>889.53599999999994</v>
      </c>
      <c r="T224" s="1">
        <f ca="1">IFERROR(__xludf.DUMMYFUNCTION("""COMPUTED_VALUE"""),9)</f>
        <v>9</v>
      </c>
      <c r="U224" s="9">
        <f ca="1">IFERROR(__xludf.DUMMYFUNCTION("""COMPUTED_VALUE"""),8005.824)</f>
        <v>8005.8239999999996</v>
      </c>
      <c r="V224" s="9">
        <f ca="1">IFERROR(__xludf.DUMMYFUNCTION("""COMPUTED_VALUE"""),8001.72)</f>
        <v>8001.72</v>
      </c>
      <c r="W224" s="12">
        <f ca="1">IFERROR(__xludf.DUMMYFUNCTION("""COMPUTED_VALUE"""),4.10399999999936)</f>
        <v>4.1039999999993597</v>
      </c>
    </row>
    <row r="225" spans="1:23" ht="13.2">
      <c r="A225" s="1" t="str">
        <f ca="1">IFERROR(__xludf.DUMMYFUNCTION("""COMPUTED_VALUE"""),"CA-2018-117212")</f>
        <v>CA-2018-117212</v>
      </c>
      <c r="B225" s="8">
        <f ca="1">IFERROR(__xludf.DUMMYFUNCTION("""COMPUTED_VALUE"""),43157)</f>
        <v>43157</v>
      </c>
      <c r="C225" s="1" t="str">
        <f ca="1">IFERROR(__xludf.DUMMYFUNCTION("""COMPUTED_VALUE"""),"Feb")</f>
        <v>Feb</v>
      </c>
      <c r="D225" s="1" t="str">
        <f ca="1">IFERROR(__xludf.DUMMYFUNCTION("""COMPUTED_VALUE"""),"Qtr 1")</f>
        <v>Qtr 1</v>
      </c>
      <c r="E225" s="1" t="str">
        <f ca="1">IFERROR(__xludf.DUMMYFUNCTION("""COMPUTED_VALUE"""),"28/02/2018")</f>
        <v>28/02/2018</v>
      </c>
      <c r="F225" s="1" t="str">
        <f ca="1">IFERROR(__xludf.DUMMYFUNCTION("""COMPUTED_VALUE"""),"Second Class")</f>
        <v>Second Class</v>
      </c>
      <c r="G225" s="1" t="str">
        <f ca="1">IFERROR(__xludf.DUMMYFUNCTION("""COMPUTED_VALUE"""),"BT-11530")</f>
        <v>BT-11530</v>
      </c>
      <c r="H225" s="1" t="str">
        <f ca="1">IFERROR(__xludf.DUMMYFUNCTION("""COMPUTED_VALUE"""),"Bradley")</f>
        <v>Bradley</v>
      </c>
      <c r="I225" s="1" t="str">
        <f ca="1">IFERROR(__xludf.DUMMYFUNCTION("""COMPUTED_VALUE"""),"Talbott")</f>
        <v>Talbott</v>
      </c>
      <c r="J225" s="1"/>
      <c r="K225" s="1" t="str">
        <f ca="1">IFERROR(__xludf.DUMMYFUNCTION("""COMPUTED_VALUE"""),"Home Office")</f>
        <v>Home Office</v>
      </c>
      <c r="L225" s="1" t="str">
        <f ca="1">IFERROR(__xludf.DUMMYFUNCTION("""COMPUTED_VALUE"""),"United States")</f>
        <v>United States</v>
      </c>
      <c r="M225" s="1" t="str">
        <f ca="1">IFERROR(__xludf.DUMMYFUNCTION("""COMPUTED_VALUE"""),"Los Angeles")</f>
        <v>Los Angeles</v>
      </c>
      <c r="N225" s="1" t="str">
        <f ca="1">IFERROR(__xludf.DUMMYFUNCTION("""COMPUTED_VALUE"""),"California")</f>
        <v>California</v>
      </c>
      <c r="O225" s="1">
        <f ca="1">IFERROR(__xludf.DUMMYFUNCTION("""COMPUTED_VALUE"""),90036)</f>
        <v>90036</v>
      </c>
      <c r="P225" s="1" t="str">
        <f ca="1">IFERROR(__xludf.DUMMYFUNCTION("""COMPUTED_VALUE"""),"West")</f>
        <v>West</v>
      </c>
      <c r="Q225" s="1" t="str">
        <f ca="1">IFERROR(__xludf.DUMMYFUNCTION("""COMPUTED_VALUE"""),"FUR-CH-10003973")</f>
        <v>FUR-CH-10003973</v>
      </c>
      <c r="R225" s="1" t="str">
        <f ca="1">IFERROR(__xludf.DUMMYFUNCTION("""COMPUTED_VALUE"""),"Furniture")</f>
        <v>Furniture</v>
      </c>
      <c r="S225" s="7">
        <f ca="1">IFERROR(__xludf.DUMMYFUNCTION("""COMPUTED_VALUE"""),892.224)</f>
        <v>892.22400000000005</v>
      </c>
      <c r="T225" s="1">
        <f ca="1">IFERROR(__xludf.DUMMYFUNCTION("""COMPUTED_VALUE"""),9)</f>
        <v>9</v>
      </c>
      <c r="U225" s="9">
        <f ca="1">IFERROR(__xludf.DUMMYFUNCTION("""COMPUTED_VALUE"""),8030.016)</f>
        <v>8030.0159999999996</v>
      </c>
      <c r="V225" s="9">
        <f ca="1">IFERROR(__xludf.DUMMYFUNCTION("""COMPUTED_VALUE"""),8023.76999999999)</f>
        <v>8023.7699999999904</v>
      </c>
      <c r="W225" s="12">
        <f ca="1">IFERROR(__xludf.DUMMYFUNCTION("""COMPUTED_VALUE"""),6.246000000001)</f>
        <v>6.2460000000009996</v>
      </c>
    </row>
    <row r="226" spans="1:23" ht="13.2">
      <c r="A226" s="1" t="str">
        <f ca="1">IFERROR(__xludf.DUMMYFUNCTION("""COMPUTED_VALUE"""),"CA-2018-117212")</f>
        <v>CA-2018-117212</v>
      </c>
      <c r="B226" s="8">
        <f ca="1">IFERROR(__xludf.DUMMYFUNCTION("""COMPUTED_VALUE"""),43157)</f>
        <v>43157</v>
      </c>
      <c r="C226" s="1" t="str">
        <f ca="1">IFERROR(__xludf.DUMMYFUNCTION("""COMPUTED_VALUE"""),"Feb")</f>
        <v>Feb</v>
      </c>
      <c r="D226" s="1" t="str">
        <f ca="1">IFERROR(__xludf.DUMMYFUNCTION("""COMPUTED_VALUE"""),"Qtr 1")</f>
        <v>Qtr 1</v>
      </c>
      <c r="E226" s="1" t="str">
        <f ca="1">IFERROR(__xludf.DUMMYFUNCTION("""COMPUTED_VALUE"""),"28/02/2018")</f>
        <v>28/02/2018</v>
      </c>
      <c r="F226" s="1" t="str">
        <f ca="1">IFERROR(__xludf.DUMMYFUNCTION("""COMPUTED_VALUE"""),"Second Class")</f>
        <v>Second Class</v>
      </c>
      <c r="G226" s="1" t="str">
        <f ca="1">IFERROR(__xludf.DUMMYFUNCTION("""COMPUTED_VALUE"""),"BT-11530")</f>
        <v>BT-11530</v>
      </c>
      <c r="H226" s="1" t="str">
        <f ca="1">IFERROR(__xludf.DUMMYFUNCTION("""COMPUTED_VALUE"""),"Bradley")</f>
        <v>Bradley</v>
      </c>
      <c r="I226" s="1" t="str">
        <f ca="1">IFERROR(__xludf.DUMMYFUNCTION("""COMPUTED_VALUE"""),"Talbott")</f>
        <v>Talbott</v>
      </c>
      <c r="J226" s="1"/>
      <c r="K226" s="1" t="str">
        <f ca="1">IFERROR(__xludf.DUMMYFUNCTION("""COMPUTED_VALUE"""),"Home Office")</f>
        <v>Home Office</v>
      </c>
      <c r="L226" s="1" t="str">
        <f ca="1">IFERROR(__xludf.DUMMYFUNCTION("""COMPUTED_VALUE"""),"United States")</f>
        <v>United States</v>
      </c>
      <c r="M226" s="1" t="str">
        <f ca="1">IFERROR(__xludf.DUMMYFUNCTION("""COMPUTED_VALUE"""),"Los Angeles")</f>
        <v>Los Angeles</v>
      </c>
      <c r="N226" s="1" t="str">
        <f ca="1">IFERROR(__xludf.DUMMYFUNCTION("""COMPUTED_VALUE"""),"California")</f>
        <v>California</v>
      </c>
      <c r="O226" s="1">
        <f ca="1">IFERROR(__xludf.DUMMYFUNCTION("""COMPUTED_VALUE"""),90036)</f>
        <v>90036</v>
      </c>
      <c r="P226" s="1" t="str">
        <f ca="1">IFERROR(__xludf.DUMMYFUNCTION("""COMPUTED_VALUE"""),"West")</f>
        <v>West</v>
      </c>
      <c r="Q226" s="1" t="str">
        <f ca="1">IFERROR(__xludf.DUMMYFUNCTION("""COMPUTED_VALUE"""),"OFF-PA-10001970")</f>
        <v>OFF-PA-10001970</v>
      </c>
      <c r="R226" s="1" t="str">
        <f ca="1">IFERROR(__xludf.DUMMYFUNCTION("""COMPUTED_VALUE"""),"Office Supplies")</f>
        <v>Office Supplies</v>
      </c>
      <c r="S226" s="7">
        <f ca="1">IFERROR(__xludf.DUMMYFUNCTION("""COMPUTED_VALUE"""),223.92)</f>
        <v>223.92</v>
      </c>
      <c r="T226" s="1">
        <f ca="1">IFERROR(__xludf.DUMMYFUNCTION("""COMPUTED_VALUE"""),9)</f>
        <v>9</v>
      </c>
      <c r="U226" s="9">
        <f ca="1">IFERROR(__xludf.DUMMYFUNCTION("""COMPUTED_VALUE"""),2015.28)</f>
        <v>2015.28</v>
      </c>
      <c r="V226" s="9">
        <f ca="1">IFERROR(__xludf.DUMMYFUNCTION("""COMPUTED_VALUE"""),2009.87999999999)</f>
        <v>2009.8799999999901</v>
      </c>
      <c r="W226" s="12">
        <f ca="1">IFERROR(__xludf.DUMMYFUNCTION("""COMPUTED_VALUE"""),5.40000000000009)</f>
        <v>5.4000000000000901</v>
      </c>
    </row>
    <row r="227" spans="1:23" ht="13.2">
      <c r="A227" s="1" t="str">
        <f ca="1">IFERROR(__xludf.DUMMYFUNCTION("""COMPUTED_VALUE"""),"CA-2018-117212")</f>
        <v>CA-2018-117212</v>
      </c>
      <c r="B227" s="8">
        <f ca="1">IFERROR(__xludf.DUMMYFUNCTION("""COMPUTED_VALUE"""),43157)</f>
        <v>43157</v>
      </c>
      <c r="C227" s="1" t="str">
        <f ca="1">IFERROR(__xludf.DUMMYFUNCTION("""COMPUTED_VALUE"""),"Feb")</f>
        <v>Feb</v>
      </c>
      <c r="D227" s="1" t="str">
        <f ca="1">IFERROR(__xludf.DUMMYFUNCTION("""COMPUTED_VALUE"""),"Qtr 1")</f>
        <v>Qtr 1</v>
      </c>
      <c r="E227" s="1" t="str">
        <f ca="1">IFERROR(__xludf.DUMMYFUNCTION("""COMPUTED_VALUE"""),"28/02/2018")</f>
        <v>28/02/2018</v>
      </c>
      <c r="F227" s="1" t="str">
        <f ca="1">IFERROR(__xludf.DUMMYFUNCTION("""COMPUTED_VALUE"""),"Second Class")</f>
        <v>Second Class</v>
      </c>
      <c r="G227" s="1" t="str">
        <f ca="1">IFERROR(__xludf.DUMMYFUNCTION("""COMPUTED_VALUE"""),"BT-11530")</f>
        <v>BT-11530</v>
      </c>
      <c r="H227" s="1" t="str">
        <f ca="1">IFERROR(__xludf.DUMMYFUNCTION("""COMPUTED_VALUE"""),"Bradley")</f>
        <v>Bradley</v>
      </c>
      <c r="I227" s="1" t="str">
        <f ca="1">IFERROR(__xludf.DUMMYFUNCTION("""COMPUTED_VALUE"""),"Talbott")</f>
        <v>Talbott</v>
      </c>
      <c r="J227" s="1"/>
      <c r="K227" s="1" t="str">
        <f ca="1">IFERROR(__xludf.DUMMYFUNCTION("""COMPUTED_VALUE"""),"Home Office")</f>
        <v>Home Office</v>
      </c>
      <c r="L227" s="1" t="str">
        <f ca="1">IFERROR(__xludf.DUMMYFUNCTION("""COMPUTED_VALUE"""),"United States")</f>
        <v>United States</v>
      </c>
      <c r="M227" s="1" t="str">
        <f ca="1">IFERROR(__xludf.DUMMYFUNCTION("""COMPUTED_VALUE"""),"Los Angeles")</f>
        <v>Los Angeles</v>
      </c>
      <c r="N227" s="1" t="str">
        <f ca="1">IFERROR(__xludf.DUMMYFUNCTION("""COMPUTED_VALUE"""),"California")</f>
        <v>California</v>
      </c>
      <c r="O227" s="1">
        <f ca="1">IFERROR(__xludf.DUMMYFUNCTION("""COMPUTED_VALUE"""),90036)</f>
        <v>90036</v>
      </c>
      <c r="P227" s="1" t="str">
        <f ca="1">IFERROR(__xludf.DUMMYFUNCTION("""COMPUTED_VALUE"""),"West")</f>
        <v>West</v>
      </c>
      <c r="Q227" s="1" t="str">
        <f ca="1">IFERROR(__xludf.DUMMYFUNCTION("""COMPUTED_VALUE"""),"OFF-PA-10000682")</f>
        <v>OFF-PA-10000682</v>
      </c>
      <c r="R227" s="1" t="str">
        <f ca="1">IFERROR(__xludf.DUMMYFUNCTION("""COMPUTED_VALUE"""),"Office Supplies")</f>
        <v>Office Supplies</v>
      </c>
      <c r="S227" s="7">
        <f ca="1">IFERROR(__xludf.DUMMYFUNCTION("""COMPUTED_VALUE"""),23.12)</f>
        <v>23.12</v>
      </c>
      <c r="T227" s="1">
        <f ca="1">IFERROR(__xludf.DUMMYFUNCTION("""COMPUTED_VALUE"""),9)</f>
        <v>9</v>
      </c>
      <c r="U227" s="9">
        <f ca="1">IFERROR(__xludf.DUMMYFUNCTION("""COMPUTED_VALUE"""),208.08)</f>
        <v>208.08</v>
      </c>
      <c r="V227" s="9">
        <f ca="1">IFERROR(__xludf.DUMMYFUNCTION("""COMPUTED_VALUE"""),204.75)</f>
        <v>204.75</v>
      </c>
      <c r="W227" s="12">
        <f ca="1">IFERROR(__xludf.DUMMYFUNCTION("""COMPUTED_VALUE"""),3.33000000000001)</f>
        <v>3.3300000000000098</v>
      </c>
    </row>
    <row r="228" spans="1:23" ht="13.2">
      <c r="A228" s="1" t="str">
        <f ca="1">IFERROR(__xludf.DUMMYFUNCTION("""COMPUTED_VALUE"""),"CA-2015-110184")</f>
        <v>CA-2015-110184</v>
      </c>
      <c r="B228" s="8">
        <f ca="1">IFERROR(__xludf.DUMMYFUNCTION("""COMPUTED_VALUE"""),42345)</f>
        <v>42345</v>
      </c>
      <c r="C228" s="1" t="str">
        <f ca="1">IFERROR(__xludf.DUMMYFUNCTION("""COMPUTED_VALUE"""),"Dec")</f>
        <v>Dec</v>
      </c>
      <c r="D228" s="1" t="str">
        <f ca="1">IFERROR(__xludf.DUMMYFUNCTION("""COMPUTED_VALUE"""),"Qtr 4")</f>
        <v>Qtr 4</v>
      </c>
      <c r="E228" s="1" t="str">
        <f ca="1">IFERROR(__xludf.DUMMYFUNCTION("""COMPUTED_VALUE"""),"16/07/2015")</f>
        <v>16/07/2015</v>
      </c>
      <c r="F228" s="1" t="str">
        <f ca="1">IFERROR(__xludf.DUMMYFUNCTION("""COMPUTED_VALUE"""),"Standard Class")</f>
        <v>Standard Class</v>
      </c>
      <c r="G228" s="1" t="str">
        <f ca="1">IFERROR(__xludf.DUMMYFUNCTION("""COMPUTED_VALUE"""),"BF-11170")</f>
        <v>BF-11170</v>
      </c>
      <c r="H228" s="1" t="str">
        <f ca="1">IFERROR(__xludf.DUMMYFUNCTION("""COMPUTED_VALUE"""),"Ben")</f>
        <v>Ben</v>
      </c>
      <c r="I228" s="1" t="str">
        <f ca="1">IFERROR(__xludf.DUMMYFUNCTION("""COMPUTED_VALUE"""),"Ferrer")</f>
        <v>Ferrer</v>
      </c>
      <c r="J228" s="1"/>
      <c r="K228" s="1" t="str">
        <f ca="1">IFERROR(__xludf.DUMMYFUNCTION("""COMPUTED_VALUE"""),"Home Office")</f>
        <v>Home Office</v>
      </c>
      <c r="L228" s="1" t="str">
        <f ca="1">IFERROR(__xludf.DUMMYFUNCTION("""COMPUTED_VALUE"""),"United States")</f>
        <v>United States</v>
      </c>
      <c r="M228" s="1" t="str">
        <f ca="1">IFERROR(__xludf.DUMMYFUNCTION("""COMPUTED_VALUE"""),"Los Angeles")</f>
        <v>Los Angeles</v>
      </c>
      <c r="N228" s="1" t="str">
        <f ca="1">IFERROR(__xludf.DUMMYFUNCTION("""COMPUTED_VALUE"""),"California")</f>
        <v>California</v>
      </c>
      <c r="O228" s="1">
        <f ca="1">IFERROR(__xludf.DUMMYFUNCTION("""COMPUTED_VALUE"""),90036)</f>
        <v>90036</v>
      </c>
      <c r="P228" s="1" t="str">
        <f ca="1">IFERROR(__xludf.DUMMYFUNCTION("""COMPUTED_VALUE"""),"West")</f>
        <v>West</v>
      </c>
      <c r="Q228" s="1" t="str">
        <f ca="1">IFERROR(__xludf.DUMMYFUNCTION("""COMPUTED_VALUE"""),"OFF-ST-10000107")</f>
        <v>OFF-ST-10000107</v>
      </c>
      <c r="R228" s="1" t="str">
        <f ca="1">IFERROR(__xludf.DUMMYFUNCTION("""COMPUTED_VALUE"""),"Office Supplies")</f>
        <v>Office Supplies</v>
      </c>
      <c r="S228" s="7">
        <f ca="1">IFERROR(__xludf.DUMMYFUNCTION("""COMPUTED_VALUE"""),249.75)</f>
        <v>249.75</v>
      </c>
      <c r="T228" s="1">
        <f ca="1">IFERROR(__xludf.DUMMYFUNCTION("""COMPUTED_VALUE"""),9)</f>
        <v>9</v>
      </c>
      <c r="U228" s="9">
        <f ca="1">IFERROR(__xludf.DUMMYFUNCTION("""COMPUTED_VALUE"""),2247.75)</f>
        <v>2247.75</v>
      </c>
      <c r="V228" s="9">
        <f ca="1">IFERROR(__xludf.DUMMYFUNCTION("""COMPUTED_VALUE"""),2243.79)</f>
        <v>2243.79</v>
      </c>
      <c r="W228" s="12">
        <f ca="1">IFERROR(__xludf.DUMMYFUNCTION("""COMPUTED_VALUE"""),3.96000000000003)</f>
        <v>3.9600000000000302</v>
      </c>
    </row>
    <row r="229" spans="1:23" ht="13.2">
      <c r="A229" s="1" t="str">
        <f ca="1">IFERROR(__xludf.DUMMYFUNCTION("""COMPUTED_VALUE"""),"CA-2015-110184")</f>
        <v>CA-2015-110184</v>
      </c>
      <c r="B229" s="8">
        <f ca="1">IFERROR(__xludf.DUMMYFUNCTION("""COMPUTED_VALUE"""),42345)</f>
        <v>42345</v>
      </c>
      <c r="C229" s="1" t="str">
        <f ca="1">IFERROR(__xludf.DUMMYFUNCTION("""COMPUTED_VALUE"""),"Dec")</f>
        <v>Dec</v>
      </c>
      <c r="D229" s="1" t="str">
        <f ca="1">IFERROR(__xludf.DUMMYFUNCTION("""COMPUTED_VALUE"""),"Qtr 4")</f>
        <v>Qtr 4</v>
      </c>
      <c r="E229" s="1" t="str">
        <f ca="1">IFERROR(__xludf.DUMMYFUNCTION("""COMPUTED_VALUE"""),"16/07/2015")</f>
        <v>16/07/2015</v>
      </c>
      <c r="F229" s="1" t="str">
        <f ca="1">IFERROR(__xludf.DUMMYFUNCTION("""COMPUTED_VALUE"""),"Standard Class")</f>
        <v>Standard Class</v>
      </c>
      <c r="G229" s="1" t="str">
        <f ca="1">IFERROR(__xludf.DUMMYFUNCTION("""COMPUTED_VALUE"""),"BF-11170")</f>
        <v>BF-11170</v>
      </c>
      <c r="H229" s="1" t="str">
        <f ca="1">IFERROR(__xludf.DUMMYFUNCTION("""COMPUTED_VALUE"""),"Ben")</f>
        <v>Ben</v>
      </c>
      <c r="I229" s="1" t="str">
        <f ca="1">IFERROR(__xludf.DUMMYFUNCTION("""COMPUTED_VALUE"""),"Ferrer")</f>
        <v>Ferrer</v>
      </c>
      <c r="J229" s="1"/>
      <c r="K229" s="1" t="str">
        <f ca="1">IFERROR(__xludf.DUMMYFUNCTION("""COMPUTED_VALUE"""),"Home Office")</f>
        <v>Home Office</v>
      </c>
      <c r="L229" s="1" t="str">
        <f ca="1">IFERROR(__xludf.DUMMYFUNCTION("""COMPUTED_VALUE"""),"United States")</f>
        <v>United States</v>
      </c>
      <c r="M229" s="1" t="str">
        <f ca="1">IFERROR(__xludf.DUMMYFUNCTION("""COMPUTED_VALUE"""),"Los Angeles")</f>
        <v>Los Angeles</v>
      </c>
      <c r="N229" s="1" t="str">
        <f ca="1">IFERROR(__xludf.DUMMYFUNCTION("""COMPUTED_VALUE"""),"California")</f>
        <v>California</v>
      </c>
      <c r="O229" s="1">
        <f ca="1">IFERROR(__xludf.DUMMYFUNCTION("""COMPUTED_VALUE"""),90036)</f>
        <v>90036</v>
      </c>
      <c r="P229" s="1" t="str">
        <f ca="1">IFERROR(__xludf.DUMMYFUNCTION("""COMPUTED_VALUE"""),"West")</f>
        <v>West</v>
      </c>
      <c r="Q229" s="1" t="str">
        <f ca="1">IFERROR(__xludf.DUMMYFUNCTION("""COMPUTED_VALUE"""),"TEC-PH-10000439")</f>
        <v>TEC-PH-10000439</v>
      </c>
      <c r="R229" s="1" t="str">
        <f ca="1">IFERROR(__xludf.DUMMYFUNCTION("""COMPUTED_VALUE"""),"Technology")</f>
        <v>Technology</v>
      </c>
      <c r="S229" s="7">
        <f ca="1">IFERROR(__xludf.DUMMYFUNCTION("""COMPUTED_VALUE"""),255.936)</f>
        <v>255.93600000000001</v>
      </c>
      <c r="T229" s="1">
        <f ca="1">IFERROR(__xludf.DUMMYFUNCTION("""COMPUTED_VALUE"""),9)</f>
        <v>9</v>
      </c>
      <c r="U229" s="9">
        <f ca="1">IFERROR(__xludf.DUMMYFUNCTION("""COMPUTED_VALUE"""),2303.424)</f>
        <v>2303.424</v>
      </c>
      <c r="V229" s="9">
        <f ca="1">IFERROR(__xludf.DUMMYFUNCTION("""COMPUTED_VALUE"""),2298.96)</f>
        <v>2298.96</v>
      </c>
      <c r="W229" s="12">
        <f ca="1">IFERROR(__xludf.DUMMYFUNCTION("""COMPUTED_VALUE"""),4.46399999999994)</f>
        <v>4.46399999999994</v>
      </c>
    </row>
    <row r="230" spans="1:23" ht="13.2">
      <c r="A230" s="1" t="str">
        <f ca="1">IFERROR(__xludf.DUMMYFUNCTION("""COMPUTED_VALUE"""),"CA-2018-100013")</f>
        <v>CA-2018-100013</v>
      </c>
      <c r="B230" s="8">
        <f ca="1">IFERROR(__xludf.DUMMYFUNCTION("""COMPUTED_VALUE"""),43262)</f>
        <v>43262</v>
      </c>
      <c r="C230" s="1" t="str">
        <f ca="1">IFERROR(__xludf.DUMMYFUNCTION("""COMPUTED_VALUE"""),"Jun")</f>
        <v>Jun</v>
      </c>
      <c r="D230" s="1" t="str">
        <f ca="1">IFERROR(__xludf.DUMMYFUNCTION("""COMPUTED_VALUE"""),"Qtr 2")</f>
        <v>Qtr 2</v>
      </c>
      <c r="E230" s="1" t="str">
        <f ca="1">IFERROR(__xludf.DUMMYFUNCTION("""COMPUTED_VALUE"""),"11/11/2018")</f>
        <v>11/11/2018</v>
      </c>
      <c r="F230" s="1" t="str">
        <f ca="1">IFERROR(__xludf.DUMMYFUNCTION("""COMPUTED_VALUE"""),"Standard Class")</f>
        <v>Standard Class</v>
      </c>
      <c r="G230" s="1" t="str">
        <f ca="1">IFERROR(__xludf.DUMMYFUNCTION("""COMPUTED_VALUE"""),"ZC-21910")</f>
        <v>ZC-21910</v>
      </c>
      <c r="H230" s="1" t="str">
        <f ca="1">IFERROR(__xludf.DUMMYFUNCTION("""COMPUTED_VALUE"""),"Zuschuss")</f>
        <v>Zuschuss</v>
      </c>
      <c r="I230" s="1" t="str">
        <f ca="1">IFERROR(__xludf.DUMMYFUNCTION("""COMPUTED_VALUE"""),"Carroll")</f>
        <v>Carroll</v>
      </c>
      <c r="J230" s="1"/>
      <c r="K230" s="1" t="str">
        <f ca="1">IFERROR(__xludf.DUMMYFUNCTION("""COMPUTED_VALUE"""),"Consumer")</f>
        <v>Consumer</v>
      </c>
      <c r="L230" s="1" t="str">
        <f ca="1">IFERROR(__xludf.DUMMYFUNCTION("""COMPUTED_VALUE"""),"United States")</f>
        <v>United States</v>
      </c>
      <c r="M230" s="1" t="str">
        <f ca="1">IFERROR(__xludf.DUMMYFUNCTION("""COMPUTED_VALUE"""),"Los Angeles")</f>
        <v>Los Angeles</v>
      </c>
      <c r="N230" s="1" t="str">
        <f ca="1">IFERROR(__xludf.DUMMYFUNCTION("""COMPUTED_VALUE"""),"California")</f>
        <v>California</v>
      </c>
      <c r="O230" s="1">
        <f ca="1">IFERROR(__xludf.DUMMYFUNCTION("""COMPUTED_VALUE"""),90045)</f>
        <v>90045</v>
      </c>
      <c r="P230" s="1" t="str">
        <f ca="1">IFERROR(__xludf.DUMMYFUNCTION("""COMPUTED_VALUE"""),"West")</f>
        <v>West</v>
      </c>
      <c r="Q230" s="1" t="str">
        <f ca="1">IFERROR(__xludf.DUMMYFUNCTION("""COMPUTED_VALUE"""),"OFF-EN-10001219")</f>
        <v>OFF-EN-10001219</v>
      </c>
      <c r="R230" s="1" t="str">
        <f ca="1">IFERROR(__xludf.DUMMYFUNCTION("""COMPUTED_VALUE"""),"Office Supplies")</f>
        <v>Office Supplies</v>
      </c>
      <c r="S230" s="7">
        <f ca="1">IFERROR(__xludf.DUMMYFUNCTION("""COMPUTED_VALUE"""),15.28)</f>
        <v>15.28</v>
      </c>
      <c r="T230" s="1">
        <f ca="1">IFERROR(__xludf.DUMMYFUNCTION("""COMPUTED_VALUE"""),9)</f>
        <v>9</v>
      </c>
      <c r="U230" s="9">
        <f ca="1">IFERROR(__xludf.DUMMYFUNCTION("""COMPUTED_VALUE"""),137.519999999999)</f>
        <v>137.51999999999899</v>
      </c>
      <c r="V230" s="9">
        <f ca="1">IFERROR(__xludf.DUMMYFUNCTION("""COMPUTED_VALUE"""),133.74)</f>
        <v>133.74</v>
      </c>
      <c r="W230" s="12">
        <f ca="1">IFERROR(__xludf.DUMMYFUNCTION("""COMPUTED_VALUE"""),3.77999999999997)</f>
        <v>3.7799999999999701</v>
      </c>
    </row>
    <row r="231" spans="1:23" ht="13.2">
      <c r="A231" s="1" t="str">
        <f ca="1">IFERROR(__xludf.DUMMYFUNCTION("""COMPUTED_VALUE"""),"CA-2018-100013")</f>
        <v>CA-2018-100013</v>
      </c>
      <c r="B231" s="8">
        <f ca="1">IFERROR(__xludf.DUMMYFUNCTION("""COMPUTED_VALUE"""),43262)</f>
        <v>43262</v>
      </c>
      <c r="C231" s="1" t="str">
        <f ca="1">IFERROR(__xludf.DUMMYFUNCTION("""COMPUTED_VALUE"""),"Jun")</f>
        <v>Jun</v>
      </c>
      <c r="D231" s="1" t="str">
        <f ca="1">IFERROR(__xludf.DUMMYFUNCTION("""COMPUTED_VALUE"""),"Qtr 2")</f>
        <v>Qtr 2</v>
      </c>
      <c r="E231" s="1" t="str">
        <f ca="1">IFERROR(__xludf.DUMMYFUNCTION("""COMPUTED_VALUE"""),"11/11/2018")</f>
        <v>11/11/2018</v>
      </c>
      <c r="F231" s="1" t="str">
        <f ca="1">IFERROR(__xludf.DUMMYFUNCTION("""COMPUTED_VALUE"""),"Standard Class")</f>
        <v>Standard Class</v>
      </c>
      <c r="G231" s="1" t="str">
        <f ca="1">IFERROR(__xludf.DUMMYFUNCTION("""COMPUTED_VALUE"""),"ZC-21910")</f>
        <v>ZC-21910</v>
      </c>
      <c r="H231" s="1" t="str">
        <f ca="1">IFERROR(__xludf.DUMMYFUNCTION("""COMPUTED_VALUE"""),"Zuschuss")</f>
        <v>Zuschuss</v>
      </c>
      <c r="I231" s="1" t="str">
        <f ca="1">IFERROR(__xludf.DUMMYFUNCTION("""COMPUTED_VALUE"""),"Carroll")</f>
        <v>Carroll</v>
      </c>
      <c r="J231" s="1"/>
      <c r="K231" s="1" t="str">
        <f ca="1">IFERROR(__xludf.DUMMYFUNCTION("""COMPUTED_VALUE"""),"Consumer")</f>
        <v>Consumer</v>
      </c>
      <c r="L231" s="1" t="str">
        <f ca="1">IFERROR(__xludf.DUMMYFUNCTION("""COMPUTED_VALUE"""),"United States")</f>
        <v>United States</v>
      </c>
      <c r="M231" s="1" t="str">
        <f ca="1">IFERROR(__xludf.DUMMYFUNCTION("""COMPUTED_VALUE"""),"Los Angeles")</f>
        <v>Los Angeles</v>
      </c>
      <c r="N231" s="1" t="str">
        <f ca="1">IFERROR(__xludf.DUMMYFUNCTION("""COMPUTED_VALUE"""),"California")</f>
        <v>California</v>
      </c>
      <c r="O231" s="1">
        <f ca="1">IFERROR(__xludf.DUMMYFUNCTION("""COMPUTED_VALUE"""),90045)</f>
        <v>90045</v>
      </c>
      <c r="P231" s="1" t="str">
        <f ca="1">IFERROR(__xludf.DUMMYFUNCTION("""COMPUTED_VALUE"""),"West")</f>
        <v>West</v>
      </c>
      <c r="Q231" s="1" t="str">
        <f ca="1">IFERROR(__xludf.DUMMYFUNCTION("""COMPUTED_VALUE"""),"FUR-FU-10001424")</f>
        <v>FUR-FU-10001424</v>
      </c>
      <c r="R231" s="1" t="str">
        <f ca="1">IFERROR(__xludf.DUMMYFUNCTION("""COMPUTED_VALUE"""),"Furniture")</f>
        <v>Furniture</v>
      </c>
      <c r="S231" s="7">
        <f ca="1">IFERROR(__xludf.DUMMYFUNCTION("""COMPUTED_VALUE"""),8.73)</f>
        <v>8.73</v>
      </c>
      <c r="T231" s="1">
        <f ca="1">IFERROR(__xludf.DUMMYFUNCTION("""COMPUTED_VALUE"""),9)</f>
        <v>9</v>
      </c>
      <c r="U231" s="9">
        <f ca="1">IFERROR(__xludf.DUMMYFUNCTION("""COMPUTED_VALUE"""),78.57)</f>
        <v>78.569999999999993</v>
      </c>
      <c r="V231" s="9">
        <f ca="1">IFERROR(__xludf.DUMMYFUNCTION("""COMPUTED_VALUE"""),74.4299999999999)</f>
        <v>74.429999999999893</v>
      </c>
      <c r="W231" s="12">
        <f ca="1">IFERROR(__xludf.DUMMYFUNCTION("""COMPUTED_VALUE"""),4.14000000000001)</f>
        <v>4.1400000000000103</v>
      </c>
    </row>
    <row r="232" spans="1:23" ht="13.2">
      <c r="A232" s="1" t="str">
        <f ca="1">IFERROR(__xludf.DUMMYFUNCTION("""COMPUTED_VALUE"""),"CA-2018-100013")</f>
        <v>CA-2018-100013</v>
      </c>
      <c r="B232" s="8">
        <f ca="1">IFERROR(__xludf.DUMMYFUNCTION("""COMPUTED_VALUE"""),43262)</f>
        <v>43262</v>
      </c>
      <c r="C232" s="1" t="str">
        <f ca="1">IFERROR(__xludf.DUMMYFUNCTION("""COMPUTED_VALUE"""),"Jun")</f>
        <v>Jun</v>
      </c>
      <c r="D232" s="1" t="str">
        <f ca="1">IFERROR(__xludf.DUMMYFUNCTION("""COMPUTED_VALUE"""),"Qtr 2")</f>
        <v>Qtr 2</v>
      </c>
      <c r="E232" s="1" t="str">
        <f ca="1">IFERROR(__xludf.DUMMYFUNCTION("""COMPUTED_VALUE"""),"11/11/2018")</f>
        <v>11/11/2018</v>
      </c>
      <c r="F232" s="1" t="str">
        <f ca="1">IFERROR(__xludf.DUMMYFUNCTION("""COMPUTED_VALUE"""),"Standard Class")</f>
        <v>Standard Class</v>
      </c>
      <c r="G232" s="1" t="str">
        <f ca="1">IFERROR(__xludf.DUMMYFUNCTION("""COMPUTED_VALUE"""),"ZC-21910")</f>
        <v>ZC-21910</v>
      </c>
      <c r="H232" s="1" t="str">
        <f ca="1">IFERROR(__xludf.DUMMYFUNCTION("""COMPUTED_VALUE"""),"Zuschuss")</f>
        <v>Zuschuss</v>
      </c>
      <c r="I232" s="1" t="str">
        <f ca="1">IFERROR(__xludf.DUMMYFUNCTION("""COMPUTED_VALUE"""),"Carroll")</f>
        <v>Carroll</v>
      </c>
      <c r="J232" s="1"/>
      <c r="K232" s="1" t="str">
        <f ca="1">IFERROR(__xludf.DUMMYFUNCTION("""COMPUTED_VALUE"""),"Consumer")</f>
        <v>Consumer</v>
      </c>
      <c r="L232" s="1" t="str">
        <f ca="1">IFERROR(__xludf.DUMMYFUNCTION("""COMPUTED_VALUE"""),"United States")</f>
        <v>United States</v>
      </c>
      <c r="M232" s="1" t="str">
        <f ca="1">IFERROR(__xludf.DUMMYFUNCTION("""COMPUTED_VALUE"""),"Los Angeles")</f>
        <v>Los Angeles</v>
      </c>
      <c r="N232" s="1" t="str">
        <f ca="1">IFERROR(__xludf.DUMMYFUNCTION("""COMPUTED_VALUE"""),"California")</f>
        <v>California</v>
      </c>
      <c r="O232" s="1">
        <f ca="1">IFERROR(__xludf.DUMMYFUNCTION("""COMPUTED_VALUE"""),90045)</f>
        <v>90045</v>
      </c>
      <c r="P232" s="1" t="str">
        <f ca="1">IFERROR(__xludf.DUMMYFUNCTION("""COMPUTED_VALUE"""),"West")</f>
        <v>West</v>
      </c>
      <c r="Q232" s="1" t="str">
        <f ca="1">IFERROR(__xludf.DUMMYFUNCTION("""COMPUTED_VALUE"""),"OFF-AR-10001022")</f>
        <v>OFF-AR-10001022</v>
      </c>
      <c r="R232" s="1" t="str">
        <f ca="1">IFERROR(__xludf.DUMMYFUNCTION("""COMPUTED_VALUE"""),"Office Supplies")</f>
        <v>Office Supplies</v>
      </c>
      <c r="S232" s="7">
        <f ca="1">IFERROR(__xludf.DUMMYFUNCTION("""COMPUTED_VALUE"""),5.68)</f>
        <v>5.68</v>
      </c>
      <c r="T232" s="1">
        <f ca="1">IFERROR(__xludf.DUMMYFUNCTION("""COMPUTED_VALUE"""),9)</f>
        <v>9</v>
      </c>
      <c r="U232" s="9">
        <f ca="1">IFERROR(__xludf.DUMMYFUNCTION("""COMPUTED_VALUE"""),51.12)</f>
        <v>51.12</v>
      </c>
      <c r="V232" s="9">
        <f ca="1">IFERROR(__xludf.DUMMYFUNCTION("""COMPUTED_VALUE"""),43.47)</f>
        <v>43.47</v>
      </c>
      <c r="W232" s="12">
        <f ca="1">IFERROR(__xludf.DUMMYFUNCTION("""COMPUTED_VALUE"""),7.64999999999999)</f>
        <v>7.6499999999999897</v>
      </c>
    </row>
    <row r="233" spans="1:23" ht="13.2">
      <c r="A233" s="1" t="str">
        <f ca="1">IFERROR(__xludf.DUMMYFUNCTION("""COMPUTED_VALUE"""),"CA-2015-168494")</f>
        <v>CA-2015-168494</v>
      </c>
      <c r="B233" s="8">
        <f ca="1">IFERROR(__xludf.DUMMYFUNCTION("""COMPUTED_VALUE"""),42350)</f>
        <v>42350</v>
      </c>
      <c r="C233" s="1" t="str">
        <f ca="1">IFERROR(__xludf.DUMMYFUNCTION("""COMPUTED_VALUE"""),"Dec")</f>
        <v>Dec</v>
      </c>
      <c r="D233" s="1" t="str">
        <f ca="1">IFERROR(__xludf.DUMMYFUNCTION("""COMPUTED_VALUE"""),"Qtr 4")</f>
        <v>Qtr 4</v>
      </c>
      <c r="E233" s="1" t="str">
        <f ca="1">IFERROR(__xludf.DUMMYFUNCTION("""COMPUTED_VALUE"""),"14/12/2015")</f>
        <v>14/12/2015</v>
      </c>
      <c r="F233" s="1" t="str">
        <f ca="1">IFERROR(__xludf.DUMMYFUNCTION("""COMPUTED_VALUE"""),"Second Class")</f>
        <v>Second Class</v>
      </c>
      <c r="G233" s="1" t="str">
        <f ca="1">IFERROR(__xludf.DUMMYFUNCTION("""COMPUTED_VALUE"""),"NP-18700")</f>
        <v>NP-18700</v>
      </c>
      <c r="H233" s="1" t="str">
        <f ca="1">IFERROR(__xludf.DUMMYFUNCTION("""COMPUTED_VALUE"""),"Nora")</f>
        <v>Nora</v>
      </c>
      <c r="I233" s="1" t="str">
        <f ca="1">IFERROR(__xludf.DUMMYFUNCTION("""COMPUTED_VALUE"""),"Preis")</f>
        <v>Preis</v>
      </c>
      <c r="J233" s="1"/>
      <c r="K233" s="1" t="str">
        <f ca="1">IFERROR(__xludf.DUMMYFUNCTION("""COMPUTED_VALUE"""),"Consumer")</f>
        <v>Consumer</v>
      </c>
      <c r="L233" s="1" t="str">
        <f ca="1">IFERROR(__xludf.DUMMYFUNCTION("""COMPUTED_VALUE"""),"United States")</f>
        <v>United States</v>
      </c>
      <c r="M233" s="1" t="str">
        <f ca="1">IFERROR(__xludf.DUMMYFUNCTION("""COMPUTED_VALUE"""),"Fresno")</f>
        <v>Fresno</v>
      </c>
      <c r="N233" s="1" t="str">
        <f ca="1">IFERROR(__xludf.DUMMYFUNCTION("""COMPUTED_VALUE"""),"California")</f>
        <v>California</v>
      </c>
      <c r="O233" s="1">
        <f ca="1">IFERROR(__xludf.DUMMYFUNCTION("""COMPUTED_VALUE"""),93727)</f>
        <v>93727</v>
      </c>
      <c r="P233" s="1" t="str">
        <f ca="1">IFERROR(__xludf.DUMMYFUNCTION("""COMPUTED_VALUE"""),"West")</f>
        <v>West</v>
      </c>
      <c r="Q233" s="1" t="str">
        <f ca="1">IFERROR(__xludf.DUMMYFUNCTION("""COMPUTED_VALUE"""),"FUR-TA-10004619")</f>
        <v>FUR-TA-10004619</v>
      </c>
      <c r="R233" s="1" t="str">
        <f ca="1">IFERROR(__xludf.DUMMYFUNCTION("""COMPUTED_VALUE"""),"Furniture")</f>
        <v>Furniture</v>
      </c>
      <c r="S233" s="7">
        <f ca="1">IFERROR(__xludf.DUMMYFUNCTION("""COMPUTED_VALUE"""),764.688)</f>
        <v>764.68799999999999</v>
      </c>
      <c r="T233" s="1">
        <f ca="1">IFERROR(__xludf.DUMMYFUNCTION("""COMPUTED_VALUE"""),9)</f>
        <v>9</v>
      </c>
      <c r="U233" s="9">
        <f ca="1">IFERROR(__xludf.DUMMYFUNCTION("""COMPUTED_VALUE"""),6882.192)</f>
        <v>6882.192</v>
      </c>
      <c r="V233" s="9">
        <f ca="1">IFERROR(__xludf.DUMMYFUNCTION("""COMPUTED_VALUE"""),6880.05)</f>
        <v>6880.05</v>
      </c>
      <c r="W233" s="12">
        <f ca="1">IFERROR(__xludf.DUMMYFUNCTION("""COMPUTED_VALUE"""),2.14199999999982)</f>
        <v>2.14199999999982</v>
      </c>
    </row>
    <row r="234" spans="1:23" ht="13.2">
      <c r="A234" s="1" t="str">
        <f ca="1">IFERROR(__xludf.DUMMYFUNCTION("""COMPUTED_VALUE"""),"CA-2015-168494")</f>
        <v>CA-2015-168494</v>
      </c>
      <c r="B234" s="8">
        <f ca="1">IFERROR(__xludf.DUMMYFUNCTION("""COMPUTED_VALUE"""),42350)</f>
        <v>42350</v>
      </c>
      <c r="C234" s="1" t="str">
        <f ca="1">IFERROR(__xludf.DUMMYFUNCTION("""COMPUTED_VALUE"""),"Dec")</f>
        <v>Dec</v>
      </c>
      <c r="D234" s="1" t="str">
        <f ca="1">IFERROR(__xludf.DUMMYFUNCTION("""COMPUTED_VALUE"""),"Qtr 4")</f>
        <v>Qtr 4</v>
      </c>
      <c r="E234" s="1" t="str">
        <f ca="1">IFERROR(__xludf.DUMMYFUNCTION("""COMPUTED_VALUE"""),"14/12/2015")</f>
        <v>14/12/2015</v>
      </c>
      <c r="F234" s="1" t="str">
        <f ca="1">IFERROR(__xludf.DUMMYFUNCTION("""COMPUTED_VALUE"""),"Second Class")</f>
        <v>Second Class</v>
      </c>
      <c r="G234" s="1" t="str">
        <f ca="1">IFERROR(__xludf.DUMMYFUNCTION("""COMPUTED_VALUE"""),"NP-18700")</f>
        <v>NP-18700</v>
      </c>
      <c r="H234" s="1" t="str">
        <f ca="1">IFERROR(__xludf.DUMMYFUNCTION("""COMPUTED_VALUE"""),"Nora")</f>
        <v>Nora</v>
      </c>
      <c r="I234" s="1" t="str">
        <f ca="1">IFERROR(__xludf.DUMMYFUNCTION("""COMPUTED_VALUE"""),"Preis")</f>
        <v>Preis</v>
      </c>
      <c r="J234" s="1"/>
      <c r="K234" s="1" t="str">
        <f ca="1">IFERROR(__xludf.DUMMYFUNCTION("""COMPUTED_VALUE"""),"Consumer")</f>
        <v>Consumer</v>
      </c>
      <c r="L234" s="1" t="str">
        <f ca="1">IFERROR(__xludf.DUMMYFUNCTION("""COMPUTED_VALUE"""),"United States")</f>
        <v>United States</v>
      </c>
      <c r="M234" s="1" t="str">
        <f ca="1">IFERROR(__xludf.DUMMYFUNCTION("""COMPUTED_VALUE"""),"Fresno")</f>
        <v>Fresno</v>
      </c>
      <c r="N234" s="1" t="str">
        <f ca="1">IFERROR(__xludf.DUMMYFUNCTION("""COMPUTED_VALUE"""),"California")</f>
        <v>California</v>
      </c>
      <c r="O234" s="1">
        <f ca="1">IFERROR(__xludf.DUMMYFUNCTION("""COMPUTED_VALUE"""),93727)</f>
        <v>93727</v>
      </c>
      <c r="P234" s="1" t="str">
        <f ca="1">IFERROR(__xludf.DUMMYFUNCTION("""COMPUTED_VALUE"""),"West")</f>
        <v>West</v>
      </c>
      <c r="Q234" s="1" t="str">
        <f ca="1">IFERROR(__xludf.DUMMYFUNCTION("""COMPUTED_VALUE"""),"FUR-TA-10003473")</f>
        <v>FUR-TA-10003473</v>
      </c>
      <c r="R234" s="1" t="str">
        <f ca="1">IFERROR(__xludf.DUMMYFUNCTION("""COMPUTED_VALUE"""),"Furniture")</f>
        <v>Furniture</v>
      </c>
      <c r="S234" s="7">
        <f ca="1">IFERROR(__xludf.DUMMYFUNCTION("""COMPUTED_VALUE"""),3610.848)</f>
        <v>3610.848</v>
      </c>
      <c r="T234" s="1">
        <f ca="1">IFERROR(__xludf.DUMMYFUNCTION("""COMPUTED_VALUE"""),9)</f>
        <v>9</v>
      </c>
      <c r="U234" s="9">
        <f ca="1">IFERROR(__xludf.DUMMYFUNCTION("""COMPUTED_VALUE"""),32497.6319999999)</f>
        <v>32497.6319999999</v>
      </c>
      <c r="V234" s="9">
        <f ca="1">IFERROR(__xludf.DUMMYFUNCTION("""COMPUTED_VALUE"""),32496.84)</f>
        <v>32496.84</v>
      </c>
      <c r="W234" s="12">
        <f ca="1">IFERROR(__xludf.DUMMYFUNCTION("""COMPUTED_VALUE"""),0.791999999994004)</f>
        <v>0.79199999999400394</v>
      </c>
    </row>
    <row r="235" spans="1:23" ht="13.2">
      <c r="A235" s="1" t="str">
        <f ca="1">IFERROR(__xludf.DUMMYFUNCTION("""COMPUTED_VALUE"""),"CA-2015-168494")</f>
        <v>CA-2015-168494</v>
      </c>
      <c r="B235" s="8">
        <f ca="1">IFERROR(__xludf.DUMMYFUNCTION("""COMPUTED_VALUE"""),42350)</f>
        <v>42350</v>
      </c>
      <c r="C235" s="1" t="str">
        <f ca="1">IFERROR(__xludf.DUMMYFUNCTION("""COMPUTED_VALUE"""),"Dec")</f>
        <v>Dec</v>
      </c>
      <c r="D235" s="1" t="str">
        <f ca="1">IFERROR(__xludf.DUMMYFUNCTION("""COMPUTED_VALUE"""),"Qtr 4")</f>
        <v>Qtr 4</v>
      </c>
      <c r="E235" s="1" t="str">
        <f ca="1">IFERROR(__xludf.DUMMYFUNCTION("""COMPUTED_VALUE"""),"14/12/2015")</f>
        <v>14/12/2015</v>
      </c>
      <c r="F235" s="1" t="str">
        <f ca="1">IFERROR(__xludf.DUMMYFUNCTION("""COMPUTED_VALUE"""),"Second Class")</f>
        <v>Second Class</v>
      </c>
      <c r="G235" s="1" t="str">
        <f ca="1">IFERROR(__xludf.DUMMYFUNCTION("""COMPUTED_VALUE"""),"NP-18700")</f>
        <v>NP-18700</v>
      </c>
      <c r="H235" s="1" t="str">
        <f ca="1">IFERROR(__xludf.DUMMYFUNCTION("""COMPUTED_VALUE"""),"Nora")</f>
        <v>Nora</v>
      </c>
      <c r="I235" s="1" t="str">
        <f ca="1">IFERROR(__xludf.DUMMYFUNCTION("""COMPUTED_VALUE"""),"Preis")</f>
        <v>Preis</v>
      </c>
      <c r="J235" s="1"/>
      <c r="K235" s="1" t="str">
        <f ca="1">IFERROR(__xludf.DUMMYFUNCTION("""COMPUTED_VALUE"""),"Consumer")</f>
        <v>Consumer</v>
      </c>
      <c r="L235" s="1" t="str">
        <f ca="1">IFERROR(__xludf.DUMMYFUNCTION("""COMPUTED_VALUE"""),"United States")</f>
        <v>United States</v>
      </c>
      <c r="M235" s="1" t="str">
        <f ca="1">IFERROR(__xludf.DUMMYFUNCTION("""COMPUTED_VALUE"""),"Fresno")</f>
        <v>Fresno</v>
      </c>
      <c r="N235" s="1" t="str">
        <f ca="1">IFERROR(__xludf.DUMMYFUNCTION("""COMPUTED_VALUE"""),"California")</f>
        <v>California</v>
      </c>
      <c r="O235" s="1">
        <f ca="1">IFERROR(__xludf.DUMMYFUNCTION("""COMPUTED_VALUE"""),93727)</f>
        <v>93727</v>
      </c>
      <c r="P235" s="1" t="str">
        <f ca="1">IFERROR(__xludf.DUMMYFUNCTION("""COMPUTED_VALUE"""),"West")</f>
        <v>West</v>
      </c>
      <c r="Q235" s="1" t="str">
        <f ca="1">IFERROR(__xludf.DUMMYFUNCTION("""COMPUTED_VALUE"""),"FUR-BO-10004467")</f>
        <v>FUR-BO-10004467</v>
      </c>
      <c r="R235" s="1" t="str">
        <f ca="1">IFERROR(__xludf.DUMMYFUNCTION("""COMPUTED_VALUE"""),"Furniture")</f>
        <v>Furniture</v>
      </c>
      <c r="S235" s="7">
        <f ca="1">IFERROR(__xludf.DUMMYFUNCTION("""COMPUTED_VALUE"""),254.9745)</f>
        <v>254.97450000000001</v>
      </c>
      <c r="T235" s="1">
        <f ca="1">IFERROR(__xludf.DUMMYFUNCTION("""COMPUTED_VALUE"""),9)</f>
        <v>9</v>
      </c>
      <c r="U235" s="9">
        <f ca="1">IFERROR(__xludf.DUMMYFUNCTION("""COMPUTED_VALUE"""),2294.7705)</f>
        <v>2294.7705000000001</v>
      </c>
      <c r="V235" s="9">
        <f ca="1">IFERROR(__xludf.DUMMYFUNCTION("""COMPUTED_VALUE"""),2290.86)</f>
        <v>2290.86</v>
      </c>
      <c r="W235" s="12">
        <f ca="1">IFERROR(__xludf.DUMMYFUNCTION("""COMPUTED_VALUE"""),3.91049999999995)</f>
        <v>3.9104999999999501</v>
      </c>
    </row>
    <row r="236" spans="1:23" ht="13.2">
      <c r="A236" s="1" t="str">
        <f ca="1">IFERROR(__xludf.DUMMYFUNCTION("""COMPUTED_VALUE"""),"CA-2018-110380")</f>
        <v>CA-2018-110380</v>
      </c>
      <c r="B236" s="8">
        <f ca="1">IFERROR(__xludf.DUMMYFUNCTION("""COMPUTED_VALUE"""),43140)</f>
        <v>43140</v>
      </c>
      <c r="C236" s="1" t="str">
        <f ca="1">IFERROR(__xludf.DUMMYFUNCTION("""COMPUTED_VALUE"""),"Feb")</f>
        <v>Feb</v>
      </c>
      <c r="D236" s="1" t="str">
        <f ca="1">IFERROR(__xludf.DUMMYFUNCTION("""COMPUTED_VALUE"""),"Qtr 1")</f>
        <v>Qtr 1</v>
      </c>
      <c r="E236" s="1" t="str">
        <f ca="1">IFERROR(__xludf.DUMMYFUNCTION("""COMPUTED_VALUE"""),"7/9/2018")</f>
        <v>7/9/2018</v>
      </c>
      <c r="F236" s="1" t="str">
        <f ca="1">IFERROR(__xludf.DUMMYFUNCTION("""COMPUTED_VALUE"""),"Standard Class")</f>
        <v>Standard Class</v>
      </c>
      <c r="G236" s="1" t="str">
        <f ca="1">IFERROR(__xludf.DUMMYFUNCTION("""COMPUTED_VALUE"""),"PF-19225")</f>
        <v>PF-19225</v>
      </c>
      <c r="H236" s="1" t="str">
        <f ca="1">IFERROR(__xludf.DUMMYFUNCTION("""COMPUTED_VALUE"""),"Phillip")</f>
        <v>Phillip</v>
      </c>
      <c r="I236" s="1" t="str">
        <f ca="1">IFERROR(__xludf.DUMMYFUNCTION("""COMPUTED_VALUE"""),"Flathmann")</f>
        <v>Flathmann</v>
      </c>
      <c r="J236" s="1"/>
      <c r="K236" s="1" t="str">
        <f ca="1">IFERROR(__xludf.DUMMYFUNCTION("""COMPUTED_VALUE"""),"Consumer")</f>
        <v>Consumer</v>
      </c>
      <c r="L236" s="1" t="str">
        <f ca="1">IFERROR(__xludf.DUMMYFUNCTION("""COMPUTED_VALUE"""),"United States")</f>
        <v>United States</v>
      </c>
      <c r="M236" s="1" t="str">
        <f ca="1">IFERROR(__xludf.DUMMYFUNCTION("""COMPUTED_VALUE"""),"San Francisco")</f>
        <v>San Francisco</v>
      </c>
      <c r="N236" s="1" t="str">
        <f ca="1">IFERROR(__xludf.DUMMYFUNCTION("""COMPUTED_VALUE"""),"California")</f>
        <v>California</v>
      </c>
      <c r="O236" s="1">
        <f ca="1">IFERROR(__xludf.DUMMYFUNCTION("""COMPUTED_VALUE"""),94122)</f>
        <v>94122</v>
      </c>
      <c r="P236" s="1" t="str">
        <f ca="1">IFERROR(__xludf.DUMMYFUNCTION("""COMPUTED_VALUE"""),"West")</f>
        <v>West</v>
      </c>
      <c r="Q236" s="1" t="str">
        <f ca="1">IFERROR(__xludf.DUMMYFUNCTION("""COMPUTED_VALUE"""),"OFF-AR-10000422")</f>
        <v>OFF-AR-10000422</v>
      </c>
      <c r="R236" s="1" t="str">
        <f ca="1">IFERROR(__xludf.DUMMYFUNCTION("""COMPUTED_VALUE"""),"Office Supplies")</f>
        <v>Office Supplies</v>
      </c>
      <c r="S236" s="7">
        <f ca="1">IFERROR(__xludf.DUMMYFUNCTION("""COMPUTED_VALUE"""),6.57)</f>
        <v>6.57</v>
      </c>
      <c r="T236" s="1">
        <f ca="1">IFERROR(__xludf.DUMMYFUNCTION("""COMPUTED_VALUE"""),9)</f>
        <v>9</v>
      </c>
      <c r="U236" s="9">
        <f ca="1">IFERROR(__xludf.DUMMYFUNCTION("""COMPUTED_VALUE"""),59.13)</f>
        <v>59.13</v>
      </c>
      <c r="V236" s="9">
        <f ca="1">IFERROR(__xludf.DUMMYFUNCTION("""COMPUTED_VALUE"""),58.23)</f>
        <v>58.23</v>
      </c>
      <c r="W236" s="12">
        <f ca="1">IFERROR(__xludf.DUMMYFUNCTION("""COMPUTED_VALUE"""),0.900000000000005)</f>
        <v>0.90000000000000502</v>
      </c>
    </row>
    <row r="237" spans="1:23" ht="13.2">
      <c r="A237" s="1" t="str">
        <f ca="1">IFERROR(__xludf.DUMMYFUNCTION("""COMPUTED_VALUE"""),"US-2015-167738")</f>
        <v>US-2015-167738</v>
      </c>
      <c r="B237" s="8">
        <f ca="1">IFERROR(__xludf.DUMMYFUNCTION("""COMPUTED_VALUE"""),42362)</f>
        <v>42362</v>
      </c>
      <c r="C237" s="1" t="str">
        <f ca="1">IFERROR(__xludf.DUMMYFUNCTION("""COMPUTED_VALUE"""),"Dec")</f>
        <v>Dec</v>
      </c>
      <c r="D237" s="1" t="str">
        <f ca="1">IFERROR(__xludf.DUMMYFUNCTION("""COMPUTED_VALUE"""),"Qtr 4")</f>
        <v>Qtr 4</v>
      </c>
      <c r="E237" s="1" t="str">
        <f ca="1">IFERROR(__xludf.DUMMYFUNCTION("""COMPUTED_VALUE"""),"29/12/2015")</f>
        <v>29/12/2015</v>
      </c>
      <c r="F237" s="1" t="str">
        <f ca="1">IFERROR(__xludf.DUMMYFUNCTION("""COMPUTED_VALUE"""),"Standard Class")</f>
        <v>Standard Class</v>
      </c>
      <c r="G237" s="1" t="str">
        <f ca="1">IFERROR(__xludf.DUMMYFUNCTION("""COMPUTED_VALUE"""),"JC-16105")</f>
        <v>JC-16105</v>
      </c>
      <c r="H237" s="1" t="str">
        <f ca="1">IFERROR(__xludf.DUMMYFUNCTION("""COMPUTED_VALUE"""),"Julie")</f>
        <v>Julie</v>
      </c>
      <c r="I237" s="1" t="str">
        <f ca="1">IFERROR(__xludf.DUMMYFUNCTION("""COMPUTED_VALUE"""),"Creighton")</f>
        <v>Creighton</v>
      </c>
      <c r="J237" s="1"/>
      <c r="K237" s="1" t="str">
        <f ca="1">IFERROR(__xludf.DUMMYFUNCTION("""COMPUTED_VALUE"""),"Corporate")</f>
        <v>Corporate</v>
      </c>
      <c r="L237" s="1" t="str">
        <f ca="1">IFERROR(__xludf.DUMMYFUNCTION("""COMPUTED_VALUE"""),"United States")</f>
        <v>United States</v>
      </c>
      <c r="M237" s="1" t="str">
        <f ca="1">IFERROR(__xludf.DUMMYFUNCTION("""COMPUTED_VALUE"""),"Los Angeles")</f>
        <v>Los Angeles</v>
      </c>
      <c r="N237" s="1" t="str">
        <f ca="1">IFERROR(__xludf.DUMMYFUNCTION("""COMPUTED_VALUE"""),"California")</f>
        <v>California</v>
      </c>
      <c r="O237" s="1">
        <f ca="1">IFERROR(__xludf.DUMMYFUNCTION("""COMPUTED_VALUE"""),90045)</f>
        <v>90045</v>
      </c>
      <c r="P237" s="1" t="str">
        <f ca="1">IFERROR(__xludf.DUMMYFUNCTION("""COMPUTED_VALUE"""),"West")</f>
        <v>West</v>
      </c>
      <c r="Q237" s="1" t="str">
        <f ca="1">IFERROR(__xludf.DUMMYFUNCTION("""COMPUTED_VALUE"""),"OFF-ST-10003306")</f>
        <v>OFF-ST-10003306</v>
      </c>
      <c r="R237" s="1" t="str">
        <f ca="1">IFERROR(__xludf.DUMMYFUNCTION("""COMPUTED_VALUE"""),"Office Supplies")</f>
        <v>Office Supplies</v>
      </c>
      <c r="S237" s="7">
        <f ca="1">IFERROR(__xludf.DUMMYFUNCTION("""COMPUTED_VALUE"""),142.86)</f>
        <v>142.86000000000001</v>
      </c>
      <c r="T237" s="1">
        <f ca="1">IFERROR(__xludf.DUMMYFUNCTION("""COMPUTED_VALUE"""),9)</f>
        <v>9</v>
      </c>
      <c r="U237" s="9">
        <f ca="1">IFERROR(__xludf.DUMMYFUNCTION("""COMPUTED_VALUE"""),1285.74)</f>
        <v>1285.74</v>
      </c>
      <c r="V237" s="9">
        <f ca="1">IFERROR(__xludf.DUMMYFUNCTION("""COMPUTED_VALUE"""),1279.71)</f>
        <v>1279.71</v>
      </c>
      <c r="W237" s="12">
        <f ca="1">IFERROR(__xludf.DUMMYFUNCTION("""COMPUTED_VALUE"""),6.0300000000002)</f>
        <v>6.0300000000002001</v>
      </c>
    </row>
    <row r="238" spans="1:23" ht="13.2">
      <c r="A238" s="1" t="str">
        <f ca="1">IFERROR(__xludf.DUMMYFUNCTION("""COMPUTED_VALUE"""),"US-2015-167738")</f>
        <v>US-2015-167738</v>
      </c>
      <c r="B238" s="8">
        <f ca="1">IFERROR(__xludf.DUMMYFUNCTION("""COMPUTED_VALUE"""),42362)</f>
        <v>42362</v>
      </c>
      <c r="C238" s="1" t="str">
        <f ca="1">IFERROR(__xludf.DUMMYFUNCTION("""COMPUTED_VALUE"""),"Dec")</f>
        <v>Dec</v>
      </c>
      <c r="D238" s="1" t="str">
        <f ca="1">IFERROR(__xludf.DUMMYFUNCTION("""COMPUTED_VALUE"""),"Qtr 4")</f>
        <v>Qtr 4</v>
      </c>
      <c r="E238" s="1" t="str">
        <f ca="1">IFERROR(__xludf.DUMMYFUNCTION("""COMPUTED_VALUE"""),"29/12/2015")</f>
        <v>29/12/2015</v>
      </c>
      <c r="F238" s="1" t="str">
        <f ca="1">IFERROR(__xludf.DUMMYFUNCTION("""COMPUTED_VALUE"""),"Standard Class")</f>
        <v>Standard Class</v>
      </c>
      <c r="G238" s="1" t="str">
        <f ca="1">IFERROR(__xludf.DUMMYFUNCTION("""COMPUTED_VALUE"""),"JC-16105")</f>
        <v>JC-16105</v>
      </c>
      <c r="H238" s="1" t="str">
        <f ca="1">IFERROR(__xludf.DUMMYFUNCTION("""COMPUTED_VALUE"""),"Julie")</f>
        <v>Julie</v>
      </c>
      <c r="I238" s="1" t="str">
        <f ca="1">IFERROR(__xludf.DUMMYFUNCTION("""COMPUTED_VALUE"""),"Creighton")</f>
        <v>Creighton</v>
      </c>
      <c r="J238" s="1"/>
      <c r="K238" s="1" t="str">
        <f ca="1">IFERROR(__xludf.DUMMYFUNCTION("""COMPUTED_VALUE"""),"Corporate")</f>
        <v>Corporate</v>
      </c>
      <c r="L238" s="1" t="str">
        <f ca="1">IFERROR(__xludf.DUMMYFUNCTION("""COMPUTED_VALUE"""),"United States")</f>
        <v>United States</v>
      </c>
      <c r="M238" s="1" t="str">
        <f ca="1">IFERROR(__xludf.DUMMYFUNCTION("""COMPUTED_VALUE"""),"Los Angeles")</f>
        <v>Los Angeles</v>
      </c>
      <c r="N238" s="1" t="str">
        <f ca="1">IFERROR(__xludf.DUMMYFUNCTION("""COMPUTED_VALUE"""),"California")</f>
        <v>California</v>
      </c>
      <c r="O238" s="1">
        <f ca="1">IFERROR(__xludf.DUMMYFUNCTION("""COMPUTED_VALUE"""),90045)</f>
        <v>90045</v>
      </c>
      <c r="P238" s="1" t="str">
        <f ca="1">IFERROR(__xludf.DUMMYFUNCTION("""COMPUTED_VALUE"""),"West")</f>
        <v>West</v>
      </c>
      <c r="Q238" s="1" t="str">
        <f ca="1">IFERROR(__xludf.DUMMYFUNCTION("""COMPUTED_VALUE"""),"FUR-CH-10001146")</f>
        <v>FUR-CH-10001146</v>
      </c>
      <c r="R238" s="1" t="str">
        <f ca="1">IFERROR(__xludf.DUMMYFUNCTION("""COMPUTED_VALUE"""),"Furniture")</f>
        <v>Furniture</v>
      </c>
      <c r="S238" s="7">
        <f ca="1">IFERROR(__xludf.DUMMYFUNCTION("""COMPUTED_VALUE"""),292.272)</f>
        <v>292.27199999999999</v>
      </c>
      <c r="T238" s="1">
        <f ca="1">IFERROR(__xludf.DUMMYFUNCTION("""COMPUTED_VALUE"""),9)</f>
        <v>9</v>
      </c>
      <c r="U238" s="9">
        <f ca="1">IFERROR(__xludf.DUMMYFUNCTION("""COMPUTED_VALUE"""),2630.448)</f>
        <v>2630.4479999999999</v>
      </c>
      <c r="V238" s="9">
        <f ca="1">IFERROR(__xludf.DUMMYFUNCTION("""COMPUTED_VALUE"""),2626.38)</f>
        <v>2626.38</v>
      </c>
      <c r="W238" s="12">
        <f ca="1">IFERROR(__xludf.DUMMYFUNCTION("""COMPUTED_VALUE"""),4.06799999999975)</f>
        <v>4.06799999999975</v>
      </c>
    </row>
    <row r="239" spans="1:23" ht="13.2">
      <c r="A239" s="1" t="str">
        <f ca="1">IFERROR(__xludf.DUMMYFUNCTION("""COMPUTED_VALUE"""),"CA-2017-163384")</f>
        <v>CA-2017-163384</v>
      </c>
      <c r="B239" s="8">
        <f ca="1">IFERROR(__xludf.DUMMYFUNCTION("""COMPUTED_VALUE"""),43019)</f>
        <v>43019</v>
      </c>
      <c r="C239" s="1" t="str">
        <f ca="1">IFERROR(__xludf.DUMMYFUNCTION("""COMPUTED_VALUE"""),"Oct")</f>
        <v>Oct</v>
      </c>
      <c r="D239" s="1" t="str">
        <f ca="1">IFERROR(__xludf.DUMMYFUNCTION("""COMPUTED_VALUE"""),"Qtr 4")</f>
        <v>Qtr 4</v>
      </c>
      <c r="E239" s="1" t="str">
        <f ca="1">IFERROR(__xludf.DUMMYFUNCTION("""COMPUTED_VALUE"""),"12/11/2017")</f>
        <v>12/11/2017</v>
      </c>
      <c r="F239" s="1" t="str">
        <f ca="1">IFERROR(__xludf.DUMMYFUNCTION("""COMPUTED_VALUE"""),"First Class")</f>
        <v>First Class</v>
      </c>
      <c r="G239" s="1" t="str">
        <f ca="1">IFERROR(__xludf.DUMMYFUNCTION("""COMPUTED_VALUE"""),"CC-12430")</f>
        <v>CC-12430</v>
      </c>
      <c r="H239" s="1" t="str">
        <f ca="1">IFERROR(__xludf.DUMMYFUNCTION("""COMPUTED_VALUE"""),"Chuck")</f>
        <v>Chuck</v>
      </c>
      <c r="I239" s="1" t="str">
        <f ca="1">IFERROR(__xludf.DUMMYFUNCTION("""COMPUTED_VALUE"""),"Clark")</f>
        <v>Clark</v>
      </c>
      <c r="J239" s="1"/>
      <c r="K239" s="1" t="str">
        <f ca="1">IFERROR(__xludf.DUMMYFUNCTION("""COMPUTED_VALUE"""),"Home Office")</f>
        <v>Home Office</v>
      </c>
      <c r="L239" s="1" t="str">
        <f ca="1">IFERROR(__xludf.DUMMYFUNCTION("""COMPUTED_VALUE"""),"United States")</f>
        <v>United States</v>
      </c>
      <c r="M239" s="1" t="str">
        <f ca="1">IFERROR(__xludf.DUMMYFUNCTION("""COMPUTED_VALUE"""),"San Francisco")</f>
        <v>San Francisco</v>
      </c>
      <c r="N239" s="1" t="str">
        <f ca="1">IFERROR(__xludf.DUMMYFUNCTION("""COMPUTED_VALUE"""),"California")</f>
        <v>California</v>
      </c>
      <c r="O239" s="1">
        <f ca="1">IFERROR(__xludf.DUMMYFUNCTION("""COMPUTED_VALUE"""),94122)</f>
        <v>94122</v>
      </c>
      <c r="P239" s="1" t="str">
        <f ca="1">IFERROR(__xludf.DUMMYFUNCTION("""COMPUTED_VALUE"""),"West")</f>
        <v>West</v>
      </c>
      <c r="Q239" s="1" t="str">
        <f ca="1">IFERROR(__xludf.DUMMYFUNCTION("""COMPUTED_VALUE"""),"OFF-BI-10004970")</f>
        <v>OFF-BI-10004970</v>
      </c>
      <c r="R239" s="1" t="str">
        <f ca="1">IFERROR(__xludf.DUMMYFUNCTION("""COMPUTED_VALUE"""),"Office Supplies")</f>
        <v>Office Supplies</v>
      </c>
      <c r="S239" s="7">
        <f ca="1">IFERROR(__xludf.DUMMYFUNCTION("""COMPUTED_VALUE"""),13.216)</f>
        <v>13.215999999999999</v>
      </c>
      <c r="T239" s="1">
        <f ca="1">IFERROR(__xludf.DUMMYFUNCTION("""COMPUTED_VALUE"""),9)</f>
        <v>9</v>
      </c>
      <c r="U239" s="9">
        <f ca="1">IFERROR(__xludf.DUMMYFUNCTION("""COMPUTED_VALUE"""),118.943999999999)</f>
        <v>118.94399999999899</v>
      </c>
      <c r="V239" s="9">
        <f ca="1">IFERROR(__xludf.DUMMYFUNCTION("""COMPUTED_VALUE"""),117.99)</f>
        <v>117.99</v>
      </c>
      <c r="W239" s="12">
        <f ca="1">IFERROR(__xludf.DUMMYFUNCTION("""COMPUTED_VALUE"""),0.953999999999993)</f>
        <v>0.95399999999999296</v>
      </c>
    </row>
    <row r="240" spans="1:23" ht="13.2">
      <c r="A240" s="1" t="str">
        <f ca="1">IFERROR(__xludf.DUMMYFUNCTION("""COMPUTED_VALUE"""),"CA-2017-163384")</f>
        <v>CA-2017-163384</v>
      </c>
      <c r="B240" s="8">
        <f ca="1">IFERROR(__xludf.DUMMYFUNCTION("""COMPUTED_VALUE"""),43019)</f>
        <v>43019</v>
      </c>
      <c r="C240" s="1" t="str">
        <f ca="1">IFERROR(__xludf.DUMMYFUNCTION("""COMPUTED_VALUE"""),"Oct")</f>
        <v>Oct</v>
      </c>
      <c r="D240" s="1" t="str">
        <f ca="1">IFERROR(__xludf.DUMMYFUNCTION("""COMPUTED_VALUE"""),"Qtr 4")</f>
        <v>Qtr 4</v>
      </c>
      <c r="E240" s="1" t="str">
        <f ca="1">IFERROR(__xludf.DUMMYFUNCTION("""COMPUTED_VALUE"""),"12/11/2017")</f>
        <v>12/11/2017</v>
      </c>
      <c r="F240" s="1" t="str">
        <f ca="1">IFERROR(__xludf.DUMMYFUNCTION("""COMPUTED_VALUE"""),"First Class")</f>
        <v>First Class</v>
      </c>
      <c r="G240" s="1" t="str">
        <f ca="1">IFERROR(__xludf.DUMMYFUNCTION("""COMPUTED_VALUE"""),"CC-12430")</f>
        <v>CC-12430</v>
      </c>
      <c r="H240" s="1" t="str">
        <f ca="1">IFERROR(__xludf.DUMMYFUNCTION("""COMPUTED_VALUE"""),"Chuck")</f>
        <v>Chuck</v>
      </c>
      <c r="I240" s="1" t="str">
        <f ca="1">IFERROR(__xludf.DUMMYFUNCTION("""COMPUTED_VALUE"""),"Clark")</f>
        <v>Clark</v>
      </c>
      <c r="J240" s="1"/>
      <c r="K240" s="1" t="str">
        <f ca="1">IFERROR(__xludf.DUMMYFUNCTION("""COMPUTED_VALUE"""),"Home Office")</f>
        <v>Home Office</v>
      </c>
      <c r="L240" s="1" t="str">
        <f ca="1">IFERROR(__xludf.DUMMYFUNCTION("""COMPUTED_VALUE"""),"United States")</f>
        <v>United States</v>
      </c>
      <c r="M240" s="1" t="str">
        <f ca="1">IFERROR(__xludf.DUMMYFUNCTION("""COMPUTED_VALUE"""),"San Francisco")</f>
        <v>San Francisco</v>
      </c>
      <c r="N240" s="1" t="str">
        <f ca="1">IFERROR(__xludf.DUMMYFUNCTION("""COMPUTED_VALUE"""),"California")</f>
        <v>California</v>
      </c>
      <c r="O240" s="1">
        <f ca="1">IFERROR(__xludf.DUMMYFUNCTION("""COMPUTED_VALUE"""),94122)</f>
        <v>94122</v>
      </c>
      <c r="P240" s="1" t="str">
        <f ca="1">IFERROR(__xludf.DUMMYFUNCTION("""COMPUTED_VALUE"""),"West")</f>
        <v>West</v>
      </c>
      <c r="Q240" s="1" t="str">
        <f ca="1">IFERROR(__xludf.DUMMYFUNCTION("""COMPUTED_VALUE"""),"OFF-PA-10003172")</f>
        <v>OFF-PA-10003172</v>
      </c>
      <c r="R240" s="1" t="str">
        <f ca="1">IFERROR(__xludf.DUMMYFUNCTION("""COMPUTED_VALUE"""),"Office Supplies")</f>
        <v>Office Supplies</v>
      </c>
      <c r="S240" s="7">
        <f ca="1">IFERROR(__xludf.DUMMYFUNCTION("""COMPUTED_VALUE"""),32.4)</f>
        <v>32.4</v>
      </c>
      <c r="T240" s="1">
        <f ca="1">IFERROR(__xludf.DUMMYFUNCTION("""COMPUTED_VALUE"""),9)</f>
        <v>9</v>
      </c>
      <c r="U240" s="9">
        <f ca="1">IFERROR(__xludf.DUMMYFUNCTION("""COMPUTED_VALUE"""),291.599999999999)</f>
        <v>291.599999999999</v>
      </c>
      <c r="V240" s="9">
        <f ca="1">IFERROR(__xludf.DUMMYFUNCTION("""COMPUTED_VALUE"""),291.15)</f>
        <v>291.14999999999998</v>
      </c>
      <c r="W240" s="12">
        <f ca="1">IFERROR(__xludf.DUMMYFUNCTION("""COMPUTED_VALUE"""),0.449999999999931)</f>
        <v>0.44999999999993101</v>
      </c>
    </row>
    <row r="241" spans="1:23" ht="13.2">
      <c r="A241" s="1" t="str">
        <f ca="1">IFERROR(__xludf.DUMMYFUNCTION("""COMPUTED_VALUE"""),"CA-2016-101707")</f>
        <v>CA-2016-101707</v>
      </c>
      <c r="B241" s="8">
        <f ca="1">IFERROR(__xludf.DUMMYFUNCTION("""COMPUTED_VALUE"""),42609)</f>
        <v>42609</v>
      </c>
      <c r="C241" s="1" t="str">
        <f ca="1">IFERROR(__xludf.DUMMYFUNCTION("""COMPUTED_VALUE"""),"Aug")</f>
        <v>Aug</v>
      </c>
      <c r="D241" s="1" t="str">
        <f ca="1">IFERROR(__xludf.DUMMYFUNCTION("""COMPUTED_VALUE"""),"Qtr 3")</f>
        <v>Qtr 3</v>
      </c>
      <c r="E241" s="1" t="str">
        <f ca="1">IFERROR(__xludf.DUMMYFUNCTION("""COMPUTED_VALUE"""),"1/9/2016")</f>
        <v>1/9/2016</v>
      </c>
      <c r="F241" s="1" t="str">
        <f ca="1">IFERROR(__xludf.DUMMYFUNCTION("""COMPUTED_VALUE"""),"Standard Class")</f>
        <v>Standard Class</v>
      </c>
      <c r="G241" s="1" t="str">
        <f ca="1">IFERROR(__xludf.DUMMYFUNCTION("""COMPUTED_VALUE"""),"PF-19165")</f>
        <v>PF-19165</v>
      </c>
      <c r="H241" s="1" t="str">
        <f ca="1">IFERROR(__xludf.DUMMYFUNCTION("""COMPUTED_VALUE"""),"Philip")</f>
        <v>Philip</v>
      </c>
      <c r="I241" s="1" t="str">
        <f ca="1">IFERROR(__xludf.DUMMYFUNCTION("""COMPUTED_VALUE"""),"Fox")</f>
        <v>Fox</v>
      </c>
      <c r="J241" s="1"/>
      <c r="K241" s="1" t="str">
        <f ca="1">IFERROR(__xludf.DUMMYFUNCTION("""COMPUTED_VALUE"""),"Consumer")</f>
        <v>Consumer</v>
      </c>
      <c r="L241" s="1" t="str">
        <f ca="1">IFERROR(__xludf.DUMMYFUNCTION("""COMPUTED_VALUE"""),"United States")</f>
        <v>United States</v>
      </c>
      <c r="M241" s="1" t="str">
        <f ca="1">IFERROR(__xludf.DUMMYFUNCTION("""COMPUTED_VALUE"""),"San Diego")</f>
        <v>San Diego</v>
      </c>
      <c r="N241" s="1" t="str">
        <f ca="1">IFERROR(__xludf.DUMMYFUNCTION("""COMPUTED_VALUE"""),"California")</f>
        <v>California</v>
      </c>
      <c r="O241" s="1">
        <f ca="1">IFERROR(__xludf.DUMMYFUNCTION("""COMPUTED_VALUE"""),92105)</f>
        <v>92105</v>
      </c>
      <c r="P241" s="1" t="str">
        <f ca="1">IFERROR(__xludf.DUMMYFUNCTION("""COMPUTED_VALUE"""),"West")</f>
        <v>West</v>
      </c>
      <c r="Q241" s="1" t="str">
        <f ca="1">IFERROR(__xludf.DUMMYFUNCTION("""COMPUTED_VALUE"""),"OFF-SU-10001218")</f>
        <v>OFF-SU-10001218</v>
      </c>
      <c r="R241" s="1" t="str">
        <f ca="1">IFERROR(__xludf.DUMMYFUNCTION("""COMPUTED_VALUE"""),"Office Supplies")</f>
        <v>Office Supplies</v>
      </c>
      <c r="S241" s="7">
        <f ca="1">IFERROR(__xludf.DUMMYFUNCTION("""COMPUTED_VALUE"""),32.94)</f>
        <v>32.94</v>
      </c>
      <c r="T241" s="1">
        <f ca="1">IFERROR(__xludf.DUMMYFUNCTION("""COMPUTED_VALUE"""),9)</f>
        <v>9</v>
      </c>
      <c r="U241" s="9">
        <f ca="1">IFERROR(__xludf.DUMMYFUNCTION("""COMPUTED_VALUE"""),296.46)</f>
        <v>296.45999999999998</v>
      </c>
      <c r="V241" s="9">
        <f ca="1">IFERROR(__xludf.DUMMYFUNCTION("""COMPUTED_VALUE"""),290.34)</f>
        <v>290.33999999999997</v>
      </c>
      <c r="W241" s="12">
        <f ca="1">IFERROR(__xludf.DUMMYFUNCTION("""COMPUTED_VALUE"""),6.12)</f>
        <v>6.12</v>
      </c>
    </row>
    <row r="242" spans="1:23" ht="13.2">
      <c r="A242" s="1" t="str">
        <f ca="1">IFERROR(__xludf.DUMMYFUNCTION("""COMPUTED_VALUE"""),"CA-2016-101707")</f>
        <v>CA-2016-101707</v>
      </c>
      <c r="B242" s="8">
        <f ca="1">IFERROR(__xludf.DUMMYFUNCTION("""COMPUTED_VALUE"""),42609)</f>
        <v>42609</v>
      </c>
      <c r="C242" s="1" t="str">
        <f ca="1">IFERROR(__xludf.DUMMYFUNCTION("""COMPUTED_VALUE"""),"Aug")</f>
        <v>Aug</v>
      </c>
      <c r="D242" s="1" t="str">
        <f ca="1">IFERROR(__xludf.DUMMYFUNCTION("""COMPUTED_VALUE"""),"Qtr 3")</f>
        <v>Qtr 3</v>
      </c>
      <c r="E242" s="1" t="str">
        <f ca="1">IFERROR(__xludf.DUMMYFUNCTION("""COMPUTED_VALUE"""),"1/9/2016")</f>
        <v>1/9/2016</v>
      </c>
      <c r="F242" s="1" t="str">
        <f ca="1">IFERROR(__xludf.DUMMYFUNCTION("""COMPUTED_VALUE"""),"Standard Class")</f>
        <v>Standard Class</v>
      </c>
      <c r="G242" s="1" t="str">
        <f ca="1">IFERROR(__xludf.DUMMYFUNCTION("""COMPUTED_VALUE"""),"PF-19165")</f>
        <v>PF-19165</v>
      </c>
      <c r="H242" s="1" t="str">
        <f ca="1">IFERROR(__xludf.DUMMYFUNCTION("""COMPUTED_VALUE"""),"Philip")</f>
        <v>Philip</v>
      </c>
      <c r="I242" s="1" t="str">
        <f ca="1">IFERROR(__xludf.DUMMYFUNCTION("""COMPUTED_VALUE"""),"Fox")</f>
        <v>Fox</v>
      </c>
      <c r="J242" s="1"/>
      <c r="K242" s="1" t="str">
        <f ca="1">IFERROR(__xludf.DUMMYFUNCTION("""COMPUTED_VALUE"""),"Consumer")</f>
        <v>Consumer</v>
      </c>
      <c r="L242" s="1" t="str">
        <f ca="1">IFERROR(__xludf.DUMMYFUNCTION("""COMPUTED_VALUE"""),"United States")</f>
        <v>United States</v>
      </c>
      <c r="M242" s="1" t="str">
        <f ca="1">IFERROR(__xludf.DUMMYFUNCTION("""COMPUTED_VALUE"""),"San Diego")</f>
        <v>San Diego</v>
      </c>
      <c r="N242" s="1" t="str">
        <f ca="1">IFERROR(__xludf.DUMMYFUNCTION("""COMPUTED_VALUE"""),"California")</f>
        <v>California</v>
      </c>
      <c r="O242" s="1">
        <f ca="1">IFERROR(__xludf.DUMMYFUNCTION("""COMPUTED_VALUE"""),92105)</f>
        <v>92105</v>
      </c>
      <c r="P242" s="1" t="str">
        <f ca="1">IFERROR(__xludf.DUMMYFUNCTION("""COMPUTED_VALUE"""),"West")</f>
        <v>West</v>
      </c>
      <c r="Q242" s="1" t="str">
        <f ca="1">IFERROR(__xludf.DUMMYFUNCTION("""COMPUTED_VALUE"""),"OFF-PA-10002968")</f>
        <v>OFF-PA-10002968</v>
      </c>
      <c r="R242" s="1" t="str">
        <f ca="1">IFERROR(__xludf.DUMMYFUNCTION("""COMPUTED_VALUE"""),"Office Supplies")</f>
        <v>Office Supplies</v>
      </c>
      <c r="S242" s="7">
        <f ca="1">IFERROR(__xludf.DUMMYFUNCTION("""COMPUTED_VALUE"""),114.2)</f>
        <v>114.2</v>
      </c>
      <c r="T242" s="1">
        <f ca="1">IFERROR(__xludf.DUMMYFUNCTION("""COMPUTED_VALUE"""),9)</f>
        <v>9</v>
      </c>
      <c r="U242" s="9">
        <f ca="1">IFERROR(__xludf.DUMMYFUNCTION("""COMPUTED_VALUE"""),1027.8)</f>
        <v>1027.8</v>
      </c>
      <c r="V242" s="9">
        <f ca="1">IFERROR(__xludf.DUMMYFUNCTION("""COMPUTED_VALUE"""),1020.15)</f>
        <v>1020.15</v>
      </c>
      <c r="W242" s="12">
        <f ca="1">IFERROR(__xludf.DUMMYFUNCTION("""COMPUTED_VALUE"""),7.64999999999997)</f>
        <v>7.6499999999999702</v>
      </c>
    </row>
    <row r="243" spans="1:23" ht="13.2">
      <c r="A243" s="1" t="str">
        <f ca="1">IFERROR(__xludf.DUMMYFUNCTION("""COMPUTED_VALUE"""),"CA-2016-101707")</f>
        <v>CA-2016-101707</v>
      </c>
      <c r="B243" s="8">
        <f ca="1">IFERROR(__xludf.DUMMYFUNCTION("""COMPUTED_VALUE"""),42609)</f>
        <v>42609</v>
      </c>
      <c r="C243" s="1" t="str">
        <f ca="1">IFERROR(__xludf.DUMMYFUNCTION("""COMPUTED_VALUE"""),"Aug")</f>
        <v>Aug</v>
      </c>
      <c r="D243" s="1" t="str">
        <f ca="1">IFERROR(__xludf.DUMMYFUNCTION("""COMPUTED_VALUE"""),"Qtr 3")</f>
        <v>Qtr 3</v>
      </c>
      <c r="E243" s="1" t="str">
        <f ca="1">IFERROR(__xludf.DUMMYFUNCTION("""COMPUTED_VALUE"""),"1/9/2016")</f>
        <v>1/9/2016</v>
      </c>
      <c r="F243" s="1" t="str">
        <f ca="1">IFERROR(__xludf.DUMMYFUNCTION("""COMPUTED_VALUE"""),"Standard Class")</f>
        <v>Standard Class</v>
      </c>
      <c r="G243" s="1" t="str">
        <f ca="1">IFERROR(__xludf.DUMMYFUNCTION("""COMPUTED_VALUE"""),"PF-19165")</f>
        <v>PF-19165</v>
      </c>
      <c r="H243" s="1" t="str">
        <f ca="1">IFERROR(__xludf.DUMMYFUNCTION("""COMPUTED_VALUE"""),"Philip")</f>
        <v>Philip</v>
      </c>
      <c r="I243" s="1" t="str">
        <f ca="1">IFERROR(__xludf.DUMMYFUNCTION("""COMPUTED_VALUE"""),"Fox")</f>
        <v>Fox</v>
      </c>
      <c r="J243" s="1"/>
      <c r="K243" s="1" t="str">
        <f ca="1">IFERROR(__xludf.DUMMYFUNCTION("""COMPUTED_VALUE"""),"Consumer")</f>
        <v>Consumer</v>
      </c>
      <c r="L243" s="1" t="str">
        <f ca="1">IFERROR(__xludf.DUMMYFUNCTION("""COMPUTED_VALUE"""),"United States")</f>
        <v>United States</v>
      </c>
      <c r="M243" s="1" t="str">
        <f ca="1">IFERROR(__xludf.DUMMYFUNCTION("""COMPUTED_VALUE"""),"San Diego")</f>
        <v>San Diego</v>
      </c>
      <c r="N243" s="1" t="str">
        <f ca="1">IFERROR(__xludf.DUMMYFUNCTION("""COMPUTED_VALUE"""),"California")</f>
        <v>California</v>
      </c>
      <c r="O243" s="1">
        <f ca="1">IFERROR(__xludf.DUMMYFUNCTION("""COMPUTED_VALUE"""),92105)</f>
        <v>92105</v>
      </c>
      <c r="P243" s="1" t="str">
        <f ca="1">IFERROR(__xludf.DUMMYFUNCTION("""COMPUTED_VALUE"""),"West")</f>
        <v>West</v>
      </c>
      <c r="Q243" s="1" t="str">
        <f ca="1">IFERROR(__xludf.DUMMYFUNCTION("""COMPUTED_VALUE"""),"OFF-LA-10000134")</f>
        <v>OFF-LA-10000134</v>
      </c>
      <c r="R243" s="1" t="str">
        <f ca="1">IFERROR(__xludf.DUMMYFUNCTION("""COMPUTED_VALUE"""),"Office Supplies")</f>
        <v>Office Supplies</v>
      </c>
      <c r="S243" s="7">
        <f ca="1">IFERROR(__xludf.DUMMYFUNCTION("""COMPUTED_VALUE"""),3.08)</f>
        <v>3.08</v>
      </c>
      <c r="T243" s="1">
        <f ca="1">IFERROR(__xludf.DUMMYFUNCTION("""COMPUTED_VALUE"""),9)</f>
        <v>9</v>
      </c>
      <c r="U243" s="9">
        <f ca="1">IFERROR(__xludf.DUMMYFUNCTION("""COMPUTED_VALUE"""),27.72)</f>
        <v>27.72</v>
      </c>
      <c r="V243" s="9">
        <f ca="1">IFERROR(__xludf.DUMMYFUNCTION("""COMPUTED_VALUE"""),27.63)</f>
        <v>27.63</v>
      </c>
      <c r="W243" s="12">
        <f ca="1">IFERROR(__xludf.DUMMYFUNCTION("""COMPUTED_VALUE"""),0.0899999999999998)</f>
        <v>8.9999999999999802E-2</v>
      </c>
    </row>
    <row r="244" spans="1:23" ht="13.2">
      <c r="A244" s="1" t="str">
        <f ca="1">IFERROR(__xludf.DUMMYFUNCTION("""COMPUTED_VALUE"""),"CA-2018-115427")</f>
        <v>CA-2018-115427</v>
      </c>
      <c r="B244" s="8">
        <f ca="1">IFERROR(__xludf.DUMMYFUNCTION("""COMPUTED_VALUE"""),43464)</f>
        <v>43464</v>
      </c>
      <c r="C244" s="1" t="str">
        <f ca="1">IFERROR(__xludf.DUMMYFUNCTION("""COMPUTED_VALUE"""),"Dec")</f>
        <v>Dec</v>
      </c>
      <c r="D244" s="1" t="str">
        <f ca="1">IFERROR(__xludf.DUMMYFUNCTION("""COMPUTED_VALUE"""),"Qtr 4")</f>
        <v>Qtr 4</v>
      </c>
      <c r="E244" s="1" t="str">
        <f ca="1">IFERROR(__xludf.DUMMYFUNCTION("""COMPUTED_VALUE"""),"3/1/2019")</f>
        <v>3/1/2019</v>
      </c>
      <c r="F244" s="1" t="str">
        <f ca="1">IFERROR(__xludf.DUMMYFUNCTION("""COMPUTED_VALUE"""),"Standard Class")</f>
        <v>Standard Class</v>
      </c>
      <c r="G244" s="1" t="str">
        <f ca="1">IFERROR(__xludf.DUMMYFUNCTION("""COMPUTED_VALUE"""),"EB-13975")</f>
        <v>EB-13975</v>
      </c>
      <c r="H244" s="1" t="str">
        <f ca="1">IFERROR(__xludf.DUMMYFUNCTION("""COMPUTED_VALUE"""),"Erica")</f>
        <v>Erica</v>
      </c>
      <c r="I244" s="1" t="str">
        <f ca="1">IFERROR(__xludf.DUMMYFUNCTION("""COMPUTED_VALUE"""),"Bern")</f>
        <v>Bern</v>
      </c>
      <c r="J244" s="1"/>
      <c r="K244" s="1" t="str">
        <f ca="1">IFERROR(__xludf.DUMMYFUNCTION("""COMPUTED_VALUE"""),"Corporate")</f>
        <v>Corporate</v>
      </c>
      <c r="L244" s="1" t="str">
        <f ca="1">IFERROR(__xludf.DUMMYFUNCTION("""COMPUTED_VALUE"""),"United States")</f>
        <v>United States</v>
      </c>
      <c r="M244" s="1" t="str">
        <f ca="1">IFERROR(__xludf.DUMMYFUNCTION("""COMPUTED_VALUE"""),"Fairfield")</f>
        <v>Fairfield</v>
      </c>
      <c r="N244" s="1" t="str">
        <f ca="1">IFERROR(__xludf.DUMMYFUNCTION("""COMPUTED_VALUE"""),"California")</f>
        <v>California</v>
      </c>
      <c r="O244" s="1">
        <f ca="1">IFERROR(__xludf.DUMMYFUNCTION("""COMPUTED_VALUE"""),94533)</f>
        <v>94533</v>
      </c>
      <c r="P244" s="1" t="str">
        <f ca="1">IFERROR(__xludf.DUMMYFUNCTION("""COMPUTED_VALUE"""),"West")</f>
        <v>West</v>
      </c>
      <c r="Q244" s="1" t="str">
        <f ca="1">IFERROR(__xludf.DUMMYFUNCTION("""COMPUTED_VALUE"""),"OFF-BI-10002103")</f>
        <v>OFF-BI-10002103</v>
      </c>
      <c r="R244" s="1" t="str">
        <f ca="1">IFERROR(__xludf.DUMMYFUNCTION("""COMPUTED_VALUE"""),"Office Supplies")</f>
        <v>Office Supplies</v>
      </c>
      <c r="S244" s="7">
        <f ca="1">IFERROR(__xludf.DUMMYFUNCTION("""COMPUTED_VALUE"""),13.904)</f>
        <v>13.904</v>
      </c>
      <c r="T244" s="1">
        <f ca="1">IFERROR(__xludf.DUMMYFUNCTION("""COMPUTED_VALUE"""),9)</f>
        <v>9</v>
      </c>
      <c r="U244" s="9">
        <f ca="1">IFERROR(__xludf.DUMMYFUNCTION("""COMPUTED_VALUE"""),125.136)</f>
        <v>125.136</v>
      </c>
      <c r="V244" s="9">
        <f ca="1">IFERROR(__xludf.DUMMYFUNCTION("""COMPUTED_VALUE"""),122.58)</f>
        <v>122.58</v>
      </c>
      <c r="W244" s="12">
        <f ca="1">IFERROR(__xludf.DUMMYFUNCTION("""COMPUTED_VALUE"""),2.55599999999999)</f>
        <v>2.5559999999999898</v>
      </c>
    </row>
    <row r="245" spans="1:23" ht="13.2">
      <c r="A245" s="1" t="str">
        <f ca="1">IFERROR(__xludf.DUMMYFUNCTION("""COMPUTED_VALUE"""),"CA-2018-115427")</f>
        <v>CA-2018-115427</v>
      </c>
      <c r="B245" s="8">
        <f ca="1">IFERROR(__xludf.DUMMYFUNCTION("""COMPUTED_VALUE"""),43464)</f>
        <v>43464</v>
      </c>
      <c r="C245" s="1" t="str">
        <f ca="1">IFERROR(__xludf.DUMMYFUNCTION("""COMPUTED_VALUE"""),"Dec")</f>
        <v>Dec</v>
      </c>
      <c r="D245" s="1" t="str">
        <f ca="1">IFERROR(__xludf.DUMMYFUNCTION("""COMPUTED_VALUE"""),"Qtr 4")</f>
        <v>Qtr 4</v>
      </c>
      <c r="E245" s="1" t="str">
        <f ca="1">IFERROR(__xludf.DUMMYFUNCTION("""COMPUTED_VALUE"""),"3/1/2019")</f>
        <v>3/1/2019</v>
      </c>
      <c r="F245" s="1" t="str">
        <f ca="1">IFERROR(__xludf.DUMMYFUNCTION("""COMPUTED_VALUE"""),"Standard Class")</f>
        <v>Standard Class</v>
      </c>
      <c r="G245" s="1" t="str">
        <f ca="1">IFERROR(__xludf.DUMMYFUNCTION("""COMPUTED_VALUE"""),"EB-13975")</f>
        <v>EB-13975</v>
      </c>
      <c r="H245" s="1" t="str">
        <f ca="1">IFERROR(__xludf.DUMMYFUNCTION("""COMPUTED_VALUE"""),"Erica")</f>
        <v>Erica</v>
      </c>
      <c r="I245" s="1" t="str">
        <f ca="1">IFERROR(__xludf.DUMMYFUNCTION("""COMPUTED_VALUE"""),"Bern")</f>
        <v>Bern</v>
      </c>
      <c r="J245" s="1"/>
      <c r="K245" s="1" t="str">
        <f ca="1">IFERROR(__xludf.DUMMYFUNCTION("""COMPUTED_VALUE"""),"Corporate")</f>
        <v>Corporate</v>
      </c>
      <c r="L245" s="1" t="str">
        <f ca="1">IFERROR(__xludf.DUMMYFUNCTION("""COMPUTED_VALUE"""),"United States")</f>
        <v>United States</v>
      </c>
      <c r="M245" s="1" t="str">
        <f ca="1">IFERROR(__xludf.DUMMYFUNCTION("""COMPUTED_VALUE"""),"Fairfield")</f>
        <v>Fairfield</v>
      </c>
      <c r="N245" s="1" t="str">
        <f ca="1">IFERROR(__xludf.DUMMYFUNCTION("""COMPUTED_VALUE"""),"California")</f>
        <v>California</v>
      </c>
      <c r="O245" s="1">
        <f ca="1">IFERROR(__xludf.DUMMYFUNCTION("""COMPUTED_VALUE"""),94533)</f>
        <v>94533</v>
      </c>
      <c r="P245" s="1" t="str">
        <f ca="1">IFERROR(__xludf.DUMMYFUNCTION("""COMPUTED_VALUE"""),"West")</f>
        <v>West</v>
      </c>
      <c r="Q245" s="1" t="str">
        <f ca="1">IFERROR(__xludf.DUMMYFUNCTION("""COMPUTED_VALUE"""),"OFF-BI-10004632")</f>
        <v>OFF-BI-10004632</v>
      </c>
      <c r="R245" s="1" t="str">
        <f ca="1">IFERROR(__xludf.DUMMYFUNCTION("""COMPUTED_VALUE"""),"Office Supplies")</f>
        <v>Office Supplies</v>
      </c>
      <c r="S245" s="7">
        <f ca="1">IFERROR(__xludf.DUMMYFUNCTION("""COMPUTED_VALUE"""),20.72)</f>
        <v>20.72</v>
      </c>
      <c r="T245" s="1">
        <f ca="1">IFERROR(__xludf.DUMMYFUNCTION("""COMPUTED_VALUE"""),9)</f>
        <v>9</v>
      </c>
      <c r="U245" s="9">
        <f ca="1">IFERROR(__xludf.DUMMYFUNCTION("""COMPUTED_VALUE"""),186.48)</f>
        <v>186.48</v>
      </c>
      <c r="V245" s="9">
        <f ca="1">IFERROR(__xludf.DUMMYFUNCTION("""COMPUTED_VALUE"""),179.01)</f>
        <v>179.01</v>
      </c>
      <c r="W245" s="12">
        <f ca="1">IFERROR(__xludf.DUMMYFUNCTION("""COMPUTED_VALUE"""),7.46999999999999)</f>
        <v>7.46999999999999</v>
      </c>
    </row>
    <row r="246" spans="1:23" ht="13.2">
      <c r="A246" s="1" t="str">
        <f ca="1">IFERROR(__xludf.DUMMYFUNCTION("""COMPUTED_VALUE"""),"CA-2016-121391")</f>
        <v>CA-2016-121391</v>
      </c>
      <c r="B246" s="8">
        <f ca="1">IFERROR(__xludf.DUMMYFUNCTION("""COMPUTED_VALUE"""),42470)</f>
        <v>42470</v>
      </c>
      <c r="C246" s="1" t="str">
        <f ca="1">IFERROR(__xludf.DUMMYFUNCTION("""COMPUTED_VALUE"""),"Apr")</f>
        <v>Apr</v>
      </c>
      <c r="D246" s="1" t="str">
        <f ca="1">IFERROR(__xludf.DUMMYFUNCTION("""COMPUTED_VALUE"""),"Qtr 2")</f>
        <v>Qtr 2</v>
      </c>
      <c r="E246" s="1" t="str">
        <f ca="1">IFERROR(__xludf.DUMMYFUNCTION("""COMPUTED_VALUE"""),"7/10/2016")</f>
        <v>7/10/2016</v>
      </c>
      <c r="F246" s="1" t="str">
        <f ca="1">IFERROR(__xludf.DUMMYFUNCTION("""COMPUTED_VALUE"""),"First Class")</f>
        <v>First Class</v>
      </c>
      <c r="G246" s="1" t="str">
        <f ca="1">IFERROR(__xludf.DUMMYFUNCTION("""COMPUTED_VALUE"""),"AA-10315")</f>
        <v>AA-10315</v>
      </c>
      <c r="H246" s="1" t="str">
        <f ca="1">IFERROR(__xludf.DUMMYFUNCTION("""COMPUTED_VALUE"""),"Alex")</f>
        <v>Alex</v>
      </c>
      <c r="I246" s="1" t="str">
        <f ca="1">IFERROR(__xludf.DUMMYFUNCTION("""COMPUTED_VALUE"""),"Avila")</f>
        <v>Avila</v>
      </c>
      <c r="J246" s="1"/>
      <c r="K246" s="1" t="str">
        <f ca="1">IFERROR(__xludf.DUMMYFUNCTION("""COMPUTED_VALUE"""),"Consumer")</f>
        <v>Consumer</v>
      </c>
      <c r="L246" s="1" t="str">
        <f ca="1">IFERROR(__xludf.DUMMYFUNCTION("""COMPUTED_VALUE"""),"United States")</f>
        <v>United States</v>
      </c>
      <c r="M246" s="1" t="str">
        <f ca="1">IFERROR(__xludf.DUMMYFUNCTION("""COMPUTED_VALUE"""),"San Francisco")</f>
        <v>San Francisco</v>
      </c>
      <c r="N246" s="1" t="str">
        <f ca="1">IFERROR(__xludf.DUMMYFUNCTION("""COMPUTED_VALUE"""),"California")</f>
        <v>California</v>
      </c>
      <c r="O246" s="1">
        <f ca="1">IFERROR(__xludf.DUMMYFUNCTION("""COMPUTED_VALUE"""),94109)</f>
        <v>94109</v>
      </c>
      <c r="P246" s="1" t="str">
        <f ca="1">IFERROR(__xludf.DUMMYFUNCTION("""COMPUTED_VALUE"""),"West")</f>
        <v>West</v>
      </c>
      <c r="Q246" s="1" t="str">
        <f ca="1">IFERROR(__xludf.DUMMYFUNCTION("""COMPUTED_VALUE"""),"OFF-ST-10001590")</f>
        <v>OFF-ST-10001590</v>
      </c>
      <c r="R246" s="1" t="str">
        <f ca="1">IFERROR(__xludf.DUMMYFUNCTION("""COMPUTED_VALUE"""),"Office Supplies")</f>
        <v>Office Supplies</v>
      </c>
      <c r="S246" s="7">
        <f ca="1">IFERROR(__xludf.DUMMYFUNCTION("""COMPUTED_VALUE"""),26.96)</f>
        <v>26.96</v>
      </c>
      <c r="T246" s="1">
        <f ca="1">IFERROR(__xludf.DUMMYFUNCTION("""COMPUTED_VALUE"""),9)</f>
        <v>9</v>
      </c>
      <c r="U246" s="9">
        <f ca="1">IFERROR(__xludf.DUMMYFUNCTION("""COMPUTED_VALUE"""),242.64)</f>
        <v>242.64</v>
      </c>
      <c r="V246" s="9">
        <f ca="1">IFERROR(__xludf.DUMMYFUNCTION("""COMPUTED_VALUE"""),234.54)</f>
        <v>234.54</v>
      </c>
      <c r="W246" s="12">
        <f ca="1">IFERROR(__xludf.DUMMYFUNCTION("""COMPUTED_VALUE"""),8.10000000000002)</f>
        <v>8.1000000000000192</v>
      </c>
    </row>
    <row r="247" spans="1:23" ht="13.2">
      <c r="A247" s="1" t="str">
        <f ca="1">IFERROR(__xludf.DUMMYFUNCTION("""COMPUTED_VALUE"""),"CA-2017-141397")</f>
        <v>CA-2017-141397</v>
      </c>
      <c r="B247" s="8">
        <f ca="1">IFERROR(__xludf.DUMMYFUNCTION("""COMPUTED_VALUE"""),42906)</f>
        <v>42906</v>
      </c>
      <c r="C247" s="1" t="str">
        <f ca="1">IFERROR(__xludf.DUMMYFUNCTION("""COMPUTED_VALUE"""),"Jun")</f>
        <v>Jun</v>
      </c>
      <c r="D247" s="1" t="str">
        <f ca="1">IFERROR(__xludf.DUMMYFUNCTION("""COMPUTED_VALUE"""),"Qtr 2")</f>
        <v>Qtr 2</v>
      </c>
      <c r="E247" s="1" t="str">
        <f ca="1">IFERROR(__xludf.DUMMYFUNCTION("""COMPUTED_VALUE"""),"21/06/2017")</f>
        <v>21/06/2017</v>
      </c>
      <c r="F247" s="1" t="str">
        <f ca="1">IFERROR(__xludf.DUMMYFUNCTION("""COMPUTED_VALUE"""),"First Class")</f>
        <v>First Class</v>
      </c>
      <c r="G247" s="1" t="str">
        <f ca="1">IFERROR(__xludf.DUMMYFUNCTION("""COMPUTED_VALUE"""),"RC-19825")</f>
        <v>RC-19825</v>
      </c>
      <c r="H247" s="1" t="str">
        <f ca="1">IFERROR(__xludf.DUMMYFUNCTION("""COMPUTED_VALUE"""),"Roy")</f>
        <v>Roy</v>
      </c>
      <c r="I247" s="1" t="str">
        <f ca="1">IFERROR(__xludf.DUMMYFUNCTION("""COMPUTED_VALUE"""),"Collins")</f>
        <v>Collins</v>
      </c>
      <c r="J247" s="1"/>
      <c r="K247" s="1" t="str">
        <f ca="1">IFERROR(__xludf.DUMMYFUNCTION("""COMPUTED_VALUE"""),"Consumer")</f>
        <v>Consumer</v>
      </c>
      <c r="L247" s="1" t="str">
        <f ca="1">IFERROR(__xludf.DUMMYFUNCTION("""COMPUTED_VALUE"""),"United States")</f>
        <v>United States</v>
      </c>
      <c r="M247" s="1" t="str">
        <f ca="1">IFERROR(__xludf.DUMMYFUNCTION("""COMPUTED_VALUE"""),"Pasadena")</f>
        <v>Pasadena</v>
      </c>
      <c r="N247" s="1" t="str">
        <f ca="1">IFERROR(__xludf.DUMMYFUNCTION("""COMPUTED_VALUE"""),"California")</f>
        <v>California</v>
      </c>
      <c r="O247" s="1">
        <f ca="1">IFERROR(__xludf.DUMMYFUNCTION("""COMPUTED_VALUE"""),91104)</f>
        <v>91104</v>
      </c>
      <c r="P247" s="1" t="str">
        <f ca="1">IFERROR(__xludf.DUMMYFUNCTION("""COMPUTED_VALUE"""),"West")</f>
        <v>West</v>
      </c>
      <c r="Q247" s="1" t="str">
        <f ca="1">IFERROR(__xludf.DUMMYFUNCTION("""COMPUTED_VALUE"""),"OFF-PA-10002986")</f>
        <v>OFF-PA-10002986</v>
      </c>
      <c r="R247" s="1" t="str">
        <f ca="1">IFERROR(__xludf.DUMMYFUNCTION("""COMPUTED_VALUE"""),"Office Supplies")</f>
        <v>Office Supplies</v>
      </c>
      <c r="S247" s="7">
        <f ca="1">IFERROR(__xludf.DUMMYFUNCTION("""COMPUTED_VALUE"""),46.76)</f>
        <v>46.76</v>
      </c>
      <c r="T247" s="1">
        <f ca="1">IFERROR(__xludf.DUMMYFUNCTION("""COMPUTED_VALUE"""),9)</f>
        <v>9</v>
      </c>
      <c r="U247" s="9">
        <f ca="1">IFERROR(__xludf.DUMMYFUNCTION("""COMPUTED_VALUE"""),420.84)</f>
        <v>420.84</v>
      </c>
      <c r="V247" s="9">
        <f ca="1">IFERROR(__xludf.DUMMYFUNCTION("""COMPUTED_VALUE"""),419.58)</f>
        <v>419.58</v>
      </c>
      <c r="W247" s="12">
        <f ca="1">IFERROR(__xludf.DUMMYFUNCTION("""COMPUTED_VALUE"""),1.25999999999999)</f>
        <v>1.25999999999999</v>
      </c>
    </row>
    <row r="248" spans="1:23" ht="13.2">
      <c r="A248" s="1" t="str">
        <f ca="1">IFERROR(__xludf.DUMMYFUNCTION("""COMPUTED_VALUE"""),"CA-2017-141397")</f>
        <v>CA-2017-141397</v>
      </c>
      <c r="B248" s="8">
        <f ca="1">IFERROR(__xludf.DUMMYFUNCTION("""COMPUTED_VALUE"""),42906)</f>
        <v>42906</v>
      </c>
      <c r="C248" s="1" t="str">
        <f ca="1">IFERROR(__xludf.DUMMYFUNCTION("""COMPUTED_VALUE"""),"Jun")</f>
        <v>Jun</v>
      </c>
      <c r="D248" s="1" t="str">
        <f ca="1">IFERROR(__xludf.DUMMYFUNCTION("""COMPUTED_VALUE"""),"Qtr 2")</f>
        <v>Qtr 2</v>
      </c>
      <c r="E248" s="1" t="str">
        <f ca="1">IFERROR(__xludf.DUMMYFUNCTION("""COMPUTED_VALUE"""),"21/06/2017")</f>
        <v>21/06/2017</v>
      </c>
      <c r="F248" s="1" t="str">
        <f ca="1">IFERROR(__xludf.DUMMYFUNCTION("""COMPUTED_VALUE"""),"First Class")</f>
        <v>First Class</v>
      </c>
      <c r="G248" s="1" t="str">
        <f ca="1">IFERROR(__xludf.DUMMYFUNCTION("""COMPUTED_VALUE"""),"RC-19825")</f>
        <v>RC-19825</v>
      </c>
      <c r="H248" s="1" t="str">
        <f ca="1">IFERROR(__xludf.DUMMYFUNCTION("""COMPUTED_VALUE"""),"Roy")</f>
        <v>Roy</v>
      </c>
      <c r="I248" s="1" t="str">
        <f ca="1">IFERROR(__xludf.DUMMYFUNCTION("""COMPUTED_VALUE"""),"Collins")</f>
        <v>Collins</v>
      </c>
      <c r="J248" s="1"/>
      <c r="K248" s="1" t="str">
        <f ca="1">IFERROR(__xludf.DUMMYFUNCTION("""COMPUTED_VALUE"""),"Consumer")</f>
        <v>Consumer</v>
      </c>
      <c r="L248" s="1" t="str">
        <f ca="1">IFERROR(__xludf.DUMMYFUNCTION("""COMPUTED_VALUE"""),"United States")</f>
        <v>United States</v>
      </c>
      <c r="M248" s="1" t="str">
        <f ca="1">IFERROR(__xludf.DUMMYFUNCTION("""COMPUTED_VALUE"""),"Pasadena")</f>
        <v>Pasadena</v>
      </c>
      <c r="N248" s="1" t="str">
        <f ca="1">IFERROR(__xludf.DUMMYFUNCTION("""COMPUTED_VALUE"""),"California")</f>
        <v>California</v>
      </c>
      <c r="O248" s="1">
        <f ca="1">IFERROR(__xludf.DUMMYFUNCTION("""COMPUTED_VALUE"""),91104)</f>
        <v>91104</v>
      </c>
      <c r="P248" s="1" t="str">
        <f ca="1">IFERROR(__xludf.DUMMYFUNCTION("""COMPUTED_VALUE"""),"West")</f>
        <v>West</v>
      </c>
      <c r="Q248" s="1" t="str">
        <f ca="1">IFERROR(__xludf.DUMMYFUNCTION("""COMPUTED_VALUE"""),"OFF-BI-10000320")</f>
        <v>OFF-BI-10000320</v>
      </c>
      <c r="R248" s="1" t="str">
        <f ca="1">IFERROR(__xludf.DUMMYFUNCTION("""COMPUTED_VALUE"""),"Office Supplies")</f>
        <v>Office Supplies</v>
      </c>
      <c r="S248" s="7">
        <f ca="1">IFERROR(__xludf.DUMMYFUNCTION("""COMPUTED_VALUE"""),17.712)</f>
        <v>17.712</v>
      </c>
      <c r="T248" s="1">
        <f ca="1">IFERROR(__xludf.DUMMYFUNCTION("""COMPUTED_VALUE"""),9)</f>
        <v>9</v>
      </c>
      <c r="U248" s="9">
        <f ca="1">IFERROR(__xludf.DUMMYFUNCTION("""COMPUTED_VALUE"""),159.408)</f>
        <v>159.40799999999999</v>
      </c>
      <c r="V248" s="9">
        <f ca="1">IFERROR(__xludf.DUMMYFUNCTION("""COMPUTED_VALUE"""),159.39)</f>
        <v>159.38999999999999</v>
      </c>
      <c r="W248" s="12">
        <f ca="1">IFERROR(__xludf.DUMMYFUNCTION("""COMPUTED_VALUE"""),0.0179999999999722)</f>
        <v>1.7999999999972201E-2</v>
      </c>
    </row>
    <row r="249" spans="1:23" ht="13.2">
      <c r="A249" s="1" t="str">
        <f ca="1">IFERROR(__xludf.DUMMYFUNCTION("""COMPUTED_VALUE"""),"CA-2017-141397")</f>
        <v>CA-2017-141397</v>
      </c>
      <c r="B249" s="8">
        <f ca="1">IFERROR(__xludf.DUMMYFUNCTION("""COMPUTED_VALUE"""),42906)</f>
        <v>42906</v>
      </c>
      <c r="C249" s="1" t="str">
        <f ca="1">IFERROR(__xludf.DUMMYFUNCTION("""COMPUTED_VALUE"""),"Jun")</f>
        <v>Jun</v>
      </c>
      <c r="D249" s="1" t="str">
        <f ca="1">IFERROR(__xludf.DUMMYFUNCTION("""COMPUTED_VALUE"""),"Qtr 2")</f>
        <v>Qtr 2</v>
      </c>
      <c r="E249" s="1" t="str">
        <f ca="1">IFERROR(__xludf.DUMMYFUNCTION("""COMPUTED_VALUE"""),"21/06/2017")</f>
        <v>21/06/2017</v>
      </c>
      <c r="F249" s="1" t="str">
        <f ca="1">IFERROR(__xludf.DUMMYFUNCTION("""COMPUTED_VALUE"""),"First Class")</f>
        <v>First Class</v>
      </c>
      <c r="G249" s="1" t="str">
        <f ca="1">IFERROR(__xludf.DUMMYFUNCTION("""COMPUTED_VALUE"""),"RC-19825")</f>
        <v>RC-19825</v>
      </c>
      <c r="H249" s="1" t="str">
        <f ca="1">IFERROR(__xludf.DUMMYFUNCTION("""COMPUTED_VALUE"""),"Roy")</f>
        <v>Roy</v>
      </c>
      <c r="I249" s="1" t="str">
        <f ca="1">IFERROR(__xludf.DUMMYFUNCTION("""COMPUTED_VALUE"""),"Collins")</f>
        <v>Collins</v>
      </c>
      <c r="J249" s="1"/>
      <c r="K249" s="1" t="str">
        <f ca="1">IFERROR(__xludf.DUMMYFUNCTION("""COMPUTED_VALUE"""),"Consumer")</f>
        <v>Consumer</v>
      </c>
      <c r="L249" s="1" t="str">
        <f ca="1">IFERROR(__xludf.DUMMYFUNCTION("""COMPUTED_VALUE"""),"United States")</f>
        <v>United States</v>
      </c>
      <c r="M249" s="1" t="str">
        <f ca="1">IFERROR(__xludf.DUMMYFUNCTION("""COMPUTED_VALUE"""),"Pasadena")</f>
        <v>Pasadena</v>
      </c>
      <c r="N249" s="1" t="str">
        <f ca="1">IFERROR(__xludf.DUMMYFUNCTION("""COMPUTED_VALUE"""),"California")</f>
        <v>California</v>
      </c>
      <c r="O249" s="1">
        <f ca="1">IFERROR(__xludf.DUMMYFUNCTION("""COMPUTED_VALUE"""),91104)</f>
        <v>91104</v>
      </c>
      <c r="P249" s="1" t="str">
        <f ca="1">IFERROR(__xludf.DUMMYFUNCTION("""COMPUTED_VALUE"""),"West")</f>
        <v>West</v>
      </c>
      <c r="Q249" s="1" t="str">
        <f ca="1">IFERROR(__xludf.DUMMYFUNCTION("""COMPUTED_VALUE"""),"OFF-AP-10003971")</f>
        <v>OFF-AP-10003971</v>
      </c>
      <c r="R249" s="1" t="str">
        <f ca="1">IFERROR(__xludf.DUMMYFUNCTION("""COMPUTED_VALUE"""),"Office Supplies")</f>
        <v>Office Supplies</v>
      </c>
      <c r="S249" s="7">
        <f ca="1">IFERROR(__xludf.DUMMYFUNCTION("""COMPUTED_VALUE"""),21.78)</f>
        <v>21.78</v>
      </c>
      <c r="T249" s="1">
        <f ca="1">IFERROR(__xludf.DUMMYFUNCTION("""COMPUTED_VALUE"""),9)</f>
        <v>9</v>
      </c>
      <c r="U249" s="9">
        <f ca="1">IFERROR(__xludf.DUMMYFUNCTION("""COMPUTED_VALUE"""),196.02)</f>
        <v>196.02</v>
      </c>
      <c r="V249" s="9">
        <f ca="1">IFERROR(__xludf.DUMMYFUNCTION("""COMPUTED_VALUE"""),191.34)</f>
        <v>191.34</v>
      </c>
      <c r="W249" s="12">
        <f ca="1">IFERROR(__xludf.DUMMYFUNCTION("""COMPUTED_VALUE"""),4.68)</f>
        <v>4.68</v>
      </c>
    </row>
    <row r="250" spans="1:23" ht="13.2">
      <c r="A250" s="1" t="str">
        <f ca="1">IFERROR(__xludf.DUMMYFUNCTION("""COMPUTED_VALUE"""),"CA-2017-141397")</f>
        <v>CA-2017-141397</v>
      </c>
      <c r="B250" s="8">
        <f ca="1">IFERROR(__xludf.DUMMYFUNCTION("""COMPUTED_VALUE"""),42906)</f>
        <v>42906</v>
      </c>
      <c r="C250" s="1" t="str">
        <f ca="1">IFERROR(__xludf.DUMMYFUNCTION("""COMPUTED_VALUE"""),"Jun")</f>
        <v>Jun</v>
      </c>
      <c r="D250" s="1" t="str">
        <f ca="1">IFERROR(__xludf.DUMMYFUNCTION("""COMPUTED_VALUE"""),"Qtr 2")</f>
        <v>Qtr 2</v>
      </c>
      <c r="E250" s="1" t="str">
        <f ca="1">IFERROR(__xludf.DUMMYFUNCTION("""COMPUTED_VALUE"""),"21/06/2017")</f>
        <v>21/06/2017</v>
      </c>
      <c r="F250" s="1" t="str">
        <f ca="1">IFERROR(__xludf.DUMMYFUNCTION("""COMPUTED_VALUE"""),"First Class")</f>
        <v>First Class</v>
      </c>
      <c r="G250" s="1" t="str">
        <f ca="1">IFERROR(__xludf.DUMMYFUNCTION("""COMPUTED_VALUE"""),"RC-19825")</f>
        <v>RC-19825</v>
      </c>
      <c r="H250" s="1" t="str">
        <f ca="1">IFERROR(__xludf.DUMMYFUNCTION("""COMPUTED_VALUE"""),"Roy")</f>
        <v>Roy</v>
      </c>
      <c r="I250" s="1" t="str">
        <f ca="1">IFERROR(__xludf.DUMMYFUNCTION("""COMPUTED_VALUE"""),"Collins")</f>
        <v>Collins</v>
      </c>
      <c r="J250" s="1"/>
      <c r="K250" s="1" t="str">
        <f ca="1">IFERROR(__xludf.DUMMYFUNCTION("""COMPUTED_VALUE"""),"Consumer")</f>
        <v>Consumer</v>
      </c>
      <c r="L250" s="1" t="str">
        <f ca="1">IFERROR(__xludf.DUMMYFUNCTION("""COMPUTED_VALUE"""),"United States")</f>
        <v>United States</v>
      </c>
      <c r="M250" s="1" t="str">
        <f ca="1">IFERROR(__xludf.DUMMYFUNCTION("""COMPUTED_VALUE"""),"Pasadena")</f>
        <v>Pasadena</v>
      </c>
      <c r="N250" s="1" t="str">
        <f ca="1">IFERROR(__xludf.DUMMYFUNCTION("""COMPUTED_VALUE"""),"California")</f>
        <v>California</v>
      </c>
      <c r="O250" s="1">
        <f ca="1">IFERROR(__xludf.DUMMYFUNCTION("""COMPUTED_VALUE"""),91104)</f>
        <v>91104</v>
      </c>
      <c r="P250" s="1" t="str">
        <f ca="1">IFERROR(__xludf.DUMMYFUNCTION("""COMPUTED_VALUE"""),"West")</f>
        <v>West</v>
      </c>
      <c r="Q250" s="1" t="str">
        <f ca="1">IFERROR(__xludf.DUMMYFUNCTION("""COMPUTED_VALUE"""),"OFF-ST-10001469")</f>
        <v>OFF-ST-10001469</v>
      </c>
      <c r="R250" s="1" t="str">
        <f ca="1">IFERROR(__xludf.DUMMYFUNCTION("""COMPUTED_VALUE"""),"Office Supplies")</f>
        <v>Office Supplies</v>
      </c>
      <c r="S250" s="7">
        <f ca="1">IFERROR(__xludf.DUMMYFUNCTION("""COMPUTED_VALUE"""),161.94)</f>
        <v>161.94</v>
      </c>
      <c r="T250" s="1">
        <f ca="1">IFERROR(__xludf.DUMMYFUNCTION("""COMPUTED_VALUE"""),9)</f>
        <v>9</v>
      </c>
      <c r="U250" s="9">
        <f ca="1">IFERROR(__xludf.DUMMYFUNCTION("""COMPUTED_VALUE"""),1457.46)</f>
        <v>1457.46</v>
      </c>
      <c r="V250" s="9">
        <f ca="1">IFERROR(__xludf.DUMMYFUNCTION("""COMPUTED_VALUE"""),1453.05)</f>
        <v>1453.05</v>
      </c>
      <c r="W250" s="12">
        <f ca="1">IFERROR(__xludf.DUMMYFUNCTION("""COMPUTED_VALUE"""),4.41000000000008)</f>
        <v>4.4100000000000801</v>
      </c>
    </row>
    <row r="251" spans="1:23" ht="13.2">
      <c r="A251" s="1" t="str">
        <f ca="1">IFERROR(__xludf.DUMMYFUNCTION("""COMPUTED_VALUE"""),"CA-2017-141397")</f>
        <v>CA-2017-141397</v>
      </c>
      <c r="B251" s="8">
        <f ca="1">IFERROR(__xludf.DUMMYFUNCTION("""COMPUTED_VALUE"""),42906)</f>
        <v>42906</v>
      </c>
      <c r="C251" s="1" t="str">
        <f ca="1">IFERROR(__xludf.DUMMYFUNCTION("""COMPUTED_VALUE"""),"Jun")</f>
        <v>Jun</v>
      </c>
      <c r="D251" s="1" t="str">
        <f ca="1">IFERROR(__xludf.DUMMYFUNCTION("""COMPUTED_VALUE"""),"Qtr 2")</f>
        <v>Qtr 2</v>
      </c>
      <c r="E251" s="1" t="str">
        <f ca="1">IFERROR(__xludf.DUMMYFUNCTION("""COMPUTED_VALUE"""),"21/06/2017")</f>
        <v>21/06/2017</v>
      </c>
      <c r="F251" s="1" t="str">
        <f ca="1">IFERROR(__xludf.DUMMYFUNCTION("""COMPUTED_VALUE"""),"First Class")</f>
        <v>First Class</v>
      </c>
      <c r="G251" s="1" t="str">
        <f ca="1">IFERROR(__xludf.DUMMYFUNCTION("""COMPUTED_VALUE"""),"RC-19825")</f>
        <v>RC-19825</v>
      </c>
      <c r="H251" s="1" t="str">
        <f ca="1">IFERROR(__xludf.DUMMYFUNCTION("""COMPUTED_VALUE"""),"Roy")</f>
        <v>Roy</v>
      </c>
      <c r="I251" s="1" t="str">
        <f ca="1">IFERROR(__xludf.DUMMYFUNCTION("""COMPUTED_VALUE"""),"Collins")</f>
        <v>Collins</v>
      </c>
      <c r="J251" s="1"/>
      <c r="K251" s="1" t="str">
        <f ca="1">IFERROR(__xludf.DUMMYFUNCTION("""COMPUTED_VALUE"""),"Consumer")</f>
        <v>Consumer</v>
      </c>
      <c r="L251" s="1" t="str">
        <f ca="1">IFERROR(__xludf.DUMMYFUNCTION("""COMPUTED_VALUE"""),"United States")</f>
        <v>United States</v>
      </c>
      <c r="M251" s="1" t="str">
        <f ca="1">IFERROR(__xludf.DUMMYFUNCTION("""COMPUTED_VALUE"""),"Pasadena")</f>
        <v>Pasadena</v>
      </c>
      <c r="N251" s="1" t="str">
        <f ca="1">IFERROR(__xludf.DUMMYFUNCTION("""COMPUTED_VALUE"""),"California")</f>
        <v>California</v>
      </c>
      <c r="O251" s="1">
        <f ca="1">IFERROR(__xludf.DUMMYFUNCTION("""COMPUTED_VALUE"""),91104)</f>
        <v>91104</v>
      </c>
      <c r="P251" s="1" t="str">
        <f ca="1">IFERROR(__xludf.DUMMYFUNCTION("""COMPUTED_VALUE"""),"West")</f>
        <v>West</v>
      </c>
      <c r="Q251" s="1" t="str">
        <f ca="1">IFERROR(__xludf.DUMMYFUNCTION("""COMPUTED_VALUE"""),"FUR-CH-10003846")</f>
        <v>FUR-CH-10003846</v>
      </c>
      <c r="R251" s="1" t="str">
        <f ca="1">IFERROR(__xludf.DUMMYFUNCTION("""COMPUTED_VALUE"""),"Furniture")</f>
        <v>Furniture</v>
      </c>
      <c r="S251" s="7">
        <f ca="1">IFERROR(__xludf.DUMMYFUNCTION("""COMPUTED_VALUE"""),161.568)</f>
        <v>161.56800000000001</v>
      </c>
      <c r="T251" s="1">
        <f ca="1">IFERROR(__xludf.DUMMYFUNCTION("""COMPUTED_VALUE"""),9)</f>
        <v>9</v>
      </c>
      <c r="U251" s="9">
        <f ca="1">IFERROR(__xludf.DUMMYFUNCTION("""COMPUTED_VALUE"""),1454.112)</f>
        <v>1454.1120000000001</v>
      </c>
      <c r="V251" s="9">
        <f ca="1">IFERROR(__xludf.DUMMYFUNCTION("""COMPUTED_VALUE"""),1450.98)</f>
        <v>1450.98</v>
      </c>
      <c r="W251" s="12">
        <f ca="1">IFERROR(__xludf.DUMMYFUNCTION("""COMPUTED_VALUE"""),3.13200000000006)</f>
        <v>3.1320000000000601</v>
      </c>
    </row>
    <row r="252" spans="1:23" ht="13.2">
      <c r="A252" s="1" t="str">
        <f ca="1">IFERROR(__xludf.DUMMYFUNCTION("""COMPUTED_VALUE"""),"CA-2017-145919")</f>
        <v>CA-2017-145919</v>
      </c>
      <c r="B252" s="8">
        <f ca="1">IFERROR(__xludf.DUMMYFUNCTION("""COMPUTED_VALUE"""),43087)</f>
        <v>43087</v>
      </c>
      <c r="C252" s="1" t="str">
        <f ca="1">IFERROR(__xludf.DUMMYFUNCTION("""COMPUTED_VALUE"""),"Dec")</f>
        <v>Dec</v>
      </c>
      <c r="D252" s="1" t="str">
        <f ca="1">IFERROR(__xludf.DUMMYFUNCTION("""COMPUTED_VALUE"""),"Qtr 4")</f>
        <v>Qtr 4</v>
      </c>
      <c r="E252" s="1" t="str">
        <f ca="1">IFERROR(__xludf.DUMMYFUNCTION("""COMPUTED_VALUE"""),"23/12/2017")</f>
        <v>23/12/2017</v>
      </c>
      <c r="F252" s="1" t="str">
        <f ca="1">IFERROR(__xludf.DUMMYFUNCTION("""COMPUTED_VALUE"""),"Standard Class")</f>
        <v>Standard Class</v>
      </c>
      <c r="G252" s="1" t="str">
        <f ca="1">IFERROR(__xludf.DUMMYFUNCTION("""COMPUTED_VALUE"""),"HG-14965")</f>
        <v>HG-14965</v>
      </c>
      <c r="H252" s="1" t="str">
        <f ca="1">IFERROR(__xludf.DUMMYFUNCTION("""COMPUTED_VALUE"""),"Henry")</f>
        <v>Henry</v>
      </c>
      <c r="I252" s="1" t="str">
        <f ca="1">IFERROR(__xludf.DUMMYFUNCTION("""COMPUTED_VALUE"""),"Goldwyn")</f>
        <v>Goldwyn</v>
      </c>
      <c r="J252" s="1"/>
      <c r="K252" s="1" t="str">
        <f ca="1">IFERROR(__xludf.DUMMYFUNCTION("""COMPUTED_VALUE"""),"Corporate")</f>
        <v>Corporate</v>
      </c>
      <c r="L252" s="1" t="str">
        <f ca="1">IFERROR(__xludf.DUMMYFUNCTION("""COMPUTED_VALUE"""),"United States")</f>
        <v>United States</v>
      </c>
      <c r="M252" s="1" t="str">
        <f ca="1">IFERROR(__xludf.DUMMYFUNCTION("""COMPUTED_VALUE"""),"Los Angeles")</f>
        <v>Los Angeles</v>
      </c>
      <c r="N252" s="1" t="str">
        <f ca="1">IFERROR(__xludf.DUMMYFUNCTION("""COMPUTED_VALUE"""),"California")</f>
        <v>California</v>
      </c>
      <c r="O252" s="1">
        <f ca="1">IFERROR(__xludf.DUMMYFUNCTION("""COMPUTED_VALUE"""),90032)</f>
        <v>90032</v>
      </c>
      <c r="P252" s="1" t="str">
        <f ca="1">IFERROR(__xludf.DUMMYFUNCTION("""COMPUTED_VALUE"""),"West")</f>
        <v>West</v>
      </c>
      <c r="Q252" s="1" t="str">
        <f ca="1">IFERROR(__xludf.DUMMYFUNCTION("""COMPUTED_VALUE"""),"OFF-PA-10003072")</f>
        <v>OFF-PA-10003072</v>
      </c>
      <c r="R252" s="1" t="str">
        <f ca="1">IFERROR(__xludf.DUMMYFUNCTION("""COMPUTED_VALUE"""),"Office Supplies")</f>
        <v>Office Supplies</v>
      </c>
      <c r="S252" s="7">
        <f ca="1">IFERROR(__xludf.DUMMYFUNCTION("""COMPUTED_VALUE"""),38.88)</f>
        <v>38.880000000000003</v>
      </c>
      <c r="T252" s="1">
        <f ca="1">IFERROR(__xludf.DUMMYFUNCTION("""COMPUTED_VALUE"""),9)</f>
        <v>9</v>
      </c>
      <c r="U252" s="9">
        <f ca="1">IFERROR(__xludf.DUMMYFUNCTION("""COMPUTED_VALUE"""),349.92)</f>
        <v>349.92</v>
      </c>
      <c r="V252" s="9">
        <f ca="1">IFERROR(__xludf.DUMMYFUNCTION("""COMPUTED_VALUE"""),342)</f>
        <v>342</v>
      </c>
      <c r="W252" s="12">
        <f ca="1">IFERROR(__xludf.DUMMYFUNCTION("""COMPUTED_VALUE"""),7.92000000000001)</f>
        <v>7.9200000000000097</v>
      </c>
    </row>
    <row r="253" spans="1:23" ht="13.2">
      <c r="A253" s="1" t="str">
        <f ca="1">IFERROR(__xludf.DUMMYFUNCTION("""COMPUTED_VALUE"""),"CA-2017-145919")</f>
        <v>CA-2017-145919</v>
      </c>
      <c r="B253" s="8">
        <f ca="1">IFERROR(__xludf.DUMMYFUNCTION("""COMPUTED_VALUE"""),43087)</f>
        <v>43087</v>
      </c>
      <c r="C253" s="1" t="str">
        <f ca="1">IFERROR(__xludf.DUMMYFUNCTION("""COMPUTED_VALUE"""),"Dec")</f>
        <v>Dec</v>
      </c>
      <c r="D253" s="1" t="str">
        <f ca="1">IFERROR(__xludf.DUMMYFUNCTION("""COMPUTED_VALUE"""),"Qtr 4")</f>
        <v>Qtr 4</v>
      </c>
      <c r="E253" s="1" t="str">
        <f ca="1">IFERROR(__xludf.DUMMYFUNCTION("""COMPUTED_VALUE"""),"23/12/2017")</f>
        <v>23/12/2017</v>
      </c>
      <c r="F253" s="1" t="str">
        <f ca="1">IFERROR(__xludf.DUMMYFUNCTION("""COMPUTED_VALUE"""),"Standard Class")</f>
        <v>Standard Class</v>
      </c>
      <c r="G253" s="1" t="str">
        <f ca="1">IFERROR(__xludf.DUMMYFUNCTION("""COMPUTED_VALUE"""),"HG-14965")</f>
        <v>HG-14965</v>
      </c>
      <c r="H253" s="1" t="str">
        <f ca="1">IFERROR(__xludf.DUMMYFUNCTION("""COMPUTED_VALUE"""),"Henry")</f>
        <v>Henry</v>
      </c>
      <c r="I253" s="1" t="str">
        <f ca="1">IFERROR(__xludf.DUMMYFUNCTION("""COMPUTED_VALUE"""),"Goldwyn")</f>
        <v>Goldwyn</v>
      </c>
      <c r="J253" s="1"/>
      <c r="K253" s="1" t="str">
        <f ca="1">IFERROR(__xludf.DUMMYFUNCTION("""COMPUTED_VALUE"""),"Corporate")</f>
        <v>Corporate</v>
      </c>
      <c r="L253" s="1" t="str">
        <f ca="1">IFERROR(__xludf.DUMMYFUNCTION("""COMPUTED_VALUE"""),"United States")</f>
        <v>United States</v>
      </c>
      <c r="M253" s="1" t="str">
        <f ca="1">IFERROR(__xludf.DUMMYFUNCTION("""COMPUTED_VALUE"""),"Los Angeles")</f>
        <v>Los Angeles</v>
      </c>
      <c r="N253" s="1" t="str">
        <f ca="1">IFERROR(__xludf.DUMMYFUNCTION("""COMPUTED_VALUE"""),"California")</f>
        <v>California</v>
      </c>
      <c r="O253" s="1">
        <f ca="1">IFERROR(__xludf.DUMMYFUNCTION("""COMPUTED_VALUE"""),90032)</f>
        <v>90032</v>
      </c>
      <c r="P253" s="1" t="str">
        <f ca="1">IFERROR(__xludf.DUMMYFUNCTION("""COMPUTED_VALUE"""),"West")</f>
        <v>West</v>
      </c>
      <c r="Q253" s="1" t="str">
        <f ca="1">IFERROR(__xludf.DUMMYFUNCTION("""COMPUTED_VALUE"""),"FUR-FU-10004960")</f>
        <v>FUR-FU-10004960</v>
      </c>
      <c r="R253" s="1" t="str">
        <f ca="1">IFERROR(__xludf.DUMMYFUNCTION("""COMPUTED_VALUE"""),"Furniture")</f>
        <v>Furniture</v>
      </c>
      <c r="S253" s="7">
        <f ca="1">IFERROR(__xludf.DUMMYFUNCTION("""COMPUTED_VALUE"""),183.84)</f>
        <v>183.84</v>
      </c>
      <c r="T253" s="1">
        <f ca="1">IFERROR(__xludf.DUMMYFUNCTION("""COMPUTED_VALUE"""),9)</f>
        <v>9</v>
      </c>
      <c r="U253" s="9">
        <f ca="1">IFERROR(__xludf.DUMMYFUNCTION("""COMPUTED_VALUE"""),1654.56)</f>
        <v>1654.56</v>
      </c>
      <c r="V253" s="9">
        <f ca="1">IFERROR(__xludf.DUMMYFUNCTION("""COMPUTED_VALUE"""),1648.89)</f>
        <v>1648.89</v>
      </c>
      <c r="W253" s="12">
        <f ca="1">IFERROR(__xludf.DUMMYFUNCTION("""COMPUTED_VALUE"""),5.66999999999984)</f>
        <v>5.6699999999998401</v>
      </c>
    </row>
    <row r="254" spans="1:23" ht="13.2">
      <c r="A254" s="1" t="str">
        <f ca="1">IFERROR(__xludf.DUMMYFUNCTION("""COMPUTED_VALUE"""),"CA-2017-145919")</f>
        <v>CA-2017-145919</v>
      </c>
      <c r="B254" s="8">
        <f ca="1">IFERROR(__xludf.DUMMYFUNCTION("""COMPUTED_VALUE"""),43087)</f>
        <v>43087</v>
      </c>
      <c r="C254" s="1" t="str">
        <f ca="1">IFERROR(__xludf.DUMMYFUNCTION("""COMPUTED_VALUE"""),"Dec")</f>
        <v>Dec</v>
      </c>
      <c r="D254" s="1" t="str">
        <f ca="1">IFERROR(__xludf.DUMMYFUNCTION("""COMPUTED_VALUE"""),"Qtr 4")</f>
        <v>Qtr 4</v>
      </c>
      <c r="E254" s="1" t="str">
        <f ca="1">IFERROR(__xludf.DUMMYFUNCTION("""COMPUTED_VALUE"""),"23/12/2017")</f>
        <v>23/12/2017</v>
      </c>
      <c r="F254" s="1" t="str">
        <f ca="1">IFERROR(__xludf.DUMMYFUNCTION("""COMPUTED_VALUE"""),"Standard Class")</f>
        <v>Standard Class</v>
      </c>
      <c r="G254" s="1" t="str">
        <f ca="1">IFERROR(__xludf.DUMMYFUNCTION("""COMPUTED_VALUE"""),"HG-14965")</f>
        <v>HG-14965</v>
      </c>
      <c r="H254" s="1" t="str">
        <f ca="1">IFERROR(__xludf.DUMMYFUNCTION("""COMPUTED_VALUE"""),"Henry")</f>
        <v>Henry</v>
      </c>
      <c r="I254" s="1" t="str">
        <f ca="1">IFERROR(__xludf.DUMMYFUNCTION("""COMPUTED_VALUE"""),"Goldwyn")</f>
        <v>Goldwyn</v>
      </c>
      <c r="J254" s="1"/>
      <c r="K254" s="1" t="str">
        <f ca="1">IFERROR(__xludf.DUMMYFUNCTION("""COMPUTED_VALUE"""),"Corporate")</f>
        <v>Corporate</v>
      </c>
      <c r="L254" s="1" t="str">
        <f ca="1">IFERROR(__xludf.DUMMYFUNCTION("""COMPUTED_VALUE"""),"United States")</f>
        <v>United States</v>
      </c>
      <c r="M254" s="1" t="str">
        <f ca="1">IFERROR(__xludf.DUMMYFUNCTION("""COMPUTED_VALUE"""),"Los Angeles")</f>
        <v>Los Angeles</v>
      </c>
      <c r="N254" s="1" t="str">
        <f ca="1">IFERROR(__xludf.DUMMYFUNCTION("""COMPUTED_VALUE"""),"California")</f>
        <v>California</v>
      </c>
      <c r="O254" s="1">
        <f ca="1">IFERROR(__xludf.DUMMYFUNCTION("""COMPUTED_VALUE"""),90032)</f>
        <v>90032</v>
      </c>
      <c r="P254" s="1" t="str">
        <f ca="1">IFERROR(__xludf.DUMMYFUNCTION("""COMPUTED_VALUE"""),"West")</f>
        <v>West</v>
      </c>
      <c r="Q254" s="1" t="str">
        <f ca="1">IFERROR(__xludf.DUMMYFUNCTION("""COMPUTED_VALUE"""),"OFF-SU-10003505")</f>
        <v>OFF-SU-10003505</v>
      </c>
      <c r="R254" s="1" t="str">
        <f ca="1">IFERROR(__xludf.DUMMYFUNCTION("""COMPUTED_VALUE"""),"Office Supplies")</f>
        <v>Office Supplies</v>
      </c>
      <c r="S254" s="7">
        <f ca="1">IFERROR(__xludf.DUMMYFUNCTION("""COMPUTED_VALUE"""),579.3)</f>
        <v>579.29999999999995</v>
      </c>
      <c r="T254" s="1">
        <f ca="1">IFERROR(__xludf.DUMMYFUNCTION("""COMPUTED_VALUE"""),9)</f>
        <v>9</v>
      </c>
      <c r="U254" s="9">
        <f ca="1">IFERROR(__xludf.DUMMYFUNCTION("""COMPUTED_VALUE"""),5213.7)</f>
        <v>5213.7</v>
      </c>
      <c r="V254" s="9">
        <f ca="1">IFERROR(__xludf.DUMMYFUNCTION("""COMPUTED_VALUE"""),5213.25)</f>
        <v>5213.25</v>
      </c>
      <c r="W254" s="12">
        <f ca="1">IFERROR(__xludf.DUMMYFUNCTION("""COMPUTED_VALUE"""),0.449999999999818)</f>
        <v>0.44999999999981799</v>
      </c>
    </row>
    <row r="255" spans="1:23" ht="13.2">
      <c r="A255" s="1" t="str">
        <f ca="1">IFERROR(__xludf.DUMMYFUNCTION("""COMPUTED_VALUE"""),"CA-2018-106033")</f>
        <v>CA-2018-106033</v>
      </c>
      <c r="B255" s="8">
        <f ca="1">IFERROR(__xludf.DUMMYFUNCTION("""COMPUTED_VALUE"""),43388)</f>
        <v>43388</v>
      </c>
      <c r="C255" s="1" t="str">
        <f ca="1">IFERROR(__xludf.DUMMYFUNCTION("""COMPUTED_VALUE"""),"Oct")</f>
        <v>Oct</v>
      </c>
      <c r="D255" s="1" t="str">
        <f ca="1">IFERROR(__xludf.DUMMYFUNCTION("""COMPUTED_VALUE"""),"Qtr 4")</f>
        <v>Qtr 4</v>
      </c>
      <c r="E255" s="1" t="str">
        <f ca="1">IFERROR(__xludf.DUMMYFUNCTION("""COMPUTED_VALUE"""),"18/10/2018")</f>
        <v>18/10/2018</v>
      </c>
      <c r="F255" s="1" t="str">
        <f ca="1">IFERROR(__xludf.DUMMYFUNCTION("""COMPUTED_VALUE"""),"Second Class")</f>
        <v>Second Class</v>
      </c>
      <c r="G255" s="1" t="str">
        <f ca="1">IFERROR(__xludf.DUMMYFUNCTION("""COMPUTED_VALUE"""),"FG-14260")</f>
        <v>FG-14260</v>
      </c>
      <c r="H255" s="1" t="str">
        <f ca="1">IFERROR(__xludf.DUMMYFUNCTION("""COMPUTED_VALUE"""),"Frank")</f>
        <v>Frank</v>
      </c>
      <c r="I255" s="1" t="str">
        <f ca="1">IFERROR(__xludf.DUMMYFUNCTION("""COMPUTED_VALUE"""),"Gastineau")</f>
        <v>Gastineau</v>
      </c>
      <c r="J255" s="1"/>
      <c r="K255" s="1" t="str">
        <f ca="1">IFERROR(__xludf.DUMMYFUNCTION("""COMPUTED_VALUE"""),"Home Office")</f>
        <v>Home Office</v>
      </c>
      <c r="L255" s="1" t="str">
        <f ca="1">IFERROR(__xludf.DUMMYFUNCTION("""COMPUTED_VALUE"""),"United States")</f>
        <v>United States</v>
      </c>
      <c r="M255" s="1" t="str">
        <f ca="1">IFERROR(__xludf.DUMMYFUNCTION("""COMPUTED_VALUE"""),"San Francisco")</f>
        <v>San Francisco</v>
      </c>
      <c r="N255" s="1" t="str">
        <f ca="1">IFERROR(__xludf.DUMMYFUNCTION("""COMPUTED_VALUE"""),"California")</f>
        <v>California</v>
      </c>
      <c r="O255" s="1">
        <f ca="1">IFERROR(__xludf.DUMMYFUNCTION("""COMPUTED_VALUE"""),94110)</f>
        <v>94110</v>
      </c>
      <c r="P255" s="1" t="str">
        <f ca="1">IFERROR(__xludf.DUMMYFUNCTION("""COMPUTED_VALUE"""),"West")</f>
        <v>West</v>
      </c>
      <c r="Q255" s="1" t="str">
        <f ca="1">IFERROR(__xludf.DUMMYFUNCTION("""COMPUTED_VALUE"""),"OFF-AR-10002818")</f>
        <v>OFF-AR-10002818</v>
      </c>
      <c r="R255" s="1" t="str">
        <f ca="1">IFERROR(__xludf.DUMMYFUNCTION("""COMPUTED_VALUE"""),"Office Supplies")</f>
        <v>Office Supplies</v>
      </c>
      <c r="S255" s="7">
        <f ca="1">IFERROR(__xludf.DUMMYFUNCTION("""COMPUTED_VALUE"""),87.92)</f>
        <v>87.92</v>
      </c>
      <c r="T255" s="1">
        <f ca="1">IFERROR(__xludf.DUMMYFUNCTION("""COMPUTED_VALUE"""),9)</f>
        <v>9</v>
      </c>
      <c r="U255" s="9">
        <f ca="1">IFERROR(__xludf.DUMMYFUNCTION("""COMPUTED_VALUE"""),791.28)</f>
        <v>791.28</v>
      </c>
      <c r="V255" s="9">
        <f ca="1">IFERROR(__xludf.DUMMYFUNCTION("""COMPUTED_VALUE"""),791.1)</f>
        <v>791.1</v>
      </c>
      <c r="W255" s="12">
        <f ca="1">IFERROR(__xludf.DUMMYFUNCTION("""COMPUTED_VALUE"""),0.179999999999949)</f>
        <v>0.17999999999994901</v>
      </c>
    </row>
    <row r="256" spans="1:23" ht="13.2">
      <c r="A256" s="1" t="str">
        <f ca="1">IFERROR(__xludf.DUMMYFUNCTION("""COMPUTED_VALUE"""),"CA-2017-142762")</f>
        <v>CA-2017-142762</v>
      </c>
      <c r="B256" s="8">
        <f ca="1">IFERROR(__xludf.DUMMYFUNCTION("""COMPUTED_VALUE"""),42878)</f>
        <v>42878</v>
      </c>
      <c r="C256" s="1" t="str">
        <f ca="1">IFERROR(__xludf.DUMMYFUNCTION("""COMPUTED_VALUE"""),"May")</f>
        <v>May</v>
      </c>
      <c r="D256" s="1" t="str">
        <f ca="1">IFERROR(__xludf.DUMMYFUNCTION("""COMPUTED_VALUE"""),"Qtr 2")</f>
        <v>Qtr 2</v>
      </c>
      <c r="E256" s="1" t="str">
        <f ca="1">IFERROR(__xludf.DUMMYFUNCTION("""COMPUTED_VALUE"""),"27/05/2017")</f>
        <v>27/05/2017</v>
      </c>
      <c r="F256" s="1" t="str">
        <f ca="1">IFERROR(__xludf.DUMMYFUNCTION("""COMPUTED_VALUE"""),"Standard Class")</f>
        <v>Standard Class</v>
      </c>
      <c r="G256" s="1" t="str">
        <f ca="1">IFERROR(__xludf.DUMMYFUNCTION("""COMPUTED_VALUE"""),"LD-17005")</f>
        <v>LD-17005</v>
      </c>
      <c r="H256" s="1" t="str">
        <f ca="1">IFERROR(__xludf.DUMMYFUNCTION("""COMPUTED_VALUE"""),"Lisa")</f>
        <v>Lisa</v>
      </c>
      <c r="I256" s="1" t="str">
        <f ca="1">IFERROR(__xludf.DUMMYFUNCTION("""COMPUTED_VALUE"""),"DeCherney")</f>
        <v>DeCherney</v>
      </c>
      <c r="J256" s="1"/>
      <c r="K256" s="1" t="str">
        <f ca="1">IFERROR(__xludf.DUMMYFUNCTION("""COMPUTED_VALUE"""),"Consumer")</f>
        <v>Consumer</v>
      </c>
      <c r="L256" s="1" t="str">
        <f ca="1">IFERROR(__xludf.DUMMYFUNCTION("""COMPUTED_VALUE"""),"United States")</f>
        <v>United States</v>
      </c>
      <c r="M256" s="1" t="str">
        <f ca="1">IFERROR(__xludf.DUMMYFUNCTION("""COMPUTED_VALUE"""),"San Francisco")</f>
        <v>San Francisco</v>
      </c>
      <c r="N256" s="1" t="str">
        <f ca="1">IFERROR(__xludf.DUMMYFUNCTION("""COMPUTED_VALUE"""),"California")</f>
        <v>California</v>
      </c>
      <c r="O256" s="1">
        <f ca="1">IFERROR(__xludf.DUMMYFUNCTION("""COMPUTED_VALUE"""),94109)</f>
        <v>94109</v>
      </c>
      <c r="P256" s="1" t="str">
        <f ca="1">IFERROR(__xludf.DUMMYFUNCTION("""COMPUTED_VALUE"""),"West")</f>
        <v>West</v>
      </c>
      <c r="Q256" s="1" t="str">
        <f ca="1">IFERROR(__xludf.DUMMYFUNCTION("""COMPUTED_VALUE"""),"FUR-FU-10003691")</f>
        <v>FUR-FU-10003691</v>
      </c>
      <c r="R256" s="1" t="str">
        <f ca="1">IFERROR(__xludf.DUMMYFUNCTION("""COMPUTED_VALUE"""),"Furniture")</f>
        <v>Furniture</v>
      </c>
      <c r="S256" s="7">
        <f ca="1">IFERROR(__xludf.DUMMYFUNCTION("""COMPUTED_VALUE"""),37.05)</f>
        <v>37.049999999999997</v>
      </c>
      <c r="T256" s="1">
        <f ca="1">IFERROR(__xludf.DUMMYFUNCTION("""COMPUTED_VALUE"""),9)</f>
        <v>9</v>
      </c>
      <c r="U256" s="9">
        <f ca="1">IFERROR(__xludf.DUMMYFUNCTION("""COMPUTED_VALUE"""),333.45)</f>
        <v>333.45</v>
      </c>
      <c r="V256" s="9">
        <f ca="1">IFERROR(__xludf.DUMMYFUNCTION("""COMPUTED_VALUE"""),332.01)</f>
        <v>332.01</v>
      </c>
      <c r="W256" s="12">
        <f ca="1">IFERROR(__xludf.DUMMYFUNCTION("""COMPUTED_VALUE"""),1.43999999999999)</f>
        <v>1.43999999999999</v>
      </c>
    </row>
    <row r="257" spans="1:23" ht="13.2">
      <c r="A257" s="1" t="str">
        <f ca="1">IFERROR(__xludf.DUMMYFUNCTION("""COMPUTED_VALUE"""),"CA-2015-121664")</f>
        <v>CA-2015-121664</v>
      </c>
      <c r="B257" s="8">
        <f ca="1">IFERROR(__xludf.DUMMYFUNCTION("""COMPUTED_VALUE"""),42160)</f>
        <v>42160</v>
      </c>
      <c r="C257" s="1" t="str">
        <f ca="1">IFERROR(__xludf.DUMMYFUNCTION("""COMPUTED_VALUE"""),"Jun")</f>
        <v>Jun</v>
      </c>
      <c r="D257" s="1" t="str">
        <f ca="1">IFERROR(__xludf.DUMMYFUNCTION("""COMPUTED_VALUE"""),"Qtr 2")</f>
        <v>Qtr 2</v>
      </c>
      <c r="E257" s="1" t="str">
        <f ca="1">IFERROR(__xludf.DUMMYFUNCTION("""COMPUTED_VALUE"""),"10/5/2015")</f>
        <v>10/5/2015</v>
      </c>
      <c r="F257" s="1" t="str">
        <f ca="1">IFERROR(__xludf.DUMMYFUNCTION("""COMPUTED_VALUE"""),"Standard Class")</f>
        <v>Standard Class</v>
      </c>
      <c r="G257" s="1" t="str">
        <f ca="1">IFERROR(__xludf.DUMMYFUNCTION("""COMPUTED_VALUE"""),"HP-14815")</f>
        <v>HP-14815</v>
      </c>
      <c r="H257" s="1" t="str">
        <f ca="1">IFERROR(__xludf.DUMMYFUNCTION("""COMPUTED_VALUE"""),"Harold")</f>
        <v>Harold</v>
      </c>
      <c r="I257" s="1" t="str">
        <f ca="1">IFERROR(__xludf.DUMMYFUNCTION("""COMPUTED_VALUE"""),"Pawlan")</f>
        <v>Pawlan</v>
      </c>
      <c r="J257" s="1"/>
      <c r="K257" s="1" t="str">
        <f ca="1">IFERROR(__xludf.DUMMYFUNCTION("""COMPUTED_VALUE"""),"Home Office")</f>
        <v>Home Office</v>
      </c>
      <c r="L257" s="1" t="str">
        <f ca="1">IFERROR(__xludf.DUMMYFUNCTION("""COMPUTED_VALUE"""),"United States")</f>
        <v>United States</v>
      </c>
      <c r="M257" s="1" t="str">
        <f ca="1">IFERROR(__xludf.DUMMYFUNCTION("""COMPUTED_VALUE"""),"Los Angeles")</f>
        <v>Los Angeles</v>
      </c>
      <c r="N257" s="1" t="str">
        <f ca="1">IFERROR(__xludf.DUMMYFUNCTION("""COMPUTED_VALUE"""),"California")</f>
        <v>California</v>
      </c>
      <c r="O257" s="1">
        <f ca="1">IFERROR(__xludf.DUMMYFUNCTION("""COMPUTED_VALUE"""),90049)</f>
        <v>90049</v>
      </c>
      <c r="P257" s="1" t="str">
        <f ca="1">IFERROR(__xludf.DUMMYFUNCTION("""COMPUTED_VALUE"""),"West")</f>
        <v>West</v>
      </c>
      <c r="Q257" s="1" t="str">
        <f ca="1">IFERROR(__xludf.DUMMYFUNCTION("""COMPUTED_VALUE"""),"OFF-BI-10003684")</f>
        <v>OFF-BI-10003684</v>
      </c>
      <c r="R257" s="1" t="str">
        <f ca="1">IFERROR(__xludf.DUMMYFUNCTION("""COMPUTED_VALUE"""),"Office Supplies")</f>
        <v>Office Supplies</v>
      </c>
      <c r="S257" s="7">
        <f ca="1">IFERROR(__xludf.DUMMYFUNCTION("""COMPUTED_VALUE"""),140.736)</f>
        <v>140.73599999999999</v>
      </c>
      <c r="T257" s="1">
        <f ca="1">IFERROR(__xludf.DUMMYFUNCTION("""COMPUTED_VALUE"""),9)</f>
        <v>9</v>
      </c>
      <c r="U257" s="9">
        <f ca="1">IFERROR(__xludf.DUMMYFUNCTION("""COMPUTED_VALUE"""),1266.62399999999)</f>
        <v>1266.62399999999</v>
      </c>
      <c r="V257" s="9">
        <f ca="1">IFERROR(__xludf.DUMMYFUNCTION("""COMPUTED_VALUE"""),1258.47)</f>
        <v>1258.47</v>
      </c>
      <c r="W257" s="12">
        <f ca="1">IFERROR(__xludf.DUMMYFUNCTION("""COMPUTED_VALUE"""),8.15399999999976)</f>
        <v>8.1539999999997601</v>
      </c>
    </row>
    <row r="258" spans="1:23" ht="13.2">
      <c r="A258" s="1" t="str">
        <f ca="1">IFERROR(__xludf.DUMMYFUNCTION("""COMPUTED_VALUE"""),"US-2018-123281")</f>
        <v>US-2018-123281</v>
      </c>
      <c r="B258" s="8">
        <f ca="1">IFERROR(__xludf.DUMMYFUNCTION("""COMPUTED_VALUE"""),43135)</f>
        <v>43135</v>
      </c>
      <c r="C258" s="1" t="str">
        <f ca="1">IFERROR(__xludf.DUMMYFUNCTION("""COMPUTED_VALUE"""),"Feb")</f>
        <v>Feb</v>
      </c>
      <c r="D258" s="1" t="str">
        <f ca="1">IFERROR(__xludf.DUMMYFUNCTION("""COMPUTED_VALUE"""),"Qtr 1")</f>
        <v>Qtr 1</v>
      </c>
      <c r="E258" s="1" t="str">
        <f ca="1">IFERROR(__xludf.DUMMYFUNCTION("""COMPUTED_VALUE"""),"7/4/2018")</f>
        <v>7/4/2018</v>
      </c>
      <c r="F258" s="1" t="str">
        <f ca="1">IFERROR(__xludf.DUMMYFUNCTION("""COMPUTED_VALUE"""),"Standard Class")</f>
        <v>Standard Class</v>
      </c>
      <c r="G258" s="1" t="str">
        <f ca="1">IFERROR(__xludf.DUMMYFUNCTION("""COMPUTED_VALUE"""),"JF-15190")</f>
        <v>JF-15190</v>
      </c>
      <c r="H258" s="1" t="str">
        <f ca="1">IFERROR(__xludf.DUMMYFUNCTION("""COMPUTED_VALUE"""),"Jamie")</f>
        <v>Jamie</v>
      </c>
      <c r="I258" s="1" t="str">
        <f ca="1">IFERROR(__xludf.DUMMYFUNCTION("""COMPUTED_VALUE"""),"Frazer")</f>
        <v>Frazer</v>
      </c>
      <c r="J258" s="1"/>
      <c r="K258" s="1" t="str">
        <f ca="1">IFERROR(__xludf.DUMMYFUNCTION("""COMPUTED_VALUE"""),"Consumer")</f>
        <v>Consumer</v>
      </c>
      <c r="L258" s="1" t="str">
        <f ca="1">IFERROR(__xludf.DUMMYFUNCTION("""COMPUTED_VALUE"""),"United States")</f>
        <v>United States</v>
      </c>
      <c r="M258" s="1" t="str">
        <f ca="1">IFERROR(__xludf.DUMMYFUNCTION("""COMPUTED_VALUE"""),"Los Angeles")</f>
        <v>Los Angeles</v>
      </c>
      <c r="N258" s="1" t="str">
        <f ca="1">IFERROR(__xludf.DUMMYFUNCTION("""COMPUTED_VALUE"""),"California")</f>
        <v>California</v>
      </c>
      <c r="O258" s="1">
        <f ca="1">IFERROR(__xludf.DUMMYFUNCTION("""COMPUTED_VALUE"""),90008)</f>
        <v>90008</v>
      </c>
      <c r="P258" s="1" t="str">
        <f ca="1">IFERROR(__xludf.DUMMYFUNCTION("""COMPUTED_VALUE"""),"West")</f>
        <v>West</v>
      </c>
      <c r="Q258" s="1" t="str">
        <f ca="1">IFERROR(__xludf.DUMMYFUNCTION("""COMPUTED_VALUE"""),"FUR-FU-10003724")</f>
        <v>FUR-FU-10003724</v>
      </c>
      <c r="R258" s="1" t="str">
        <f ca="1">IFERROR(__xludf.DUMMYFUNCTION("""COMPUTED_VALUE"""),"Furniture")</f>
        <v>Furniture</v>
      </c>
      <c r="S258" s="7">
        <f ca="1">IFERROR(__xludf.DUMMYFUNCTION("""COMPUTED_VALUE"""),25.11)</f>
        <v>25.11</v>
      </c>
      <c r="T258" s="1">
        <f ca="1">IFERROR(__xludf.DUMMYFUNCTION("""COMPUTED_VALUE"""),9)</f>
        <v>9</v>
      </c>
      <c r="U258" s="9">
        <f ca="1">IFERROR(__xludf.DUMMYFUNCTION("""COMPUTED_VALUE"""),225.99)</f>
        <v>225.99</v>
      </c>
      <c r="V258" s="9">
        <f ca="1">IFERROR(__xludf.DUMMYFUNCTION("""COMPUTED_VALUE"""),218.52)</f>
        <v>218.52</v>
      </c>
      <c r="W258" s="12">
        <f ca="1">IFERROR(__xludf.DUMMYFUNCTION("""COMPUTED_VALUE"""),7.46999999999999)</f>
        <v>7.46999999999999</v>
      </c>
    </row>
    <row r="259" spans="1:23" ht="13.2">
      <c r="A259" s="1" t="str">
        <f ca="1">IFERROR(__xludf.DUMMYFUNCTION("""COMPUTED_VALUE"""),"CA-2018-162978")</f>
        <v>CA-2018-162978</v>
      </c>
      <c r="B259" s="8">
        <f ca="1">IFERROR(__xludf.DUMMYFUNCTION("""COMPUTED_VALUE"""),43195)</f>
        <v>43195</v>
      </c>
      <c r="C259" s="1" t="str">
        <f ca="1">IFERROR(__xludf.DUMMYFUNCTION("""COMPUTED_VALUE"""),"Apr")</f>
        <v>Apr</v>
      </c>
      <c r="D259" s="1" t="str">
        <f ca="1">IFERROR(__xludf.DUMMYFUNCTION("""COMPUTED_VALUE"""),"Qtr 2")</f>
        <v>Qtr 2</v>
      </c>
      <c r="E259" s="1" t="str">
        <f ca="1">IFERROR(__xludf.DUMMYFUNCTION("""COMPUTED_VALUE"""),"9/5/2018")</f>
        <v>9/5/2018</v>
      </c>
      <c r="F259" s="1" t="str">
        <f ca="1">IFERROR(__xludf.DUMMYFUNCTION("""COMPUTED_VALUE"""),"Standard Class")</f>
        <v>Standard Class</v>
      </c>
      <c r="G259" s="1" t="str">
        <f ca="1">IFERROR(__xludf.DUMMYFUNCTION("""COMPUTED_VALUE"""),"LW-16990")</f>
        <v>LW-16990</v>
      </c>
      <c r="H259" s="1" t="str">
        <f ca="1">IFERROR(__xludf.DUMMYFUNCTION("""COMPUTED_VALUE"""),"Lindsay")</f>
        <v>Lindsay</v>
      </c>
      <c r="I259" s="1" t="str">
        <f ca="1">IFERROR(__xludf.DUMMYFUNCTION("""COMPUTED_VALUE"""),"Williams")</f>
        <v>Williams</v>
      </c>
      <c r="J259" s="1"/>
      <c r="K259" s="1" t="str">
        <f ca="1">IFERROR(__xludf.DUMMYFUNCTION("""COMPUTED_VALUE"""),"Corporate")</f>
        <v>Corporate</v>
      </c>
      <c r="L259" s="1" t="str">
        <f ca="1">IFERROR(__xludf.DUMMYFUNCTION("""COMPUTED_VALUE"""),"United States")</f>
        <v>United States</v>
      </c>
      <c r="M259" s="1" t="str">
        <f ca="1">IFERROR(__xludf.DUMMYFUNCTION("""COMPUTED_VALUE"""),"San Francisco")</f>
        <v>San Francisco</v>
      </c>
      <c r="N259" s="1" t="str">
        <f ca="1">IFERROR(__xludf.DUMMYFUNCTION("""COMPUTED_VALUE"""),"California")</f>
        <v>California</v>
      </c>
      <c r="O259" s="1">
        <f ca="1">IFERROR(__xludf.DUMMYFUNCTION("""COMPUTED_VALUE"""),94109)</f>
        <v>94109</v>
      </c>
      <c r="P259" s="1" t="str">
        <f ca="1">IFERROR(__xludf.DUMMYFUNCTION("""COMPUTED_VALUE"""),"West")</f>
        <v>West</v>
      </c>
      <c r="Q259" s="1" t="str">
        <f ca="1">IFERROR(__xludf.DUMMYFUNCTION("""COMPUTED_VALUE"""),"TEC-PH-10003092")</f>
        <v>TEC-PH-10003092</v>
      </c>
      <c r="R259" s="1" t="str">
        <f ca="1">IFERROR(__xludf.DUMMYFUNCTION("""COMPUTED_VALUE"""),"Technology")</f>
        <v>Technology</v>
      </c>
      <c r="S259" s="7">
        <f ca="1">IFERROR(__xludf.DUMMYFUNCTION("""COMPUTED_VALUE"""),183.96)</f>
        <v>183.96</v>
      </c>
      <c r="T259" s="1">
        <f ca="1">IFERROR(__xludf.DUMMYFUNCTION("""COMPUTED_VALUE"""),9)</f>
        <v>9</v>
      </c>
      <c r="U259" s="9">
        <f ca="1">IFERROR(__xludf.DUMMYFUNCTION("""COMPUTED_VALUE"""),1655.64)</f>
        <v>1655.64</v>
      </c>
      <c r="V259" s="9">
        <f ca="1">IFERROR(__xludf.DUMMYFUNCTION("""COMPUTED_VALUE"""),1648.89)</f>
        <v>1648.89</v>
      </c>
      <c r="W259" s="12">
        <f ca="1">IFERROR(__xludf.DUMMYFUNCTION("""COMPUTED_VALUE"""),6.75)</f>
        <v>6.75</v>
      </c>
    </row>
    <row r="260" spans="1:23" ht="13.2">
      <c r="A260" s="1" t="str">
        <f ca="1">IFERROR(__xludf.DUMMYFUNCTION("""COMPUTED_VALUE"""),"CA-2018-162978")</f>
        <v>CA-2018-162978</v>
      </c>
      <c r="B260" s="8">
        <f ca="1">IFERROR(__xludf.DUMMYFUNCTION("""COMPUTED_VALUE"""),43195)</f>
        <v>43195</v>
      </c>
      <c r="C260" s="1" t="str">
        <f ca="1">IFERROR(__xludf.DUMMYFUNCTION("""COMPUTED_VALUE"""),"Apr")</f>
        <v>Apr</v>
      </c>
      <c r="D260" s="1" t="str">
        <f ca="1">IFERROR(__xludf.DUMMYFUNCTION("""COMPUTED_VALUE"""),"Qtr 2")</f>
        <v>Qtr 2</v>
      </c>
      <c r="E260" s="1" t="str">
        <f ca="1">IFERROR(__xludf.DUMMYFUNCTION("""COMPUTED_VALUE"""),"9/5/2018")</f>
        <v>9/5/2018</v>
      </c>
      <c r="F260" s="1" t="str">
        <f ca="1">IFERROR(__xludf.DUMMYFUNCTION("""COMPUTED_VALUE"""),"Standard Class")</f>
        <v>Standard Class</v>
      </c>
      <c r="G260" s="1" t="str">
        <f ca="1">IFERROR(__xludf.DUMMYFUNCTION("""COMPUTED_VALUE"""),"LW-16990")</f>
        <v>LW-16990</v>
      </c>
      <c r="H260" s="1" t="str">
        <f ca="1">IFERROR(__xludf.DUMMYFUNCTION("""COMPUTED_VALUE"""),"Lindsay")</f>
        <v>Lindsay</v>
      </c>
      <c r="I260" s="1" t="str">
        <f ca="1">IFERROR(__xludf.DUMMYFUNCTION("""COMPUTED_VALUE"""),"Williams")</f>
        <v>Williams</v>
      </c>
      <c r="J260" s="1"/>
      <c r="K260" s="1" t="str">
        <f ca="1">IFERROR(__xludf.DUMMYFUNCTION("""COMPUTED_VALUE"""),"Corporate")</f>
        <v>Corporate</v>
      </c>
      <c r="L260" s="1" t="str">
        <f ca="1">IFERROR(__xludf.DUMMYFUNCTION("""COMPUTED_VALUE"""),"United States")</f>
        <v>United States</v>
      </c>
      <c r="M260" s="1" t="str">
        <f ca="1">IFERROR(__xludf.DUMMYFUNCTION("""COMPUTED_VALUE"""),"San Francisco")</f>
        <v>San Francisco</v>
      </c>
      <c r="N260" s="1" t="str">
        <f ca="1">IFERROR(__xludf.DUMMYFUNCTION("""COMPUTED_VALUE"""),"California")</f>
        <v>California</v>
      </c>
      <c r="O260" s="1">
        <f ca="1">IFERROR(__xludf.DUMMYFUNCTION("""COMPUTED_VALUE"""),94109)</f>
        <v>94109</v>
      </c>
      <c r="P260" s="1" t="str">
        <f ca="1">IFERROR(__xludf.DUMMYFUNCTION("""COMPUTED_VALUE"""),"West")</f>
        <v>West</v>
      </c>
      <c r="Q260" s="1" t="str">
        <f ca="1">IFERROR(__xludf.DUMMYFUNCTION("""COMPUTED_VALUE"""),"OFF-PA-10002250")</f>
        <v>OFF-PA-10002250</v>
      </c>
      <c r="R260" s="1" t="str">
        <f ca="1">IFERROR(__xludf.DUMMYFUNCTION("""COMPUTED_VALUE"""),"Office Supplies")</f>
        <v>Office Supplies</v>
      </c>
      <c r="S260" s="7">
        <f ca="1">IFERROR(__xludf.DUMMYFUNCTION("""COMPUTED_VALUE"""),17.61)</f>
        <v>17.61</v>
      </c>
      <c r="T260" s="1">
        <f ca="1">IFERROR(__xludf.DUMMYFUNCTION("""COMPUTED_VALUE"""),9)</f>
        <v>9</v>
      </c>
      <c r="U260" s="9">
        <f ca="1">IFERROR(__xludf.DUMMYFUNCTION("""COMPUTED_VALUE"""),158.49)</f>
        <v>158.49</v>
      </c>
      <c r="V260" s="9">
        <f ca="1">IFERROR(__xludf.DUMMYFUNCTION("""COMPUTED_VALUE"""),150.57)</f>
        <v>150.57</v>
      </c>
      <c r="W260" s="12">
        <f ca="1">IFERROR(__xludf.DUMMYFUNCTION("""COMPUTED_VALUE"""),7.92000000000001)</f>
        <v>7.9200000000000097</v>
      </c>
    </row>
    <row r="261" spans="1:23" ht="13.2">
      <c r="A261" s="1" t="str">
        <f ca="1">IFERROR(__xludf.DUMMYFUNCTION("""COMPUTED_VALUE"""),"CA-2018-162978")</f>
        <v>CA-2018-162978</v>
      </c>
      <c r="B261" s="8">
        <f ca="1">IFERROR(__xludf.DUMMYFUNCTION("""COMPUTED_VALUE"""),43195)</f>
        <v>43195</v>
      </c>
      <c r="C261" s="1" t="str">
        <f ca="1">IFERROR(__xludf.DUMMYFUNCTION("""COMPUTED_VALUE"""),"Apr")</f>
        <v>Apr</v>
      </c>
      <c r="D261" s="1" t="str">
        <f ca="1">IFERROR(__xludf.DUMMYFUNCTION("""COMPUTED_VALUE"""),"Qtr 2")</f>
        <v>Qtr 2</v>
      </c>
      <c r="E261" s="1" t="str">
        <f ca="1">IFERROR(__xludf.DUMMYFUNCTION("""COMPUTED_VALUE"""),"9/5/2018")</f>
        <v>9/5/2018</v>
      </c>
      <c r="F261" s="1" t="str">
        <f ca="1">IFERROR(__xludf.DUMMYFUNCTION("""COMPUTED_VALUE"""),"Standard Class")</f>
        <v>Standard Class</v>
      </c>
      <c r="G261" s="1" t="str">
        <f ca="1">IFERROR(__xludf.DUMMYFUNCTION("""COMPUTED_VALUE"""),"LW-16990")</f>
        <v>LW-16990</v>
      </c>
      <c r="H261" s="1" t="str">
        <f ca="1">IFERROR(__xludf.DUMMYFUNCTION("""COMPUTED_VALUE"""),"Lindsay")</f>
        <v>Lindsay</v>
      </c>
      <c r="I261" s="1" t="str">
        <f ca="1">IFERROR(__xludf.DUMMYFUNCTION("""COMPUTED_VALUE"""),"Williams")</f>
        <v>Williams</v>
      </c>
      <c r="J261" s="1"/>
      <c r="K261" s="1" t="str">
        <f ca="1">IFERROR(__xludf.DUMMYFUNCTION("""COMPUTED_VALUE"""),"Corporate")</f>
        <v>Corporate</v>
      </c>
      <c r="L261" s="1" t="str">
        <f ca="1">IFERROR(__xludf.DUMMYFUNCTION("""COMPUTED_VALUE"""),"United States")</f>
        <v>United States</v>
      </c>
      <c r="M261" s="1" t="str">
        <f ca="1">IFERROR(__xludf.DUMMYFUNCTION("""COMPUTED_VALUE"""),"San Francisco")</f>
        <v>San Francisco</v>
      </c>
      <c r="N261" s="1" t="str">
        <f ca="1">IFERROR(__xludf.DUMMYFUNCTION("""COMPUTED_VALUE"""),"California")</f>
        <v>California</v>
      </c>
      <c r="O261" s="1">
        <f ca="1">IFERROR(__xludf.DUMMYFUNCTION("""COMPUTED_VALUE"""),94109)</f>
        <v>94109</v>
      </c>
      <c r="P261" s="1" t="str">
        <f ca="1">IFERROR(__xludf.DUMMYFUNCTION("""COMPUTED_VALUE"""),"West")</f>
        <v>West</v>
      </c>
      <c r="Q261" s="1" t="str">
        <f ca="1">IFERROR(__xludf.DUMMYFUNCTION("""COMPUTED_VALUE"""),"FUR-TA-10003473")</f>
        <v>FUR-TA-10003473</v>
      </c>
      <c r="R261" s="1" t="str">
        <f ca="1">IFERROR(__xludf.DUMMYFUNCTION("""COMPUTED_VALUE"""),"Furniture")</f>
        <v>Furniture</v>
      </c>
      <c r="S261" s="7">
        <f ca="1">IFERROR(__xludf.DUMMYFUNCTION("""COMPUTED_VALUE"""),300.904)</f>
        <v>300.904</v>
      </c>
      <c r="T261" s="1">
        <f ca="1">IFERROR(__xludf.DUMMYFUNCTION("""COMPUTED_VALUE"""),9)</f>
        <v>9</v>
      </c>
      <c r="U261" s="9">
        <f ca="1">IFERROR(__xludf.DUMMYFUNCTION("""COMPUTED_VALUE"""),2708.136)</f>
        <v>2708.136</v>
      </c>
      <c r="V261" s="9">
        <f ca="1">IFERROR(__xludf.DUMMYFUNCTION("""COMPUTED_VALUE"""),2699.82)</f>
        <v>2699.82</v>
      </c>
      <c r="W261" s="12">
        <f ca="1">IFERROR(__xludf.DUMMYFUNCTION("""COMPUTED_VALUE"""),8.3159999999998)</f>
        <v>8.3159999999998</v>
      </c>
    </row>
    <row r="262" spans="1:23" ht="13.2">
      <c r="A262" s="1" t="str">
        <f ca="1">IFERROR(__xludf.DUMMYFUNCTION("""COMPUTED_VALUE"""),"US-2015-151925")</f>
        <v>US-2015-151925</v>
      </c>
      <c r="B262" s="8">
        <f ca="1">IFERROR(__xludf.DUMMYFUNCTION("""COMPUTED_VALUE"""),42273)</f>
        <v>42273</v>
      </c>
      <c r="C262" s="1" t="str">
        <f ca="1">IFERROR(__xludf.DUMMYFUNCTION("""COMPUTED_VALUE"""),"Sep")</f>
        <v>Sep</v>
      </c>
      <c r="D262" s="1" t="str">
        <f ca="1">IFERROR(__xludf.DUMMYFUNCTION("""COMPUTED_VALUE"""),"Qtr 3")</f>
        <v>Qtr 3</v>
      </c>
      <c r="E262" s="1" t="str">
        <f ca="1">IFERROR(__xludf.DUMMYFUNCTION("""COMPUTED_VALUE"""),"1/10/2015")</f>
        <v>1/10/2015</v>
      </c>
      <c r="F262" s="1" t="str">
        <f ca="1">IFERROR(__xludf.DUMMYFUNCTION("""COMPUTED_VALUE"""),"Second Class")</f>
        <v>Second Class</v>
      </c>
      <c r="G262" s="1" t="str">
        <f ca="1">IFERROR(__xludf.DUMMYFUNCTION("""COMPUTED_VALUE"""),"KT-16465")</f>
        <v>KT-16465</v>
      </c>
      <c r="H262" s="1" t="str">
        <f ca="1">IFERROR(__xludf.DUMMYFUNCTION("""COMPUTED_VALUE"""),"Kean")</f>
        <v>Kean</v>
      </c>
      <c r="I262" s="1" t="str">
        <f ca="1">IFERROR(__xludf.DUMMYFUNCTION("""COMPUTED_VALUE"""),"Takahito")</f>
        <v>Takahito</v>
      </c>
      <c r="J262" s="1"/>
      <c r="K262" s="1" t="str">
        <f ca="1">IFERROR(__xludf.DUMMYFUNCTION("""COMPUTED_VALUE"""),"Consumer")</f>
        <v>Consumer</v>
      </c>
      <c r="L262" s="1" t="str">
        <f ca="1">IFERROR(__xludf.DUMMYFUNCTION("""COMPUTED_VALUE"""),"United States")</f>
        <v>United States</v>
      </c>
      <c r="M262" s="1" t="str">
        <f ca="1">IFERROR(__xludf.DUMMYFUNCTION("""COMPUTED_VALUE"""),"Los Angeles")</f>
        <v>Los Angeles</v>
      </c>
      <c r="N262" s="1" t="str">
        <f ca="1">IFERROR(__xludf.DUMMYFUNCTION("""COMPUTED_VALUE"""),"California")</f>
        <v>California</v>
      </c>
      <c r="O262" s="1">
        <f ca="1">IFERROR(__xludf.DUMMYFUNCTION("""COMPUTED_VALUE"""),90049)</f>
        <v>90049</v>
      </c>
      <c r="P262" s="1" t="str">
        <f ca="1">IFERROR(__xludf.DUMMYFUNCTION("""COMPUTED_VALUE"""),"West")</f>
        <v>West</v>
      </c>
      <c r="Q262" s="1" t="str">
        <f ca="1">IFERROR(__xludf.DUMMYFUNCTION("""COMPUTED_VALUE"""),"FUR-CH-10002961")</f>
        <v>FUR-CH-10002961</v>
      </c>
      <c r="R262" s="1" t="str">
        <f ca="1">IFERROR(__xludf.DUMMYFUNCTION("""COMPUTED_VALUE"""),"Furniture")</f>
        <v>Furniture</v>
      </c>
      <c r="S262" s="7">
        <f ca="1">IFERROR(__xludf.DUMMYFUNCTION("""COMPUTED_VALUE"""),145.568)</f>
        <v>145.56800000000001</v>
      </c>
      <c r="T262" s="1">
        <f ca="1">IFERROR(__xludf.DUMMYFUNCTION("""COMPUTED_VALUE"""),9)</f>
        <v>9</v>
      </c>
      <c r="U262" s="9">
        <f ca="1">IFERROR(__xludf.DUMMYFUNCTION("""COMPUTED_VALUE"""),1310.112)</f>
        <v>1310.1120000000001</v>
      </c>
      <c r="V262" s="9">
        <f ca="1">IFERROR(__xludf.DUMMYFUNCTION("""COMPUTED_VALUE"""),1305.36)</f>
        <v>1305.3599999999999</v>
      </c>
      <c r="W262" s="12">
        <f ca="1">IFERROR(__xludf.DUMMYFUNCTION("""COMPUTED_VALUE"""),4.75200000000018)</f>
        <v>4.7520000000001801</v>
      </c>
    </row>
    <row r="263" spans="1:23" ht="13.2">
      <c r="A263" s="1" t="str">
        <f ca="1">IFERROR(__xludf.DUMMYFUNCTION("""COMPUTED_VALUE"""),"CA-2018-133249")</f>
        <v>CA-2018-133249</v>
      </c>
      <c r="B263" s="8">
        <f ca="1">IFERROR(__xludf.DUMMYFUNCTION("""COMPUTED_VALUE"""),43319)</f>
        <v>43319</v>
      </c>
      <c r="C263" s="1" t="str">
        <f ca="1">IFERROR(__xludf.DUMMYFUNCTION("""COMPUTED_VALUE"""),"Aug")</f>
        <v>Aug</v>
      </c>
      <c r="D263" s="1" t="str">
        <f ca="1">IFERROR(__xludf.DUMMYFUNCTION("""COMPUTED_VALUE"""),"Qtr 3")</f>
        <v>Qtr 3</v>
      </c>
      <c r="E263" s="1" t="str">
        <f ca="1">IFERROR(__xludf.DUMMYFUNCTION("""COMPUTED_VALUE"""),"11/7/2018")</f>
        <v>11/7/2018</v>
      </c>
      <c r="F263" s="1" t="str">
        <f ca="1">IFERROR(__xludf.DUMMYFUNCTION("""COMPUTED_VALUE"""),"First Class")</f>
        <v>First Class</v>
      </c>
      <c r="G263" s="1" t="str">
        <f ca="1">IFERROR(__xludf.DUMMYFUNCTION("""COMPUTED_VALUE"""),"SZ-20035")</f>
        <v>SZ-20035</v>
      </c>
      <c r="H263" s="1" t="str">
        <f ca="1">IFERROR(__xludf.DUMMYFUNCTION("""COMPUTED_VALUE"""),"Sam")</f>
        <v>Sam</v>
      </c>
      <c r="I263" s="1" t="str">
        <f ca="1">IFERROR(__xludf.DUMMYFUNCTION("""COMPUTED_VALUE"""),"Zeldin")</f>
        <v>Zeldin</v>
      </c>
      <c r="J263" s="1"/>
      <c r="K263" s="1" t="str">
        <f ca="1">IFERROR(__xludf.DUMMYFUNCTION("""COMPUTED_VALUE"""),"Home Office")</f>
        <v>Home Office</v>
      </c>
      <c r="L263" s="1" t="str">
        <f ca="1">IFERROR(__xludf.DUMMYFUNCTION("""COMPUTED_VALUE"""),"United States")</f>
        <v>United States</v>
      </c>
      <c r="M263" s="1" t="str">
        <f ca="1">IFERROR(__xludf.DUMMYFUNCTION("""COMPUTED_VALUE"""),"Pico Rivera")</f>
        <v>Pico Rivera</v>
      </c>
      <c r="N263" s="1" t="str">
        <f ca="1">IFERROR(__xludf.DUMMYFUNCTION("""COMPUTED_VALUE"""),"California")</f>
        <v>California</v>
      </c>
      <c r="O263" s="1">
        <f ca="1">IFERROR(__xludf.DUMMYFUNCTION("""COMPUTED_VALUE"""),90660)</f>
        <v>90660</v>
      </c>
      <c r="P263" s="1" t="str">
        <f ca="1">IFERROR(__xludf.DUMMYFUNCTION("""COMPUTED_VALUE"""),"West")</f>
        <v>West</v>
      </c>
      <c r="Q263" s="1" t="str">
        <f ca="1">IFERROR(__xludf.DUMMYFUNCTION("""COMPUTED_VALUE"""),"FUR-FU-10001588")</f>
        <v>FUR-FU-10001588</v>
      </c>
      <c r="R263" s="1" t="str">
        <f ca="1">IFERROR(__xludf.DUMMYFUNCTION("""COMPUTED_VALUE"""),"Furniture")</f>
        <v>Furniture</v>
      </c>
      <c r="S263" s="7">
        <f ca="1">IFERROR(__xludf.DUMMYFUNCTION("""COMPUTED_VALUE"""),145.9)</f>
        <v>145.9</v>
      </c>
      <c r="T263" s="1">
        <f ca="1">IFERROR(__xludf.DUMMYFUNCTION("""COMPUTED_VALUE"""),9)</f>
        <v>9</v>
      </c>
      <c r="U263" s="9">
        <f ca="1">IFERROR(__xludf.DUMMYFUNCTION("""COMPUTED_VALUE"""),1313.1)</f>
        <v>1313.1</v>
      </c>
      <c r="V263" s="9">
        <f ca="1">IFERROR(__xludf.DUMMYFUNCTION("""COMPUTED_VALUE"""),1308.69)</f>
        <v>1308.69</v>
      </c>
      <c r="W263" s="12">
        <f ca="1">IFERROR(__xludf.DUMMYFUNCTION("""COMPUTED_VALUE"""),4.41000000000008)</f>
        <v>4.4100000000000801</v>
      </c>
    </row>
    <row r="264" spans="1:23" ht="13.2">
      <c r="A264" s="1" t="str">
        <f ca="1">IFERROR(__xludf.DUMMYFUNCTION("""COMPUTED_VALUE"""),"US-2015-157021")</f>
        <v>US-2015-157021</v>
      </c>
      <c r="B264" s="8">
        <f ca="1">IFERROR(__xludf.DUMMYFUNCTION("""COMPUTED_VALUE"""),42008)</f>
        <v>42008</v>
      </c>
      <c r="C264" s="1" t="str">
        <f ca="1">IFERROR(__xludf.DUMMYFUNCTION("""COMPUTED_VALUE"""),"Jan")</f>
        <v>Jan</v>
      </c>
      <c r="D264" s="1" t="str">
        <f ca="1">IFERROR(__xludf.DUMMYFUNCTION("""COMPUTED_VALUE"""),"Qtr 1")</f>
        <v>Qtr 1</v>
      </c>
      <c r="E264" s="1" t="str">
        <f ca="1">IFERROR(__xludf.DUMMYFUNCTION("""COMPUTED_VALUE"""),"6/4/2015")</f>
        <v>6/4/2015</v>
      </c>
      <c r="F264" s="1" t="str">
        <f ca="1">IFERROR(__xludf.DUMMYFUNCTION("""COMPUTED_VALUE"""),"Second Class")</f>
        <v>Second Class</v>
      </c>
      <c r="G264" s="1" t="str">
        <f ca="1">IFERROR(__xludf.DUMMYFUNCTION("""COMPUTED_VALUE"""),"KM-16720")</f>
        <v>KM-16720</v>
      </c>
      <c r="H264" s="1" t="str">
        <f ca="1">IFERROR(__xludf.DUMMYFUNCTION("""COMPUTED_VALUE"""),"Kunst")</f>
        <v>Kunst</v>
      </c>
      <c r="I264" s="1" t="str">
        <f ca="1">IFERROR(__xludf.DUMMYFUNCTION("""COMPUTED_VALUE"""),"Miller")</f>
        <v>Miller</v>
      </c>
      <c r="J264" s="1"/>
      <c r="K264" s="1" t="str">
        <f ca="1">IFERROR(__xludf.DUMMYFUNCTION("""COMPUTED_VALUE"""),"Consumer")</f>
        <v>Consumer</v>
      </c>
      <c r="L264" s="1" t="str">
        <f ca="1">IFERROR(__xludf.DUMMYFUNCTION("""COMPUTED_VALUE"""),"United States")</f>
        <v>United States</v>
      </c>
      <c r="M264" s="1" t="str">
        <f ca="1">IFERROR(__xludf.DUMMYFUNCTION("""COMPUTED_VALUE"""),"Vallejo")</f>
        <v>Vallejo</v>
      </c>
      <c r="N264" s="1" t="str">
        <f ca="1">IFERROR(__xludf.DUMMYFUNCTION("""COMPUTED_VALUE"""),"California")</f>
        <v>California</v>
      </c>
      <c r="O264" s="1">
        <f ca="1">IFERROR(__xludf.DUMMYFUNCTION("""COMPUTED_VALUE"""),94591)</f>
        <v>94591</v>
      </c>
      <c r="P264" s="1" t="str">
        <f ca="1">IFERROR(__xludf.DUMMYFUNCTION("""COMPUTED_VALUE"""),"West")</f>
        <v>West</v>
      </c>
      <c r="Q264" s="1" t="str">
        <f ca="1">IFERROR(__xludf.DUMMYFUNCTION("""COMPUTED_VALUE"""),"OFF-LA-10002312")</f>
        <v>OFF-LA-10002312</v>
      </c>
      <c r="R264" s="1" t="str">
        <f ca="1">IFERROR(__xludf.DUMMYFUNCTION("""COMPUTED_VALUE"""),"Office Supplies")</f>
        <v>Office Supplies</v>
      </c>
      <c r="S264" s="7">
        <f ca="1">IFERROR(__xludf.DUMMYFUNCTION("""COMPUTED_VALUE"""),29.6)</f>
        <v>29.6</v>
      </c>
      <c r="T264" s="1">
        <f ca="1">IFERROR(__xludf.DUMMYFUNCTION("""COMPUTED_VALUE"""),9)</f>
        <v>9</v>
      </c>
      <c r="U264" s="9">
        <f ca="1">IFERROR(__xludf.DUMMYFUNCTION("""COMPUTED_VALUE"""),266.4)</f>
        <v>266.39999999999998</v>
      </c>
      <c r="V264" s="9">
        <f ca="1">IFERROR(__xludf.DUMMYFUNCTION("""COMPUTED_VALUE"""),265.5)</f>
        <v>265.5</v>
      </c>
      <c r="W264" s="12">
        <f ca="1">IFERROR(__xludf.DUMMYFUNCTION("""COMPUTED_VALUE"""),0.900000000000034)</f>
        <v>0.900000000000034</v>
      </c>
    </row>
    <row r="265" spans="1:23" ht="13.2">
      <c r="A265" s="1" t="str">
        <f ca="1">IFERROR(__xludf.DUMMYFUNCTION("""COMPUTED_VALUE"""),"US-2015-157021")</f>
        <v>US-2015-157021</v>
      </c>
      <c r="B265" s="8">
        <f ca="1">IFERROR(__xludf.DUMMYFUNCTION("""COMPUTED_VALUE"""),42008)</f>
        <v>42008</v>
      </c>
      <c r="C265" s="1" t="str">
        <f ca="1">IFERROR(__xludf.DUMMYFUNCTION("""COMPUTED_VALUE"""),"Jan")</f>
        <v>Jan</v>
      </c>
      <c r="D265" s="1" t="str">
        <f ca="1">IFERROR(__xludf.DUMMYFUNCTION("""COMPUTED_VALUE"""),"Qtr 1")</f>
        <v>Qtr 1</v>
      </c>
      <c r="E265" s="1" t="str">
        <f ca="1">IFERROR(__xludf.DUMMYFUNCTION("""COMPUTED_VALUE"""),"6/4/2015")</f>
        <v>6/4/2015</v>
      </c>
      <c r="F265" s="1" t="str">
        <f ca="1">IFERROR(__xludf.DUMMYFUNCTION("""COMPUTED_VALUE"""),"Second Class")</f>
        <v>Second Class</v>
      </c>
      <c r="G265" s="1" t="str">
        <f ca="1">IFERROR(__xludf.DUMMYFUNCTION("""COMPUTED_VALUE"""),"KM-16720")</f>
        <v>KM-16720</v>
      </c>
      <c r="H265" s="1" t="str">
        <f ca="1">IFERROR(__xludf.DUMMYFUNCTION("""COMPUTED_VALUE"""),"Kunst")</f>
        <v>Kunst</v>
      </c>
      <c r="I265" s="1" t="str">
        <f ca="1">IFERROR(__xludf.DUMMYFUNCTION("""COMPUTED_VALUE"""),"Miller")</f>
        <v>Miller</v>
      </c>
      <c r="J265" s="1"/>
      <c r="K265" s="1" t="str">
        <f ca="1">IFERROR(__xludf.DUMMYFUNCTION("""COMPUTED_VALUE"""),"Consumer")</f>
        <v>Consumer</v>
      </c>
      <c r="L265" s="1" t="str">
        <f ca="1">IFERROR(__xludf.DUMMYFUNCTION("""COMPUTED_VALUE"""),"United States")</f>
        <v>United States</v>
      </c>
      <c r="M265" s="1" t="str">
        <f ca="1">IFERROR(__xludf.DUMMYFUNCTION("""COMPUTED_VALUE"""),"Vallejo")</f>
        <v>Vallejo</v>
      </c>
      <c r="N265" s="1" t="str">
        <f ca="1">IFERROR(__xludf.DUMMYFUNCTION("""COMPUTED_VALUE"""),"California")</f>
        <v>California</v>
      </c>
      <c r="O265" s="1">
        <f ca="1">IFERROR(__xludf.DUMMYFUNCTION("""COMPUTED_VALUE"""),94591)</f>
        <v>94591</v>
      </c>
      <c r="P265" s="1" t="str">
        <f ca="1">IFERROR(__xludf.DUMMYFUNCTION("""COMPUTED_VALUE"""),"West")</f>
        <v>West</v>
      </c>
      <c r="Q265" s="1" t="str">
        <f ca="1">IFERROR(__xludf.DUMMYFUNCTION("""COMPUTED_VALUE"""),"OFF-BI-10000042")</f>
        <v>OFF-BI-10000042</v>
      </c>
      <c r="R265" s="1" t="str">
        <f ca="1">IFERROR(__xludf.DUMMYFUNCTION("""COMPUTED_VALUE"""),"Office Supplies")</f>
        <v>Office Supplies</v>
      </c>
      <c r="S265" s="7">
        <f ca="1">IFERROR(__xludf.DUMMYFUNCTION("""COMPUTED_VALUE"""),17.088)</f>
        <v>17.088000000000001</v>
      </c>
      <c r="T265" s="1">
        <f ca="1">IFERROR(__xludf.DUMMYFUNCTION("""COMPUTED_VALUE"""),9)</f>
        <v>9</v>
      </c>
      <c r="U265" s="9">
        <f ca="1">IFERROR(__xludf.DUMMYFUNCTION("""COMPUTED_VALUE"""),153.792)</f>
        <v>153.792</v>
      </c>
      <c r="V265" s="9">
        <f ca="1">IFERROR(__xludf.DUMMYFUNCTION("""COMPUTED_VALUE"""),152.46)</f>
        <v>152.46</v>
      </c>
      <c r="W265" s="12">
        <f ca="1">IFERROR(__xludf.DUMMYFUNCTION("""COMPUTED_VALUE"""),1.33199999999999)</f>
        <v>1.3319999999999901</v>
      </c>
    </row>
    <row r="266" spans="1:23" ht="13.2">
      <c r="A266" s="1" t="str">
        <f ca="1">IFERROR(__xludf.DUMMYFUNCTION("""COMPUTED_VALUE"""),"CA-2018-115994")</f>
        <v>CA-2018-115994</v>
      </c>
      <c r="B266" s="8">
        <f ca="1">IFERROR(__xludf.DUMMYFUNCTION("""COMPUTED_VALUE"""),43128)</f>
        <v>43128</v>
      </c>
      <c r="C266" s="1" t="str">
        <f ca="1">IFERROR(__xludf.DUMMYFUNCTION("""COMPUTED_VALUE"""),"Jan")</f>
        <v>Jan</v>
      </c>
      <c r="D266" s="1" t="str">
        <f ca="1">IFERROR(__xludf.DUMMYFUNCTION("""COMPUTED_VALUE"""),"Qtr 1")</f>
        <v>Qtr 1</v>
      </c>
      <c r="E266" s="1" t="str">
        <f ca="1">IFERROR(__xludf.DUMMYFUNCTION("""COMPUTED_VALUE"""),"31/01/2018")</f>
        <v>31/01/2018</v>
      </c>
      <c r="F266" s="1" t="str">
        <f ca="1">IFERROR(__xludf.DUMMYFUNCTION("""COMPUTED_VALUE"""),"Second Class")</f>
        <v>Second Class</v>
      </c>
      <c r="G266" s="1" t="str">
        <f ca="1">IFERROR(__xludf.DUMMYFUNCTION("""COMPUTED_VALUE"""),"BT-11305")</f>
        <v>BT-11305</v>
      </c>
      <c r="H266" s="1" t="str">
        <f ca="1">IFERROR(__xludf.DUMMYFUNCTION("""COMPUTED_VALUE"""),"Beth")</f>
        <v>Beth</v>
      </c>
      <c r="I266" s="1" t="str">
        <f ca="1">IFERROR(__xludf.DUMMYFUNCTION("""COMPUTED_VALUE"""),"Thompson")</f>
        <v>Thompson</v>
      </c>
      <c r="J266" s="1"/>
      <c r="K266" s="1" t="str">
        <f ca="1">IFERROR(__xludf.DUMMYFUNCTION("""COMPUTED_VALUE"""),"Home Office")</f>
        <v>Home Office</v>
      </c>
      <c r="L266" s="1" t="str">
        <f ca="1">IFERROR(__xludf.DUMMYFUNCTION("""COMPUTED_VALUE"""),"United States")</f>
        <v>United States</v>
      </c>
      <c r="M266" s="1" t="str">
        <f ca="1">IFERROR(__xludf.DUMMYFUNCTION("""COMPUTED_VALUE"""),"Costa Mesa")</f>
        <v>Costa Mesa</v>
      </c>
      <c r="N266" s="1" t="str">
        <f ca="1">IFERROR(__xludf.DUMMYFUNCTION("""COMPUTED_VALUE"""),"California")</f>
        <v>California</v>
      </c>
      <c r="O266" s="1">
        <f ca="1">IFERROR(__xludf.DUMMYFUNCTION("""COMPUTED_VALUE"""),92627)</f>
        <v>92627</v>
      </c>
      <c r="P266" s="1" t="str">
        <f ca="1">IFERROR(__xludf.DUMMYFUNCTION("""COMPUTED_VALUE"""),"West")</f>
        <v>West</v>
      </c>
      <c r="Q266" s="1" t="str">
        <f ca="1">IFERROR(__xludf.DUMMYFUNCTION("""COMPUTED_VALUE"""),"TEC-AC-10000580")</f>
        <v>TEC-AC-10000580</v>
      </c>
      <c r="R266" s="1" t="str">
        <f ca="1">IFERROR(__xludf.DUMMYFUNCTION("""COMPUTED_VALUE"""),"Technology")</f>
        <v>Technology</v>
      </c>
      <c r="S266" s="7">
        <f ca="1">IFERROR(__xludf.DUMMYFUNCTION("""COMPUTED_VALUE"""),239.97)</f>
        <v>239.97</v>
      </c>
      <c r="T266" s="1">
        <f ca="1">IFERROR(__xludf.DUMMYFUNCTION("""COMPUTED_VALUE"""),9)</f>
        <v>9</v>
      </c>
      <c r="U266" s="9">
        <f ca="1">IFERROR(__xludf.DUMMYFUNCTION("""COMPUTED_VALUE"""),2159.73)</f>
        <v>2159.73</v>
      </c>
      <c r="V266" s="9">
        <f ca="1">IFERROR(__xludf.DUMMYFUNCTION("""COMPUTED_VALUE"""),2154.42)</f>
        <v>2154.42</v>
      </c>
      <c r="W266" s="12">
        <f ca="1">IFERROR(__xludf.DUMMYFUNCTION("""COMPUTED_VALUE"""),5.30999999999994)</f>
        <v>5.3099999999999401</v>
      </c>
    </row>
    <row r="267" spans="1:23" ht="13.2">
      <c r="A267" s="1" t="str">
        <f ca="1">IFERROR(__xludf.DUMMYFUNCTION("""COMPUTED_VALUE"""),"CA-2018-115994")</f>
        <v>CA-2018-115994</v>
      </c>
      <c r="B267" s="8">
        <f ca="1">IFERROR(__xludf.DUMMYFUNCTION("""COMPUTED_VALUE"""),43128)</f>
        <v>43128</v>
      </c>
      <c r="C267" s="1" t="str">
        <f ca="1">IFERROR(__xludf.DUMMYFUNCTION("""COMPUTED_VALUE"""),"Jan")</f>
        <v>Jan</v>
      </c>
      <c r="D267" s="1" t="str">
        <f ca="1">IFERROR(__xludf.DUMMYFUNCTION("""COMPUTED_VALUE"""),"Qtr 1")</f>
        <v>Qtr 1</v>
      </c>
      <c r="E267" s="1" t="str">
        <f ca="1">IFERROR(__xludf.DUMMYFUNCTION("""COMPUTED_VALUE"""),"31/01/2018")</f>
        <v>31/01/2018</v>
      </c>
      <c r="F267" s="1" t="str">
        <f ca="1">IFERROR(__xludf.DUMMYFUNCTION("""COMPUTED_VALUE"""),"Second Class")</f>
        <v>Second Class</v>
      </c>
      <c r="G267" s="1" t="str">
        <f ca="1">IFERROR(__xludf.DUMMYFUNCTION("""COMPUTED_VALUE"""),"BT-11305")</f>
        <v>BT-11305</v>
      </c>
      <c r="H267" s="1" t="str">
        <f ca="1">IFERROR(__xludf.DUMMYFUNCTION("""COMPUTED_VALUE"""),"Beth")</f>
        <v>Beth</v>
      </c>
      <c r="I267" s="1" t="str">
        <f ca="1">IFERROR(__xludf.DUMMYFUNCTION("""COMPUTED_VALUE"""),"Thompson")</f>
        <v>Thompson</v>
      </c>
      <c r="J267" s="1"/>
      <c r="K267" s="1" t="str">
        <f ca="1">IFERROR(__xludf.DUMMYFUNCTION("""COMPUTED_VALUE"""),"Home Office")</f>
        <v>Home Office</v>
      </c>
      <c r="L267" s="1" t="str">
        <f ca="1">IFERROR(__xludf.DUMMYFUNCTION("""COMPUTED_VALUE"""),"United States")</f>
        <v>United States</v>
      </c>
      <c r="M267" s="1" t="str">
        <f ca="1">IFERROR(__xludf.DUMMYFUNCTION("""COMPUTED_VALUE"""),"Costa Mesa")</f>
        <v>Costa Mesa</v>
      </c>
      <c r="N267" s="1" t="str">
        <f ca="1">IFERROR(__xludf.DUMMYFUNCTION("""COMPUTED_VALUE"""),"California")</f>
        <v>California</v>
      </c>
      <c r="O267" s="1">
        <f ca="1">IFERROR(__xludf.DUMMYFUNCTION("""COMPUTED_VALUE"""),92627)</f>
        <v>92627</v>
      </c>
      <c r="P267" s="1" t="str">
        <f ca="1">IFERROR(__xludf.DUMMYFUNCTION("""COMPUTED_VALUE"""),"West")</f>
        <v>West</v>
      </c>
      <c r="Q267" s="1" t="str">
        <f ca="1">IFERROR(__xludf.DUMMYFUNCTION("""COMPUTED_VALUE"""),"FUR-FU-10003976")</f>
        <v>FUR-FU-10003976</v>
      </c>
      <c r="R267" s="1" t="str">
        <f ca="1">IFERROR(__xludf.DUMMYFUNCTION("""COMPUTED_VALUE"""),"Furniture")</f>
        <v>Furniture</v>
      </c>
      <c r="S267" s="7">
        <f ca="1">IFERROR(__xludf.DUMMYFUNCTION("""COMPUTED_VALUE"""),37.74)</f>
        <v>37.74</v>
      </c>
      <c r="T267" s="1">
        <f ca="1">IFERROR(__xludf.DUMMYFUNCTION("""COMPUTED_VALUE"""),9)</f>
        <v>9</v>
      </c>
      <c r="U267" s="9">
        <f ca="1">IFERROR(__xludf.DUMMYFUNCTION("""COMPUTED_VALUE"""),339.66)</f>
        <v>339.66</v>
      </c>
      <c r="V267" s="9">
        <f ca="1">IFERROR(__xludf.DUMMYFUNCTION("""COMPUTED_VALUE"""),336.24)</f>
        <v>336.24</v>
      </c>
      <c r="W267" s="12">
        <f ca="1">IFERROR(__xludf.DUMMYFUNCTION("""COMPUTED_VALUE"""),3.42000000000001)</f>
        <v>3.4200000000000101</v>
      </c>
    </row>
    <row r="268" spans="1:23" ht="13.2">
      <c r="A268" s="1" t="str">
        <f ca="1">IFERROR(__xludf.DUMMYFUNCTION("""COMPUTED_VALUE"""),"US-2016-164448")</f>
        <v>US-2016-164448</v>
      </c>
      <c r="B268" s="8">
        <f ca="1">IFERROR(__xludf.DUMMYFUNCTION("""COMPUTED_VALUE"""),42674)</f>
        <v>42674</v>
      </c>
      <c r="C268" s="1" t="str">
        <f ca="1">IFERROR(__xludf.DUMMYFUNCTION("""COMPUTED_VALUE"""),"Oct")</f>
        <v>Oct</v>
      </c>
      <c r="D268" s="1" t="str">
        <f ca="1">IFERROR(__xludf.DUMMYFUNCTION("""COMPUTED_VALUE"""),"Qtr 4")</f>
        <v>Qtr 4</v>
      </c>
      <c r="E268" s="1" t="str">
        <f ca="1">IFERROR(__xludf.DUMMYFUNCTION("""COMPUTED_VALUE"""),"4/11/2016")</f>
        <v>4/11/2016</v>
      </c>
      <c r="F268" s="1" t="str">
        <f ca="1">IFERROR(__xludf.DUMMYFUNCTION("""COMPUTED_VALUE"""),"Second Class")</f>
        <v>Second Class</v>
      </c>
      <c r="G268" s="1" t="str">
        <f ca="1">IFERROR(__xludf.DUMMYFUNCTION("""COMPUTED_VALUE"""),"DK-12835")</f>
        <v>DK-12835</v>
      </c>
      <c r="H268" s="1" t="str">
        <f ca="1">IFERROR(__xludf.DUMMYFUNCTION("""COMPUTED_VALUE"""),"Damala")</f>
        <v>Damala</v>
      </c>
      <c r="I268" s="1" t="str">
        <f ca="1">IFERROR(__xludf.DUMMYFUNCTION("""COMPUTED_VALUE"""),"Kotsonis")</f>
        <v>Kotsonis</v>
      </c>
      <c r="J268" s="1"/>
      <c r="K268" s="1" t="str">
        <f ca="1">IFERROR(__xludf.DUMMYFUNCTION("""COMPUTED_VALUE"""),"Corporate")</f>
        <v>Corporate</v>
      </c>
      <c r="L268" s="1" t="str">
        <f ca="1">IFERROR(__xludf.DUMMYFUNCTION("""COMPUTED_VALUE"""),"United States")</f>
        <v>United States</v>
      </c>
      <c r="M268" s="1" t="str">
        <f ca="1">IFERROR(__xludf.DUMMYFUNCTION("""COMPUTED_VALUE"""),"Salinas")</f>
        <v>Salinas</v>
      </c>
      <c r="N268" s="1" t="str">
        <f ca="1">IFERROR(__xludf.DUMMYFUNCTION("""COMPUTED_VALUE"""),"California")</f>
        <v>California</v>
      </c>
      <c r="O268" s="1">
        <f ca="1">IFERROR(__xludf.DUMMYFUNCTION("""COMPUTED_VALUE"""),93905)</f>
        <v>93905</v>
      </c>
      <c r="P268" s="1" t="str">
        <f ca="1">IFERROR(__xludf.DUMMYFUNCTION("""COMPUTED_VALUE"""),"West")</f>
        <v>West</v>
      </c>
      <c r="Q268" s="1" t="str">
        <f ca="1">IFERROR(__xludf.DUMMYFUNCTION("""COMPUTED_VALUE"""),"OFF-BI-10002949")</f>
        <v>OFF-BI-10002949</v>
      </c>
      <c r="R268" s="1" t="str">
        <f ca="1">IFERROR(__xludf.DUMMYFUNCTION("""COMPUTED_VALUE"""),"Office Supplies")</f>
        <v>Office Supplies</v>
      </c>
      <c r="S268" s="7">
        <f ca="1">IFERROR(__xludf.DUMMYFUNCTION("""COMPUTED_VALUE"""),9.728)</f>
        <v>9.7279999999999998</v>
      </c>
      <c r="T268" s="1">
        <f ca="1">IFERROR(__xludf.DUMMYFUNCTION("""COMPUTED_VALUE"""),9)</f>
        <v>9</v>
      </c>
      <c r="U268" s="9">
        <f ca="1">IFERROR(__xludf.DUMMYFUNCTION("""COMPUTED_VALUE"""),87.5519999999999)</f>
        <v>87.551999999999893</v>
      </c>
      <c r="V268" s="9">
        <f ca="1">IFERROR(__xludf.DUMMYFUNCTION("""COMPUTED_VALUE"""),81)</f>
        <v>81</v>
      </c>
      <c r="W268" s="12">
        <f ca="1">IFERROR(__xludf.DUMMYFUNCTION("""COMPUTED_VALUE"""),6.55199999999999)</f>
        <v>6.5519999999999898</v>
      </c>
    </row>
    <row r="269" spans="1:23" ht="13.2">
      <c r="A269" s="1" t="str">
        <f ca="1">IFERROR(__xludf.DUMMYFUNCTION("""COMPUTED_VALUE"""),"US-2016-164448")</f>
        <v>US-2016-164448</v>
      </c>
      <c r="B269" s="8">
        <f ca="1">IFERROR(__xludf.DUMMYFUNCTION("""COMPUTED_VALUE"""),42674)</f>
        <v>42674</v>
      </c>
      <c r="C269" s="1" t="str">
        <f ca="1">IFERROR(__xludf.DUMMYFUNCTION("""COMPUTED_VALUE"""),"Oct")</f>
        <v>Oct</v>
      </c>
      <c r="D269" s="1" t="str">
        <f ca="1">IFERROR(__xludf.DUMMYFUNCTION("""COMPUTED_VALUE"""),"Qtr 4")</f>
        <v>Qtr 4</v>
      </c>
      <c r="E269" s="1" t="str">
        <f ca="1">IFERROR(__xludf.DUMMYFUNCTION("""COMPUTED_VALUE"""),"4/11/2016")</f>
        <v>4/11/2016</v>
      </c>
      <c r="F269" s="1" t="str">
        <f ca="1">IFERROR(__xludf.DUMMYFUNCTION("""COMPUTED_VALUE"""),"Second Class")</f>
        <v>Second Class</v>
      </c>
      <c r="G269" s="1" t="str">
        <f ca="1">IFERROR(__xludf.DUMMYFUNCTION("""COMPUTED_VALUE"""),"DK-12835")</f>
        <v>DK-12835</v>
      </c>
      <c r="H269" s="1" t="str">
        <f ca="1">IFERROR(__xludf.DUMMYFUNCTION("""COMPUTED_VALUE"""),"Damala")</f>
        <v>Damala</v>
      </c>
      <c r="I269" s="1" t="str">
        <f ca="1">IFERROR(__xludf.DUMMYFUNCTION("""COMPUTED_VALUE"""),"Kotsonis")</f>
        <v>Kotsonis</v>
      </c>
      <c r="J269" s="1"/>
      <c r="K269" s="1" t="str">
        <f ca="1">IFERROR(__xludf.DUMMYFUNCTION("""COMPUTED_VALUE"""),"Corporate")</f>
        <v>Corporate</v>
      </c>
      <c r="L269" s="1" t="str">
        <f ca="1">IFERROR(__xludf.DUMMYFUNCTION("""COMPUTED_VALUE"""),"United States")</f>
        <v>United States</v>
      </c>
      <c r="M269" s="1" t="str">
        <f ca="1">IFERROR(__xludf.DUMMYFUNCTION("""COMPUTED_VALUE"""),"Salinas")</f>
        <v>Salinas</v>
      </c>
      <c r="N269" s="1" t="str">
        <f ca="1">IFERROR(__xludf.DUMMYFUNCTION("""COMPUTED_VALUE"""),"California")</f>
        <v>California</v>
      </c>
      <c r="O269" s="1">
        <f ca="1">IFERROR(__xludf.DUMMYFUNCTION("""COMPUTED_VALUE"""),93905)</f>
        <v>93905</v>
      </c>
      <c r="P269" s="1" t="str">
        <f ca="1">IFERROR(__xludf.DUMMYFUNCTION("""COMPUTED_VALUE"""),"West")</f>
        <v>West</v>
      </c>
      <c r="Q269" s="1" t="str">
        <f ca="1">IFERROR(__xludf.DUMMYFUNCTION("""COMPUTED_VALUE"""),"OFF-EN-10002600")</f>
        <v>OFF-EN-10002600</v>
      </c>
      <c r="R269" s="1" t="str">
        <f ca="1">IFERROR(__xludf.DUMMYFUNCTION("""COMPUTED_VALUE"""),"Office Supplies")</f>
        <v>Office Supplies</v>
      </c>
      <c r="S269" s="7">
        <f ca="1">IFERROR(__xludf.DUMMYFUNCTION("""COMPUTED_VALUE"""),14.75)</f>
        <v>14.75</v>
      </c>
      <c r="T269" s="1">
        <f ca="1">IFERROR(__xludf.DUMMYFUNCTION("""COMPUTED_VALUE"""),9)</f>
        <v>9</v>
      </c>
      <c r="U269" s="9">
        <f ca="1">IFERROR(__xludf.DUMMYFUNCTION("""COMPUTED_VALUE"""),132.75)</f>
        <v>132.75</v>
      </c>
      <c r="V269" s="9">
        <f ca="1">IFERROR(__xludf.DUMMYFUNCTION("""COMPUTED_VALUE"""),129.42)</f>
        <v>129.41999999999999</v>
      </c>
      <c r="W269" s="12">
        <f ca="1">IFERROR(__xludf.DUMMYFUNCTION("""COMPUTED_VALUE"""),3.32999999999998)</f>
        <v>3.3299999999999801</v>
      </c>
    </row>
    <row r="270" spans="1:23" ht="13.2">
      <c r="A270" s="1" t="str">
        <f ca="1">IFERROR(__xludf.DUMMYFUNCTION("""COMPUTED_VALUE"""),"US-2016-164448")</f>
        <v>US-2016-164448</v>
      </c>
      <c r="B270" s="8">
        <f ca="1">IFERROR(__xludf.DUMMYFUNCTION("""COMPUTED_VALUE"""),42674)</f>
        <v>42674</v>
      </c>
      <c r="C270" s="1" t="str">
        <f ca="1">IFERROR(__xludf.DUMMYFUNCTION("""COMPUTED_VALUE"""),"Oct")</f>
        <v>Oct</v>
      </c>
      <c r="D270" s="1" t="str">
        <f ca="1">IFERROR(__xludf.DUMMYFUNCTION("""COMPUTED_VALUE"""),"Qtr 4")</f>
        <v>Qtr 4</v>
      </c>
      <c r="E270" s="1" t="str">
        <f ca="1">IFERROR(__xludf.DUMMYFUNCTION("""COMPUTED_VALUE"""),"4/11/2016")</f>
        <v>4/11/2016</v>
      </c>
      <c r="F270" s="1" t="str">
        <f ca="1">IFERROR(__xludf.DUMMYFUNCTION("""COMPUTED_VALUE"""),"Second Class")</f>
        <v>Second Class</v>
      </c>
      <c r="G270" s="1" t="str">
        <f ca="1">IFERROR(__xludf.DUMMYFUNCTION("""COMPUTED_VALUE"""),"DK-12835")</f>
        <v>DK-12835</v>
      </c>
      <c r="H270" s="1" t="str">
        <f ca="1">IFERROR(__xludf.DUMMYFUNCTION("""COMPUTED_VALUE"""),"Damala")</f>
        <v>Damala</v>
      </c>
      <c r="I270" s="1" t="str">
        <f ca="1">IFERROR(__xludf.DUMMYFUNCTION("""COMPUTED_VALUE"""),"Kotsonis")</f>
        <v>Kotsonis</v>
      </c>
      <c r="J270" s="1"/>
      <c r="K270" s="1" t="str">
        <f ca="1">IFERROR(__xludf.DUMMYFUNCTION("""COMPUTED_VALUE"""),"Corporate")</f>
        <v>Corporate</v>
      </c>
      <c r="L270" s="1" t="str">
        <f ca="1">IFERROR(__xludf.DUMMYFUNCTION("""COMPUTED_VALUE"""),"United States")</f>
        <v>United States</v>
      </c>
      <c r="M270" s="1" t="str">
        <f ca="1">IFERROR(__xludf.DUMMYFUNCTION("""COMPUTED_VALUE"""),"Salinas")</f>
        <v>Salinas</v>
      </c>
      <c r="N270" s="1" t="str">
        <f ca="1">IFERROR(__xludf.DUMMYFUNCTION("""COMPUTED_VALUE"""),"California")</f>
        <v>California</v>
      </c>
      <c r="O270" s="1">
        <f ca="1">IFERROR(__xludf.DUMMYFUNCTION("""COMPUTED_VALUE"""),93905)</f>
        <v>93905</v>
      </c>
      <c r="P270" s="1" t="str">
        <f ca="1">IFERROR(__xludf.DUMMYFUNCTION("""COMPUTED_VALUE"""),"West")</f>
        <v>West</v>
      </c>
      <c r="Q270" s="1" t="str">
        <f ca="1">IFERROR(__xludf.DUMMYFUNCTION("""COMPUTED_VALUE"""),"OFF-BI-10003708")</f>
        <v>OFF-BI-10003708</v>
      </c>
      <c r="R270" s="1" t="str">
        <f ca="1">IFERROR(__xludf.DUMMYFUNCTION("""COMPUTED_VALUE"""),"Office Supplies")</f>
        <v>Office Supplies</v>
      </c>
      <c r="S270" s="7">
        <f ca="1">IFERROR(__xludf.DUMMYFUNCTION("""COMPUTED_VALUE"""),29.8)</f>
        <v>29.8</v>
      </c>
      <c r="T270" s="1">
        <f ca="1">IFERROR(__xludf.DUMMYFUNCTION("""COMPUTED_VALUE"""),9)</f>
        <v>9</v>
      </c>
      <c r="U270" s="9">
        <f ca="1">IFERROR(__xludf.DUMMYFUNCTION("""COMPUTED_VALUE"""),268.2)</f>
        <v>268.2</v>
      </c>
      <c r="V270" s="9">
        <f ca="1">IFERROR(__xludf.DUMMYFUNCTION("""COMPUTED_VALUE"""),261.18)</f>
        <v>261.18</v>
      </c>
      <c r="W270" s="12">
        <f ca="1">IFERROR(__xludf.DUMMYFUNCTION("""COMPUTED_VALUE"""),7.01999999999998)</f>
        <v>7.01999999999998</v>
      </c>
    </row>
    <row r="271" spans="1:23" ht="13.2">
      <c r="A271" s="1" t="str">
        <f ca="1">IFERROR(__xludf.DUMMYFUNCTION("""COMPUTED_VALUE"""),"US-2016-164448")</f>
        <v>US-2016-164448</v>
      </c>
      <c r="B271" s="8">
        <f ca="1">IFERROR(__xludf.DUMMYFUNCTION("""COMPUTED_VALUE"""),42674)</f>
        <v>42674</v>
      </c>
      <c r="C271" s="1" t="str">
        <f ca="1">IFERROR(__xludf.DUMMYFUNCTION("""COMPUTED_VALUE"""),"Oct")</f>
        <v>Oct</v>
      </c>
      <c r="D271" s="1" t="str">
        <f ca="1">IFERROR(__xludf.DUMMYFUNCTION("""COMPUTED_VALUE"""),"Qtr 4")</f>
        <v>Qtr 4</v>
      </c>
      <c r="E271" s="1" t="str">
        <f ca="1">IFERROR(__xludf.DUMMYFUNCTION("""COMPUTED_VALUE"""),"4/11/2016")</f>
        <v>4/11/2016</v>
      </c>
      <c r="F271" s="1" t="str">
        <f ca="1">IFERROR(__xludf.DUMMYFUNCTION("""COMPUTED_VALUE"""),"Second Class")</f>
        <v>Second Class</v>
      </c>
      <c r="G271" s="1" t="str">
        <f ca="1">IFERROR(__xludf.DUMMYFUNCTION("""COMPUTED_VALUE"""),"DK-12835")</f>
        <v>DK-12835</v>
      </c>
      <c r="H271" s="1" t="str">
        <f ca="1">IFERROR(__xludf.DUMMYFUNCTION("""COMPUTED_VALUE"""),"Damala")</f>
        <v>Damala</v>
      </c>
      <c r="I271" s="1" t="str">
        <f ca="1">IFERROR(__xludf.DUMMYFUNCTION("""COMPUTED_VALUE"""),"Kotsonis")</f>
        <v>Kotsonis</v>
      </c>
      <c r="J271" s="1"/>
      <c r="K271" s="1" t="str">
        <f ca="1">IFERROR(__xludf.DUMMYFUNCTION("""COMPUTED_VALUE"""),"Corporate")</f>
        <v>Corporate</v>
      </c>
      <c r="L271" s="1" t="str">
        <f ca="1">IFERROR(__xludf.DUMMYFUNCTION("""COMPUTED_VALUE"""),"United States")</f>
        <v>United States</v>
      </c>
      <c r="M271" s="1" t="str">
        <f ca="1">IFERROR(__xludf.DUMMYFUNCTION("""COMPUTED_VALUE"""),"Salinas")</f>
        <v>Salinas</v>
      </c>
      <c r="N271" s="1" t="str">
        <f ca="1">IFERROR(__xludf.DUMMYFUNCTION("""COMPUTED_VALUE"""),"California")</f>
        <v>California</v>
      </c>
      <c r="O271" s="1">
        <f ca="1">IFERROR(__xludf.DUMMYFUNCTION("""COMPUTED_VALUE"""),93905)</f>
        <v>93905</v>
      </c>
      <c r="P271" s="1" t="str">
        <f ca="1">IFERROR(__xludf.DUMMYFUNCTION("""COMPUTED_VALUE"""),"West")</f>
        <v>West</v>
      </c>
      <c r="Q271" s="1" t="str">
        <f ca="1">IFERROR(__xludf.DUMMYFUNCTION("""COMPUTED_VALUE"""),"OFF-LA-10003510")</f>
        <v>OFF-LA-10003510</v>
      </c>
      <c r="R271" s="1" t="str">
        <f ca="1">IFERROR(__xludf.DUMMYFUNCTION("""COMPUTED_VALUE"""),"Office Supplies")</f>
        <v>Office Supplies</v>
      </c>
      <c r="S271" s="7">
        <f ca="1">IFERROR(__xludf.DUMMYFUNCTION("""COMPUTED_VALUE"""),427.42)</f>
        <v>427.42</v>
      </c>
      <c r="T271" s="1">
        <f ca="1">IFERROR(__xludf.DUMMYFUNCTION("""COMPUTED_VALUE"""),9)</f>
        <v>9</v>
      </c>
      <c r="U271" s="9">
        <f ca="1">IFERROR(__xludf.DUMMYFUNCTION("""COMPUTED_VALUE"""),3846.78)</f>
        <v>3846.78</v>
      </c>
      <c r="V271" s="9">
        <f ca="1">IFERROR(__xludf.DUMMYFUNCTION("""COMPUTED_VALUE"""),3843.26999999999)</f>
        <v>3843.26999999999</v>
      </c>
      <c r="W271" s="12">
        <f ca="1">IFERROR(__xludf.DUMMYFUNCTION("""COMPUTED_VALUE"""),3.51000000000067)</f>
        <v>3.5100000000006699</v>
      </c>
    </row>
    <row r="272" spans="1:23" ht="13.2">
      <c r="A272" s="1" t="str">
        <f ca="1">IFERROR(__xludf.DUMMYFUNCTION("""COMPUTED_VALUE"""),"CA-2018-128160")</f>
        <v>CA-2018-128160</v>
      </c>
      <c r="B272" s="8">
        <f ca="1">IFERROR(__xludf.DUMMYFUNCTION("""COMPUTED_VALUE"""),43453)</f>
        <v>43453</v>
      </c>
      <c r="C272" s="1" t="str">
        <f ca="1">IFERROR(__xludf.DUMMYFUNCTION("""COMPUTED_VALUE"""),"Dec")</f>
        <v>Dec</v>
      </c>
      <c r="D272" s="1" t="str">
        <f ca="1">IFERROR(__xludf.DUMMYFUNCTION("""COMPUTED_VALUE"""),"Qtr 4")</f>
        <v>Qtr 4</v>
      </c>
      <c r="E272" s="1" t="str">
        <f ca="1">IFERROR(__xludf.DUMMYFUNCTION("""COMPUTED_VALUE"""),"24/12/2018")</f>
        <v>24/12/2018</v>
      </c>
      <c r="F272" s="1" t="str">
        <f ca="1">IFERROR(__xludf.DUMMYFUNCTION("""COMPUTED_VALUE"""),"Second Class")</f>
        <v>Second Class</v>
      </c>
      <c r="G272" s="1" t="str">
        <f ca="1">IFERROR(__xludf.DUMMYFUNCTION("""COMPUTED_VALUE"""),"MM-17920")</f>
        <v>MM-17920</v>
      </c>
      <c r="H272" s="1" t="str">
        <f ca="1">IFERROR(__xludf.DUMMYFUNCTION("""COMPUTED_VALUE"""),"Michael")</f>
        <v>Michael</v>
      </c>
      <c r="I272" s="1" t="str">
        <f ca="1">IFERROR(__xludf.DUMMYFUNCTION("""COMPUTED_VALUE"""),"Moore")</f>
        <v>Moore</v>
      </c>
      <c r="J272" s="1"/>
      <c r="K272" s="1" t="str">
        <f ca="1">IFERROR(__xludf.DUMMYFUNCTION("""COMPUTED_VALUE"""),"Consumer")</f>
        <v>Consumer</v>
      </c>
      <c r="L272" s="1" t="str">
        <f ca="1">IFERROR(__xludf.DUMMYFUNCTION("""COMPUTED_VALUE"""),"United States")</f>
        <v>United States</v>
      </c>
      <c r="M272" s="1" t="str">
        <f ca="1">IFERROR(__xludf.DUMMYFUNCTION("""COMPUTED_VALUE"""),"San Francisco")</f>
        <v>San Francisco</v>
      </c>
      <c r="N272" s="1" t="str">
        <f ca="1">IFERROR(__xludf.DUMMYFUNCTION("""COMPUTED_VALUE"""),"California")</f>
        <v>California</v>
      </c>
      <c r="O272" s="1">
        <f ca="1">IFERROR(__xludf.DUMMYFUNCTION("""COMPUTED_VALUE"""),94110)</f>
        <v>94110</v>
      </c>
      <c r="P272" s="1" t="str">
        <f ca="1">IFERROR(__xludf.DUMMYFUNCTION("""COMPUTED_VALUE"""),"West")</f>
        <v>West</v>
      </c>
      <c r="Q272" s="1" t="str">
        <f ca="1">IFERROR(__xludf.DUMMYFUNCTION("""COMPUTED_VALUE"""),"OFF-BI-10001510")</f>
        <v>OFF-BI-10001510</v>
      </c>
      <c r="R272" s="1" t="str">
        <f ca="1">IFERROR(__xludf.DUMMYFUNCTION("""COMPUTED_VALUE"""),"Office Supplies")</f>
        <v>Office Supplies</v>
      </c>
      <c r="S272" s="7">
        <f ca="1">IFERROR(__xludf.DUMMYFUNCTION("""COMPUTED_VALUE"""),36.672)</f>
        <v>36.671999999999997</v>
      </c>
      <c r="T272" s="1">
        <f ca="1">IFERROR(__xludf.DUMMYFUNCTION("""COMPUTED_VALUE"""),9)</f>
        <v>9</v>
      </c>
      <c r="U272" s="9">
        <f ca="1">IFERROR(__xludf.DUMMYFUNCTION("""COMPUTED_VALUE"""),330.048)</f>
        <v>330.048</v>
      </c>
      <c r="V272" s="9">
        <f ca="1">IFERROR(__xludf.DUMMYFUNCTION("""COMPUTED_VALUE"""),324)</f>
        <v>324</v>
      </c>
      <c r="W272" s="12">
        <f ca="1">IFERROR(__xludf.DUMMYFUNCTION("""COMPUTED_VALUE"""),6.048)</f>
        <v>6.048</v>
      </c>
    </row>
    <row r="273" spans="1:23" ht="13.2">
      <c r="A273" s="1" t="str">
        <f ca="1">IFERROR(__xludf.DUMMYFUNCTION("""COMPUTED_VALUE"""),"CA-2016-145821")</f>
        <v>CA-2016-145821</v>
      </c>
      <c r="B273" s="8">
        <f ca="1">IFERROR(__xludf.DUMMYFUNCTION("""COMPUTED_VALUE"""),42374)</f>
        <v>42374</v>
      </c>
      <c r="C273" s="1" t="str">
        <f ca="1">IFERROR(__xludf.DUMMYFUNCTION("""COMPUTED_VALUE"""),"Jan")</f>
        <v>Jan</v>
      </c>
      <c r="D273" s="1" t="str">
        <f ca="1">IFERROR(__xludf.DUMMYFUNCTION("""COMPUTED_VALUE"""),"Qtr 1")</f>
        <v>Qtr 1</v>
      </c>
      <c r="E273" s="1" t="str">
        <f ca="1">IFERROR(__xludf.DUMMYFUNCTION("""COMPUTED_VALUE"""),"7/5/2016")</f>
        <v>7/5/2016</v>
      </c>
      <c r="F273" s="1" t="str">
        <f ca="1">IFERROR(__xludf.DUMMYFUNCTION("""COMPUTED_VALUE"""),"Standard Class")</f>
        <v>Standard Class</v>
      </c>
      <c r="G273" s="1" t="str">
        <f ca="1">IFERROR(__xludf.DUMMYFUNCTION("""COMPUTED_VALUE"""),"JB-15400")</f>
        <v>JB-15400</v>
      </c>
      <c r="H273" s="1" t="str">
        <f ca="1">IFERROR(__xludf.DUMMYFUNCTION("""COMPUTED_VALUE"""),"Jennifer")</f>
        <v>Jennifer</v>
      </c>
      <c r="I273" s="1" t="str">
        <f ca="1">IFERROR(__xludf.DUMMYFUNCTION("""COMPUTED_VALUE"""),"Braxton")</f>
        <v>Braxton</v>
      </c>
      <c r="J273" s="1"/>
      <c r="K273" s="1" t="str">
        <f ca="1">IFERROR(__xludf.DUMMYFUNCTION("""COMPUTED_VALUE"""),"Corporate")</f>
        <v>Corporate</v>
      </c>
      <c r="L273" s="1" t="str">
        <f ca="1">IFERROR(__xludf.DUMMYFUNCTION("""COMPUTED_VALUE"""),"United States")</f>
        <v>United States</v>
      </c>
      <c r="M273" s="1" t="str">
        <f ca="1">IFERROR(__xludf.DUMMYFUNCTION("""COMPUTED_VALUE"""),"Los Angeles")</f>
        <v>Los Angeles</v>
      </c>
      <c r="N273" s="1" t="str">
        <f ca="1">IFERROR(__xludf.DUMMYFUNCTION("""COMPUTED_VALUE"""),"California")</f>
        <v>California</v>
      </c>
      <c r="O273" s="1">
        <f ca="1">IFERROR(__xludf.DUMMYFUNCTION("""COMPUTED_VALUE"""),90008)</f>
        <v>90008</v>
      </c>
      <c r="P273" s="1" t="str">
        <f ca="1">IFERROR(__xludf.DUMMYFUNCTION("""COMPUTED_VALUE"""),"West")</f>
        <v>West</v>
      </c>
      <c r="Q273" s="1" t="str">
        <f ca="1">IFERROR(__xludf.DUMMYFUNCTION("""COMPUTED_VALUE"""),"TEC-PH-10004348")</f>
        <v>TEC-PH-10004348</v>
      </c>
      <c r="R273" s="1" t="str">
        <f ca="1">IFERROR(__xludf.DUMMYFUNCTION("""COMPUTED_VALUE"""),"Technology")</f>
        <v>Technology</v>
      </c>
      <c r="S273" s="7">
        <f ca="1">IFERROR(__xludf.DUMMYFUNCTION("""COMPUTED_VALUE"""),88.752)</f>
        <v>88.751999999999995</v>
      </c>
      <c r="T273" s="1">
        <f ca="1">IFERROR(__xludf.DUMMYFUNCTION("""COMPUTED_VALUE"""),9)</f>
        <v>9</v>
      </c>
      <c r="U273" s="9">
        <f ca="1">IFERROR(__xludf.DUMMYFUNCTION("""COMPUTED_VALUE"""),798.767999999999)</f>
        <v>798.76799999999901</v>
      </c>
      <c r="V273" s="9">
        <f ca="1">IFERROR(__xludf.DUMMYFUNCTION("""COMPUTED_VALUE"""),797.76)</f>
        <v>797.76</v>
      </c>
      <c r="W273" s="12">
        <f ca="1">IFERROR(__xludf.DUMMYFUNCTION("""COMPUTED_VALUE"""),1.00799999999992)</f>
        <v>1.0079999999999201</v>
      </c>
    </row>
    <row r="274" spans="1:23" ht="13.2">
      <c r="A274" s="1" t="str">
        <f ca="1">IFERROR(__xludf.DUMMYFUNCTION("""COMPUTED_VALUE"""),"CA-2018-164959")</f>
        <v>CA-2018-164959</v>
      </c>
      <c r="B274" s="8">
        <f ca="1">IFERROR(__xludf.DUMMYFUNCTION("""COMPUTED_VALUE"""),43411)</f>
        <v>43411</v>
      </c>
      <c r="C274" s="1" t="str">
        <f ca="1">IFERROR(__xludf.DUMMYFUNCTION("""COMPUTED_VALUE"""),"Nov")</f>
        <v>Nov</v>
      </c>
      <c r="D274" s="1" t="str">
        <f ca="1">IFERROR(__xludf.DUMMYFUNCTION("""COMPUTED_VALUE"""),"Qtr 4")</f>
        <v>Qtr 4</v>
      </c>
      <c r="E274" s="1" t="str">
        <f ca="1">IFERROR(__xludf.DUMMYFUNCTION("""COMPUTED_VALUE"""),"15/07/2018")</f>
        <v>15/07/2018</v>
      </c>
      <c r="F274" s="1" t="str">
        <f ca="1">IFERROR(__xludf.DUMMYFUNCTION("""COMPUTED_VALUE"""),"Standard Class")</f>
        <v>Standard Class</v>
      </c>
      <c r="G274" s="1" t="str">
        <f ca="1">IFERROR(__xludf.DUMMYFUNCTION("""COMPUTED_VALUE"""),"KN-16390")</f>
        <v>KN-16390</v>
      </c>
      <c r="H274" s="1" t="str">
        <f ca="1">IFERROR(__xludf.DUMMYFUNCTION("""COMPUTED_VALUE"""),"Katherine")</f>
        <v>Katherine</v>
      </c>
      <c r="I274" s="1" t="str">
        <f ca="1">IFERROR(__xludf.DUMMYFUNCTION("""COMPUTED_VALUE"""),"Nockton")</f>
        <v>Nockton</v>
      </c>
      <c r="J274" s="1"/>
      <c r="K274" s="1" t="str">
        <f ca="1">IFERROR(__xludf.DUMMYFUNCTION("""COMPUTED_VALUE"""),"Corporate")</f>
        <v>Corporate</v>
      </c>
      <c r="L274" s="1" t="str">
        <f ca="1">IFERROR(__xludf.DUMMYFUNCTION("""COMPUTED_VALUE"""),"United States")</f>
        <v>United States</v>
      </c>
      <c r="M274" s="1" t="str">
        <f ca="1">IFERROR(__xludf.DUMMYFUNCTION("""COMPUTED_VALUE"""),"Los Angeles")</f>
        <v>Los Angeles</v>
      </c>
      <c r="N274" s="1" t="str">
        <f ca="1">IFERROR(__xludf.DUMMYFUNCTION("""COMPUTED_VALUE"""),"California")</f>
        <v>California</v>
      </c>
      <c r="O274" s="1">
        <f ca="1">IFERROR(__xludf.DUMMYFUNCTION("""COMPUTED_VALUE"""),90004)</f>
        <v>90004</v>
      </c>
      <c r="P274" s="1" t="str">
        <f ca="1">IFERROR(__xludf.DUMMYFUNCTION("""COMPUTED_VALUE"""),"West")</f>
        <v>West</v>
      </c>
      <c r="Q274" s="1" t="str">
        <f ca="1">IFERROR(__xludf.DUMMYFUNCTION("""COMPUTED_VALUE"""),"OFF-LA-10004272")</f>
        <v>OFF-LA-10004272</v>
      </c>
      <c r="R274" s="1" t="str">
        <f ca="1">IFERROR(__xludf.DUMMYFUNCTION("""COMPUTED_VALUE"""),"Office Supplies")</f>
        <v>Office Supplies</v>
      </c>
      <c r="S274" s="7">
        <f ca="1">IFERROR(__xludf.DUMMYFUNCTION("""COMPUTED_VALUE"""),8.67)</f>
        <v>8.67</v>
      </c>
      <c r="T274" s="1">
        <f ca="1">IFERROR(__xludf.DUMMYFUNCTION("""COMPUTED_VALUE"""),9)</f>
        <v>9</v>
      </c>
      <c r="U274" s="9">
        <f ca="1">IFERROR(__xludf.DUMMYFUNCTION("""COMPUTED_VALUE"""),78.03)</f>
        <v>78.03</v>
      </c>
      <c r="V274" s="9">
        <f ca="1">IFERROR(__xludf.DUMMYFUNCTION("""COMPUTED_VALUE"""),69.9299999999999)</f>
        <v>69.929999999999893</v>
      </c>
      <c r="W274" s="12">
        <f ca="1">IFERROR(__xludf.DUMMYFUNCTION("""COMPUTED_VALUE"""),8.1)</f>
        <v>8.1</v>
      </c>
    </row>
    <row r="275" spans="1:23" ht="13.2">
      <c r="A275" s="1" t="str">
        <f ca="1">IFERROR(__xludf.DUMMYFUNCTION("""COMPUTED_VALUE"""),"CA-2018-121468")</f>
        <v>CA-2018-121468</v>
      </c>
      <c r="B275" s="8">
        <f ca="1">IFERROR(__xludf.DUMMYFUNCTION("""COMPUTED_VALUE"""),43423)</f>
        <v>43423</v>
      </c>
      <c r="C275" s="1" t="str">
        <f ca="1">IFERROR(__xludf.DUMMYFUNCTION("""COMPUTED_VALUE"""),"Nov")</f>
        <v>Nov</v>
      </c>
      <c r="D275" s="1" t="str">
        <f ca="1">IFERROR(__xludf.DUMMYFUNCTION("""COMPUTED_VALUE"""),"Qtr 4")</f>
        <v>Qtr 4</v>
      </c>
      <c r="E275" s="1" t="str">
        <f ca="1">IFERROR(__xludf.DUMMYFUNCTION("""COMPUTED_VALUE"""),"20/11/2018")</f>
        <v>20/11/2018</v>
      </c>
      <c r="F275" s="1" t="str">
        <f ca="1">IFERROR(__xludf.DUMMYFUNCTION("""COMPUTED_VALUE"""),"First Class")</f>
        <v>First Class</v>
      </c>
      <c r="G275" s="1" t="str">
        <f ca="1">IFERROR(__xludf.DUMMYFUNCTION("""COMPUTED_VALUE"""),"KD-16345")</f>
        <v>KD-16345</v>
      </c>
      <c r="H275" s="1" t="str">
        <f ca="1">IFERROR(__xludf.DUMMYFUNCTION("""COMPUTED_VALUE"""),"Katherine")</f>
        <v>Katherine</v>
      </c>
      <c r="I275" s="1" t="str">
        <f ca="1">IFERROR(__xludf.DUMMYFUNCTION("""COMPUTED_VALUE"""),"Ducich")</f>
        <v>Ducich</v>
      </c>
      <c r="J275" s="1"/>
      <c r="K275" s="1" t="str">
        <f ca="1">IFERROR(__xludf.DUMMYFUNCTION("""COMPUTED_VALUE"""),"Consumer")</f>
        <v>Consumer</v>
      </c>
      <c r="L275" s="1" t="str">
        <f ca="1">IFERROR(__xludf.DUMMYFUNCTION("""COMPUTED_VALUE"""),"United States")</f>
        <v>United States</v>
      </c>
      <c r="M275" s="1" t="str">
        <f ca="1">IFERROR(__xludf.DUMMYFUNCTION("""COMPUTED_VALUE"""),"Westminster")</f>
        <v>Westminster</v>
      </c>
      <c r="N275" s="1" t="str">
        <f ca="1">IFERROR(__xludf.DUMMYFUNCTION("""COMPUTED_VALUE"""),"California")</f>
        <v>California</v>
      </c>
      <c r="O275" s="1">
        <f ca="1">IFERROR(__xludf.DUMMYFUNCTION("""COMPUTED_VALUE"""),92683)</f>
        <v>92683</v>
      </c>
      <c r="P275" s="1" t="str">
        <f ca="1">IFERROR(__xludf.DUMMYFUNCTION("""COMPUTED_VALUE"""),"West")</f>
        <v>West</v>
      </c>
      <c r="Q275" s="1" t="str">
        <f ca="1">IFERROR(__xludf.DUMMYFUNCTION("""COMPUTED_VALUE"""),"TEC-PH-10000376")</f>
        <v>TEC-PH-10000376</v>
      </c>
      <c r="R275" s="1" t="str">
        <f ca="1">IFERROR(__xludf.DUMMYFUNCTION("""COMPUTED_VALUE"""),"Technology")</f>
        <v>Technology</v>
      </c>
      <c r="S275" s="7">
        <f ca="1">IFERROR(__xludf.DUMMYFUNCTION("""COMPUTED_VALUE"""),31.968)</f>
        <v>31.968</v>
      </c>
      <c r="T275" s="1">
        <f ca="1">IFERROR(__xludf.DUMMYFUNCTION("""COMPUTED_VALUE"""),9)</f>
        <v>9</v>
      </c>
      <c r="U275" s="9">
        <f ca="1">IFERROR(__xludf.DUMMYFUNCTION("""COMPUTED_VALUE"""),287.712)</f>
        <v>287.71199999999999</v>
      </c>
      <c r="V275" s="9">
        <f ca="1">IFERROR(__xludf.DUMMYFUNCTION("""COMPUTED_VALUE"""),284.13)</f>
        <v>284.13</v>
      </c>
      <c r="W275" s="12">
        <f ca="1">IFERROR(__xludf.DUMMYFUNCTION("""COMPUTED_VALUE"""),3.58199999999999)</f>
        <v>3.5819999999999901</v>
      </c>
    </row>
    <row r="276" spans="1:23" ht="13.2">
      <c r="A276" s="1" t="str">
        <f ca="1">IFERROR(__xludf.DUMMYFUNCTION("""COMPUTED_VALUE"""),"US-2017-108455")</f>
        <v>US-2017-108455</v>
      </c>
      <c r="B276" s="8">
        <f ca="1">IFERROR(__xludf.DUMMYFUNCTION("""COMPUTED_VALUE"""),42778)</f>
        <v>42778</v>
      </c>
      <c r="C276" s="1" t="str">
        <f ca="1">IFERROR(__xludf.DUMMYFUNCTION("""COMPUTED_VALUE"""),"Feb")</f>
        <v>Feb</v>
      </c>
      <c r="D276" s="1" t="str">
        <f ca="1">IFERROR(__xludf.DUMMYFUNCTION("""COMPUTED_VALUE"""),"Qtr 1")</f>
        <v>Qtr 1</v>
      </c>
      <c r="E276" s="1" t="str">
        <f ca="1">IFERROR(__xludf.DUMMYFUNCTION("""COMPUTED_VALUE"""),"8/12/2017")</f>
        <v>8/12/2017</v>
      </c>
      <c r="F276" s="1" t="str">
        <f ca="1">IFERROR(__xludf.DUMMYFUNCTION("""COMPUTED_VALUE"""),"Standard Class")</f>
        <v>Standard Class</v>
      </c>
      <c r="G276" s="1" t="str">
        <f ca="1">IFERROR(__xludf.DUMMYFUNCTION("""COMPUTED_VALUE"""),"MK-18160")</f>
        <v>MK-18160</v>
      </c>
      <c r="H276" s="1" t="str">
        <f ca="1">IFERROR(__xludf.DUMMYFUNCTION("""COMPUTED_VALUE"""),"Mike")</f>
        <v>Mike</v>
      </c>
      <c r="I276" s="1" t="str">
        <f ca="1">IFERROR(__xludf.DUMMYFUNCTION("""COMPUTED_VALUE"""),"Kennedy")</f>
        <v>Kennedy</v>
      </c>
      <c r="J276" s="1"/>
      <c r="K276" s="1" t="str">
        <f ca="1">IFERROR(__xludf.DUMMYFUNCTION("""COMPUTED_VALUE"""),"Consumer")</f>
        <v>Consumer</v>
      </c>
      <c r="L276" s="1" t="str">
        <f ca="1">IFERROR(__xludf.DUMMYFUNCTION("""COMPUTED_VALUE"""),"United States")</f>
        <v>United States</v>
      </c>
      <c r="M276" s="1" t="str">
        <f ca="1">IFERROR(__xludf.DUMMYFUNCTION("""COMPUTED_VALUE"""),"San Francisco")</f>
        <v>San Francisco</v>
      </c>
      <c r="N276" s="1" t="str">
        <f ca="1">IFERROR(__xludf.DUMMYFUNCTION("""COMPUTED_VALUE"""),"California")</f>
        <v>California</v>
      </c>
      <c r="O276" s="1">
        <f ca="1">IFERROR(__xludf.DUMMYFUNCTION("""COMPUTED_VALUE"""),94122)</f>
        <v>94122</v>
      </c>
      <c r="P276" s="1" t="str">
        <f ca="1">IFERROR(__xludf.DUMMYFUNCTION("""COMPUTED_VALUE"""),"West")</f>
        <v>West</v>
      </c>
      <c r="Q276" s="1" t="str">
        <f ca="1">IFERROR(__xludf.DUMMYFUNCTION("""COMPUTED_VALUE"""),"OFF-PA-10002262")</f>
        <v>OFF-PA-10002262</v>
      </c>
      <c r="R276" s="1" t="str">
        <f ca="1">IFERROR(__xludf.DUMMYFUNCTION("""COMPUTED_VALUE"""),"Office Supplies")</f>
        <v>Office Supplies</v>
      </c>
      <c r="S276" s="7">
        <f ca="1">IFERROR(__xludf.DUMMYFUNCTION("""COMPUTED_VALUE"""),25.92)</f>
        <v>25.92</v>
      </c>
      <c r="T276" s="1">
        <f ca="1">IFERROR(__xludf.DUMMYFUNCTION("""COMPUTED_VALUE"""),9)</f>
        <v>9</v>
      </c>
      <c r="U276" s="9">
        <f ca="1">IFERROR(__xludf.DUMMYFUNCTION("""COMPUTED_VALUE"""),233.28)</f>
        <v>233.28</v>
      </c>
      <c r="V276" s="9">
        <f ca="1">IFERROR(__xludf.DUMMYFUNCTION("""COMPUTED_VALUE"""),226.62)</f>
        <v>226.62</v>
      </c>
      <c r="W276" s="12">
        <f ca="1">IFERROR(__xludf.DUMMYFUNCTION("""COMPUTED_VALUE"""),6.66000000000002)</f>
        <v>6.6600000000000197</v>
      </c>
    </row>
    <row r="277" spans="1:23" ht="13.2">
      <c r="A277" s="1" t="str">
        <f ca="1">IFERROR(__xludf.DUMMYFUNCTION("""COMPUTED_VALUE"""),"US-2017-108455")</f>
        <v>US-2017-108455</v>
      </c>
      <c r="B277" s="8">
        <f ca="1">IFERROR(__xludf.DUMMYFUNCTION("""COMPUTED_VALUE"""),42778)</f>
        <v>42778</v>
      </c>
      <c r="C277" s="1" t="str">
        <f ca="1">IFERROR(__xludf.DUMMYFUNCTION("""COMPUTED_VALUE"""),"Feb")</f>
        <v>Feb</v>
      </c>
      <c r="D277" s="1" t="str">
        <f ca="1">IFERROR(__xludf.DUMMYFUNCTION("""COMPUTED_VALUE"""),"Qtr 1")</f>
        <v>Qtr 1</v>
      </c>
      <c r="E277" s="1" t="str">
        <f ca="1">IFERROR(__xludf.DUMMYFUNCTION("""COMPUTED_VALUE"""),"8/12/2017")</f>
        <v>8/12/2017</v>
      </c>
      <c r="F277" s="1" t="str">
        <f ca="1">IFERROR(__xludf.DUMMYFUNCTION("""COMPUTED_VALUE"""),"Standard Class")</f>
        <v>Standard Class</v>
      </c>
      <c r="G277" s="1" t="str">
        <f ca="1">IFERROR(__xludf.DUMMYFUNCTION("""COMPUTED_VALUE"""),"MK-18160")</f>
        <v>MK-18160</v>
      </c>
      <c r="H277" s="1" t="str">
        <f ca="1">IFERROR(__xludf.DUMMYFUNCTION("""COMPUTED_VALUE"""),"Mike")</f>
        <v>Mike</v>
      </c>
      <c r="I277" s="1" t="str">
        <f ca="1">IFERROR(__xludf.DUMMYFUNCTION("""COMPUTED_VALUE"""),"Kennedy")</f>
        <v>Kennedy</v>
      </c>
      <c r="J277" s="1"/>
      <c r="K277" s="1" t="str">
        <f ca="1">IFERROR(__xludf.DUMMYFUNCTION("""COMPUTED_VALUE"""),"Consumer")</f>
        <v>Consumer</v>
      </c>
      <c r="L277" s="1" t="str">
        <f ca="1">IFERROR(__xludf.DUMMYFUNCTION("""COMPUTED_VALUE"""),"United States")</f>
        <v>United States</v>
      </c>
      <c r="M277" s="1" t="str">
        <f ca="1">IFERROR(__xludf.DUMMYFUNCTION("""COMPUTED_VALUE"""),"San Francisco")</f>
        <v>San Francisco</v>
      </c>
      <c r="N277" s="1" t="str">
        <f ca="1">IFERROR(__xludf.DUMMYFUNCTION("""COMPUTED_VALUE"""),"California")</f>
        <v>California</v>
      </c>
      <c r="O277" s="1">
        <f ca="1">IFERROR(__xludf.DUMMYFUNCTION("""COMPUTED_VALUE"""),94122)</f>
        <v>94122</v>
      </c>
      <c r="P277" s="1" t="str">
        <f ca="1">IFERROR(__xludf.DUMMYFUNCTION("""COMPUTED_VALUE"""),"West")</f>
        <v>West</v>
      </c>
      <c r="Q277" s="1" t="str">
        <f ca="1">IFERROR(__xludf.DUMMYFUNCTION("""COMPUTED_VALUE"""),"OFF-PA-10002464")</f>
        <v>OFF-PA-10002464</v>
      </c>
      <c r="R277" s="1" t="str">
        <f ca="1">IFERROR(__xludf.DUMMYFUNCTION("""COMPUTED_VALUE"""),"Office Supplies")</f>
        <v>Office Supplies</v>
      </c>
      <c r="S277" s="7">
        <f ca="1">IFERROR(__xludf.DUMMYFUNCTION("""COMPUTED_VALUE"""),40.46)</f>
        <v>40.46</v>
      </c>
      <c r="T277" s="1">
        <f ca="1">IFERROR(__xludf.DUMMYFUNCTION("""COMPUTED_VALUE"""),9)</f>
        <v>9</v>
      </c>
      <c r="U277" s="9">
        <f ca="1">IFERROR(__xludf.DUMMYFUNCTION("""COMPUTED_VALUE"""),364.14)</f>
        <v>364.14</v>
      </c>
      <c r="V277" s="9">
        <f ca="1">IFERROR(__xludf.DUMMYFUNCTION("""COMPUTED_VALUE"""),360)</f>
        <v>360</v>
      </c>
      <c r="W277" s="12">
        <f ca="1">IFERROR(__xludf.DUMMYFUNCTION("""COMPUTED_VALUE"""),4.13999999999998)</f>
        <v>4.1399999999999801</v>
      </c>
    </row>
    <row r="278" spans="1:23" ht="13.2">
      <c r="A278" s="1" t="str">
        <f ca="1">IFERROR(__xludf.DUMMYFUNCTION("""COMPUTED_VALUE"""),"US-2017-108455")</f>
        <v>US-2017-108455</v>
      </c>
      <c r="B278" s="8">
        <f ca="1">IFERROR(__xludf.DUMMYFUNCTION("""COMPUTED_VALUE"""),42778)</f>
        <v>42778</v>
      </c>
      <c r="C278" s="1" t="str">
        <f ca="1">IFERROR(__xludf.DUMMYFUNCTION("""COMPUTED_VALUE"""),"Feb")</f>
        <v>Feb</v>
      </c>
      <c r="D278" s="1" t="str">
        <f ca="1">IFERROR(__xludf.DUMMYFUNCTION("""COMPUTED_VALUE"""),"Qtr 1")</f>
        <v>Qtr 1</v>
      </c>
      <c r="E278" s="1" t="str">
        <f ca="1">IFERROR(__xludf.DUMMYFUNCTION("""COMPUTED_VALUE"""),"8/12/2017")</f>
        <v>8/12/2017</v>
      </c>
      <c r="F278" s="1" t="str">
        <f ca="1">IFERROR(__xludf.DUMMYFUNCTION("""COMPUTED_VALUE"""),"Standard Class")</f>
        <v>Standard Class</v>
      </c>
      <c r="G278" s="1" t="str">
        <f ca="1">IFERROR(__xludf.DUMMYFUNCTION("""COMPUTED_VALUE"""),"MK-18160")</f>
        <v>MK-18160</v>
      </c>
      <c r="H278" s="1" t="str">
        <f ca="1">IFERROR(__xludf.DUMMYFUNCTION("""COMPUTED_VALUE"""),"Mike")</f>
        <v>Mike</v>
      </c>
      <c r="I278" s="1" t="str">
        <f ca="1">IFERROR(__xludf.DUMMYFUNCTION("""COMPUTED_VALUE"""),"Kennedy")</f>
        <v>Kennedy</v>
      </c>
      <c r="J278" s="1"/>
      <c r="K278" s="1" t="str">
        <f ca="1">IFERROR(__xludf.DUMMYFUNCTION("""COMPUTED_VALUE"""),"Consumer")</f>
        <v>Consumer</v>
      </c>
      <c r="L278" s="1" t="str">
        <f ca="1">IFERROR(__xludf.DUMMYFUNCTION("""COMPUTED_VALUE"""),"United States")</f>
        <v>United States</v>
      </c>
      <c r="M278" s="1" t="str">
        <f ca="1">IFERROR(__xludf.DUMMYFUNCTION("""COMPUTED_VALUE"""),"San Francisco")</f>
        <v>San Francisco</v>
      </c>
      <c r="N278" s="1" t="str">
        <f ca="1">IFERROR(__xludf.DUMMYFUNCTION("""COMPUTED_VALUE"""),"California")</f>
        <v>California</v>
      </c>
      <c r="O278" s="1">
        <f ca="1">IFERROR(__xludf.DUMMYFUNCTION("""COMPUTED_VALUE"""),94122)</f>
        <v>94122</v>
      </c>
      <c r="P278" s="1" t="str">
        <f ca="1">IFERROR(__xludf.DUMMYFUNCTION("""COMPUTED_VALUE"""),"West")</f>
        <v>West</v>
      </c>
      <c r="Q278" s="1" t="str">
        <f ca="1">IFERROR(__xludf.DUMMYFUNCTION("""COMPUTED_VALUE"""),"OFF-ST-10002214")</f>
        <v>OFF-ST-10002214</v>
      </c>
      <c r="R278" s="1" t="str">
        <f ca="1">IFERROR(__xludf.DUMMYFUNCTION("""COMPUTED_VALUE"""),"Office Supplies")</f>
        <v>Office Supplies</v>
      </c>
      <c r="S278" s="7">
        <f ca="1">IFERROR(__xludf.DUMMYFUNCTION("""COMPUTED_VALUE"""),33.87)</f>
        <v>33.869999999999997</v>
      </c>
      <c r="T278" s="1">
        <f ca="1">IFERROR(__xludf.DUMMYFUNCTION("""COMPUTED_VALUE"""),9)</f>
        <v>9</v>
      </c>
      <c r="U278" s="9">
        <f ca="1">IFERROR(__xludf.DUMMYFUNCTION("""COMPUTED_VALUE"""),304.83)</f>
        <v>304.83</v>
      </c>
      <c r="V278" s="9">
        <f ca="1">IFERROR(__xludf.DUMMYFUNCTION("""COMPUTED_VALUE"""),304.74)</f>
        <v>304.74</v>
      </c>
      <c r="W278" s="12">
        <f ca="1">IFERROR(__xludf.DUMMYFUNCTION("""COMPUTED_VALUE"""),0.0899999999999749)</f>
        <v>8.9999999999974906E-2</v>
      </c>
    </row>
    <row r="279" spans="1:23" ht="13.2">
      <c r="A279" s="1" t="str">
        <f ca="1">IFERROR(__xludf.DUMMYFUNCTION("""COMPUTED_VALUE"""),"CA-2016-140410")</f>
        <v>CA-2016-140410</v>
      </c>
      <c r="B279" s="8">
        <f ca="1">IFERROR(__xludf.DUMMYFUNCTION("""COMPUTED_VALUE"""),42440)</f>
        <v>42440</v>
      </c>
      <c r="C279" s="1" t="str">
        <f ca="1">IFERROR(__xludf.DUMMYFUNCTION("""COMPUTED_VALUE"""),"Mar")</f>
        <v>Mar</v>
      </c>
      <c r="D279" s="1" t="str">
        <f ca="1">IFERROR(__xludf.DUMMYFUNCTION("""COMPUTED_VALUE"""),"Qtr 1")</f>
        <v>Qtr 1</v>
      </c>
      <c r="E279" s="1" t="str">
        <f ca="1">IFERROR(__xludf.DUMMYFUNCTION("""COMPUTED_VALUE"""),"7/11/2016")</f>
        <v>7/11/2016</v>
      </c>
      <c r="F279" s="1" t="str">
        <f ca="1">IFERROR(__xludf.DUMMYFUNCTION("""COMPUTED_VALUE"""),"Standard Class")</f>
        <v>Standard Class</v>
      </c>
      <c r="G279" s="1" t="str">
        <f ca="1">IFERROR(__xludf.DUMMYFUNCTION("""COMPUTED_VALUE"""),"CM-12655")</f>
        <v>CM-12655</v>
      </c>
      <c r="H279" s="1" t="str">
        <f ca="1">IFERROR(__xludf.DUMMYFUNCTION("""COMPUTED_VALUE"""),"Corinna")</f>
        <v>Corinna</v>
      </c>
      <c r="I279" s="1" t="str">
        <f ca="1">IFERROR(__xludf.DUMMYFUNCTION("""COMPUTED_VALUE"""),"Mitchell")</f>
        <v>Mitchell</v>
      </c>
      <c r="J279" s="1"/>
      <c r="K279" s="1" t="str">
        <f ca="1">IFERROR(__xludf.DUMMYFUNCTION("""COMPUTED_VALUE"""),"Home Office")</f>
        <v>Home Office</v>
      </c>
      <c r="L279" s="1" t="str">
        <f ca="1">IFERROR(__xludf.DUMMYFUNCTION("""COMPUTED_VALUE"""),"United States")</f>
        <v>United States</v>
      </c>
      <c r="M279" s="1" t="str">
        <f ca="1">IFERROR(__xludf.DUMMYFUNCTION("""COMPUTED_VALUE"""),"Los Angeles")</f>
        <v>Los Angeles</v>
      </c>
      <c r="N279" s="1" t="str">
        <f ca="1">IFERROR(__xludf.DUMMYFUNCTION("""COMPUTED_VALUE"""),"California")</f>
        <v>California</v>
      </c>
      <c r="O279" s="1">
        <f ca="1">IFERROR(__xludf.DUMMYFUNCTION("""COMPUTED_VALUE"""),90008)</f>
        <v>90008</v>
      </c>
      <c r="P279" s="1" t="str">
        <f ca="1">IFERROR(__xludf.DUMMYFUNCTION("""COMPUTED_VALUE"""),"West")</f>
        <v>West</v>
      </c>
      <c r="Q279" s="1" t="str">
        <f ca="1">IFERROR(__xludf.DUMMYFUNCTION("""COMPUTED_VALUE"""),"TEC-PH-10003580")</f>
        <v>TEC-PH-10003580</v>
      </c>
      <c r="R279" s="1" t="str">
        <f ca="1">IFERROR(__xludf.DUMMYFUNCTION("""COMPUTED_VALUE"""),"Technology")</f>
        <v>Technology</v>
      </c>
      <c r="S279" s="7">
        <f ca="1">IFERROR(__xludf.DUMMYFUNCTION("""COMPUTED_VALUE"""),1212.848)</f>
        <v>1212.848</v>
      </c>
      <c r="T279" s="1">
        <f ca="1">IFERROR(__xludf.DUMMYFUNCTION("""COMPUTED_VALUE"""),9)</f>
        <v>9</v>
      </c>
      <c r="U279" s="9">
        <f ca="1">IFERROR(__xludf.DUMMYFUNCTION("""COMPUTED_VALUE"""),10915.632)</f>
        <v>10915.632</v>
      </c>
      <c r="V279" s="9">
        <f ca="1">IFERROR(__xludf.DUMMYFUNCTION("""COMPUTED_VALUE"""),10915.1999999999)</f>
        <v>10915.199999999901</v>
      </c>
      <c r="W279" s="12">
        <f ca="1">IFERROR(__xludf.DUMMYFUNCTION("""COMPUTED_VALUE"""),0.432000000000698)</f>
        <v>0.43200000000069799</v>
      </c>
    </row>
    <row r="280" spans="1:23" ht="13.2">
      <c r="A280" s="1" t="str">
        <f ca="1">IFERROR(__xludf.DUMMYFUNCTION("""COMPUTED_VALUE"""),"CA-2016-140410")</f>
        <v>CA-2016-140410</v>
      </c>
      <c r="B280" s="8">
        <f ca="1">IFERROR(__xludf.DUMMYFUNCTION("""COMPUTED_VALUE"""),42440)</f>
        <v>42440</v>
      </c>
      <c r="C280" s="1" t="str">
        <f ca="1">IFERROR(__xludf.DUMMYFUNCTION("""COMPUTED_VALUE"""),"Mar")</f>
        <v>Mar</v>
      </c>
      <c r="D280" s="1" t="str">
        <f ca="1">IFERROR(__xludf.DUMMYFUNCTION("""COMPUTED_VALUE"""),"Qtr 1")</f>
        <v>Qtr 1</v>
      </c>
      <c r="E280" s="1" t="str">
        <f ca="1">IFERROR(__xludf.DUMMYFUNCTION("""COMPUTED_VALUE"""),"7/11/2016")</f>
        <v>7/11/2016</v>
      </c>
      <c r="F280" s="1" t="str">
        <f ca="1">IFERROR(__xludf.DUMMYFUNCTION("""COMPUTED_VALUE"""),"Standard Class")</f>
        <v>Standard Class</v>
      </c>
      <c r="G280" s="1" t="str">
        <f ca="1">IFERROR(__xludf.DUMMYFUNCTION("""COMPUTED_VALUE"""),"CM-12655")</f>
        <v>CM-12655</v>
      </c>
      <c r="H280" s="1" t="str">
        <f ca="1">IFERROR(__xludf.DUMMYFUNCTION("""COMPUTED_VALUE"""),"Corinna")</f>
        <v>Corinna</v>
      </c>
      <c r="I280" s="1" t="str">
        <f ca="1">IFERROR(__xludf.DUMMYFUNCTION("""COMPUTED_VALUE"""),"Mitchell")</f>
        <v>Mitchell</v>
      </c>
      <c r="J280" s="1"/>
      <c r="K280" s="1" t="str">
        <f ca="1">IFERROR(__xludf.DUMMYFUNCTION("""COMPUTED_VALUE"""),"Home Office")</f>
        <v>Home Office</v>
      </c>
      <c r="L280" s="1" t="str">
        <f ca="1">IFERROR(__xludf.DUMMYFUNCTION("""COMPUTED_VALUE"""),"United States")</f>
        <v>United States</v>
      </c>
      <c r="M280" s="1" t="str">
        <f ca="1">IFERROR(__xludf.DUMMYFUNCTION("""COMPUTED_VALUE"""),"Los Angeles")</f>
        <v>Los Angeles</v>
      </c>
      <c r="N280" s="1" t="str">
        <f ca="1">IFERROR(__xludf.DUMMYFUNCTION("""COMPUTED_VALUE"""),"California")</f>
        <v>California</v>
      </c>
      <c r="O280" s="1">
        <f ca="1">IFERROR(__xludf.DUMMYFUNCTION("""COMPUTED_VALUE"""),90008)</f>
        <v>90008</v>
      </c>
      <c r="P280" s="1" t="str">
        <f ca="1">IFERROR(__xludf.DUMMYFUNCTION("""COMPUTED_VALUE"""),"West")</f>
        <v>West</v>
      </c>
      <c r="Q280" s="1" t="str">
        <f ca="1">IFERROR(__xludf.DUMMYFUNCTION("""COMPUTED_VALUE"""),"TEC-AC-10001109")</f>
        <v>TEC-AC-10001109</v>
      </c>
      <c r="R280" s="1" t="str">
        <f ca="1">IFERROR(__xludf.DUMMYFUNCTION("""COMPUTED_VALUE"""),"Technology")</f>
        <v>Technology</v>
      </c>
      <c r="S280" s="7">
        <f ca="1">IFERROR(__xludf.DUMMYFUNCTION("""COMPUTED_VALUE"""),89.97)</f>
        <v>89.97</v>
      </c>
      <c r="T280" s="1">
        <f ca="1">IFERROR(__xludf.DUMMYFUNCTION("""COMPUTED_VALUE"""),9)</f>
        <v>9</v>
      </c>
      <c r="U280" s="9">
        <f ca="1">IFERROR(__xludf.DUMMYFUNCTION("""COMPUTED_VALUE"""),809.73)</f>
        <v>809.73</v>
      </c>
      <c r="V280" s="9">
        <f ca="1">IFERROR(__xludf.DUMMYFUNCTION("""COMPUTED_VALUE"""),803.79)</f>
        <v>803.79</v>
      </c>
      <c r="W280" s="12">
        <f ca="1">IFERROR(__xludf.DUMMYFUNCTION("""COMPUTED_VALUE"""),5.94000000000005)</f>
        <v>5.9400000000000501</v>
      </c>
    </row>
    <row r="281" spans="1:23" ht="13.2">
      <c r="A281" s="1" t="str">
        <f ca="1">IFERROR(__xludf.DUMMYFUNCTION("""COMPUTED_VALUE"""),"CA-2016-140410")</f>
        <v>CA-2016-140410</v>
      </c>
      <c r="B281" s="8">
        <f ca="1">IFERROR(__xludf.DUMMYFUNCTION("""COMPUTED_VALUE"""),42440)</f>
        <v>42440</v>
      </c>
      <c r="C281" s="1" t="str">
        <f ca="1">IFERROR(__xludf.DUMMYFUNCTION("""COMPUTED_VALUE"""),"Mar")</f>
        <v>Mar</v>
      </c>
      <c r="D281" s="1" t="str">
        <f ca="1">IFERROR(__xludf.DUMMYFUNCTION("""COMPUTED_VALUE"""),"Qtr 1")</f>
        <v>Qtr 1</v>
      </c>
      <c r="E281" s="1" t="str">
        <f ca="1">IFERROR(__xludf.DUMMYFUNCTION("""COMPUTED_VALUE"""),"7/11/2016")</f>
        <v>7/11/2016</v>
      </c>
      <c r="F281" s="1" t="str">
        <f ca="1">IFERROR(__xludf.DUMMYFUNCTION("""COMPUTED_VALUE"""),"Standard Class")</f>
        <v>Standard Class</v>
      </c>
      <c r="G281" s="1" t="str">
        <f ca="1">IFERROR(__xludf.DUMMYFUNCTION("""COMPUTED_VALUE"""),"CM-12655")</f>
        <v>CM-12655</v>
      </c>
      <c r="H281" s="1" t="str">
        <f ca="1">IFERROR(__xludf.DUMMYFUNCTION("""COMPUTED_VALUE"""),"Corinna")</f>
        <v>Corinna</v>
      </c>
      <c r="I281" s="1" t="str">
        <f ca="1">IFERROR(__xludf.DUMMYFUNCTION("""COMPUTED_VALUE"""),"Mitchell")</f>
        <v>Mitchell</v>
      </c>
      <c r="J281" s="1"/>
      <c r="K281" s="1" t="str">
        <f ca="1">IFERROR(__xludf.DUMMYFUNCTION("""COMPUTED_VALUE"""),"Home Office")</f>
        <v>Home Office</v>
      </c>
      <c r="L281" s="1" t="str">
        <f ca="1">IFERROR(__xludf.DUMMYFUNCTION("""COMPUTED_VALUE"""),"United States")</f>
        <v>United States</v>
      </c>
      <c r="M281" s="1" t="str">
        <f ca="1">IFERROR(__xludf.DUMMYFUNCTION("""COMPUTED_VALUE"""),"Los Angeles")</f>
        <v>Los Angeles</v>
      </c>
      <c r="N281" s="1" t="str">
        <f ca="1">IFERROR(__xludf.DUMMYFUNCTION("""COMPUTED_VALUE"""),"California")</f>
        <v>California</v>
      </c>
      <c r="O281" s="1">
        <f ca="1">IFERROR(__xludf.DUMMYFUNCTION("""COMPUTED_VALUE"""),90008)</f>
        <v>90008</v>
      </c>
      <c r="P281" s="1" t="str">
        <f ca="1">IFERROR(__xludf.DUMMYFUNCTION("""COMPUTED_VALUE"""),"West")</f>
        <v>West</v>
      </c>
      <c r="Q281" s="1" t="str">
        <f ca="1">IFERROR(__xludf.DUMMYFUNCTION("""COMPUTED_VALUE"""),"FUR-FU-10003347")</f>
        <v>FUR-FU-10003347</v>
      </c>
      <c r="R281" s="1" t="str">
        <f ca="1">IFERROR(__xludf.DUMMYFUNCTION("""COMPUTED_VALUE"""),"Furniture")</f>
        <v>Furniture</v>
      </c>
      <c r="S281" s="7">
        <f ca="1">IFERROR(__xludf.DUMMYFUNCTION("""COMPUTED_VALUE"""),42.6)</f>
        <v>42.6</v>
      </c>
      <c r="T281" s="1">
        <f ca="1">IFERROR(__xludf.DUMMYFUNCTION("""COMPUTED_VALUE"""),9)</f>
        <v>9</v>
      </c>
      <c r="U281" s="9">
        <f ca="1">IFERROR(__xludf.DUMMYFUNCTION("""COMPUTED_VALUE"""),383.4)</f>
        <v>383.4</v>
      </c>
      <c r="V281" s="9">
        <f ca="1">IFERROR(__xludf.DUMMYFUNCTION("""COMPUTED_VALUE"""),374.49)</f>
        <v>374.49</v>
      </c>
      <c r="W281" s="12">
        <f ca="1">IFERROR(__xludf.DUMMYFUNCTION("""COMPUTED_VALUE"""),8.91000000000002)</f>
        <v>8.9100000000000197</v>
      </c>
    </row>
    <row r="282" spans="1:23" ht="13.2">
      <c r="A282" s="1" t="str">
        <f ca="1">IFERROR(__xludf.DUMMYFUNCTION("""COMPUTED_VALUE"""),"CA-2017-141586")</f>
        <v>CA-2017-141586</v>
      </c>
      <c r="B282" s="8">
        <f ca="1">IFERROR(__xludf.DUMMYFUNCTION("""COMPUTED_VALUE"""),43025)</f>
        <v>43025</v>
      </c>
      <c r="C282" s="1" t="str">
        <f ca="1">IFERROR(__xludf.DUMMYFUNCTION("""COMPUTED_VALUE"""),"Oct")</f>
        <v>Oct</v>
      </c>
      <c r="D282" s="1" t="str">
        <f ca="1">IFERROR(__xludf.DUMMYFUNCTION("""COMPUTED_VALUE"""),"Qtr 4")</f>
        <v>Qtr 4</v>
      </c>
      <c r="E282" s="1" t="str">
        <f ca="1">IFERROR(__xludf.DUMMYFUNCTION("""COMPUTED_VALUE"""),"20/10/2017")</f>
        <v>20/10/2017</v>
      </c>
      <c r="F282" s="1" t="str">
        <f ca="1">IFERROR(__xludf.DUMMYFUNCTION("""COMPUTED_VALUE"""),"First Class")</f>
        <v>First Class</v>
      </c>
      <c r="G282" s="1" t="str">
        <f ca="1">IFERROR(__xludf.DUMMYFUNCTION("""COMPUTED_VALUE"""),"NK-18490")</f>
        <v>NK-18490</v>
      </c>
      <c r="H282" s="1" t="str">
        <f ca="1">IFERROR(__xludf.DUMMYFUNCTION("""COMPUTED_VALUE"""),"Neil")</f>
        <v>Neil</v>
      </c>
      <c r="I282" s="1" t="str">
        <f ca="1">IFERROR(__xludf.DUMMYFUNCTION("""COMPUTED_VALUE"""),"Knudson")</f>
        <v>Knudson</v>
      </c>
      <c r="J282" s="1"/>
      <c r="K282" s="1" t="str">
        <f ca="1">IFERROR(__xludf.DUMMYFUNCTION("""COMPUTED_VALUE"""),"Home Office")</f>
        <v>Home Office</v>
      </c>
      <c r="L282" s="1" t="str">
        <f ca="1">IFERROR(__xludf.DUMMYFUNCTION("""COMPUTED_VALUE"""),"United States")</f>
        <v>United States</v>
      </c>
      <c r="M282" s="1" t="str">
        <f ca="1">IFERROR(__xludf.DUMMYFUNCTION("""COMPUTED_VALUE"""),"San Francisco")</f>
        <v>San Francisco</v>
      </c>
      <c r="N282" s="1" t="str">
        <f ca="1">IFERROR(__xludf.DUMMYFUNCTION("""COMPUTED_VALUE"""),"California")</f>
        <v>California</v>
      </c>
      <c r="O282" s="1">
        <f ca="1">IFERROR(__xludf.DUMMYFUNCTION("""COMPUTED_VALUE"""),94122)</f>
        <v>94122</v>
      </c>
      <c r="P282" s="1" t="str">
        <f ca="1">IFERROR(__xludf.DUMMYFUNCTION("""COMPUTED_VALUE"""),"West")</f>
        <v>West</v>
      </c>
      <c r="Q282" s="1" t="str">
        <f ca="1">IFERROR(__xludf.DUMMYFUNCTION("""COMPUTED_VALUE"""),"OFF-BI-10003981")</f>
        <v>OFF-BI-10003981</v>
      </c>
      <c r="R282" s="1" t="str">
        <f ca="1">IFERROR(__xludf.DUMMYFUNCTION("""COMPUTED_VALUE"""),"Office Supplies")</f>
        <v>Office Supplies</v>
      </c>
      <c r="S282" s="7">
        <f ca="1">IFERROR(__xludf.DUMMYFUNCTION("""COMPUTED_VALUE"""),18.16)</f>
        <v>18.16</v>
      </c>
      <c r="T282" s="1">
        <f ca="1">IFERROR(__xludf.DUMMYFUNCTION("""COMPUTED_VALUE"""),9)</f>
        <v>9</v>
      </c>
      <c r="U282" s="9">
        <f ca="1">IFERROR(__xludf.DUMMYFUNCTION("""COMPUTED_VALUE"""),163.44)</f>
        <v>163.44</v>
      </c>
      <c r="V282" s="9">
        <f ca="1">IFERROR(__xludf.DUMMYFUNCTION("""COMPUTED_VALUE"""),161.19)</f>
        <v>161.19</v>
      </c>
      <c r="W282" s="12">
        <f ca="1">IFERROR(__xludf.DUMMYFUNCTION("""COMPUTED_VALUE"""),2.25)</f>
        <v>2.25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5"/>
  <sheetViews>
    <sheetView workbookViewId="0">
      <selection activeCell="A4" sqref="A4"/>
    </sheetView>
  </sheetViews>
  <sheetFormatPr defaultColWidth="12.6640625" defaultRowHeight="15.75" customHeight="1"/>
  <cols>
    <col min="1" max="1" width="18.88671875" customWidth="1"/>
    <col min="2" max="2" width="19" customWidth="1"/>
    <col min="6" max="6" width="17.44140625" customWidth="1"/>
    <col min="7" max="7" width="18.21875" customWidth="1"/>
  </cols>
  <sheetData>
    <row r="1" spans="1:2" ht="15.75" customHeight="1">
      <c r="A1" s="13" t="s">
        <v>4016</v>
      </c>
    </row>
    <row r="4" spans="1:2">
      <c r="A4" s="1" t="str">
        <f ca="1">IFERROR(__xludf.DUMMYFUNCTION("QUERY(SalesData, ""Select SUM(V), SUM (W) Where R = 'Furniture' Label SUM (V) 'Furniture Total Sales', SUM (W) 'Furniture Total Cost' "")"),"Furniture Total Sales")</f>
        <v>Furniture Total Sales</v>
      </c>
      <c r="B4" s="1" t="str">
        <f ca="1">IFERROR(__xludf.DUMMYFUNCTION("""COMPUTED_VALUE"""),"Furniture Total Cost")</f>
        <v>Furniture Total Cost</v>
      </c>
    </row>
    <row r="5" spans="1:2">
      <c r="A5" s="1">
        <f ca="1">IFERROR(__xludf.DUMMYFUNCTION("""COMPUTED_VALUE"""),635879.5048)</f>
        <v>635879.5048</v>
      </c>
      <c r="B5" s="1">
        <f ca="1">IFERROR(__xludf.DUMMYFUNCTION("""COMPUTED_VALUE"""),635068.159999999)</f>
        <v>635068.15999999898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Y245"/>
  <sheetViews>
    <sheetView showGridLines="0" workbookViewId="0"/>
  </sheetViews>
  <sheetFormatPr defaultColWidth="12.6640625" defaultRowHeight="15.75" customHeight="1"/>
  <cols>
    <col min="2" max="2" width="13" customWidth="1"/>
    <col min="3" max="3" width="13.88671875" customWidth="1"/>
    <col min="4" max="4" width="13" customWidth="1"/>
    <col min="5" max="5" width="16.44140625" customWidth="1"/>
  </cols>
  <sheetData>
    <row r="1" spans="1:23" ht="15.75" customHeight="1">
      <c r="A1" s="17"/>
      <c r="B1" s="17"/>
      <c r="C1" s="17"/>
      <c r="D1" s="17"/>
      <c r="E1" s="17"/>
      <c r="F1" s="17"/>
      <c r="G1" s="25" t="s">
        <v>4017</v>
      </c>
      <c r="H1" s="26"/>
      <c r="I1" s="17"/>
      <c r="J1" s="17"/>
      <c r="K1" s="17"/>
      <c r="L1" s="17"/>
      <c r="M1" s="17"/>
      <c r="N1" s="17"/>
      <c r="O1" s="17"/>
      <c r="P1" s="17"/>
      <c r="Q1" s="17"/>
      <c r="R1" s="17"/>
      <c r="S1" s="17"/>
      <c r="T1" s="17"/>
      <c r="U1" s="17"/>
      <c r="V1" s="17"/>
      <c r="W1" s="17"/>
    </row>
    <row r="2" spans="1:23" ht="15.75" customHeight="1">
      <c r="A2" s="17"/>
      <c r="B2" s="18" t="s">
        <v>24</v>
      </c>
      <c r="C2" s="18" t="s">
        <v>4018</v>
      </c>
      <c r="D2" s="18" t="s">
        <v>23</v>
      </c>
      <c r="E2" s="17"/>
      <c r="F2" s="25" t="s">
        <v>4019</v>
      </c>
      <c r="G2" s="27"/>
      <c r="H2" s="27"/>
      <c r="I2" s="26"/>
      <c r="J2" s="17"/>
      <c r="K2" s="17"/>
      <c r="L2" s="17"/>
      <c r="M2" s="17"/>
      <c r="N2" s="17"/>
      <c r="O2" s="17"/>
      <c r="P2" s="17"/>
      <c r="Q2" s="17"/>
      <c r="R2" s="17"/>
      <c r="S2" s="17"/>
      <c r="T2" s="17"/>
      <c r="U2" s="17"/>
      <c r="V2" s="17"/>
      <c r="W2" s="17"/>
    </row>
    <row r="3" spans="1:23">
      <c r="A3" s="17"/>
      <c r="B3" s="19">
        <v>3769.3047999999935</v>
      </c>
      <c r="C3" s="19">
        <v>1757028.994799997</v>
      </c>
      <c r="D3" s="19">
        <v>1753259.69</v>
      </c>
      <c r="E3" s="17"/>
      <c r="F3" s="17"/>
      <c r="G3" s="17"/>
      <c r="H3" s="17"/>
      <c r="I3" s="17"/>
      <c r="J3" s="17"/>
      <c r="K3" s="17"/>
      <c r="L3" s="17"/>
      <c r="M3" s="17"/>
      <c r="N3" s="17"/>
      <c r="O3" s="17"/>
      <c r="P3" s="17"/>
      <c r="Q3" s="17"/>
      <c r="R3" s="17"/>
      <c r="S3" s="17"/>
      <c r="T3" s="17"/>
      <c r="U3" s="17"/>
      <c r="V3" s="17"/>
      <c r="W3" s="17"/>
    </row>
    <row r="4" spans="1:23">
      <c r="A4" s="17"/>
      <c r="B4" s="17"/>
      <c r="C4" s="17"/>
      <c r="D4" s="17"/>
      <c r="E4" s="17"/>
      <c r="F4" s="17"/>
      <c r="G4" s="17"/>
      <c r="H4" s="17"/>
      <c r="I4" s="17"/>
      <c r="J4" s="17"/>
      <c r="K4" s="17"/>
      <c r="L4" s="17"/>
      <c r="M4" s="17"/>
      <c r="N4" s="17"/>
      <c r="O4" s="17"/>
      <c r="P4" s="17"/>
      <c r="Q4" s="17"/>
      <c r="R4" s="17"/>
      <c r="S4" s="17"/>
      <c r="T4" s="17"/>
      <c r="U4" s="17"/>
      <c r="V4" s="17"/>
      <c r="W4" s="17"/>
    </row>
    <row r="5" spans="1:23">
      <c r="A5" s="17"/>
      <c r="B5" s="28" t="s">
        <v>4020</v>
      </c>
      <c r="C5" s="26"/>
      <c r="D5" s="17"/>
      <c r="E5" s="17"/>
      <c r="F5" s="17"/>
      <c r="G5" s="28" t="s">
        <v>4021</v>
      </c>
      <c r="H5" s="26"/>
      <c r="I5" s="17"/>
      <c r="J5" s="17"/>
      <c r="K5" s="17"/>
      <c r="L5" s="28" t="s">
        <v>4022</v>
      </c>
      <c r="M5" s="26"/>
      <c r="N5" s="17"/>
      <c r="O5" s="17"/>
      <c r="P5" s="17"/>
      <c r="Q5" s="17"/>
      <c r="R5" s="17"/>
      <c r="S5" s="17"/>
      <c r="T5" s="17"/>
      <c r="U5" s="17"/>
      <c r="V5" s="17"/>
      <c r="W5" s="17"/>
    </row>
    <row r="6" spans="1:23">
      <c r="A6" s="17"/>
      <c r="B6" s="17"/>
      <c r="C6" s="17"/>
      <c r="D6" s="17"/>
      <c r="E6" s="17"/>
      <c r="F6" s="17"/>
      <c r="G6" s="17"/>
      <c r="H6" s="17"/>
      <c r="I6" s="17"/>
      <c r="J6" s="17"/>
      <c r="K6" s="17"/>
      <c r="L6" s="17"/>
      <c r="M6" s="17"/>
      <c r="N6" s="17"/>
      <c r="O6" s="17"/>
      <c r="P6" s="17"/>
      <c r="Q6" s="17"/>
      <c r="R6" s="17"/>
      <c r="S6" s="17"/>
      <c r="T6" s="17"/>
      <c r="U6" s="17"/>
      <c r="V6" s="17"/>
      <c r="W6" s="17"/>
    </row>
    <row r="7" spans="1:23">
      <c r="A7" s="17"/>
      <c r="B7" s="17"/>
      <c r="C7" s="17"/>
      <c r="D7" s="17"/>
      <c r="E7" s="17"/>
      <c r="F7" s="17"/>
      <c r="G7" s="17"/>
      <c r="H7" s="20"/>
      <c r="I7" s="17"/>
      <c r="J7" s="17"/>
      <c r="K7" s="17"/>
      <c r="L7" s="17"/>
      <c r="M7" s="17"/>
      <c r="N7" s="17"/>
      <c r="O7" s="17"/>
      <c r="P7" s="17"/>
      <c r="Q7" s="17"/>
      <c r="R7" s="17"/>
      <c r="S7" s="17"/>
      <c r="T7" s="17"/>
      <c r="U7" s="17"/>
      <c r="V7" s="17"/>
      <c r="W7" s="17"/>
    </row>
    <row r="8" spans="1:23">
      <c r="A8" s="17"/>
      <c r="B8" s="17"/>
      <c r="C8" s="17"/>
      <c r="D8" s="17"/>
      <c r="E8" s="17"/>
      <c r="F8" s="17"/>
      <c r="G8" s="17"/>
      <c r="H8" s="17"/>
      <c r="I8" s="17"/>
      <c r="J8" s="17"/>
      <c r="K8" s="17"/>
      <c r="L8" s="17"/>
      <c r="M8" s="17"/>
      <c r="N8" s="17"/>
      <c r="O8" s="17"/>
      <c r="P8" s="17"/>
      <c r="Q8" s="17"/>
      <c r="R8" s="17"/>
      <c r="S8" s="17"/>
      <c r="T8" s="17"/>
      <c r="U8" s="17"/>
      <c r="V8" s="17"/>
      <c r="W8" s="17"/>
    </row>
    <row r="9" spans="1:23">
      <c r="A9" s="17"/>
      <c r="B9" s="17"/>
      <c r="C9" s="17"/>
      <c r="D9" s="17"/>
      <c r="E9" s="17"/>
      <c r="F9" s="17"/>
      <c r="G9" s="17"/>
      <c r="H9" s="17"/>
      <c r="I9" s="17"/>
      <c r="J9" s="17"/>
      <c r="K9" s="17"/>
      <c r="L9" s="17"/>
      <c r="M9" s="17"/>
      <c r="N9" s="17"/>
      <c r="O9" s="17"/>
      <c r="P9" s="17"/>
      <c r="Q9" s="17"/>
      <c r="R9" s="17"/>
      <c r="S9" s="17"/>
      <c r="T9" s="17"/>
      <c r="U9" s="17"/>
      <c r="V9" s="17"/>
      <c r="W9" s="17"/>
    </row>
    <row r="10" spans="1:23">
      <c r="A10" s="17"/>
      <c r="B10" s="17"/>
      <c r="C10" s="17"/>
      <c r="D10" s="17"/>
      <c r="E10" s="17"/>
      <c r="F10" s="17"/>
      <c r="G10" s="17"/>
      <c r="H10" s="17"/>
      <c r="I10" s="17"/>
      <c r="J10" s="17"/>
      <c r="K10" s="17"/>
      <c r="L10" s="17"/>
      <c r="M10" s="17"/>
      <c r="N10" s="17"/>
      <c r="O10" s="17"/>
      <c r="P10" s="17"/>
      <c r="Q10" s="17"/>
      <c r="R10" s="17"/>
      <c r="S10" s="17"/>
      <c r="T10" s="17"/>
      <c r="U10" s="17"/>
      <c r="V10" s="17"/>
      <c r="W10" s="17"/>
    </row>
    <row r="11" spans="1:23">
      <c r="A11" s="17"/>
      <c r="B11" s="17"/>
      <c r="C11" s="17"/>
      <c r="D11" s="17"/>
      <c r="E11" s="17"/>
      <c r="F11" s="17"/>
      <c r="G11" s="17"/>
      <c r="H11" s="17"/>
      <c r="I11" s="17"/>
      <c r="J11" s="17"/>
      <c r="K11" s="17"/>
      <c r="L11" s="17"/>
      <c r="M11" s="17"/>
      <c r="N11" s="17"/>
      <c r="O11" s="17"/>
      <c r="P11" s="17"/>
      <c r="Q11" s="17"/>
      <c r="R11" s="17"/>
      <c r="S11" s="17"/>
      <c r="T11" s="17"/>
      <c r="U11" s="17"/>
      <c r="V11" s="17"/>
      <c r="W11" s="17"/>
    </row>
    <row r="12" spans="1:23">
      <c r="A12" s="17"/>
      <c r="B12" s="17"/>
      <c r="C12" s="17"/>
      <c r="D12" s="17"/>
      <c r="E12" s="17"/>
      <c r="F12" s="21"/>
      <c r="G12" s="17"/>
      <c r="H12" s="17"/>
      <c r="I12" s="17"/>
      <c r="J12" s="17"/>
      <c r="K12" s="17"/>
      <c r="L12" s="17"/>
      <c r="M12" s="17"/>
      <c r="N12" s="17"/>
      <c r="O12" s="17"/>
      <c r="P12" s="17"/>
      <c r="Q12" s="17"/>
      <c r="R12" s="17"/>
      <c r="S12" s="17"/>
      <c r="T12" s="17"/>
      <c r="U12" s="17"/>
      <c r="V12" s="17"/>
      <c r="W12" s="17"/>
    </row>
    <row r="13" spans="1:23">
      <c r="A13" s="17"/>
      <c r="B13" s="17"/>
      <c r="C13" s="17"/>
      <c r="D13" s="17"/>
      <c r="E13" s="17"/>
      <c r="F13" s="17"/>
      <c r="G13" s="17"/>
      <c r="H13" s="17"/>
      <c r="I13" s="17"/>
      <c r="J13" s="17"/>
      <c r="K13" s="17"/>
      <c r="L13" s="17"/>
      <c r="M13" s="17"/>
      <c r="N13" s="17"/>
      <c r="O13" s="17"/>
      <c r="P13" s="17"/>
      <c r="Q13" s="17"/>
      <c r="R13" s="17"/>
      <c r="S13" s="17"/>
      <c r="T13" s="17"/>
      <c r="U13" s="17"/>
      <c r="V13" s="17"/>
      <c r="W13" s="17"/>
    </row>
    <row r="14" spans="1:23">
      <c r="A14" s="17"/>
      <c r="B14" s="17"/>
      <c r="C14" s="17"/>
      <c r="D14" s="17"/>
      <c r="E14" s="17"/>
      <c r="F14" s="17"/>
      <c r="G14" s="17"/>
      <c r="H14" s="17"/>
      <c r="I14" s="17"/>
      <c r="J14" s="17"/>
      <c r="K14" s="17"/>
      <c r="L14" s="17"/>
      <c r="M14" s="17"/>
      <c r="N14" s="17"/>
      <c r="O14" s="17"/>
      <c r="P14" s="17"/>
      <c r="Q14" s="17"/>
      <c r="R14" s="17"/>
      <c r="S14" s="17"/>
      <c r="T14" s="17"/>
      <c r="U14" s="17"/>
      <c r="V14" s="17"/>
      <c r="W14" s="17"/>
    </row>
    <row r="15" spans="1:23">
      <c r="A15" s="17"/>
      <c r="B15" s="17"/>
      <c r="C15" s="17"/>
      <c r="D15" s="17"/>
      <c r="E15" s="17"/>
      <c r="F15" s="17"/>
      <c r="G15" s="17"/>
      <c r="H15" s="17"/>
      <c r="I15" s="17"/>
      <c r="J15" s="17"/>
      <c r="K15" s="17"/>
      <c r="L15" s="17"/>
      <c r="M15" s="17"/>
      <c r="N15" s="17"/>
      <c r="O15" s="17"/>
      <c r="P15" s="17"/>
      <c r="Q15" s="17"/>
      <c r="R15" s="17"/>
      <c r="S15" s="17"/>
      <c r="T15" s="17"/>
      <c r="U15" s="17"/>
      <c r="V15" s="17"/>
      <c r="W15" s="17"/>
    </row>
    <row r="16" spans="1:23">
      <c r="A16" s="17"/>
      <c r="B16" s="17"/>
      <c r="C16" s="17"/>
      <c r="D16" s="17"/>
      <c r="E16" s="17"/>
      <c r="F16" s="17"/>
      <c r="G16" s="17"/>
      <c r="H16" s="17"/>
      <c r="I16" s="17"/>
      <c r="J16" s="17"/>
      <c r="K16" s="17"/>
      <c r="L16" s="17"/>
      <c r="M16" s="17"/>
      <c r="N16" s="17"/>
      <c r="O16" s="17"/>
      <c r="P16" s="17"/>
      <c r="Q16" s="17"/>
      <c r="R16" s="17"/>
      <c r="S16" s="17"/>
      <c r="T16" s="17"/>
      <c r="U16" s="17"/>
      <c r="V16" s="17"/>
      <c r="W16" s="17"/>
    </row>
    <row r="17" spans="1:23">
      <c r="A17" s="17"/>
      <c r="B17" s="28" t="s">
        <v>4023</v>
      </c>
      <c r="C17" s="26"/>
      <c r="D17" s="17"/>
      <c r="E17" s="17"/>
      <c r="F17" s="17"/>
      <c r="G17" s="17"/>
      <c r="H17" s="17"/>
      <c r="I17" s="17"/>
      <c r="J17" s="17"/>
      <c r="K17" s="17"/>
      <c r="L17" s="28" t="s">
        <v>4024</v>
      </c>
      <c r="M17" s="26"/>
      <c r="N17" s="17"/>
      <c r="O17" s="17"/>
      <c r="P17" s="17"/>
      <c r="Q17" s="17"/>
      <c r="R17" s="17"/>
      <c r="S17" s="17"/>
      <c r="T17" s="17"/>
      <c r="U17" s="17"/>
      <c r="V17" s="17"/>
      <c r="W17" s="17"/>
    </row>
    <row r="18" spans="1:23">
      <c r="A18" s="17"/>
      <c r="B18" s="17"/>
      <c r="C18" s="17"/>
      <c r="D18" s="17"/>
      <c r="E18" s="17"/>
      <c r="F18" s="17"/>
      <c r="G18" s="17"/>
      <c r="H18" s="17"/>
      <c r="I18" s="17"/>
      <c r="J18" s="17"/>
      <c r="K18" s="17"/>
      <c r="L18" s="17"/>
      <c r="M18" s="17"/>
      <c r="N18" s="17"/>
      <c r="O18" s="17"/>
      <c r="P18" s="17"/>
      <c r="Q18" s="17"/>
      <c r="R18" s="17"/>
      <c r="S18" s="17"/>
      <c r="T18" s="17"/>
      <c r="U18" s="17"/>
      <c r="V18" s="17"/>
      <c r="W18" s="17"/>
    </row>
    <row r="19" spans="1:23">
      <c r="A19" s="17"/>
      <c r="B19" s="17"/>
      <c r="C19" s="17"/>
      <c r="D19" s="17"/>
      <c r="E19" s="17"/>
      <c r="F19" s="17"/>
      <c r="G19" s="17"/>
      <c r="H19" s="17"/>
      <c r="I19" s="17"/>
      <c r="J19" s="17"/>
      <c r="K19" s="17"/>
      <c r="L19" s="17"/>
      <c r="M19" s="17"/>
      <c r="N19" s="17"/>
      <c r="O19" s="17"/>
      <c r="P19" s="17"/>
      <c r="Q19" s="17"/>
      <c r="R19" s="17"/>
      <c r="S19" s="17"/>
      <c r="T19" s="17"/>
      <c r="U19" s="17"/>
      <c r="V19" s="17"/>
      <c r="W19" s="17"/>
    </row>
    <row r="20" spans="1:23">
      <c r="A20" s="17"/>
      <c r="B20" s="17"/>
      <c r="C20" s="17"/>
      <c r="D20" s="17"/>
      <c r="E20" s="17"/>
      <c r="F20" s="17"/>
      <c r="G20" s="17"/>
      <c r="H20" s="17"/>
      <c r="I20" s="17"/>
      <c r="J20" s="17"/>
      <c r="K20" s="17"/>
      <c r="L20" s="17"/>
      <c r="M20" s="17"/>
      <c r="N20" s="17"/>
      <c r="O20" s="17"/>
      <c r="P20" s="17"/>
      <c r="Q20" s="17"/>
      <c r="R20" s="17"/>
      <c r="S20" s="17"/>
      <c r="T20" s="17"/>
      <c r="U20" s="17"/>
      <c r="V20" s="17"/>
      <c r="W20" s="17"/>
    </row>
    <row r="21" spans="1:23">
      <c r="A21" s="17"/>
      <c r="B21" s="17"/>
      <c r="C21" s="17"/>
      <c r="D21" s="17"/>
      <c r="E21" s="17"/>
      <c r="F21" s="17"/>
      <c r="G21" s="17"/>
      <c r="H21" s="17"/>
      <c r="I21" s="17"/>
      <c r="J21" s="17"/>
      <c r="K21" s="17"/>
      <c r="L21" s="17"/>
      <c r="M21" s="17"/>
      <c r="N21" s="17"/>
      <c r="O21" s="17"/>
      <c r="P21" s="17"/>
      <c r="Q21" s="17"/>
      <c r="R21" s="17"/>
      <c r="S21" s="17"/>
      <c r="T21" s="17"/>
      <c r="U21" s="17"/>
      <c r="V21" s="17"/>
      <c r="W21" s="17"/>
    </row>
    <row r="22" spans="1:23">
      <c r="A22" s="17"/>
      <c r="B22" s="17"/>
      <c r="C22" s="17"/>
      <c r="D22" s="17"/>
      <c r="E22" s="17"/>
      <c r="F22" s="17"/>
      <c r="G22" s="17"/>
      <c r="H22" s="17"/>
      <c r="I22" s="17"/>
      <c r="J22" s="17"/>
      <c r="K22" s="17"/>
      <c r="L22" s="17"/>
      <c r="M22" s="17"/>
      <c r="N22" s="17"/>
      <c r="O22" s="17"/>
      <c r="P22" s="17"/>
      <c r="Q22" s="17"/>
      <c r="R22" s="17"/>
      <c r="S22" s="17"/>
      <c r="T22" s="17"/>
      <c r="U22" s="17"/>
      <c r="V22" s="17"/>
      <c r="W22" s="17"/>
    </row>
    <row r="23" spans="1:23">
      <c r="A23" s="17"/>
      <c r="B23" s="17"/>
      <c r="C23" s="17"/>
      <c r="D23" s="17"/>
      <c r="E23" s="17"/>
      <c r="F23" s="17"/>
      <c r="G23" s="17"/>
      <c r="H23" s="17"/>
      <c r="I23" s="17"/>
      <c r="J23" s="17"/>
      <c r="K23" s="17"/>
      <c r="L23" s="17"/>
      <c r="M23" s="17"/>
      <c r="N23" s="17"/>
      <c r="O23" s="17"/>
      <c r="P23" s="17"/>
      <c r="Q23" s="17"/>
      <c r="R23" s="17"/>
      <c r="S23" s="17"/>
      <c r="T23" s="17"/>
      <c r="U23" s="17"/>
      <c r="V23" s="17"/>
      <c r="W23" s="17"/>
    </row>
    <row r="24" spans="1:23">
      <c r="A24" s="17"/>
      <c r="B24" s="17"/>
      <c r="C24" s="17"/>
      <c r="D24" s="17"/>
      <c r="E24" s="17"/>
      <c r="F24" s="17"/>
      <c r="G24" s="17"/>
      <c r="H24" s="17"/>
      <c r="I24" s="17"/>
      <c r="J24" s="17"/>
      <c r="K24" s="17"/>
      <c r="L24" s="17"/>
      <c r="M24" s="17"/>
      <c r="N24" s="17"/>
      <c r="O24" s="17"/>
      <c r="P24" s="17"/>
      <c r="Q24" s="17"/>
      <c r="R24" s="17"/>
      <c r="S24" s="17"/>
      <c r="T24" s="17"/>
      <c r="U24" s="17"/>
      <c r="V24" s="17"/>
      <c r="W24" s="17"/>
    </row>
    <row r="25" spans="1:23">
      <c r="A25" s="17"/>
      <c r="B25" s="17"/>
      <c r="C25" s="17"/>
      <c r="D25" s="17"/>
      <c r="E25" s="17"/>
      <c r="F25" s="17"/>
      <c r="G25" s="17"/>
      <c r="H25" s="17"/>
      <c r="I25" s="17"/>
      <c r="J25" s="17"/>
      <c r="K25" s="17"/>
      <c r="L25" s="17"/>
      <c r="M25" s="17"/>
      <c r="N25" s="17"/>
      <c r="O25" s="17"/>
      <c r="P25" s="17"/>
      <c r="Q25" s="17"/>
      <c r="R25" s="17"/>
      <c r="S25" s="17"/>
      <c r="T25" s="17"/>
      <c r="U25" s="17"/>
      <c r="V25" s="17"/>
      <c r="W25" s="17"/>
    </row>
    <row r="26" spans="1:23">
      <c r="A26" s="17"/>
      <c r="B26" s="17"/>
      <c r="C26" s="17"/>
      <c r="D26" s="17"/>
      <c r="E26" s="17"/>
      <c r="F26" s="17"/>
      <c r="G26" s="17"/>
      <c r="H26" s="17"/>
      <c r="I26" s="17"/>
      <c r="J26" s="17"/>
      <c r="K26" s="17"/>
      <c r="L26" s="17"/>
      <c r="M26" s="17"/>
      <c r="N26" s="17"/>
      <c r="O26" s="17"/>
      <c r="P26" s="17"/>
      <c r="Q26" s="17"/>
      <c r="R26" s="17"/>
      <c r="S26" s="17"/>
      <c r="T26" s="17"/>
      <c r="U26" s="17"/>
      <c r="V26" s="17"/>
      <c r="W26" s="17"/>
    </row>
    <row r="27" spans="1:23" ht="13.2">
      <c r="A27" s="17"/>
      <c r="B27" s="17"/>
      <c r="C27" s="17"/>
      <c r="D27" s="17"/>
      <c r="E27" s="17"/>
      <c r="F27" s="17"/>
      <c r="G27" s="17"/>
      <c r="H27" s="17"/>
      <c r="I27" s="17"/>
      <c r="J27" s="17"/>
      <c r="K27" s="17"/>
      <c r="L27" s="17"/>
      <c r="M27" s="17"/>
      <c r="N27" s="17"/>
      <c r="O27" s="17"/>
      <c r="P27" s="17"/>
      <c r="Q27" s="17"/>
      <c r="R27" s="17"/>
      <c r="S27" s="17"/>
      <c r="T27" s="17"/>
      <c r="U27" s="17"/>
      <c r="V27" s="17"/>
      <c r="W27" s="17"/>
    </row>
    <row r="28" spans="1:23" ht="13.2">
      <c r="A28" s="17"/>
      <c r="B28" s="17"/>
      <c r="C28" s="17"/>
      <c r="D28" s="17"/>
      <c r="E28" s="17"/>
      <c r="F28" s="17"/>
      <c r="G28" s="17"/>
      <c r="H28" s="17"/>
      <c r="I28" s="17"/>
      <c r="J28" s="17"/>
      <c r="K28" s="17"/>
      <c r="L28" s="17"/>
      <c r="M28" s="17"/>
      <c r="N28" s="17"/>
      <c r="O28" s="17"/>
      <c r="P28" s="17"/>
      <c r="Q28" s="17"/>
      <c r="R28" s="17"/>
      <c r="S28" s="17"/>
      <c r="T28" s="17"/>
      <c r="U28" s="17"/>
      <c r="V28" s="17"/>
      <c r="W28" s="17"/>
    </row>
    <row r="29" spans="1:23" ht="13.2">
      <c r="A29" s="17"/>
      <c r="B29" s="17"/>
      <c r="C29" s="17"/>
      <c r="D29" s="17"/>
      <c r="E29" s="17"/>
      <c r="F29" s="17"/>
      <c r="G29" s="17"/>
      <c r="H29" s="17"/>
      <c r="I29" s="17"/>
      <c r="J29" s="17"/>
      <c r="K29" s="17"/>
      <c r="L29" s="17"/>
      <c r="M29" s="17"/>
      <c r="N29" s="17"/>
      <c r="O29" s="17"/>
      <c r="P29" s="17"/>
      <c r="Q29" s="17"/>
      <c r="R29" s="17"/>
      <c r="S29" s="17"/>
      <c r="T29" s="17"/>
      <c r="U29" s="17"/>
      <c r="V29" s="17"/>
      <c r="W29" s="17"/>
    </row>
    <row r="30" spans="1:23" ht="13.2">
      <c r="A30" s="17"/>
      <c r="B30" s="17"/>
      <c r="C30" s="17"/>
      <c r="D30" s="17"/>
      <c r="E30" s="17"/>
      <c r="F30" s="17"/>
      <c r="G30" s="17"/>
      <c r="H30" s="17"/>
      <c r="I30" s="17"/>
      <c r="J30" s="17"/>
      <c r="K30" s="17"/>
      <c r="L30" s="17"/>
      <c r="M30" s="17"/>
      <c r="N30" s="17"/>
      <c r="O30" s="17"/>
      <c r="P30" s="17"/>
      <c r="Q30" s="17"/>
      <c r="R30" s="17"/>
      <c r="S30" s="17"/>
      <c r="T30" s="17"/>
      <c r="U30" s="17"/>
      <c r="V30" s="17"/>
      <c r="W30" s="17"/>
    </row>
    <row r="31" spans="1:23" ht="13.2">
      <c r="A31" s="17"/>
      <c r="B31" s="17"/>
      <c r="C31" s="17"/>
      <c r="D31" s="17"/>
      <c r="E31" s="17"/>
      <c r="F31" s="17"/>
      <c r="G31" s="17"/>
      <c r="H31" s="17"/>
      <c r="I31" s="17"/>
      <c r="J31" s="17"/>
      <c r="K31" s="17"/>
      <c r="L31" s="17"/>
      <c r="M31" s="17"/>
      <c r="N31" s="17"/>
      <c r="O31" s="17"/>
      <c r="P31" s="17"/>
      <c r="Q31" s="17"/>
      <c r="R31" s="17"/>
      <c r="S31" s="17"/>
      <c r="T31" s="17"/>
      <c r="U31" s="17"/>
      <c r="V31" s="17"/>
      <c r="W31" s="17"/>
    </row>
    <row r="32" spans="1:23" ht="13.2">
      <c r="A32" s="17"/>
      <c r="B32" s="17"/>
      <c r="C32" s="17"/>
      <c r="D32" s="17"/>
      <c r="E32" s="17"/>
      <c r="F32" s="17"/>
      <c r="G32" s="17"/>
      <c r="H32" s="17"/>
      <c r="I32" s="17"/>
      <c r="J32" s="17"/>
      <c r="K32" s="17"/>
      <c r="L32" s="17"/>
      <c r="M32" s="17"/>
      <c r="N32" s="17"/>
      <c r="O32" s="17"/>
      <c r="P32" s="17"/>
      <c r="Q32" s="17"/>
      <c r="R32" s="17"/>
      <c r="S32" s="17"/>
      <c r="T32" s="17"/>
      <c r="U32" s="17"/>
      <c r="V32" s="17"/>
      <c r="W32" s="17"/>
    </row>
    <row r="33" spans="1:23" ht="13.2">
      <c r="A33" s="17"/>
      <c r="B33" s="17"/>
      <c r="C33" s="17"/>
      <c r="D33" s="17"/>
      <c r="E33" s="17"/>
      <c r="F33" s="17"/>
      <c r="G33" s="17"/>
      <c r="H33" s="17"/>
      <c r="I33" s="17"/>
      <c r="J33" s="17"/>
      <c r="K33" s="17"/>
      <c r="L33" s="17"/>
      <c r="M33" s="17"/>
      <c r="N33" s="17"/>
      <c r="O33" s="17"/>
      <c r="P33" s="17"/>
      <c r="Q33" s="17"/>
      <c r="R33" s="17"/>
      <c r="S33" s="17"/>
      <c r="T33" s="17"/>
      <c r="U33" s="17"/>
      <c r="V33" s="17"/>
      <c r="W33" s="17"/>
    </row>
    <row r="34" spans="1:23" ht="13.2">
      <c r="A34" s="17"/>
      <c r="B34" s="17"/>
      <c r="C34" s="17"/>
      <c r="D34" s="17"/>
      <c r="E34" s="17"/>
      <c r="F34" s="17"/>
      <c r="G34" s="17"/>
      <c r="H34" s="17"/>
      <c r="I34" s="17"/>
      <c r="J34" s="17"/>
      <c r="K34" s="17"/>
      <c r="L34" s="17"/>
      <c r="M34" s="17"/>
      <c r="N34" s="17"/>
      <c r="O34" s="17"/>
      <c r="P34" s="17"/>
      <c r="Q34" s="17"/>
      <c r="R34" s="17"/>
      <c r="S34" s="17"/>
      <c r="T34" s="17"/>
      <c r="U34" s="17"/>
      <c r="V34" s="17"/>
      <c r="W34" s="17"/>
    </row>
    <row r="35" spans="1:23" ht="13.2">
      <c r="A35" s="17"/>
      <c r="B35" s="17"/>
      <c r="C35" s="17"/>
      <c r="D35" s="17"/>
      <c r="E35" s="17"/>
      <c r="F35" s="17"/>
      <c r="G35" s="17"/>
      <c r="H35" s="17"/>
      <c r="I35" s="17"/>
      <c r="J35" s="17"/>
      <c r="K35" s="17"/>
      <c r="L35" s="17"/>
      <c r="M35" s="17"/>
      <c r="N35" s="17"/>
      <c r="O35" s="17"/>
      <c r="P35" s="17"/>
      <c r="Q35" s="17"/>
      <c r="R35" s="17"/>
      <c r="S35" s="17"/>
      <c r="T35" s="17"/>
      <c r="U35" s="17"/>
      <c r="V35" s="17"/>
      <c r="W35" s="17"/>
    </row>
    <row r="36" spans="1:23" ht="13.2">
      <c r="A36" s="17"/>
      <c r="B36" s="17"/>
      <c r="C36" s="17"/>
      <c r="D36" s="17"/>
      <c r="E36" s="17"/>
      <c r="F36" s="17"/>
      <c r="G36" s="17"/>
      <c r="H36" s="17"/>
      <c r="I36" s="17"/>
      <c r="J36" s="17"/>
      <c r="K36" s="17"/>
      <c r="L36" s="17"/>
      <c r="M36" s="17"/>
      <c r="N36" s="17"/>
      <c r="O36" s="17"/>
      <c r="P36" s="17"/>
      <c r="Q36" s="17"/>
      <c r="R36" s="17"/>
      <c r="S36" s="17"/>
      <c r="T36" s="17"/>
      <c r="U36" s="17"/>
      <c r="V36" s="17"/>
      <c r="W36" s="17"/>
    </row>
    <row r="37" spans="1:23" ht="13.2">
      <c r="A37" s="17"/>
      <c r="B37" s="17"/>
      <c r="C37" s="17"/>
      <c r="D37" s="17"/>
      <c r="E37" s="17"/>
      <c r="F37" s="17"/>
      <c r="G37" s="17"/>
      <c r="H37" s="17"/>
      <c r="I37" s="17"/>
      <c r="J37" s="17"/>
      <c r="K37" s="17" t="s">
        <v>18</v>
      </c>
      <c r="L37" s="17" t="s">
        <v>4025</v>
      </c>
      <c r="M37" s="17"/>
      <c r="N37" s="17"/>
      <c r="O37" s="17"/>
      <c r="P37" s="17"/>
      <c r="Q37" s="17"/>
      <c r="R37" s="17"/>
      <c r="S37" s="17"/>
      <c r="T37" s="17"/>
      <c r="U37" s="17"/>
      <c r="V37" s="17"/>
      <c r="W37" s="17"/>
    </row>
    <row r="38" spans="1:23" ht="13.2">
      <c r="A38" s="17"/>
      <c r="B38" s="17"/>
      <c r="C38" s="17"/>
      <c r="D38" s="17"/>
      <c r="E38" s="17"/>
      <c r="F38" s="17"/>
      <c r="G38" s="17"/>
      <c r="H38" s="17"/>
      <c r="I38" s="17"/>
      <c r="J38" s="17"/>
      <c r="K38" s="17" t="s">
        <v>35</v>
      </c>
      <c r="L38" s="22">
        <v>811.34479999999007</v>
      </c>
      <c r="M38" s="17"/>
      <c r="N38" s="17"/>
      <c r="O38" s="17"/>
      <c r="P38" s="17"/>
      <c r="Q38" s="17"/>
      <c r="R38" s="17"/>
      <c r="S38" s="17"/>
      <c r="T38" s="17"/>
      <c r="U38" s="17"/>
      <c r="V38" s="17"/>
      <c r="W38" s="17"/>
    </row>
    <row r="39" spans="1:23" ht="13.2">
      <c r="A39" s="17"/>
      <c r="B39" s="17"/>
      <c r="C39" s="17"/>
      <c r="D39" s="17"/>
      <c r="E39" s="17"/>
      <c r="F39" s="17"/>
      <c r="G39" s="17"/>
      <c r="H39" s="17"/>
      <c r="I39" s="17"/>
      <c r="J39" s="17"/>
      <c r="K39" s="17" t="s">
        <v>46</v>
      </c>
      <c r="L39" s="22">
        <v>2220.3829999999975</v>
      </c>
      <c r="M39" s="17"/>
      <c r="N39" s="17"/>
      <c r="O39" s="17"/>
      <c r="P39" s="17"/>
      <c r="Q39" s="17"/>
      <c r="R39" s="17"/>
      <c r="S39" s="17"/>
      <c r="T39" s="17"/>
      <c r="U39" s="17"/>
      <c r="V39" s="17"/>
      <c r="W39" s="17"/>
    </row>
    <row r="40" spans="1:23" ht="13.2">
      <c r="A40" s="17"/>
      <c r="B40" s="17"/>
      <c r="C40" s="17"/>
      <c r="D40" s="17"/>
      <c r="E40" s="17"/>
      <c r="F40" s="17"/>
      <c r="G40" s="17"/>
      <c r="H40" s="17"/>
      <c r="I40" s="17"/>
      <c r="J40" s="17"/>
      <c r="K40" s="17" t="s">
        <v>64</v>
      </c>
      <c r="L40" s="22">
        <v>737.57700000000818</v>
      </c>
      <c r="M40" s="17"/>
      <c r="N40" s="17"/>
      <c r="O40" s="17"/>
      <c r="P40" s="17"/>
      <c r="Q40" s="17"/>
      <c r="R40" s="17"/>
      <c r="S40" s="17"/>
      <c r="T40" s="17"/>
      <c r="U40" s="17"/>
      <c r="V40" s="17"/>
      <c r="W40" s="17"/>
    </row>
    <row r="41" spans="1:23" ht="13.2">
      <c r="A41" s="17"/>
      <c r="B41" s="17"/>
      <c r="C41" s="17"/>
      <c r="D41" s="17"/>
      <c r="E41" s="17"/>
      <c r="F41" s="17"/>
      <c r="G41" s="17"/>
      <c r="H41" s="17"/>
      <c r="I41" s="17"/>
      <c r="J41" s="17"/>
      <c r="K41" s="17" t="s">
        <v>4026</v>
      </c>
      <c r="L41" s="23">
        <v>3769.3047999999935</v>
      </c>
      <c r="M41" s="17"/>
      <c r="N41" s="17"/>
      <c r="O41" s="17"/>
      <c r="P41" s="17"/>
      <c r="Q41" s="17"/>
      <c r="R41" s="17"/>
      <c r="S41" s="17"/>
      <c r="T41" s="17"/>
      <c r="U41" s="17"/>
      <c r="V41" s="17"/>
      <c r="W41" s="17"/>
    </row>
    <row r="42" spans="1:23" ht="13.2">
      <c r="A42" s="17"/>
      <c r="B42" s="17"/>
      <c r="C42" s="17"/>
      <c r="D42" s="17"/>
      <c r="E42" s="17"/>
      <c r="F42" s="17"/>
      <c r="G42" s="17"/>
      <c r="H42" s="17"/>
      <c r="I42" s="17"/>
      <c r="J42" s="17"/>
      <c r="K42" s="17"/>
      <c r="L42" s="17"/>
      <c r="M42" s="17"/>
      <c r="N42" s="17"/>
      <c r="O42" s="17"/>
      <c r="P42" s="17"/>
      <c r="Q42" s="17"/>
      <c r="R42" s="17"/>
      <c r="S42" s="17"/>
      <c r="T42" s="17"/>
      <c r="U42" s="17"/>
      <c r="V42" s="17"/>
      <c r="W42" s="17"/>
    </row>
    <row r="43" spans="1:23" ht="13.2">
      <c r="A43" s="17"/>
      <c r="B43" s="17"/>
      <c r="C43" s="17"/>
      <c r="D43" s="17"/>
      <c r="E43" s="17"/>
      <c r="F43" s="17"/>
      <c r="G43" s="17"/>
      <c r="H43" s="17"/>
      <c r="I43" s="17"/>
      <c r="J43" s="17"/>
      <c r="K43" s="17"/>
      <c r="L43" s="17"/>
      <c r="M43" s="17"/>
      <c r="N43" s="17"/>
      <c r="O43" s="17"/>
      <c r="P43" s="17"/>
      <c r="Q43" s="17"/>
      <c r="R43" s="17"/>
      <c r="S43" s="17"/>
      <c r="T43" s="17"/>
      <c r="U43" s="17"/>
      <c r="V43" s="17"/>
      <c r="W43" s="17"/>
    </row>
    <row r="44" spans="1:23" ht="13.2">
      <c r="A44" s="17"/>
      <c r="B44" s="17"/>
      <c r="C44" s="17"/>
      <c r="D44" s="17"/>
      <c r="E44" s="17"/>
      <c r="F44" s="17"/>
      <c r="G44" s="17"/>
      <c r="H44" s="17"/>
      <c r="I44" s="17"/>
      <c r="J44" s="17"/>
      <c r="K44" s="17"/>
      <c r="L44" s="17"/>
      <c r="M44" s="17"/>
      <c r="N44" s="17"/>
      <c r="O44" s="17"/>
      <c r="P44" s="17"/>
      <c r="Q44" s="17"/>
      <c r="R44" s="17"/>
      <c r="S44" s="17"/>
      <c r="T44" s="17"/>
      <c r="U44" s="17"/>
      <c r="V44" s="17"/>
      <c r="W44" s="17"/>
    </row>
    <row r="45" spans="1:23" ht="13.2">
      <c r="A45" s="17"/>
      <c r="B45" s="17"/>
      <c r="C45" s="17"/>
      <c r="D45" s="17"/>
      <c r="E45" s="17"/>
      <c r="F45" s="17"/>
      <c r="G45" s="17"/>
      <c r="H45" s="17"/>
      <c r="I45" s="17"/>
      <c r="J45" s="17"/>
      <c r="K45" s="17"/>
      <c r="L45" s="17"/>
      <c r="M45" s="17"/>
      <c r="N45" s="17"/>
      <c r="O45" s="17"/>
      <c r="P45" s="17"/>
      <c r="Q45" s="17"/>
      <c r="R45" s="17"/>
      <c r="S45" s="17"/>
      <c r="T45" s="17"/>
      <c r="U45" s="17"/>
      <c r="V45" s="17"/>
      <c r="W45" s="17"/>
    </row>
    <row r="46" spans="1:23" ht="13.2">
      <c r="A46" s="17"/>
      <c r="B46" s="17"/>
      <c r="C46" s="17"/>
      <c r="D46" s="17"/>
      <c r="E46" s="17"/>
      <c r="F46" s="17"/>
      <c r="G46" s="17"/>
      <c r="H46" s="17"/>
      <c r="I46" s="17"/>
      <c r="J46" s="17"/>
      <c r="K46" s="17"/>
      <c r="L46" s="17"/>
      <c r="M46" s="17"/>
      <c r="N46" s="17"/>
      <c r="O46" s="17"/>
      <c r="P46" s="17"/>
      <c r="Q46" s="17"/>
      <c r="R46" s="17"/>
      <c r="S46" s="17"/>
      <c r="T46" s="17"/>
      <c r="U46" s="17"/>
      <c r="V46" s="17"/>
      <c r="W46" s="17"/>
    </row>
    <row r="47" spans="1:23" ht="13.2">
      <c r="A47" s="17"/>
      <c r="B47" s="17"/>
      <c r="C47" s="17"/>
      <c r="D47" s="17"/>
      <c r="E47" s="17"/>
      <c r="F47" s="17"/>
      <c r="G47" s="17"/>
      <c r="H47" s="17"/>
      <c r="I47" s="17"/>
      <c r="J47" s="17"/>
      <c r="K47" s="17"/>
      <c r="L47" s="17"/>
      <c r="M47" s="17"/>
      <c r="N47" s="17"/>
      <c r="O47" s="17"/>
      <c r="P47" s="17"/>
      <c r="Q47" s="17"/>
      <c r="R47" s="17"/>
      <c r="S47" s="17"/>
      <c r="T47" s="17"/>
      <c r="U47" s="17"/>
      <c r="V47" s="17"/>
      <c r="W47" s="17"/>
    </row>
    <row r="48" spans="1:23" ht="13.2">
      <c r="A48" s="17"/>
      <c r="B48" s="17"/>
      <c r="C48" s="17"/>
      <c r="D48" s="17"/>
      <c r="E48" s="17"/>
      <c r="F48" s="17"/>
      <c r="G48" s="17"/>
      <c r="H48" s="17"/>
      <c r="I48" s="17"/>
      <c r="J48" s="17"/>
      <c r="K48" s="17"/>
      <c r="L48" s="17"/>
      <c r="M48" s="17"/>
      <c r="N48" s="17"/>
      <c r="O48" s="17"/>
      <c r="P48" s="17"/>
      <c r="Q48" s="17"/>
      <c r="R48" s="17"/>
      <c r="S48" s="17"/>
      <c r="T48" s="17"/>
      <c r="U48" s="17"/>
      <c r="V48" s="17"/>
      <c r="W48" s="17"/>
    </row>
    <row r="49" spans="1:23" ht="13.2">
      <c r="A49" s="17"/>
      <c r="B49" s="17"/>
      <c r="C49" s="17"/>
      <c r="D49" s="17"/>
      <c r="E49" s="17"/>
      <c r="F49" s="17"/>
      <c r="G49" s="17"/>
      <c r="H49" s="17"/>
      <c r="I49" s="17"/>
      <c r="J49" s="17"/>
      <c r="K49" s="17"/>
      <c r="L49" s="17"/>
      <c r="M49" s="17"/>
      <c r="N49" s="17"/>
      <c r="O49" s="17"/>
      <c r="P49" s="17"/>
      <c r="Q49" s="17"/>
      <c r="R49" s="17"/>
      <c r="S49" s="17"/>
      <c r="T49" s="17"/>
      <c r="U49" s="17"/>
      <c r="V49" s="17"/>
      <c r="W49" s="17"/>
    </row>
    <row r="50" spans="1:23" ht="13.2">
      <c r="A50" s="17" t="s">
        <v>4025</v>
      </c>
      <c r="B50" s="17"/>
      <c r="C50" s="17"/>
      <c r="D50" s="17" t="s">
        <v>4</v>
      </c>
      <c r="E50" s="17" t="s">
        <v>4027</v>
      </c>
      <c r="F50" s="17"/>
      <c r="G50" s="17" t="s">
        <v>14</v>
      </c>
      <c r="H50" s="17" t="s">
        <v>4027</v>
      </c>
      <c r="I50" s="17"/>
      <c r="J50" s="17"/>
      <c r="K50" s="17" t="s">
        <v>4028</v>
      </c>
      <c r="L50" s="17"/>
      <c r="M50" s="17"/>
      <c r="N50" s="17"/>
      <c r="O50" s="17"/>
      <c r="P50" s="17"/>
      <c r="Q50" s="17"/>
      <c r="R50" s="17"/>
      <c r="S50" s="17"/>
      <c r="T50" s="17"/>
      <c r="U50" s="17"/>
      <c r="V50" s="17"/>
      <c r="W50" s="17"/>
    </row>
    <row r="51" spans="1:23" ht="13.2">
      <c r="A51" s="23">
        <v>3769.3047999999935</v>
      </c>
      <c r="B51" s="17"/>
      <c r="C51" s="17"/>
      <c r="D51" s="22" t="s">
        <v>3382</v>
      </c>
      <c r="E51" s="22">
        <v>302698.89460000006</v>
      </c>
      <c r="F51" s="17"/>
      <c r="G51" s="17" t="s">
        <v>304</v>
      </c>
      <c r="H51" s="22">
        <v>19369.14</v>
      </c>
      <c r="I51" s="17"/>
      <c r="J51" s="17" t="s">
        <v>4029</v>
      </c>
      <c r="K51" s="17" t="s">
        <v>4030</v>
      </c>
      <c r="L51" s="17"/>
      <c r="M51" s="17"/>
      <c r="N51" s="17"/>
      <c r="O51" s="17"/>
      <c r="P51" s="17"/>
      <c r="Q51" s="17"/>
      <c r="R51" s="17"/>
      <c r="S51" s="17"/>
      <c r="T51" s="17"/>
      <c r="U51" s="17"/>
      <c r="V51" s="17"/>
      <c r="W51" s="17"/>
    </row>
    <row r="52" spans="1:23" ht="13.2">
      <c r="A52" s="17"/>
      <c r="B52" s="17"/>
      <c r="C52" s="17"/>
      <c r="D52" s="22" t="s">
        <v>3360</v>
      </c>
      <c r="E52" s="22">
        <v>366489.62900000007</v>
      </c>
      <c r="F52" s="17"/>
      <c r="G52" s="17" t="s">
        <v>265</v>
      </c>
      <c r="H52" s="22">
        <v>72682.767999999982</v>
      </c>
      <c r="I52" s="17"/>
      <c r="J52" s="17"/>
      <c r="K52" s="17"/>
      <c r="L52" s="17"/>
      <c r="M52" s="17"/>
      <c r="N52" s="17"/>
      <c r="O52" s="17"/>
      <c r="P52" s="17"/>
      <c r="Q52" s="17"/>
      <c r="R52" s="17"/>
      <c r="S52" s="17"/>
      <c r="T52" s="17"/>
      <c r="U52" s="17"/>
      <c r="V52" s="17"/>
      <c r="W52" s="17"/>
    </row>
    <row r="53" spans="1:23" ht="13.2">
      <c r="A53" s="17"/>
      <c r="B53" s="17"/>
      <c r="C53" s="17"/>
      <c r="D53" s="22" t="s">
        <v>3345</v>
      </c>
      <c r="E53" s="22">
        <v>581456.71070000064</v>
      </c>
      <c r="F53" s="17"/>
      <c r="G53" s="17" t="s">
        <v>1388</v>
      </c>
      <c r="H53" s="22">
        <v>13797.419999999998</v>
      </c>
      <c r="I53" s="17"/>
      <c r="J53" s="17"/>
      <c r="K53" s="17"/>
      <c r="L53" s="17"/>
      <c r="M53" s="17"/>
      <c r="N53" s="17"/>
      <c r="O53" s="17"/>
      <c r="P53" s="17"/>
      <c r="Q53" s="17"/>
      <c r="R53" s="17"/>
      <c r="S53" s="17"/>
      <c r="T53" s="17"/>
      <c r="U53" s="17"/>
      <c r="V53" s="17"/>
      <c r="W53" s="17"/>
    </row>
    <row r="54" spans="1:23" ht="13.2">
      <c r="A54" s="17"/>
      <c r="B54" s="17"/>
      <c r="C54" s="17"/>
      <c r="D54" s="22" t="s">
        <v>3349</v>
      </c>
      <c r="E54" s="22">
        <v>506383.76050000062</v>
      </c>
      <c r="F54" s="17"/>
      <c r="G54" s="17" t="s">
        <v>68</v>
      </c>
      <c r="H54" s="22">
        <v>525730.62150000024</v>
      </c>
      <c r="I54" s="17"/>
      <c r="J54" s="17"/>
      <c r="K54" s="17"/>
      <c r="L54" s="17"/>
      <c r="M54" s="17"/>
      <c r="N54" s="17"/>
      <c r="O54" s="17"/>
      <c r="P54" s="17"/>
      <c r="Q54" s="17"/>
      <c r="R54" s="17"/>
      <c r="S54" s="17"/>
      <c r="T54" s="17"/>
      <c r="U54" s="17"/>
      <c r="V54" s="17"/>
      <c r="W54" s="17"/>
    </row>
    <row r="55" spans="1:23" ht="13.2">
      <c r="A55" s="17"/>
      <c r="B55" s="17"/>
      <c r="C55" s="17"/>
      <c r="D55" s="17" t="s">
        <v>4026</v>
      </c>
      <c r="E55" s="22">
        <v>1757028.994799997</v>
      </c>
      <c r="F55" s="17"/>
      <c r="G55" s="17" t="s">
        <v>386</v>
      </c>
      <c r="H55" s="22">
        <v>96231.8</v>
      </c>
      <c r="I55" s="17"/>
      <c r="J55" s="17"/>
      <c r="K55" s="17"/>
      <c r="L55" s="17"/>
      <c r="M55" s="17"/>
      <c r="N55" s="17"/>
      <c r="O55" s="17"/>
      <c r="P55" s="17"/>
      <c r="Q55" s="17"/>
      <c r="R55" s="17"/>
      <c r="S55" s="17"/>
      <c r="T55" s="17"/>
      <c r="U55" s="17"/>
      <c r="V55" s="17"/>
      <c r="W55" s="17"/>
    </row>
    <row r="56" spans="1:23" ht="13.2">
      <c r="A56" s="17"/>
      <c r="B56" s="17"/>
      <c r="C56" s="17"/>
      <c r="D56" s="17"/>
      <c r="E56" s="17"/>
      <c r="F56" s="17"/>
      <c r="G56" s="17" t="s">
        <v>617</v>
      </c>
      <c r="H56" s="22">
        <v>10799.94</v>
      </c>
      <c r="I56" s="17"/>
      <c r="J56" s="17"/>
      <c r="K56" s="17"/>
      <c r="L56" s="17"/>
      <c r="M56" s="17"/>
      <c r="N56" s="17"/>
      <c r="O56" s="17"/>
      <c r="P56" s="17"/>
      <c r="Q56" s="17"/>
      <c r="R56" s="17"/>
      <c r="S56" s="17"/>
      <c r="T56" s="17"/>
      <c r="U56" s="17"/>
      <c r="V56" s="17"/>
      <c r="W56" s="17"/>
    </row>
    <row r="57" spans="1:23" ht="13.2">
      <c r="A57" s="17"/>
      <c r="B57" s="17"/>
      <c r="C57" s="17"/>
      <c r="D57" s="17"/>
      <c r="E57" s="17"/>
      <c r="F57" s="17"/>
      <c r="G57" s="17" t="s">
        <v>216</v>
      </c>
      <c r="H57" s="22">
        <v>564.24</v>
      </c>
      <c r="I57" s="17"/>
      <c r="J57" s="17"/>
      <c r="K57" s="17"/>
      <c r="L57" s="17"/>
      <c r="M57" s="17"/>
      <c r="N57" s="17"/>
      <c r="O57" s="17"/>
      <c r="P57" s="17"/>
      <c r="Q57" s="17"/>
      <c r="R57" s="17"/>
      <c r="S57" s="17"/>
      <c r="T57" s="17"/>
      <c r="U57" s="17"/>
      <c r="V57" s="17"/>
      <c r="W57" s="17"/>
    </row>
    <row r="58" spans="1:23" ht="13.2">
      <c r="A58" s="17" t="s">
        <v>4031</v>
      </c>
      <c r="B58" s="17" t="s">
        <v>4027</v>
      </c>
      <c r="C58" s="17"/>
      <c r="D58" s="17"/>
      <c r="E58" s="17"/>
      <c r="F58" s="17"/>
      <c r="G58" s="17" t="s">
        <v>3891</v>
      </c>
      <c r="H58" s="22">
        <v>5340.38</v>
      </c>
      <c r="I58" s="17"/>
      <c r="J58" s="17"/>
      <c r="K58" s="17"/>
      <c r="L58" s="17"/>
      <c r="M58" s="17"/>
      <c r="N58" s="17"/>
      <c r="O58" s="17"/>
      <c r="P58" s="17"/>
      <c r="Q58" s="17"/>
      <c r="R58" s="17"/>
      <c r="S58" s="17"/>
      <c r="T58" s="17"/>
      <c r="U58" s="17"/>
      <c r="V58" s="17"/>
      <c r="W58" s="17"/>
    </row>
    <row r="59" spans="1:23" ht="13.2">
      <c r="A59" s="22">
        <v>1753259.69</v>
      </c>
      <c r="B59" s="22">
        <v>1757028.994799997</v>
      </c>
      <c r="C59" s="17"/>
      <c r="D59" s="17" t="s">
        <v>16</v>
      </c>
      <c r="E59" s="17" t="s">
        <v>4025</v>
      </c>
      <c r="F59" s="17"/>
      <c r="G59" s="17"/>
      <c r="H59" s="17"/>
      <c r="I59" s="17"/>
      <c r="J59" s="17"/>
      <c r="K59" s="17"/>
      <c r="L59" s="17"/>
      <c r="M59" s="17"/>
      <c r="N59" s="17"/>
      <c r="O59" s="17"/>
      <c r="P59" s="17"/>
      <c r="Q59" s="17"/>
      <c r="R59" s="17"/>
      <c r="S59" s="17"/>
      <c r="T59" s="17"/>
      <c r="U59" s="17"/>
      <c r="V59" s="17"/>
      <c r="W59" s="17"/>
    </row>
    <row r="60" spans="1:23" ht="13.2">
      <c r="A60" s="17"/>
      <c r="B60" s="17"/>
      <c r="C60" s="17"/>
      <c r="D60" s="17" t="s">
        <v>90</v>
      </c>
      <c r="E60" s="22">
        <v>1010.9138000000021</v>
      </c>
      <c r="F60" s="17"/>
      <c r="G60" s="17"/>
      <c r="H60" s="17"/>
      <c r="I60" s="17"/>
      <c r="J60" s="17"/>
      <c r="K60" s="17"/>
      <c r="L60" s="17"/>
      <c r="M60" s="17"/>
      <c r="N60" s="17"/>
      <c r="O60" s="17"/>
      <c r="P60" s="17"/>
      <c r="Q60" s="17"/>
      <c r="R60" s="17"/>
      <c r="S60" s="17"/>
      <c r="T60" s="17"/>
      <c r="U60" s="17"/>
      <c r="V60" s="17"/>
      <c r="W60" s="17"/>
    </row>
    <row r="61" spans="1:23" ht="13.2">
      <c r="A61" s="17"/>
      <c r="B61" s="17"/>
      <c r="C61" s="17"/>
      <c r="D61" s="17" t="s">
        <v>128</v>
      </c>
      <c r="E61" s="22">
        <v>442.71599999999944</v>
      </c>
      <c r="F61" s="17"/>
      <c r="G61" s="17"/>
      <c r="H61" s="17"/>
      <c r="I61" s="17"/>
      <c r="J61" s="17"/>
      <c r="K61" s="17"/>
      <c r="L61" s="17"/>
      <c r="M61" s="17"/>
      <c r="N61" s="17"/>
      <c r="O61" s="17"/>
      <c r="P61" s="17"/>
      <c r="Q61" s="17"/>
      <c r="R61" s="17"/>
      <c r="S61" s="17"/>
      <c r="T61" s="17"/>
      <c r="U61" s="17"/>
      <c r="V61" s="17"/>
      <c r="W61" s="17"/>
    </row>
    <row r="62" spans="1:23" ht="13.2">
      <c r="A62" s="17" t="s">
        <v>4025</v>
      </c>
      <c r="B62" s="17"/>
      <c r="C62" s="17"/>
      <c r="D62" s="17"/>
      <c r="E62" s="22"/>
      <c r="F62" s="17"/>
      <c r="G62" s="17"/>
      <c r="H62" s="17"/>
      <c r="I62" s="17"/>
      <c r="J62" s="17"/>
      <c r="K62" s="17"/>
      <c r="L62" s="17"/>
      <c r="M62" s="17"/>
      <c r="N62" s="17"/>
      <c r="O62" s="17"/>
      <c r="P62" s="17"/>
      <c r="Q62" s="17"/>
      <c r="R62" s="17"/>
      <c r="S62" s="17"/>
      <c r="T62" s="17"/>
      <c r="U62" s="17"/>
      <c r="V62" s="17"/>
      <c r="W62" s="17"/>
    </row>
    <row r="63" spans="1:23" ht="13.2">
      <c r="A63" s="23">
        <v>3769.3047999999935</v>
      </c>
      <c r="B63" s="22"/>
      <c r="C63" s="17"/>
      <c r="D63" s="17"/>
      <c r="E63" s="22"/>
      <c r="F63" s="17"/>
      <c r="G63" s="17"/>
      <c r="H63" s="17"/>
      <c r="I63" s="17"/>
      <c r="J63" s="24" t="s">
        <v>3343</v>
      </c>
      <c r="K63" s="17" t="s">
        <v>4025</v>
      </c>
      <c r="L63" s="17"/>
      <c r="M63" s="17"/>
      <c r="N63" s="17"/>
      <c r="O63" s="17"/>
      <c r="P63" s="17"/>
      <c r="Q63" s="17"/>
      <c r="R63" s="17"/>
      <c r="S63" s="17"/>
      <c r="T63" s="17"/>
      <c r="U63" s="17"/>
      <c r="V63" s="17"/>
      <c r="W63" s="17"/>
    </row>
    <row r="64" spans="1:23" ht="13.2">
      <c r="A64" s="17"/>
      <c r="B64" s="22"/>
      <c r="C64" s="17"/>
      <c r="D64" s="17"/>
      <c r="E64" s="17"/>
      <c r="F64" s="17"/>
      <c r="G64" s="17"/>
      <c r="H64" s="17"/>
      <c r="I64" s="17"/>
      <c r="J64" s="24">
        <v>2015</v>
      </c>
      <c r="K64" s="22">
        <v>872.95749999999271</v>
      </c>
      <c r="L64" s="17"/>
      <c r="M64" s="17"/>
      <c r="N64" s="17"/>
      <c r="O64" s="17"/>
      <c r="P64" s="17"/>
      <c r="Q64" s="17"/>
      <c r="R64" s="17"/>
      <c r="S64" s="17"/>
      <c r="T64" s="17"/>
      <c r="U64" s="17"/>
      <c r="V64" s="17"/>
      <c r="W64" s="17"/>
    </row>
    <row r="65" spans="1:23" ht="13.2">
      <c r="A65" s="17"/>
      <c r="B65" s="22"/>
      <c r="C65" s="17"/>
      <c r="D65" s="17"/>
      <c r="E65" s="17"/>
      <c r="F65" s="17"/>
      <c r="G65" s="17"/>
      <c r="H65" s="17"/>
      <c r="I65" s="17"/>
      <c r="J65" s="24">
        <v>2016</v>
      </c>
      <c r="K65" s="22">
        <v>787.93639999999755</v>
      </c>
      <c r="L65" s="17"/>
      <c r="M65" s="17"/>
      <c r="N65" s="17"/>
      <c r="O65" s="17"/>
      <c r="P65" s="17"/>
      <c r="Q65" s="17"/>
      <c r="R65" s="17"/>
      <c r="S65" s="17"/>
      <c r="T65" s="17"/>
      <c r="U65" s="17"/>
      <c r="V65" s="17"/>
      <c r="W65" s="17"/>
    </row>
    <row r="66" spans="1:23" ht="13.2">
      <c r="A66" s="17"/>
      <c r="B66" s="22"/>
      <c r="C66" s="17"/>
      <c r="D66" s="17"/>
      <c r="E66" s="17"/>
      <c r="F66" s="17"/>
      <c r="G66" s="17"/>
      <c r="H66" s="17"/>
      <c r="I66" s="17"/>
      <c r="J66" s="24">
        <v>2017</v>
      </c>
      <c r="K66" s="22">
        <v>1099.8562000000031</v>
      </c>
      <c r="L66" s="17"/>
      <c r="M66" s="17"/>
      <c r="N66" s="17"/>
      <c r="O66" s="17"/>
      <c r="P66" s="17"/>
      <c r="Q66" s="17"/>
      <c r="R66" s="17"/>
      <c r="S66" s="17"/>
      <c r="T66" s="17"/>
      <c r="U66" s="17"/>
      <c r="V66" s="17"/>
      <c r="W66" s="17"/>
    </row>
    <row r="67" spans="1:23" ht="13.2">
      <c r="A67" s="17"/>
      <c r="B67" s="17"/>
      <c r="C67" s="17"/>
      <c r="D67" s="17" t="s">
        <v>4025</v>
      </c>
      <c r="E67" s="17"/>
      <c r="F67" s="17"/>
      <c r="G67" s="17"/>
      <c r="H67" s="17"/>
      <c r="I67" s="17"/>
      <c r="J67" s="24">
        <v>2018</v>
      </c>
      <c r="K67" s="22">
        <v>1008.5547000000038</v>
      </c>
      <c r="L67" s="17"/>
      <c r="M67" s="17"/>
      <c r="N67" s="17"/>
      <c r="O67" s="17"/>
      <c r="P67" s="17"/>
      <c r="Q67" s="17"/>
      <c r="R67" s="17"/>
      <c r="S67" s="17"/>
      <c r="T67" s="17"/>
      <c r="U67" s="17"/>
      <c r="V67" s="17"/>
      <c r="W67" s="17"/>
    </row>
    <row r="68" spans="1:23" ht="13.2">
      <c r="A68" s="17"/>
      <c r="B68" s="17"/>
      <c r="C68" s="17"/>
      <c r="D68" s="23">
        <v>3769.3047999999935</v>
      </c>
      <c r="E68" s="17"/>
      <c r="F68" s="17"/>
      <c r="G68" s="17"/>
      <c r="H68" s="17"/>
      <c r="I68" s="17"/>
      <c r="J68" s="17" t="s">
        <v>4026</v>
      </c>
      <c r="K68" s="23">
        <v>3769.3047999999935</v>
      </c>
      <c r="L68" s="17"/>
      <c r="M68" s="17"/>
      <c r="N68" s="17"/>
      <c r="O68" s="17"/>
      <c r="P68" s="17"/>
      <c r="Q68" s="17"/>
      <c r="R68" s="17"/>
      <c r="S68" s="17"/>
      <c r="T68" s="17"/>
      <c r="U68" s="17"/>
      <c r="V68" s="17"/>
      <c r="W68" s="17"/>
    </row>
    <row r="69" spans="1:23" ht="13.2">
      <c r="A69" s="17"/>
      <c r="B69" s="17"/>
      <c r="C69" s="17"/>
      <c r="D69" s="17"/>
      <c r="E69" s="17"/>
      <c r="F69" s="17"/>
      <c r="G69" s="17"/>
      <c r="H69" s="17"/>
      <c r="I69" s="17"/>
      <c r="J69" s="17"/>
      <c r="K69" s="17"/>
      <c r="L69" s="17"/>
      <c r="M69" s="17"/>
      <c r="N69" s="17"/>
      <c r="O69" s="17"/>
      <c r="P69" s="17"/>
      <c r="Q69" s="17"/>
      <c r="R69" s="17"/>
      <c r="S69" s="17"/>
      <c r="T69" s="17"/>
      <c r="U69" s="17"/>
      <c r="V69" s="17"/>
      <c r="W69" s="17"/>
    </row>
    <row r="70" spans="1:23" ht="13.2">
      <c r="A70" s="17"/>
      <c r="B70" s="17"/>
      <c r="C70" s="17"/>
      <c r="D70" s="17"/>
      <c r="E70" s="17"/>
      <c r="F70" s="17"/>
      <c r="G70" s="17"/>
      <c r="H70" s="17"/>
      <c r="I70" s="17"/>
      <c r="J70" s="17"/>
      <c r="K70" s="17"/>
      <c r="L70" s="17"/>
      <c r="M70" s="17"/>
      <c r="N70" s="17"/>
      <c r="O70" s="17"/>
      <c r="P70" s="17"/>
      <c r="Q70" s="17"/>
      <c r="R70" s="17"/>
      <c r="S70" s="17"/>
      <c r="T70" s="17"/>
      <c r="U70" s="17"/>
      <c r="V70" s="17"/>
      <c r="W70" s="17"/>
    </row>
    <row r="71" spans="1:23" ht="13.2">
      <c r="A71" s="17"/>
      <c r="B71" s="17"/>
      <c r="C71" s="17"/>
      <c r="D71" s="17"/>
      <c r="E71" s="17"/>
      <c r="F71" s="17"/>
      <c r="G71" s="17"/>
      <c r="H71" s="17"/>
      <c r="I71" s="17"/>
      <c r="J71" s="17"/>
      <c r="K71" s="17"/>
      <c r="L71" s="17"/>
      <c r="M71" s="17"/>
      <c r="N71" s="17"/>
      <c r="O71" s="17"/>
      <c r="P71" s="17"/>
      <c r="Q71" s="17"/>
      <c r="R71" s="17"/>
      <c r="S71" s="17"/>
      <c r="T71" s="17"/>
      <c r="U71" s="17"/>
      <c r="V71" s="17"/>
      <c r="W71" s="17"/>
    </row>
    <row r="72" spans="1:23" ht="13.2">
      <c r="A72" s="17"/>
      <c r="B72" s="17"/>
      <c r="C72" s="17"/>
      <c r="D72" s="17"/>
      <c r="E72" s="17"/>
      <c r="F72" s="17"/>
      <c r="G72" s="17"/>
      <c r="H72" s="17"/>
      <c r="I72" s="17"/>
      <c r="J72" s="17"/>
      <c r="K72" s="17"/>
      <c r="L72" s="17"/>
      <c r="M72" s="17"/>
      <c r="N72" s="17"/>
      <c r="O72" s="17"/>
      <c r="P72" s="17"/>
      <c r="Q72" s="17"/>
      <c r="R72" s="17"/>
      <c r="S72" s="17"/>
      <c r="T72" s="17"/>
      <c r="U72" s="17"/>
      <c r="V72" s="17"/>
      <c r="W72" s="17"/>
    </row>
    <row r="73" spans="1:23" ht="13.2">
      <c r="A73" s="17"/>
      <c r="B73" s="17"/>
      <c r="C73" s="17"/>
      <c r="D73" s="17"/>
      <c r="E73" s="17"/>
      <c r="F73" s="17"/>
      <c r="G73" s="17"/>
      <c r="H73" s="17"/>
      <c r="I73" s="17"/>
      <c r="J73" s="17"/>
      <c r="K73" s="17"/>
      <c r="L73" s="17"/>
      <c r="M73" s="17"/>
      <c r="N73" s="17"/>
      <c r="O73" s="17"/>
      <c r="P73" s="17"/>
      <c r="Q73" s="17"/>
      <c r="R73" s="17"/>
      <c r="S73" s="17"/>
      <c r="T73" s="17"/>
      <c r="U73" s="17"/>
      <c r="V73" s="17"/>
      <c r="W73" s="17"/>
    </row>
    <row r="74" spans="1:23" ht="13.2">
      <c r="A74" s="17"/>
      <c r="B74" s="17"/>
      <c r="C74" s="17"/>
      <c r="D74" s="17"/>
      <c r="E74" s="17"/>
      <c r="F74" s="17"/>
      <c r="G74" s="17"/>
      <c r="H74" s="17"/>
      <c r="I74" s="17"/>
      <c r="J74" s="17"/>
      <c r="K74" s="17"/>
      <c r="L74" s="17"/>
      <c r="M74" s="17"/>
      <c r="N74" s="17"/>
      <c r="O74" s="17"/>
      <c r="P74" s="17"/>
      <c r="Q74" s="17"/>
      <c r="R74" s="17"/>
      <c r="S74" s="17"/>
      <c r="T74" s="17"/>
      <c r="U74" s="17"/>
      <c r="V74" s="17"/>
      <c r="W74" s="17"/>
    </row>
    <row r="75" spans="1:23" ht="13.2">
      <c r="A75" s="17"/>
      <c r="B75" s="17"/>
      <c r="C75" s="17"/>
      <c r="D75" s="17"/>
      <c r="E75" s="17"/>
      <c r="F75" s="17"/>
      <c r="G75" s="17"/>
      <c r="H75" s="17"/>
      <c r="I75" s="17"/>
      <c r="J75" s="17"/>
      <c r="K75" s="17"/>
      <c r="L75" s="17"/>
      <c r="M75" s="17"/>
      <c r="N75" s="17"/>
      <c r="O75" s="17"/>
      <c r="P75" s="17"/>
      <c r="Q75" s="17"/>
      <c r="R75" s="17"/>
      <c r="S75" s="17"/>
      <c r="T75" s="17"/>
      <c r="U75" s="17"/>
      <c r="V75" s="17"/>
      <c r="W75" s="17"/>
    </row>
    <row r="76" spans="1:23" ht="13.2">
      <c r="A76" s="17"/>
      <c r="B76" s="17"/>
      <c r="C76" s="17"/>
      <c r="D76" s="17"/>
      <c r="E76" s="17"/>
      <c r="F76" s="17"/>
      <c r="G76" s="17"/>
      <c r="H76" s="17"/>
      <c r="I76" s="17"/>
      <c r="J76" s="17"/>
      <c r="K76" s="17"/>
      <c r="L76" s="17"/>
      <c r="M76" s="17"/>
      <c r="N76" s="17"/>
      <c r="O76" s="17"/>
      <c r="P76" s="17"/>
      <c r="Q76" s="17"/>
      <c r="R76" s="17"/>
      <c r="S76" s="17"/>
      <c r="T76" s="17"/>
      <c r="U76" s="17"/>
      <c r="V76" s="17"/>
      <c r="W76" s="17"/>
    </row>
    <row r="77" spans="1:23" ht="13.2">
      <c r="A77" s="17"/>
      <c r="B77" s="17"/>
      <c r="C77" s="17"/>
      <c r="D77" s="17"/>
      <c r="E77" s="17"/>
      <c r="F77" s="17"/>
      <c r="G77" s="17" t="s">
        <v>556</v>
      </c>
      <c r="H77" s="22">
        <v>1507.1200000000001</v>
      </c>
      <c r="I77" s="17"/>
      <c r="J77" s="17"/>
      <c r="K77" s="17"/>
      <c r="L77" s="17"/>
      <c r="M77" s="17"/>
      <c r="N77" s="17"/>
      <c r="O77" s="17"/>
      <c r="P77" s="17"/>
      <c r="Q77" s="17"/>
      <c r="R77" s="17"/>
      <c r="S77" s="17"/>
      <c r="T77" s="17"/>
      <c r="U77" s="17"/>
      <c r="V77" s="17"/>
      <c r="W77" s="17"/>
    </row>
    <row r="78" spans="1:23" ht="13.2">
      <c r="A78" s="17"/>
      <c r="B78" s="17"/>
      <c r="C78" s="17"/>
      <c r="D78" s="17"/>
      <c r="E78" s="17"/>
      <c r="F78" s="17"/>
      <c r="G78" s="17" t="s">
        <v>234</v>
      </c>
      <c r="H78" s="22">
        <v>48816.724000000024</v>
      </c>
      <c r="I78" s="17"/>
      <c r="J78" s="17"/>
      <c r="K78" s="17"/>
      <c r="L78" s="17"/>
      <c r="M78" s="17"/>
      <c r="N78" s="17"/>
      <c r="O78" s="17"/>
      <c r="P78" s="17"/>
      <c r="Q78" s="17"/>
      <c r="R78" s="17"/>
      <c r="S78" s="17"/>
      <c r="T78" s="17"/>
      <c r="U78" s="17"/>
      <c r="V78" s="17"/>
      <c r="W78" s="17"/>
    </row>
    <row r="79" spans="1:23" ht="13.2">
      <c r="A79" s="17"/>
      <c r="B79" s="17"/>
      <c r="C79" s="17"/>
      <c r="D79" s="17"/>
      <c r="E79" s="17"/>
      <c r="F79" s="17"/>
      <c r="G79" s="17" t="s">
        <v>75</v>
      </c>
      <c r="H79" s="22">
        <v>27750.404000000006</v>
      </c>
      <c r="I79" s="17"/>
      <c r="J79" s="17"/>
      <c r="K79" s="17"/>
      <c r="L79" s="17"/>
      <c r="M79" s="17"/>
      <c r="N79" s="17"/>
      <c r="O79" s="17"/>
      <c r="P79" s="17"/>
      <c r="Q79" s="17"/>
      <c r="R79" s="17"/>
      <c r="S79" s="17"/>
      <c r="T79" s="17"/>
      <c r="U79" s="17"/>
      <c r="V79" s="17"/>
      <c r="W79" s="17"/>
    </row>
    <row r="80" spans="1:23" ht="13.2">
      <c r="A80" s="17"/>
      <c r="B80" s="17"/>
      <c r="C80" s="17"/>
      <c r="D80" s="17"/>
      <c r="E80" s="17"/>
      <c r="F80" s="17"/>
      <c r="G80" s="17" t="s">
        <v>421</v>
      </c>
      <c r="H80" s="22">
        <v>35918.639999999992</v>
      </c>
      <c r="I80" s="17"/>
      <c r="J80" s="17"/>
      <c r="K80" s="17"/>
      <c r="L80" s="17"/>
      <c r="M80" s="17"/>
      <c r="N80" s="17"/>
      <c r="O80" s="17"/>
      <c r="P80" s="17"/>
      <c r="Q80" s="17"/>
      <c r="R80" s="17"/>
      <c r="S80" s="17"/>
      <c r="T80" s="17"/>
      <c r="U80" s="17"/>
      <c r="V80" s="17"/>
      <c r="W80" s="17"/>
    </row>
    <row r="81" spans="1:23" ht="13.2">
      <c r="A81" s="17"/>
      <c r="B81" s="17"/>
      <c r="C81" s="17"/>
      <c r="D81" s="17"/>
      <c r="E81" s="17"/>
      <c r="F81" s="17"/>
      <c r="G81" s="17" t="s">
        <v>540</v>
      </c>
      <c r="H81" s="22">
        <v>7164.0099999999993</v>
      </c>
      <c r="I81" s="17"/>
      <c r="J81" s="17"/>
      <c r="K81" s="17"/>
      <c r="L81" s="17"/>
      <c r="M81" s="17"/>
      <c r="N81" s="17"/>
      <c r="O81" s="17"/>
      <c r="P81" s="17"/>
      <c r="Q81" s="17"/>
      <c r="R81" s="17"/>
      <c r="S81" s="17"/>
      <c r="T81" s="17"/>
      <c r="U81" s="17"/>
      <c r="V81" s="17"/>
      <c r="W81" s="17"/>
    </row>
    <row r="82" spans="1:23" ht="13.2">
      <c r="A82" s="17"/>
      <c r="B82" s="17"/>
      <c r="C82" s="17"/>
      <c r="D82" s="17"/>
      <c r="E82" s="17"/>
      <c r="F82" s="17"/>
      <c r="G82" s="17" t="s">
        <v>355</v>
      </c>
      <c r="H82" s="22">
        <v>4969.2150000000001</v>
      </c>
      <c r="I82" s="17"/>
      <c r="J82" s="17"/>
      <c r="K82" s="17"/>
      <c r="L82" s="17"/>
      <c r="M82" s="17"/>
      <c r="N82" s="17"/>
      <c r="O82" s="17"/>
      <c r="P82" s="17"/>
      <c r="Q82" s="17"/>
      <c r="R82" s="17"/>
      <c r="S82" s="17"/>
      <c r="T82" s="17"/>
      <c r="U82" s="17"/>
      <c r="V82" s="17"/>
      <c r="W82" s="17"/>
    </row>
    <row r="83" spans="1:23" ht="13.2">
      <c r="A83" s="17"/>
      <c r="B83" s="17"/>
      <c r="C83" s="17"/>
      <c r="D83" s="17"/>
      <c r="E83" s="17"/>
      <c r="F83" s="17"/>
      <c r="G83" s="17" t="s">
        <v>127</v>
      </c>
      <c r="H83" s="22">
        <v>21093.326000000005</v>
      </c>
      <c r="I83" s="17"/>
      <c r="J83" s="17"/>
      <c r="K83" s="17"/>
      <c r="L83" s="17"/>
      <c r="M83" s="17"/>
      <c r="N83" s="17"/>
      <c r="O83" s="17"/>
      <c r="P83" s="17"/>
      <c r="Q83" s="17"/>
      <c r="R83" s="17"/>
      <c r="S83" s="17"/>
      <c r="T83" s="17"/>
      <c r="U83" s="17"/>
      <c r="V83" s="17"/>
      <c r="W83" s="17"/>
    </row>
    <row r="84" spans="1:23" ht="13.2">
      <c r="A84" s="17"/>
      <c r="B84" s="17"/>
      <c r="C84" s="17"/>
      <c r="D84" s="17"/>
      <c r="E84" s="17"/>
      <c r="F84" s="17"/>
      <c r="G84" s="17" t="s">
        <v>1141</v>
      </c>
      <c r="H84" s="22">
        <v>294.96000000000004</v>
      </c>
      <c r="I84" s="17"/>
      <c r="J84" s="17"/>
      <c r="K84" s="17"/>
      <c r="L84" s="17"/>
      <c r="M84" s="17"/>
      <c r="N84" s="17"/>
      <c r="O84" s="17"/>
      <c r="P84" s="17"/>
      <c r="Q84" s="17"/>
      <c r="R84" s="17"/>
      <c r="S84" s="17"/>
      <c r="T84" s="17"/>
      <c r="U84" s="17"/>
      <c r="V84" s="17"/>
      <c r="W84" s="17"/>
    </row>
    <row r="85" spans="1:23" ht="13.2">
      <c r="A85" s="17"/>
      <c r="B85" s="17"/>
      <c r="C85" s="17"/>
      <c r="D85" s="17"/>
      <c r="E85" s="17"/>
      <c r="F85" s="17"/>
      <c r="G85" s="17" t="s">
        <v>326</v>
      </c>
      <c r="H85" s="22">
        <v>977.3</v>
      </c>
      <c r="I85" s="17"/>
      <c r="J85" s="17"/>
      <c r="K85" s="17"/>
      <c r="L85" s="17"/>
      <c r="M85" s="17"/>
      <c r="N85" s="17"/>
      <c r="O85" s="17"/>
      <c r="P85" s="17"/>
      <c r="Q85" s="17"/>
      <c r="R85" s="17"/>
      <c r="S85" s="17"/>
      <c r="T85" s="17"/>
      <c r="U85" s="17"/>
      <c r="V85" s="17"/>
      <c r="W85" s="17"/>
    </row>
    <row r="86" spans="1:23" ht="13.2">
      <c r="A86" s="17"/>
      <c r="B86" s="17"/>
      <c r="C86" s="17"/>
      <c r="D86" s="17"/>
      <c r="E86" s="17"/>
      <c r="F86" s="17"/>
      <c r="G86" s="17" t="s">
        <v>287</v>
      </c>
      <c r="H86" s="22">
        <v>5924.0280000000002</v>
      </c>
      <c r="I86" s="17"/>
      <c r="J86" s="17"/>
      <c r="K86" s="17"/>
      <c r="L86" s="17"/>
      <c r="M86" s="17"/>
      <c r="N86" s="17"/>
      <c r="O86" s="17"/>
      <c r="P86" s="17"/>
      <c r="Q86" s="17"/>
      <c r="R86" s="17"/>
      <c r="S86" s="17"/>
      <c r="T86" s="17"/>
      <c r="U86" s="17"/>
      <c r="V86" s="17"/>
      <c r="W86" s="17"/>
    </row>
    <row r="87" spans="1:23" ht="13.2">
      <c r="A87" s="17"/>
      <c r="B87" s="17"/>
      <c r="C87" s="17"/>
      <c r="D87" s="17"/>
      <c r="E87" s="17"/>
      <c r="F87" s="17"/>
      <c r="G87" s="17" t="s">
        <v>89</v>
      </c>
      <c r="H87" s="22">
        <v>273954.48780000012</v>
      </c>
      <c r="I87" s="17"/>
      <c r="J87" s="17"/>
      <c r="K87" s="17"/>
      <c r="L87" s="17"/>
      <c r="M87" s="17"/>
      <c r="N87" s="17"/>
      <c r="O87" s="17"/>
      <c r="P87" s="17"/>
      <c r="Q87" s="17"/>
      <c r="R87" s="17"/>
      <c r="S87" s="17"/>
      <c r="T87" s="17"/>
      <c r="U87" s="17"/>
      <c r="V87" s="17"/>
      <c r="W87" s="17"/>
    </row>
    <row r="88" spans="1:23" ht="13.2">
      <c r="A88" s="17"/>
      <c r="B88" s="17"/>
      <c r="C88" s="17"/>
      <c r="D88" s="17"/>
      <c r="E88" s="17"/>
      <c r="F88" s="17"/>
      <c r="G88" s="17" t="s">
        <v>105</v>
      </c>
      <c r="H88" s="22">
        <v>34216.015999999996</v>
      </c>
      <c r="I88" s="17"/>
      <c r="J88" s="17"/>
      <c r="K88" s="17"/>
      <c r="L88" s="17"/>
      <c r="M88" s="17"/>
      <c r="N88" s="17"/>
      <c r="O88" s="17"/>
      <c r="P88" s="17"/>
      <c r="Q88" s="17"/>
      <c r="R88" s="17"/>
      <c r="S88" s="17"/>
      <c r="T88" s="17"/>
      <c r="U88" s="17"/>
      <c r="V88" s="17"/>
      <c r="W88" s="17"/>
    </row>
    <row r="89" spans="1:23" ht="13.2">
      <c r="A89" s="17"/>
      <c r="B89" s="17"/>
      <c r="C89" s="17"/>
      <c r="D89" s="17"/>
      <c r="E89" s="17"/>
      <c r="F89" s="17"/>
      <c r="G89" s="17" t="s">
        <v>272</v>
      </c>
      <c r="H89" s="22">
        <v>19524.399999999994</v>
      </c>
      <c r="I89" s="17"/>
      <c r="J89" s="17"/>
      <c r="K89" s="17"/>
      <c r="L89" s="17"/>
      <c r="M89" s="17"/>
      <c r="N89" s="17"/>
      <c r="O89" s="17"/>
      <c r="P89" s="17"/>
      <c r="Q89" s="17"/>
      <c r="R89" s="17"/>
      <c r="S89" s="17"/>
      <c r="T89" s="17"/>
      <c r="U89" s="17"/>
      <c r="V89" s="17"/>
      <c r="W89" s="17"/>
    </row>
    <row r="90" spans="1:23" ht="13.2">
      <c r="A90" s="17"/>
      <c r="B90" s="17"/>
      <c r="C90" s="17"/>
      <c r="D90" s="17"/>
      <c r="E90" s="17"/>
      <c r="F90" s="17"/>
      <c r="G90" s="17" t="s">
        <v>81</v>
      </c>
      <c r="H90" s="22">
        <v>121543.59599999998</v>
      </c>
      <c r="I90" s="17"/>
      <c r="J90" s="17"/>
      <c r="K90" s="17"/>
      <c r="L90" s="17"/>
      <c r="M90" s="17"/>
      <c r="N90" s="17"/>
      <c r="O90" s="17"/>
      <c r="P90" s="17"/>
      <c r="Q90" s="17"/>
      <c r="R90" s="17"/>
      <c r="S90" s="17"/>
      <c r="T90" s="17"/>
      <c r="U90" s="17"/>
      <c r="V90" s="17"/>
      <c r="W90" s="17"/>
    </row>
    <row r="91" spans="1:23" ht="13.2">
      <c r="A91" s="17"/>
      <c r="B91" s="17"/>
      <c r="C91" s="17"/>
      <c r="D91" s="17"/>
      <c r="E91" s="17"/>
      <c r="F91" s="17"/>
      <c r="G91" s="17" t="s">
        <v>98</v>
      </c>
      <c r="H91" s="22">
        <v>25788.899999999998</v>
      </c>
      <c r="I91" s="17"/>
      <c r="J91" s="17"/>
      <c r="K91" s="17"/>
      <c r="L91" s="17"/>
      <c r="M91" s="17"/>
      <c r="N91" s="17"/>
      <c r="O91" s="17"/>
      <c r="P91" s="17"/>
      <c r="Q91" s="17"/>
      <c r="R91" s="17"/>
      <c r="S91" s="17"/>
      <c r="T91" s="17"/>
      <c r="U91" s="17"/>
      <c r="V91" s="17"/>
      <c r="W91" s="17"/>
    </row>
    <row r="92" spans="1:23" ht="13.2">
      <c r="A92" s="17"/>
      <c r="B92" s="17"/>
      <c r="C92" s="17"/>
      <c r="D92" s="17"/>
      <c r="E92" s="17"/>
      <c r="F92" s="17"/>
      <c r="G92" s="17" t="s">
        <v>4026</v>
      </c>
      <c r="H92" s="22">
        <v>1757028.994799997</v>
      </c>
      <c r="I92" s="17"/>
      <c r="J92" s="17"/>
      <c r="K92" s="17"/>
      <c r="L92" s="17"/>
      <c r="M92" s="17"/>
      <c r="N92" s="17"/>
      <c r="O92" s="17"/>
      <c r="P92" s="17"/>
      <c r="Q92" s="17"/>
      <c r="R92" s="17"/>
      <c r="S92" s="17"/>
      <c r="T92" s="17"/>
      <c r="U92" s="17"/>
      <c r="V92" s="17"/>
      <c r="W92" s="17"/>
    </row>
    <row r="93" spans="1:23" ht="13.2">
      <c r="A93" s="17"/>
      <c r="B93" s="17"/>
      <c r="C93" s="17"/>
      <c r="D93" s="17"/>
      <c r="E93" s="17"/>
      <c r="F93" s="17"/>
      <c r="G93" s="17"/>
      <c r="H93" s="17"/>
      <c r="I93" s="17"/>
      <c r="J93" s="17"/>
      <c r="K93" s="17"/>
      <c r="L93" s="17"/>
      <c r="M93" s="17"/>
      <c r="N93" s="17"/>
      <c r="O93" s="17"/>
      <c r="P93" s="17"/>
      <c r="Q93" s="17"/>
      <c r="R93" s="17"/>
      <c r="S93" s="17"/>
      <c r="T93" s="17"/>
      <c r="U93" s="17"/>
      <c r="V93" s="17"/>
      <c r="W93" s="17"/>
    </row>
    <row r="94" spans="1:23" ht="13.2">
      <c r="A94" s="17"/>
      <c r="B94" s="17"/>
      <c r="C94" s="17"/>
      <c r="D94" s="17"/>
      <c r="E94" s="17"/>
      <c r="F94" s="17"/>
      <c r="G94" s="17"/>
      <c r="H94" s="17"/>
      <c r="I94" s="17"/>
      <c r="J94" s="17"/>
      <c r="K94" s="17"/>
      <c r="L94" s="17"/>
      <c r="M94" s="17"/>
      <c r="N94" s="17"/>
      <c r="O94" s="17"/>
      <c r="P94" s="17"/>
      <c r="Q94" s="17"/>
      <c r="R94" s="17"/>
      <c r="S94" s="17"/>
      <c r="T94" s="17"/>
      <c r="U94" s="17"/>
      <c r="V94" s="17"/>
      <c r="W94" s="17"/>
    </row>
    <row r="95" spans="1:23" ht="13.2">
      <c r="A95" s="17"/>
      <c r="B95" s="17"/>
      <c r="C95" s="17"/>
      <c r="D95" s="17"/>
      <c r="E95" s="17"/>
      <c r="F95" s="17"/>
      <c r="G95" s="17"/>
      <c r="H95" s="17"/>
      <c r="I95" s="17"/>
      <c r="J95" s="17"/>
      <c r="K95" s="17"/>
      <c r="L95" s="17"/>
      <c r="M95" s="17"/>
      <c r="N95" s="17"/>
      <c r="O95" s="17"/>
      <c r="P95" s="17"/>
      <c r="Q95" s="17"/>
      <c r="R95" s="17"/>
      <c r="S95" s="17"/>
      <c r="T95" s="17"/>
      <c r="U95" s="17"/>
      <c r="V95" s="17"/>
      <c r="W95" s="17"/>
    </row>
    <row r="96" spans="1:23" ht="13.2">
      <c r="A96" s="17"/>
      <c r="B96" s="17"/>
      <c r="C96" s="17"/>
      <c r="D96" s="17"/>
      <c r="E96" s="17"/>
      <c r="F96" s="17"/>
      <c r="G96" s="17"/>
      <c r="H96" s="17"/>
      <c r="I96" s="17"/>
      <c r="J96" s="17"/>
      <c r="K96" s="17"/>
      <c r="L96" s="17"/>
      <c r="M96" s="17"/>
      <c r="N96" s="17"/>
      <c r="O96" s="17"/>
      <c r="P96" s="17"/>
      <c r="Q96" s="17"/>
      <c r="R96" s="17"/>
      <c r="S96" s="17"/>
      <c r="T96" s="17"/>
      <c r="U96" s="17"/>
      <c r="V96" s="17"/>
      <c r="W96" s="17"/>
    </row>
    <row r="97" spans="1:23" ht="13.2">
      <c r="A97" s="17"/>
      <c r="B97" s="17"/>
      <c r="C97" s="17"/>
      <c r="D97" s="17"/>
      <c r="E97" s="17"/>
      <c r="F97" s="17"/>
      <c r="G97" s="17"/>
      <c r="H97" s="17"/>
      <c r="I97" s="17"/>
      <c r="J97" s="17"/>
      <c r="K97" s="17"/>
      <c r="L97" s="17"/>
      <c r="M97" s="17"/>
      <c r="N97" s="17"/>
      <c r="O97" s="17"/>
      <c r="P97" s="17"/>
      <c r="Q97" s="17"/>
      <c r="R97" s="17"/>
      <c r="S97" s="17"/>
      <c r="T97" s="17"/>
      <c r="U97" s="17"/>
      <c r="V97" s="17"/>
      <c r="W97" s="17"/>
    </row>
    <row r="98" spans="1:23" ht="13.2">
      <c r="A98" s="17"/>
      <c r="B98" s="17"/>
      <c r="C98" s="17"/>
      <c r="D98" s="17"/>
      <c r="E98" s="17"/>
      <c r="F98" s="17"/>
      <c r="G98" s="17"/>
      <c r="H98" s="17"/>
      <c r="I98" s="17"/>
      <c r="J98" s="17"/>
      <c r="K98" s="17"/>
      <c r="L98" s="17"/>
      <c r="M98" s="17"/>
      <c r="N98" s="17"/>
      <c r="O98" s="17"/>
      <c r="P98" s="17"/>
      <c r="Q98" s="17"/>
      <c r="R98" s="17"/>
      <c r="S98" s="17"/>
      <c r="T98" s="17"/>
      <c r="U98" s="17"/>
      <c r="V98" s="17"/>
      <c r="W98" s="17"/>
    </row>
    <row r="99" spans="1:23" ht="13.2">
      <c r="A99" s="17"/>
      <c r="B99" s="17"/>
      <c r="C99" s="17"/>
      <c r="D99" s="17"/>
      <c r="E99" s="17"/>
      <c r="F99" s="17"/>
      <c r="G99" s="17"/>
      <c r="H99" s="17"/>
      <c r="I99" s="17"/>
      <c r="J99" s="17"/>
      <c r="K99" s="17"/>
      <c r="L99" s="17"/>
      <c r="M99" s="17"/>
      <c r="N99" s="17"/>
      <c r="O99" s="17"/>
      <c r="P99" s="17"/>
      <c r="Q99" s="17"/>
      <c r="R99" s="17"/>
      <c r="S99" s="17"/>
      <c r="T99" s="17"/>
      <c r="U99" s="17"/>
      <c r="V99" s="17"/>
      <c r="W99" s="17"/>
    </row>
    <row r="100" spans="1:23" ht="13.2">
      <c r="A100" s="17"/>
      <c r="B100" s="17"/>
      <c r="C100" s="17"/>
      <c r="D100" s="17"/>
      <c r="E100" s="17"/>
      <c r="F100" s="17"/>
      <c r="G100" s="17"/>
      <c r="H100" s="17"/>
      <c r="I100" s="17"/>
      <c r="J100" s="17"/>
      <c r="K100" s="17"/>
      <c r="L100" s="17"/>
      <c r="M100" s="17"/>
      <c r="N100" s="17"/>
      <c r="O100" s="17"/>
      <c r="P100" s="17"/>
      <c r="Q100" s="17"/>
      <c r="R100" s="17"/>
      <c r="S100" s="17"/>
      <c r="T100" s="17"/>
      <c r="U100" s="17"/>
      <c r="V100" s="17"/>
      <c r="W100" s="17"/>
    </row>
    <row r="101" spans="1:23" ht="13.2">
      <c r="A101" s="17"/>
      <c r="B101" s="17"/>
      <c r="C101" s="17"/>
      <c r="D101" s="17"/>
      <c r="E101" s="17"/>
      <c r="F101" s="17"/>
      <c r="G101" s="17"/>
      <c r="H101" s="17"/>
      <c r="I101" s="17"/>
      <c r="J101" s="17"/>
      <c r="K101" s="17"/>
      <c r="L101" s="17"/>
      <c r="M101" s="17"/>
      <c r="N101" s="17"/>
      <c r="O101" s="17"/>
      <c r="P101" s="17"/>
      <c r="Q101" s="17"/>
      <c r="R101" s="17"/>
      <c r="S101" s="17"/>
      <c r="T101" s="17"/>
      <c r="U101" s="17"/>
      <c r="V101" s="17"/>
      <c r="W101" s="17"/>
    </row>
    <row r="102" spans="1:23" ht="13.2">
      <c r="A102" s="17"/>
      <c r="B102" s="17"/>
      <c r="C102" s="17"/>
      <c r="D102" s="17"/>
      <c r="E102" s="17"/>
      <c r="F102" s="17"/>
      <c r="G102" s="17"/>
      <c r="H102" s="17"/>
      <c r="I102" s="17"/>
      <c r="J102" s="17"/>
      <c r="K102" s="17"/>
      <c r="L102" s="17"/>
      <c r="M102" s="17"/>
      <c r="N102" s="17"/>
      <c r="O102" s="17"/>
      <c r="P102" s="17"/>
      <c r="Q102" s="17"/>
      <c r="R102" s="17"/>
      <c r="S102" s="17"/>
      <c r="T102" s="17"/>
      <c r="U102" s="17"/>
      <c r="V102" s="17"/>
      <c r="W102" s="17"/>
    </row>
    <row r="103" spans="1:23" ht="13.2">
      <c r="A103" s="17"/>
      <c r="B103" s="17"/>
      <c r="C103" s="17"/>
      <c r="D103" s="17"/>
      <c r="E103" s="17"/>
      <c r="F103" s="17"/>
      <c r="G103" s="17"/>
      <c r="H103" s="17"/>
      <c r="I103" s="17"/>
      <c r="J103" s="17"/>
      <c r="K103" s="17"/>
      <c r="L103" s="17"/>
      <c r="M103" s="17"/>
      <c r="N103" s="17"/>
      <c r="O103" s="17"/>
      <c r="P103" s="17"/>
      <c r="Q103" s="17"/>
      <c r="R103" s="17"/>
      <c r="S103" s="17"/>
      <c r="T103" s="17"/>
      <c r="U103" s="17"/>
      <c r="V103" s="17"/>
      <c r="W103" s="17"/>
    </row>
    <row r="104" spans="1:23" ht="13.2">
      <c r="A104" s="17"/>
      <c r="B104" s="17"/>
      <c r="C104" s="17"/>
      <c r="D104" s="17"/>
      <c r="E104" s="17"/>
      <c r="F104" s="17"/>
      <c r="G104" s="17"/>
      <c r="H104" s="17"/>
      <c r="I104" s="17"/>
      <c r="J104" s="17"/>
      <c r="K104" s="17"/>
      <c r="L104" s="17"/>
      <c r="M104" s="17"/>
      <c r="N104" s="17"/>
      <c r="O104" s="17"/>
      <c r="P104" s="17"/>
      <c r="Q104" s="17"/>
      <c r="R104" s="17"/>
      <c r="S104" s="17"/>
      <c r="T104" s="17"/>
      <c r="U104" s="17"/>
      <c r="V104" s="17"/>
      <c r="W104" s="17"/>
    </row>
    <row r="105" spans="1:23" ht="13.2">
      <c r="A105" s="17"/>
      <c r="B105" s="17"/>
      <c r="C105" s="17"/>
      <c r="D105" s="17"/>
      <c r="E105" s="17"/>
      <c r="F105" s="17"/>
      <c r="G105" s="17"/>
      <c r="H105" s="17"/>
      <c r="I105" s="17"/>
      <c r="J105" s="17"/>
      <c r="K105" s="17"/>
      <c r="L105" s="17"/>
      <c r="M105" s="17"/>
      <c r="N105" s="17"/>
      <c r="O105" s="17"/>
      <c r="P105" s="17"/>
      <c r="Q105" s="17"/>
      <c r="R105" s="17"/>
      <c r="S105" s="17"/>
      <c r="T105" s="17"/>
      <c r="U105" s="17"/>
      <c r="V105" s="17"/>
      <c r="W105" s="17"/>
    </row>
    <row r="106" spans="1:23" ht="13.2">
      <c r="A106" s="17"/>
      <c r="B106" s="17"/>
      <c r="C106" s="17"/>
      <c r="D106" s="17"/>
      <c r="E106" s="17"/>
      <c r="F106" s="17"/>
      <c r="G106" s="17"/>
      <c r="H106" s="17"/>
      <c r="I106" s="17"/>
      <c r="J106" s="17"/>
      <c r="K106" s="17"/>
      <c r="L106" s="17"/>
      <c r="M106" s="17"/>
      <c r="N106" s="17"/>
      <c r="O106" s="17"/>
      <c r="P106" s="17"/>
      <c r="Q106" s="17"/>
      <c r="R106" s="17"/>
      <c r="S106" s="17"/>
      <c r="T106" s="17"/>
      <c r="U106" s="17"/>
      <c r="V106" s="17"/>
      <c r="W106" s="17"/>
    </row>
    <row r="107" spans="1:23" ht="13.2">
      <c r="A107" s="17"/>
      <c r="B107" s="17"/>
      <c r="C107" s="17"/>
      <c r="D107" s="17"/>
      <c r="E107" s="17"/>
      <c r="F107" s="17"/>
      <c r="G107" s="17"/>
      <c r="H107" s="17"/>
      <c r="I107" s="17"/>
      <c r="J107" s="17"/>
      <c r="K107" s="17"/>
      <c r="L107" s="17"/>
      <c r="M107" s="17"/>
      <c r="N107" s="17"/>
      <c r="O107" s="17"/>
      <c r="P107" s="17"/>
      <c r="Q107" s="17"/>
      <c r="R107" s="17"/>
      <c r="S107" s="17"/>
      <c r="T107" s="17"/>
      <c r="U107" s="17"/>
      <c r="V107" s="17"/>
      <c r="W107" s="17"/>
    </row>
    <row r="108" spans="1:23" ht="13.2">
      <c r="A108" s="17"/>
      <c r="B108" s="17"/>
      <c r="C108" s="17"/>
      <c r="D108" s="17"/>
      <c r="E108" s="17"/>
      <c r="F108" s="17"/>
      <c r="G108" s="17"/>
      <c r="H108" s="17"/>
      <c r="I108" s="17"/>
      <c r="J108" s="17"/>
      <c r="K108" s="17"/>
      <c r="L108" s="17"/>
      <c r="M108" s="17"/>
      <c r="N108" s="17"/>
      <c r="O108" s="17"/>
      <c r="P108" s="17"/>
      <c r="Q108" s="17"/>
      <c r="R108" s="17"/>
      <c r="S108" s="17"/>
      <c r="T108" s="17"/>
      <c r="U108" s="17"/>
      <c r="V108" s="17"/>
      <c r="W108" s="17"/>
    </row>
    <row r="109" spans="1:23" ht="13.2">
      <c r="A109" s="17"/>
      <c r="B109" s="17"/>
      <c r="C109" s="17"/>
      <c r="D109" s="17"/>
      <c r="E109" s="17"/>
      <c r="F109" s="17"/>
      <c r="G109" s="17"/>
      <c r="H109" s="17"/>
      <c r="I109" s="17"/>
      <c r="J109" s="17"/>
      <c r="K109" s="17"/>
      <c r="L109" s="17"/>
      <c r="M109" s="17"/>
      <c r="N109" s="17"/>
      <c r="O109" s="17"/>
      <c r="P109" s="17"/>
      <c r="Q109" s="17"/>
      <c r="R109" s="17"/>
      <c r="S109" s="17"/>
      <c r="T109" s="17"/>
      <c r="U109" s="17"/>
      <c r="V109" s="17"/>
      <c r="W109" s="17"/>
    </row>
    <row r="110" spans="1:23" ht="13.2">
      <c r="A110" s="17"/>
      <c r="B110" s="17"/>
      <c r="C110" s="17"/>
      <c r="D110" s="17"/>
      <c r="E110" s="17"/>
      <c r="F110" s="17"/>
      <c r="G110" s="17"/>
      <c r="H110" s="17"/>
      <c r="I110" s="17"/>
      <c r="J110" s="17"/>
      <c r="K110" s="17"/>
      <c r="L110" s="17"/>
      <c r="M110" s="17"/>
      <c r="N110" s="17"/>
      <c r="O110" s="17"/>
      <c r="P110" s="17"/>
      <c r="Q110" s="17"/>
      <c r="R110" s="17"/>
      <c r="S110" s="17"/>
      <c r="T110" s="17"/>
      <c r="U110" s="17"/>
      <c r="V110" s="17"/>
      <c r="W110" s="17"/>
    </row>
    <row r="111" spans="1:23" ht="13.2">
      <c r="A111" s="17"/>
      <c r="B111" s="17"/>
      <c r="C111" s="17"/>
      <c r="D111" s="17"/>
      <c r="E111" s="17"/>
      <c r="F111" s="17"/>
      <c r="G111" s="17"/>
      <c r="H111" s="17"/>
      <c r="I111" s="17"/>
      <c r="J111" s="17"/>
      <c r="K111" s="17"/>
      <c r="L111" s="17"/>
      <c r="M111" s="17"/>
      <c r="N111" s="17"/>
      <c r="O111" s="17"/>
      <c r="P111" s="17"/>
      <c r="Q111" s="17"/>
      <c r="R111" s="17"/>
      <c r="S111" s="17"/>
      <c r="T111" s="17"/>
      <c r="U111" s="17"/>
      <c r="V111" s="17"/>
      <c r="W111" s="17"/>
    </row>
    <row r="112" spans="1:23" ht="13.2">
      <c r="A112" s="17"/>
      <c r="B112" s="17"/>
      <c r="C112" s="17"/>
      <c r="D112" s="17"/>
      <c r="E112" s="17"/>
      <c r="F112" s="17"/>
      <c r="G112" s="17"/>
      <c r="H112" s="17"/>
      <c r="I112" s="17"/>
      <c r="J112" s="17"/>
      <c r="K112" s="17"/>
      <c r="L112" s="17"/>
      <c r="M112" s="17"/>
      <c r="N112" s="17"/>
      <c r="O112" s="17"/>
      <c r="P112" s="17"/>
      <c r="Q112" s="17"/>
      <c r="R112" s="17"/>
      <c r="S112" s="17"/>
      <c r="T112" s="17"/>
      <c r="U112" s="17"/>
      <c r="V112" s="17"/>
      <c r="W112" s="17"/>
    </row>
    <row r="113" spans="1:23" ht="13.2">
      <c r="A113" s="17"/>
      <c r="B113" s="17"/>
      <c r="C113" s="17"/>
      <c r="D113" s="17"/>
      <c r="E113" s="17"/>
      <c r="F113" s="17"/>
      <c r="G113" s="17"/>
      <c r="H113" s="17"/>
      <c r="I113" s="17"/>
      <c r="J113" s="17"/>
      <c r="K113" s="17"/>
      <c r="L113" s="17"/>
      <c r="M113" s="17"/>
      <c r="N113" s="17"/>
      <c r="O113" s="17"/>
      <c r="P113" s="17"/>
      <c r="Q113" s="17"/>
      <c r="R113" s="17"/>
      <c r="S113" s="17"/>
      <c r="T113" s="17"/>
      <c r="U113" s="17"/>
      <c r="V113" s="17"/>
      <c r="W113" s="17"/>
    </row>
    <row r="114" spans="1:23" ht="13.2">
      <c r="A114" s="17"/>
      <c r="B114" s="17"/>
      <c r="C114" s="17"/>
      <c r="D114" s="17"/>
      <c r="E114" s="17"/>
      <c r="F114" s="17"/>
      <c r="G114" s="17"/>
      <c r="H114" s="17"/>
      <c r="I114" s="17"/>
      <c r="J114" s="17"/>
      <c r="K114" s="17"/>
      <c r="L114" s="17"/>
      <c r="M114" s="17"/>
      <c r="N114" s="17"/>
      <c r="O114" s="17"/>
      <c r="P114" s="17"/>
      <c r="Q114" s="17"/>
      <c r="R114" s="17"/>
      <c r="S114" s="17"/>
      <c r="T114" s="17"/>
      <c r="U114" s="17"/>
      <c r="V114" s="17"/>
      <c r="W114" s="17"/>
    </row>
    <row r="115" spans="1:23" ht="13.2">
      <c r="A115" s="17"/>
      <c r="B115" s="17"/>
      <c r="C115" s="17"/>
      <c r="D115" s="17"/>
      <c r="E115" s="17"/>
      <c r="F115" s="17"/>
      <c r="G115" s="17"/>
      <c r="H115" s="17"/>
      <c r="I115" s="17"/>
      <c r="J115" s="17"/>
      <c r="K115" s="17"/>
      <c r="L115" s="17"/>
      <c r="M115" s="17"/>
      <c r="N115" s="17"/>
      <c r="O115" s="17"/>
      <c r="P115" s="17"/>
      <c r="Q115" s="17"/>
      <c r="R115" s="17"/>
      <c r="S115" s="17"/>
      <c r="T115" s="17"/>
      <c r="U115" s="17"/>
      <c r="V115" s="17"/>
      <c r="W115" s="17"/>
    </row>
    <row r="116" spans="1:23" ht="13.2">
      <c r="A116" s="17"/>
      <c r="B116" s="17"/>
      <c r="C116" s="17"/>
      <c r="D116" s="17"/>
      <c r="E116" s="17"/>
      <c r="F116" s="17"/>
      <c r="G116" s="17"/>
      <c r="H116" s="17"/>
      <c r="I116" s="17"/>
      <c r="J116" s="17"/>
      <c r="K116" s="17"/>
      <c r="L116" s="17"/>
      <c r="M116" s="17"/>
      <c r="N116" s="17"/>
      <c r="O116" s="17"/>
      <c r="P116" s="17"/>
      <c r="Q116" s="17"/>
      <c r="R116" s="17"/>
      <c r="S116" s="17"/>
      <c r="T116" s="17"/>
      <c r="U116" s="17"/>
      <c r="V116" s="17"/>
      <c r="W116" s="17"/>
    </row>
    <row r="117" spans="1:23" ht="13.2">
      <c r="A117" s="17"/>
      <c r="B117" s="17"/>
      <c r="C117" s="17"/>
      <c r="D117" s="17"/>
      <c r="E117" s="17"/>
      <c r="F117" s="17"/>
      <c r="G117" s="17"/>
      <c r="H117" s="17"/>
      <c r="I117" s="17"/>
      <c r="J117" s="17"/>
      <c r="K117" s="17"/>
      <c r="L117" s="17"/>
      <c r="M117" s="17"/>
      <c r="N117" s="17"/>
      <c r="O117" s="17"/>
      <c r="P117" s="17"/>
      <c r="Q117" s="17"/>
      <c r="R117" s="17"/>
      <c r="S117" s="17"/>
      <c r="T117" s="17"/>
      <c r="U117" s="17"/>
      <c r="V117" s="17"/>
      <c r="W117" s="17"/>
    </row>
    <row r="118" spans="1:23" ht="13.2">
      <c r="A118" s="17"/>
      <c r="B118" s="17"/>
      <c r="C118" s="17"/>
      <c r="D118" s="17"/>
      <c r="E118" s="17"/>
      <c r="F118" s="17"/>
      <c r="G118" s="17"/>
      <c r="H118" s="17"/>
      <c r="I118" s="17"/>
      <c r="J118" s="17"/>
      <c r="K118" s="17"/>
      <c r="L118" s="17"/>
      <c r="M118" s="17"/>
      <c r="N118" s="17"/>
      <c r="O118" s="17"/>
      <c r="P118" s="17"/>
      <c r="Q118" s="17"/>
      <c r="R118" s="17"/>
      <c r="S118" s="17"/>
      <c r="T118" s="17"/>
      <c r="U118" s="17"/>
      <c r="V118" s="17"/>
      <c r="W118" s="17"/>
    </row>
    <row r="119" spans="1:23" ht="13.2">
      <c r="A119" s="17"/>
      <c r="B119" s="17"/>
      <c r="C119" s="17"/>
      <c r="D119" s="17"/>
      <c r="E119" s="17"/>
      <c r="F119" s="17"/>
      <c r="G119" s="17"/>
      <c r="H119" s="17"/>
      <c r="I119" s="17"/>
      <c r="J119" s="17"/>
      <c r="K119" s="17"/>
      <c r="L119" s="17"/>
      <c r="M119" s="17"/>
      <c r="N119" s="17"/>
      <c r="O119" s="17"/>
      <c r="P119" s="17"/>
      <c r="Q119" s="17"/>
      <c r="R119" s="17"/>
      <c r="S119" s="17"/>
      <c r="T119" s="17"/>
      <c r="U119" s="17"/>
      <c r="V119" s="17"/>
      <c r="W119" s="17"/>
    </row>
    <row r="120" spans="1:23" ht="13.2">
      <c r="A120" s="17"/>
      <c r="B120" s="17"/>
      <c r="C120" s="17"/>
      <c r="D120" s="17"/>
      <c r="E120" s="17"/>
      <c r="F120" s="17"/>
      <c r="G120" s="17"/>
      <c r="H120" s="17"/>
      <c r="I120" s="17"/>
      <c r="J120" s="17"/>
      <c r="K120" s="17"/>
      <c r="L120" s="17"/>
      <c r="M120" s="17"/>
      <c r="N120" s="17"/>
      <c r="O120" s="17"/>
      <c r="P120" s="17"/>
      <c r="Q120" s="17"/>
      <c r="R120" s="17"/>
      <c r="S120" s="17"/>
      <c r="T120" s="17"/>
      <c r="U120" s="17"/>
      <c r="V120" s="17"/>
      <c r="W120" s="17"/>
    </row>
    <row r="121" spans="1:23" ht="13.2">
      <c r="A121" s="17"/>
      <c r="B121" s="17"/>
      <c r="C121" s="17"/>
      <c r="D121" s="17"/>
      <c r="E121" s="17"/>
      <c r="F121" s="17"/>
      <c r="G121" s="17"/>
      <c r="H121" s="17"/>
      <c r="I121" s="17"/>
      <c r="J121" s="17"/>
      <c r="K121" s="17"/>
      <c r="L121" s="17"/>
      <c r="M121" s="17"/>
      <c r="N121" s="17"/>
      <c r="O121" s="17"/>
      <c r="P121" s="17"/>
      <c r="Q121" s="17"/>
      <c r="R121" s="17"/>
      <c r="S121" s="17"/>
      <c r="T121" s="17"/>
      <c r="U121" s="17"/>
      <c r="V121" s="17"/>
      <c r="W121" s="17"/>
    </row>
    <row r="122" spans="1:23" ht="13.2">
      <c r="A122" s="17"/>
      <c r="B122" s="17"/>
      <c r="C122" s="17"/>
      <c r="D122" s="17"/>
      <c r="E122" s="17"/>
      <c r="F122" s="17"/>
      <c r="G122" s="17"/>
      <c r="H122" s="17"/>
      <c r="I122" s="17"/>
      <c r="J122" s="17"/>
      <c r="K122" s="17"/>
      <c r="L122" s="17"/>
      <c r="M122" s="17"/>
      <c r="N122" s="17"/>
      <c r="O122" s="17"/>
      <c r="P122" s="17"/>
      <c r="Q122" s="17"/>
      <c r="R122" s="17"/>
      <c r="S122" s="17"/>
      <c r="T122" s="17"/>
      <c r="U122" s="17"/>
      <c r="V122" s="17"/>
      <c r="W122" s="17"/>
    </row>
    <row r="123" spans="1:23" ht="13.2">
      <c r="A123" s="17"/>
      <c r="B123" s="17"/>
      <c r="C123" s="17"/>
      <c r="D123" s="17"/>
      <c r="E123" s="17"/>
      <c r="F123" s="17"/>
      <c r="G123" s="17"/>
      <c r="H123" s="17"/>
      <c r="I123" s="17"/>
      <c r="J123" s="17"/>
      <c r="K123" s="17"/>
      <c r="L123" s="17"/>
      <c r="M123" s="17"/>
      <c r="N123" s="17"/>
      <c r="O123" s="17"/>
      <c r="P123" s="17"/>
      <c r="Q123" s="17"/>
      <c r="R123" s="17"/>
      <c r="S123" s="17"/>
      <c r="T123" s="17"/>
      <c r="U123" s="17"/>
      <c r="V123" s="17"/>
      <c r="W123" s="17"/>
    </row>
    <row r="124" spans="1:23" ht="13.2">
      <c r="A124" s="17"/>
      <c r="B124" s="17"/>
      <c r="C124" s="17"/>
      <c r="D124" s="17"/>
      <c r="E124" s="17"/>
      <c r="F124" s="17"/>
      <c r="G124" s="17"/>
      <c r="H124" s="17"/>
      <c r="I124" s="17"/>
      <c r="J124" s="17"/>
      <c r="K124" s="17"/>
      <c r="L124" s="17"/>
      <c r="M124" s="17"/>
      <c r="N124" s="17"/>
      <c r="O124" s="17"/>
      <c r="P124" s="17"/>
      <c r="Q124" s="17"/>
      <c r="R124" s="17"/>
      <c r="S124" s="17"/>
      <c r="T124" s="17"/>
      <c r="U124" s="17"/>
      <c r="V124" s="17"/>
      <c r="W124" s="17"/>
    </row>
    <row r="125" spans="1:23" ht="13.2">
      <c r="A125" s="17"/>
      <c r="B125" s="17"/>
      <c r="C125" s="17"/>
      <c r="D125" s="17"/>
      <c r="E125" s="17"/>
      <c r="F125" s="17"/>
      <c r="G125" s="17"/>
      <c r="H125" s="17"/>
      <c r="I125" s="17"/>
      <c r="J125" s="17"/>
      <c r="K125" s="17"/>
      <c r="L125" s="17"/>
      <c r="M125" s="17"/>
      <c r="N125" s="17"/>
      <c r="O125" s="17"/>
      <c r="P125" s="17"/>
      <c r="Q125" s="17"/>
      <c r="R125" s="17"/>
      <c r="S125" s="17"/>
      <c r="T125" s="17"/>
      <c r="U125" s="17"/>
      <c r="V125" s="17"/>
      <c r="W125" s="17"/>
    </row>
    <row r="126" spans="1:23" ht="13.2">
      <c r="A126" s="17"/>
      <c r="B126" s="17"/>
      <c r="C126" s="17"/>
      <c r="D126" s="17"/>
      <c r="E126" s="17"/>
      <c r="F126" s="17"/>
      <c r="G126" s="17"/>
      <c r="H126" s="17"/>
      <c r="I126" s="17"/>
      <c r="J126" s="17"/>
      <c r="K126" s="17"/>
      <c r="L126" s="17"/>
      <c r="M126" s="17"/>
      <c r="N126" s="17"/>
      <c r="O126" s="17"/>
      <c r="P126" s="17"/>
      <c r="Q126" s="17"/>
      <c r="R126" s="17"/>
      <c r="S126" s="17"/>
      <c r="T126" s="17"/>
      <c r="U126" s="17"/>
      <c r="V126" s="17"/>
      <c r="W126" s="17"/>
    </row>
    <row r="127" spans="1:23" ht="13.2">
      <c r="A127" s="17"/>
      <c r="B127" s="17"/>
      <c r="C127" s="17"/>
      <c r="D127" s="17"/>
      <c r="E127" s="17"/>
      <c r="F127" s="17"/>
      <c r="G127" s="17"/>
      <c r="H127" s="17"/>
      <c r="I127" s="17"/>
      <c r="J127" s="17"/>
      <c r="K127" s="17"/>
      <c r="L127" s="17"/>
      <c r="M127" s="17"/>
      <c r="N127" s="17"/>
      <c r="O127" s="17"/>
      <c r="P127" s="17"/>
      <c r="Q127" s="17"/>
      <c r="R127" s="17"/>
      <c r="S127" s="17"/>
      <c r="T127" s="17"/>
      <c r="U127" s="17"/>
      <c r="V127" s="17"/>
      <c r="W127" s="17"/>
    </row>
    <row r="128" spans="1:23" ht="13.2">
      <c r="A128" s="17"/>
      <c r="B128" s="17"/>
      <c r="C128" s="17"/>
      <c r="D128" s="17"/>
      <c r="E128" s="17"/>
      <c r="F128" s="17"/>
      <c r="G128" s="17"/>
      <c r="H128" s="17"/>
      <c r="I128" s="17"/>
      <c r="J128" s="17"/>
      <c r="K128" s="17"/>
      <c r="L128" s="17"/>
      <c r="M128" s="17"/>
      <c r="N128" s="17"/>
      <c r="O128" s="17"/>
      <c r="P128" s="17"/>
      <c r="Q128" s="17"/>
      <c r="R128" s="17"/>
      <c r="S128" s="17"/>
      <c r="T128" s="17"/>
      <c r="U128" s="17"/>
      <c r="V128" s="17"/>
      <c r="W128" s="17"/>
    </row>
    <row r="129" spans="1:23" ht="13.2">
      <c r="A129" s="17"/>
      <c r="B129" s="17"/>
      <c r="C129" s="17"/>
      <c r="D129" s="17"/>
      <c r="E129" s="17"/>
      <c r="F129" s="17"/>
      <c r="G129" s="17"/>
      <c r="H129" s="17"/>
      <c r="I129" s="17"/>
      <c r="J129" s="17"/>
      <c r="K129" s="17"/>
      <c r="L129" s="17"/>
      <c r="M129" s="17"/>
      <c r="N129" s="17"/>
      <c r="O129" s="17"/>
      <c r="P129" s="17"/>
      <c r="Q129" s="17"/>
      <c r="R129" s="17"/>
      <c r="S129" s="17"/>
      <c r="T129" s="17"/>
      <c r="U129" s="17"/>
      <c r="V129" s="17"/>
      <c r="W129" s="17"/>
    </row>
    <row r="130" spans="1:23" ht="13.2">
      <c r="A130" s="17"/>
      <c r="B130" s="17"/>
      <c r="C130" s="17"/>
      <c r="D130" s="17"/>
      <c r="E130" s="17"/>
      <c r="F130" s="17"/>
      <c r="G130" s="17"/>
      <c r="H130" s="17"/>
      <c r="I130" s="17"/>
      <c r="J130" s="17"/>
      <c r="K130" s="17"/>
      <c r="L130" s="17"/>
      <c r="M130" s="17"/>
      <c r="N130" s="17"/>
      <c r="O130" s="17"/>
      <c r="P130" s="17"/>
      <c r="Q130" s="17"/>
      <c r="R130" s="17"/>
      <c r="S130" s="17"/>
      <c r="T130" s="17"/>
      <c r="U130" s="17"/>
      <c r="V130" s="17"/>
      <c r="W130" s="17"/>
    </row>
    <row r="180" spans="1:25" ht="13.2">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row>
    <row r="181" spans="1:25" ht="13.2">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row>
    <row r="182" spans="1:25" ht="13.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row>
    <row r="183" spans="1:25" ht="13.2">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row>
    <row r="184" spans="1:25" ht="13.2">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row>
    <row r="185" spans="1:25" ht="13.2">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row>
    <row r="186" spans="1:25" ht="13.2">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row>
    <row r="187" spans="1:25" ht="13.2">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row>
    <row r="188" spans="1:25" ht="13.2">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row>
    <row r="189" spans="1:25" ht="13.2">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row>
    <row r="190" spans="1:25" ht="13.2">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row>
    <row r="191" spans="1:25" ht="13.2">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row>
    <row r="192" spans="1:25" ht="13.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row>
    <row r="193" spans="1:25" ht="13.2">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row>
    <row r="194" spans="1:25" ht="13.2">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row>
    <row r="195" spans="1:25" ht="13.2">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row>
    <row r="196" spans="1:25" ht="13.2">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row>
    <row r="197" spans="1:25" ht="13.2">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row>
    <row r="198" spans="1:25" ht="13.2">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row>
    <row r="199" spans="1:25" ht="13.2">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row>
    <row r="200" spans="1:25" ht="13.2">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row>
    <row r="201" spans="1:25" ht="13.2">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row>
    <row r="202" spans="1:25" ht="13.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row>
    <row r="203" spans="1:25" ht="13.2">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row>
    <row r="204" spans="1:25" ht="13.2">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row>
    <row r="205" spans="1:25" ht="13.2">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row>
    <row r="206" spans="1:25" ht="13.2">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row>
    <row r="207" spans="1:25" ht="13.2">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row>
    <row r="208" spans="1:25" ht="13.2">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row>
    <row r="209" spans="1:25" ht="13.2">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row>
    <row r="210" spans="1:25" ht="13.2">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row>
    <row r="211" spans="1:25" ht="13.2">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row>
    <row r="212" spans="1:25" ht="13.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row>
    <row r="213" spans="1:25" ht="13.2">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row>
    <row r="214" spans="1:25" ht="13.2">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row>
    <row r="215" spans="1:25" ht="13.2">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row>
    <row r="216" spans="1:25" ht="13.2">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row>
    <row r="217" spans="1:25" ht="13.2">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row>
    <row r="218" spans="1:25" ht="13.2">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row>
    <row r="219" spans="1:25" ht="13.2">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row>
    <row r="220" spans="1:25" ht="13.2">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row>
    <row r="221" spans="1:25" ht="13.2">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row>
    <row r="222" spans="1:25" ht="13.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row>
    <row r="223" spans="1:25" ht="13.2">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row>
    <row r="224" spans="1:25" ht="13.2">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row>
    <row r="225" spans="1:25" ht="13.2">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row>
    <row r="226" spans="1:25" ht="13.2">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row>
    <row r="227" spans="1:25" ht="13.2">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row>
    <row r="228" spans="1:25" ht="13.2">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row>
    <row r="229" spans="1:25" ht="13.2">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row>
    <row r="230" spans="1:25" ht="13.2">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row>
    <row r="231" spans="1:25" ht="13.2">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row>
    <row r="232" spans="1:25" ht="1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row>
    <row r="233" spans="1:25" ht="13.2">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row>
    <row r="234" spans="1:25" ht="13.2">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row>
    <row r="235" spans="1:25" ht="13.2">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row>
    <row r="236" spans="1:25" ht="13.2">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row>
    <row r="237" spans="1:25" ht="13.2">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row>
    <row r="238" spans="1:25" ht="13.2">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row>
    <row r="239" spans="1:25" ht="13.2">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row>
    <row r="240" spans="1:25" ht="13.2">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row>
    <row r="241" spans="1:25" ht="13.2">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row>
    <row r="242" spans="1:25" ht="13.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row>
    <row r="243" spans="1:25" ht="13.2">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row>
    <row r="244" spans="1:25" ht="13.2">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row>
    <row r="245" spans="1:25" ht="13.2">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row>
  </sheetData>
  <mergeCells count="7">
    <mergeCell ref="B17:C17"/>
    <mergeCell ref="L17:M17"/>
    <mergeCell ref="G1:H1"/>
    <mergeCell ref="F2:I2"/>
    <mergeCell ref="B5:C5"/>
    <mergeCell ref="G5:H5"/>
    <mergeCell ref="L5:M5"/>
  </mergeCells>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Retail dataset of a global supe</vt:lpstr>
      <vt:lpstr>Cleaned data</vt:lpstr>
      <vt:lpstr>Q1</vt:lpstr>
      <vt:lpstr>Q2</vt:lpstr>
      <vt:lpstr>Q3</vt:lpstr>
      <vt:lpstr>Q4</vt:lpstr>
      <vt:lpstr>Q5</vt:lpstr>
      <vt:lpstr>Q6</vt:lpstr>
      <vt:lpstr>Q7</vt:lpstr>
      <vt:lpstr>Q8</vt:lpstr>
      <vt:lpstr>Q9</vt:lpstr>
      <vt:lpstr>Q10</vt:lpstr>
      <vt:lpstr>Dashboard </vt:lpstr>
      <vt:lpstr>SalesData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Frankie Boldy</dc:creator>
  <cp:lastModifiedBy>Frankie Boldy</cp:lastModifiedBy>
  <dcterms:created xsi:type="dcterms:W3CDTF">2024-03-05T11:10:17Z</dcterms:created>
  <dcterms:modified xsi:type="dcterms:W3CDTF">2024-03-05T11:10:17Z</dcterms:modified>
</cp:coreProperties>
</file>