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estria UPM\M14 TFM\Evaluacion\"/>
    </mc:Choice>
  </mc:AlternateContent>
  <bookViews>
    <workbookView xWindow="0" yWindow="0" windowWidth="23040" windowHeight="8520" activeTab="4"/>
  </bookViews>
  <sheets>
    <sheet name="ListCases" sheetId="8" r:id="rId1"/>
    <sheet name="Specification" sheetId="5" r:id="rId2"/>
    <sheet name="ResultadosTam1" sheetId="11" r:id="rId3"/>
    <sheet name="ListaCasos" sheetId="13" r:id="rId4"/>
    <sheet name="Hoja3" sheetId="14" r:id="rId5"/>
    <sheet name="TablaDimensiones" sheetId="12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1" l="1"/>
  <c r="AC22" i="11"/>
  <c r="AC21" i="11"/>
  <c r="AC17" i="11"/>
  <c r="AC13" i="11"/>
  <c r="AC9" i="11"/>
  <c r="W66" i="11"/>
  <c r="W65" i="11"/>
  <c r="W64" i="11"/>
  <c r="W63" i="11"/>
  <c r="W62" i="11"/>
  <c r="W61" i="11"/>
  <c r="W60" i="11"/>
  <c r="W59" i="11"/>
  <c r="AA58" i="11"/>
  <c r="Y58" i="11"/>
  <c r="X58" i="11"/>
  <c r="W58" i="11"/>
  <c r="AB58" i="11" s="1"/>
  <c r="AA57" i="11"/>
  <c r="Y57" i="11"/>
  <c r="X57" i="11"/>
  <c r="W57" i="11"/>
  <c r="AB57" i="11" s="1"/>
  <c r="AA56" i="11"/>
  <c r="Y56" i="11"/>
  <c r="X56" i="11"/>
  <c r="W56" i="11"/>
  <c r="AB56" i="11" s="1"/>
  <c r="AA55" i="11"/>
  <c r="Y55" i="11"/>
  <c r="X55" i="11"/>
  <c r="W55" i="11"/>
  <c r="AB55" i="11" s="1"/>
  <c r="AB54" i="11"/>
  <c r="W51" i="11"/>
  <c r="W50" i="11"/>
  <c r="W49" i="11"/>
  <c r="W48" i="11"/>
  <c r="W47" i="11"/>
  <c r="W46" i="11"/>
  <c r="W45" i="11"/>
  <c r="W44" i="11"/>
  <c r="AA43" i="11"/>
  <c r="Y43" i="11"/>
  <c r="X43" i="11"/>
  <c r="W43" i="11"/>
  <c r="AB43" i="11" s="1"/>
  <c r="AA42" i="11"/>
  <c r="Y42" i="11"/>
  <c r="X42" i="11"/>
  <c r="W42" i="11"/>
  <c r="AB42" i="11" s="1"/>
  <c r="AA41" i="11"/>
  <c r="Y41" i="11"/>
  <c r="X41" i="11"/>
  <c r="W41" i="11"/>
  <c r="AB41" i="11" s="1"/>
  <c r="AA40" i="11"/>
  <c r="Y40" i="11"/>
  <c r="X40" i="11"/>
  <c r="W40" i="11"/>
  <c r="AB40" i="11" s="1"/>
  <c r="AB39" i="11"/>
  <c r="W32" i="11"/>
  <c r="W31" i="11"/>
  <c r="W34" i="11"/>
  <c r="W36" i="11"/>
  <c r="W35" i="11"/>
  <c r="AA33" i="11"/>
  <c r="Y33" i="11"/>
  <c r="X33" i="11"/>
  <c r="W33" i="11"/>
  <c r="AB33" i="11" s="1"/>
  <c r="AA30" i="11"/>
  <c r="Y30" i="11"/>
  <c r="X30" i="11"/>
  <c r="W30" i="11"/>
  <c r="AB30" i="11" s="1"/>
  <c r="AA29" i="11"/>
  <c r="Y29" i="11"/>
  <c r="X29" i="11"/>
  <c r="W29" i="11"/>
  <c r="AB29" i="11" s="1"/>
  <c r="AA28" i="11"/>
  <c r="Y28" i="11"/>
  <c r="X28" i="11"/>
  <c r="W28" i="11"/>
  <c r="AB28" i="11" s="1"/>
  <c r="AA27" i="11"/>
  <c r="Y27" i="11"/>
  <c r="X27" i="11"/>
  <c r="W27" i="11"/>
  <c r="AB27" i="11" s="1"/>
  <c r="AA26" i="11"/>
  <c r="Y26" i="11"/>
  <c r="X26" i="11"/>
  <c r="W26" i="11"/>
  <c r="AB26" i="11" s="1"/>
  <c r="AA25" i="11"/>
  <c r="Y25" i="11"/>
  <c r="X25" i="11"/>
  <c r="W25" i="11"/>
  <c r="AB25" i="11" s="1"/>
  <c r="AB24" i="11"/>
  <c r="AB10" i="11"/>
  <c r="AB11" i="11"/>
  <c r="AB12" i="11"/>
  <c r="AB13" i="11"/>
  <c r="AB14" i="11"/>
  <c r="AB16" i="11"/>
  <c r="AB17" i="11"/>
  <c r="AB19" i="11"/>
  <c r="AB20" i="11"/>
  <c r="AB9" i="11"/>
  <c r="AB8" i="11"/>
  <c r="W10" i="11"/>
  <c r="W11" i="11"/>
  <c r="W12" i="11"/>
  <c r="W13" i="11"/>
  <c r="W14" i="11"/>
  <c r="W16" i="11"/>
  <c r="W17" i="11"/>
  <c r="W18" i="11"/>
  <c r="W19" i="11"/>
  <c r="W20" i="11"/>
  <c r="W9" i="11"/>
  <c r="I6" i="12"/>
  <c r="D21" i="11"/>
  <c r="N33" i="11"/>
  <c r="N30" i="11"/>
  <c r="N28" i="11"/>
  <c r="S58" i="11"/>
  <c r="K58" i="11"/>
  <c r="K57" i="11"/>
  <c r="S57" i="11"/>
  <c r="S56" i="11"/>
  <c r="S55" i="11"/>
  <c r="N58" i="11"/>
  <c r="N57" i="11"/>
  <c r="J58" i="11"/>
  <c r="J57" i="11"/>
  <c r="N56" i="11"/>
  <c r="K56" i="11"/>
  <c r="J56" i="11"/>
  <c r="J55" i="11"/>
  <c r="N55" i="11"/>
  <c r="M58" i="11"/>
  <c r="M57" i="11"/>
  <c r="M56" i="11"/>
  <c r="M55" i="11"/>
  <c r="K55" i="11"/>
  <c r="S43" i="11"/>
  <c r="K43" i="11"/>
  <c r="S42" i="11"/>
  <c r="N43" i="11"/>
  <c r="M43" i="11"/>
  <c r="N42" i="11"/>
  <c r="M42" i="11"/>
  <c r="K42" i="11"/>
  <c r="J43" i="11"/>
  <c r="J42" i="11"/>
  <c r="S41" i="11"/>
  <c r="N41" i="11"/>
  <c r="N40" i="11"/>
  <c r="M41" i="11"/>
  <c r="K41" i="11"/>
  <c r="J41" i="11"/>
  <c r="S40" i="11"/>
  <c r="M40" i="11"/>
  <c r="K40" i="11"/>
  <c r="J40" i="11"/>
  <c r="S33" i="11"/>
  <c r="R33" i="11"/>
  <c r="M33" i="11"/>
  <c r="K33" i="11"/>
  <c r="J33" i="11"/>
  <c r="S30" i="11"/>
  <c r="R30" i="11"/>
  <c r="M30" i="11"/>
  <c r="K30" i="11"/>
  <c r="J30" i="11"/>
  <c r="S29" i="11"/>
  <c r="R29" i="11"/>
  <c r="N29" i="11"/>
  <c r="M29" i="11"/>
  <c r="K29" i="11"/>
  <c r="J29" i="11"/>
  <c r="S28" i="11"/>
  <c r="R28" i="11"/>
  <c r="M28" i="11"/>
  <c r="K28" i="11"/>
  <c r="J28" i="11"/>
  <c r="S27" i="11"/>
  <c r="R27" i="11"/>
  <c r="N27" i="11"/>
  <c r="M27" i="11"/>
  <c r="K27" i="11"/>
  <c r="J27" i="11"/>
  <c r="S26" i="11"/>
  <c r="R26" i="11"/>
  <c r="N26" i="11"/>
  <c r="M26" i="11"/>
  <c r="K26" i="11"/>
  <c r="J26" i="11"/>
  <c r="S25" i="11"/>
  <c r="R25" i="11"/>
  <c r="N25" i="11"/>
  <c r="M25" i="11"/>
  <c r="K25" i="11"/>
  <c r="J25" i="11"/>
  <c r="S20" i="11" l="1"/>
  <c r="R20" i="11"/>
  <c r="AA20" i="11" s="1"/>
  <c r="N20" i="11"/>
  <c r="Y20" i="11" s="1"/>
  <c r="K20" i="11"/>
  <c r="S19" i="11"/>
  <c r="R19" i="11"/>
  <c r="AA19" i="11" s="1"/>
  <c r="N19" i="11"/>
  <c r="K19" i="11"/>
  <c r="S18" i="11"/>
  <c r="N18" i="11"/>
  <c r="Y18" i="11" s="1"/>
  <c r="K18" i="11"/>
  <c r="S17" i="11"/>
  <c r="R17" i="11"/>
  <c r="AA17" i="11" s="1"/>
  <c r="N17" i="11"/>
  <c r="K17" i="11"/>
  <c r="S16" i="11"/>
  <c r="R16" i="11"/>
  <c r="AA16" i="11" s="1"/>
  <c r="N16" i="11"/>
  <c r="Y16" i="11" s="1"/>
  <c r="K16" i="11"/>
  <c r="N14" i="11"/>
  <c r="K14" i="11"/>
  <c r="S13" i="11"/>
  <c r="S14" i="11"/>
  <c r="R13" i="11"/>
  <c r="R14" i="11"/>
  <c r="AA14" i="11" s="1"/>
  <c r="N13" i="11"/>
  <c r="Y13" i="11" s="1"/>
  <c r="K13" i="11"/>
  <c r="S12" i="11"/>
  <c r="R12" i="11"/>
  <c r="AA12" i="11" s="1"/>
  <c r="N12" i="11"/>
  <c r="K12" i="11"/>
  <c r="S11" i="11"/>
  <c r="R11" i="11"/>
  <c r="AA11" i="11" s="1"/>
  <c r="N11" i="11"/>
  <c r="Y11" i="11" s="1"/>
  <c r="M20" i="11"/>
  <c r="M19" i="11"/>
  <c r="M18" i="11"/>
  <c r="M17" i="11"/>
  <c r="M16" i="11"/>
  <c r="M14" i="11"/>
  <c r="M13" i="11"/>
  <c r="M12" i="11"/>
  <c r="M11" i="11"/>
  <c r="K11" i="11"/>
  <c r="S10" i="11"/>
  <c r="R10" i="11"/>
  <c r="AA10" i="11" s="1"/>
  <c r="N10" i="11"/>
  <c r="M10" i="11"/>
  <c r="K10" i="11"/>
  <c r="S9" i="11"/>
  <c r="R9" i="11"/>
  <c r="N9" i="11"/>
  <c r="M9" i="11"/>
  <c r="K9" i="11"/>
  <c r="J20" i="11"/>
  <c r="X20" i="11" s="1"/>
  <c r="J19" i="11"/>
  <c r="X19" i="11" s="1"/>
  <c r="J18" i="11"/>
  <c r="X18" i="11" s="1"/>
  <c r="J17" i="11"/>
  <c r="X17" i="11" s="1"/>
  <c r="J16" i="11"/>
  <c r="X16" i="11" s="1"/>
  <c r="J14" i="11"/>
  <c r="X14" i="11" s="1"/>
  <c r="J13" i="11"/>
  <c r="X13" i="11" s="1"/>
  <c r="J12" i="11"/>
  <c r="X12" i="11" s="1"/>
  <c r="J11" i="11"/>
  <c r="X11" i="11" s="1"/>
  <c r="J10" i="11"/>
  <c r="X10" i="11" s="1"/>
  <c r="Y12" i="11" l="1"/>
  <c r="Y17" i="11"/>
  <c r="Y9" i="11"/>
  <c r="AA13" i="11"/>
  <c r="Y14" i="11"/>
  <c r="AA18" i="11"/>
  <c r="AB18" i="11" s="1"/>
  <c r="AA9" i="11"/>
  <c r="Y10" i="11"/>
  <c r="Y19" i="11"/>
  <c r="J9" i="11"/>
  <c r="X9" i="11" s="1"/>
</calcChain>
</file>

<file path=xl/sharedStrings.xml><?xml version="1.0" encoding="utf-8"?>
<sst xmlns="http://schemas.openxmlformats.org/spreadsheetml/2006/main" count="1213" uniqueCount="340">
  <si>
    <t>OK</t>
  </si>
  <si>
    <t>N/A</t>
  </si>
  <si>
    <t>Mapping Generador (nt)</t>
  </si>
  <si>
    <t># CASE</t>
  </si>
  <si>
    <t>DESC</t>
  </si>
  <si>
    <t>Agency.csv</t>
  </si>
  <si>
    <t>Present in Specification</t>
  </si>
  <si>
    <t>Stop.csv</t>
  </si>
  <si>
    <t>gtfs:Station</t>
  </si>
  <si>
    <t>Wheelchair accessibility</t>
  </si>
  <si>
    <t>routetype</t>
  </si>
  <si>
    <t>Routes.csv</t>
  </si>
  <si>
    <t>Trips.csv</t>
  </si>
  <si>
    <t>Stop_times.csv</t>
  </si>
  <si>
    <t xml:space="preserve">gtfs:PickupType </t>
  </si>
  <si>
    <t>gtfs:DropOffType</t>
  </si>
  <si>
    <t>gtfs:Service</t>
  </si>
  <si>
    <t>Calendar.csv</t>
  </si>
  <si>
    <t>Calendar_dates.csv</t>
  </si>
  <si>
    <t>gtfs:FareClass</t>
  </si>
  <si>
    <t>gtfs:FareRule</t>
  </si>
  <si>
    <t>gtfs:Zone</t>
  </si>
  <si>
    <t>Shapes.csv</t>
  </si>
  <si>
    <t>gtfs:ShapePoint</t>
  </si>
  <si>
    <t>gtfs:TransferRule</t>
  </si>
  <si>
    <t>gtfs:Agency</t>
  </si>
  <si>
    <t>gtfs:Stop</t>
  </si>
  <si>
    <t>gtfs:Route</t>
  </si>
  <si>
    <t>gtfs:Trip</t>
  </si>
  <si>
    <t>gtfs:StopTime</t>
  </si>
  <si>
    <t>gtfs:CalendarRule</t>
  </si>
  <si>
    <t>gtfs:CalendarDateRule</t>
  </si>
  <si>
    <t>gtfs:Frequency</t>
  </si>
  <si>
    <t>Vocabulary</t>
  </si>
  <si>
    <t>Properties</t>
  </si>
  <si>
    <t>NO</t>
  </si>
  <si>
    <t>Feed_info.csv</t>
  </si>
  <si>
    <t>SOURCE</t>
  </si>
  <si>
    <t>Fields on mapping</t>
  </si>
  <si>
    <t>foaf:name    OK
foaf:page      OK
gtfs:timeZone  OK</t>
  </si>
  <si>
    <t>Mandatory ( In source)</t>
  </si>
  <si>
    <t xml:space="preserve">  All Recommended (In Source )</t>
  </si>
  <si>
    <t>dct:language   OK
foaf:phone  OK
gtfs:fareUrl  OK</t>
  </si>
  <si>
    <t>gtfs:shortName  OK
gtfs:longName OK
gtfs:routeType OK
gtfs:agency  OK</t>
  </si>
  <si>
    <t>dct:description  OK
gtfs:routeUrl OK
gtfs:color  OK
gtfs:textColor OK</t>
  </si>
  <si>
    <t>gtfs:route  OK
gtfs:service OK</t>
  </si>
  <si>
    <r>
      <t xml:space="preserve">gtfs:headsign  OK
gtfs:shortName  OK
gtfs:direction  OK
gtfs:block  OK
gtfs:shape OK
gtfs:wheelchairAccessible OK
gtfs:bikesAllowed </t>
    </r>
    <r>
      <rPr>
        <sz val="11"/>
        <color rgb="FFFF0000"/>
        <rFont val="Calibri"/>
        <family val="2"/>
        <scheme val="minor"/>
      </rPr>
      <t>NO</t>
    </r>
  </si>
  <si>
    <t>gtfs:trip  OK
gtfs:arrivalTime OK
gtfs:departureTime  OK
gtfs:stop  OK
gtfs:stopSequence  OK</t>
  </si>
  <si>
    <t>gtfs:headsign  OK
gtfs:pickupType  OK
gtfs:dropOffType OK
gtfs:distanceTraveled  OK</t>
  </si>
  <si>
    <t xml:space="preserve">gtfs:monday, OK
gtfs:Tuesday OK
gtfs:Wednesday OK
gtfs:Thursday OK
gtfs:Friday OK
gtfs:Saturday OK
gtfs:Sunday  OK
dct:temportal  =  OK (schema:startDate and schema:endDate )
</t>
  </si>
  <si>
    <t>dct:date  OK
gtfs:dateAddition OK</t>
  </si>
  <si>
    <t>geo:long OK
geo:lat  OK
gtfs:pointSequence  OK</t>
  </si>
  <si>
    <t>gtfs:distanceTraveled  OK</t>
  </si>
  <si>
    <t>Frecuencies.csv</t>
  </si>
  <si>
    <t>gtfs:trip OK
gtfs:startTime  OK
gtfs:endTime  OK
gtfs:headwaySeconds  OK
gtfs:exactTimes OK</t>
  </si>
  <si>
    <t>On Spec but no on source files</t>
  </si>
  <si>
    <t>Note: This are the properties presented in file and mapping , but are not on spec.md: 
foaf:page OK
dc:language OK
dc:publisher OK
schema:startDate OK
schema:endDate OK
schema:version OK</t>
  </si>
  <si>
    <t>This are the properties shown on spec.md , this are not optional, just a reference
dct:title 
dct:issued 
dct:modified
dcat:contactPoint
dct:temporal  
dct:spatial
dct:publisher 
dct:accrualPeriodicity 
dct:language 
dcat:distribution
schema:version OK</t>
  </si>
  <si>
    <t xml:space="preserve">gtfs:feed </t>
  </si>
  <si>
    <t>Size: 1
Input: CSV
Tool: SDM</t>
  </si>
  <si>
    <t>Size: 1
Input: JSON
Tool: SDM</t>
  </si>
  <si>
    <t>Size: 1
Input: XML
Tool: SDM</t>
  </si>
  <si>
    <t>Size: 5
Input: CSV
Tool: SDM</t>
  </si>
  <si>
    <t>Size: 5
Input: JSON
Tool: SDM</t>
  </si>
  <si>
    <t>Size: 5
Input: XML
Tool: SDM</t>
  </si>
  <si>
    <t>Size: 1
Input: CSV
Tool: RMLMapper</t>
  </si>
  <si>
    <t>Size: 1
Input: JSON
Tool: RMLMapper</t>
  </si>
  <si>
    <t>Size: 1
Input: XML
Tool: RMLMapper</t>
  </si>
  <si>
    <t>Size: 5
Input: CSV
Tool: RMLMapper</t>
  </si>
  <si>
    <t>Size: 5
Input: JSON
Tool: RMLMapper</t>
  </si>
  <si>
    <t>Size: 5
Input: XML
Tool: RMLMapper</t>
  </si>
  <si>
    <t>Size: 1
Input: CSV
Tool: RocketRML</t>
  </si>
  <si>
    <t>Size: 1
Input: JSON
Tool: RocketRML</t>
  </si>
  <si>
    <t>Size: 1
Input: XML
Tool: RocketRML</t>
  </si>
  <si>
    <t xml:space="preserve"># Tripletas : 574881
Time: 39.44 Seg
</t>
  </si>
  <si>
    <t xml:space="preserve"># Tripletas :  ERROR-TIMEOUT
Time:
</t>
  </si>
  <si>
    <t xml:space="preserve"># Tripletas : 574881
Time: 421s
</t>
  </si>
  <si>
    <t xml:space="preserve"># Tripletas : 574811
Time: 10.78 Seg
</t>
  </si>
  <si>
    <t xml:space="preserve"># Tripletas : 2874405
Time: 679 Seg
</t>
  </si>
  <si>
    <t xml:space="preserve"># Tripletas : 2874055
Time: 43  Seg
</t>
  </si>
  <si>
    <t>Size: 5
Input: CSV
Tool: RocketRML</t>
  </si>
  <si>
    <t>Size: 5
Input: JSON
Tool: RocketRML</t>
  </si>
  <si>
    <t>Size: 5
Input: XML
Tool: RocketRML</t>
  </si>
  <si>
    <t>Size: 3
Input: CSV
Tool: SDM</t>
  </si>
  <si>
    <t>Size: 3
Input: JSON
Tool: SDM</t>
  </si>
  <si>
    <t>Size: 3
Input: XML
Tool: SDM</t>
  </si>
  <si>
    <t>Size: 3
Input: CSV
Tool: RMLMapper</t>
  </si>
  <si>
    <t>Size: 3
Input: JSON
Tool: RMLMapper</t>
  </si>
  <si>
    <t>Size: 3
Input: XML
Tool: RMLMapper</t>
  </si>
  <si>
    <t>Size: 3
Input: CSV
Tool: RocketRML</t>
  </si>
  <si>
    <t>Size: 3
Input: JSON
Tool: RocketRML</t>
  </si>
  <si>
    <t>Size: 3
Input: XML
Tool: RocketRML</t>
  </si>
  <si>
    <t xml:space="preserve"># Tripletas : 
Time: </t>
  </si>
  <si>
    <t xml:space="preserve"># Tripletas : 1724643
Time: 257.5
</t>
  </si>
  <si>
    <t xml:space="preserve"># Tripletas : 1724433
Time:  26
</t>
  </si>
  <si>
    <t>Case1-01</t>
  </si>
  <si>
    <t>Case1-02</t>
  </si>
  <si>
    <t>Case1-03</t>
  </si>
  <si>
    <t>Case1-04</t>
  </si>
  <si>
    <t>Case1-05</t>
  </si>
  <si>
    <t>Case1-06</t>
  </si>
  <si>
    <t>Case1-07</t>
  </si>
  <si>
    <t>Case1-08</t>
  </si>
  <si>
    <t>Case1-09</t>
  </si>
  <si>
    <t>Case1-10</t>
  </si>
  <si>
    <t>Case1-11</t>
  </si>
  <si>
    <t>Case1-12</t>
  </si>
  <si>
    <t>Case2-01</t>
  </si>
  <si>
    <t>Case2-02</t>
  </si>
  <si>
    <t>Case2-03</t>
  </si>
  <si>
    <t>Case2-04</t>
  </si>
  <si>
    <t>Case2-05</t>
  </si>
  <si>
    <t>Case2-06</t>
  </si>
  <si>
    <t>Case2-07</t>
  </si>
  <si>
    <t>Case2-08</t>
  </si>
  <si>
    <t>Case2-09</t>
  </si>
  <si>
    <t>Case2-10</t>
  </si>
  <si>
    <t>Case2-11</t>
  </si>
  <si>
    <t>Case2-12</t>
  </si>
  <si>
    <t>Case3-01</t>
  </si>
  <si>
    <t>Case3-02</t>
  </si>
  <si>
    <t>Case3-03</t>
  </si>
  <si>
    <t>Case3-04</t>
  </si>
  <si>
    <t>Case3-05</t>
  </si>
  <si>
    <t>Case3-06</t>
  </si>
  <si>
    <t>Case3-07</t>
  </si>
  <si>
    <t>Case3-08</t>
  </si>
  <si>
    <t>Case3-09</t>
  </si>
  <si>
    <t>Case3-10</t>
  </si>
  <si>
    <t>Case3-11</t>
  </si>
  <si>
    <t>Case3-12</t>
  </si>
  <si>
    <t>Case5-01</t>
  </si>
  <si>
    <t>Case5-02</t>
  </si>
  <si>
    <t>Case5-03</t>
  </si>
  <si>
    <t>Case5-04</t>
  </si>
  <si>
    <t>Case5-05</t>
  </si>
  <si>
    <t>Case5-06</t>
  </si>
  <si>
    <t>Case5-07</t>
  </si>
  <si>
    <t>Case5-08</t>
  </si>
  <si>
    <t>Case5-09</t>
  </si>
  <si>
    <t>Case5-10</t>
  </si>
  <si>
    <t>Case5-11</t>
  </si>
  <si>
    <t>Case5-12</t>
  </si>
  <si>
    <t>Size: 1
Input: Custom 
(4J,3C,3X)
Tool: SDM</t>
  </si>
  <si>
    <t>Size: 2
Input: Custom 
(4J,3C,3X)
Tool: SDM</t>
  </si>
  <si>
    <t>Size: 1
Input: Custom 
(4J,3C,3X)
Tool: RMLMapper</t>
  </si>
  <si>
    <t>Size: 1
Input: Custom 
(4J,3C,3X)
Tool: RocketRML</t>
  </si>
  <si>
    <t>Size: 2
Input: CSV
Tool: SDM</t>
  </si>
  <si>
    <t>Size: 2
Input: JSON
Tool: SDM</t>
  </si>
  <si>
    <t>Size: 2
Input: XML
Tool: SDM</t>
  </si>
  <si>
    <t>Size: 2
Input: CSV
Tool: RMLMapper</t>
  </si>
  <si>
    <t>Size: 2
Input: JSON
Tool: RMLMapper</t>
  </si>
  <si>
    <t>Size: 2
Input: XML
Tool: RMLMapper</t>
  </si>
  <si>
    <t>Size: 2
Input: Custom 
(4J,3C,3X)
Tool: RMLMapper</t>
  </si>
  <si>
    <t>Size: 2
Input: CSV
Tool: RocketRML</t>
  </si>
  <si>
    <t>Size: 2
Input: JSON
Tool: RocketRML</t>
  </si>
  <si>
    <t>Size: 2
Input: XML
Tool: RocketRML</t>
  </si>
  <si>
    <t>Size: 2
Input: Custom 
(4J,3C,3X)
Tool: RocketRML</t>
  </si>
  <si>
    <t>Size: 3
Input: Custom 
(4J,3C,3X)
Tool: SDM</t>
  </si>
  <si>
    <t>Size: 3
Input: Custom 
(4J,3C,3X)
Tool: RMLMapper</t>
  </si>
  <si>
    <t>Size: 3
Input: Custom 
(4J,3C,3X)
Tool: RocketRML</t>
  </si>
  <si>
    <t>Size: 5
Input: Custom 
(4J,3C,3X)
Tool: SDM</t>
  </si>
  <si>
    <t>Size: 5
Input: Custom 
(4J,3C,3X)
Tool: RMLMapper</t>
  </si>
  <si>
    <t>Size: 5
Input: Custom 
(4J,3C,3X)
Tool: RocketRML</t>
  </si>
  <si>
    <t># Tripletas : 574881
Time: 34.98 Seg</t>
  </si>
  <si>
    <t># Tripletas : 574811
Time: 11.01 Seg</t>
  </si>
  <si>
    <t># Tripletas : 576550
Time: 5917seg  98.7min</t>
  </si>
  <si>
    <t># Tripletas :  576550
Time: 12702 seg   211 min</t>
  </si>
  <si>
    <t># Tripletas : 575011
Time:   27320 seg 455Min</t>
  </si>
  <si>
    <t># Tripletas :  574881
Time: 116s</t>
  </si>
  <si>
    <t># Tripletas : 576550
Time: 172s</t>
  </si>
  <si>
    <t># Tripletas : 574881
Time: 152 seg</t>
  </si>
  <si>
    <t># Tripletas : 1724643
Time: 282.9</t>
  </si>
  <si>
    <t># Tripletas : 1724433
Time: 29.1</t>
  </si>
  <si>
    <t># Tripletas : ERROR - JavaScript heap out of memory
Time:</t>
  </si>
  <si>
    <t># Tripletas :  ERROR-TIMEOUT
Time:</t>
  </si>
  <si>
    <t># Tripletas : 1149762
Time: 132 Seg</t>
  </si>
  <si>
    <t># Tripletas : 1149762
Time:  116 Seg</t>
  </si>
  <si>
    <t># Tripletas : 1149622
Time: 19 Seg</t>
  </si>
  <si>
    <t># Tripletas : 1149622
Time:  18</t>
  </si>
  <si>
    <t># Tripletas : 1149762
Time:   317 Seg</t>
  </si>
  <si>
    <t># Tripletas : 2874405
Time: 756 Seg</t>
  </si>
  <si>
    <t># Tripletas : 2874055
Time: 46 Seg</t>
  </si>
  <si>
    <t>Case20-01</t>
  </si>
  <si>
    <t>Case20-02</t>
  </si>
  <si>
    <t>Case20-03</t>
  </si>
  <si>
    <t>Case20-04</t>
  </si>
  <si>
    <t># Tripletas :   11497620
Time: 13152 seg</t>
  </si>
  <si>
    <t># Tripletas :  11497620
Time: 12765</t>
  </si>
  <si>
    <t># Tripletas : 1153100
Time: 50364 Seg 839min
13.9 horas</t>
  </si>
  <si>
    <t xml:space="preserve"># Tripletas :  ERROR-TIMEOUT
Time: +24, didn’t finish
</t>
  </si>
  <si>
    <t># Tripletas : 1153100
Time: 45411 Seg  757min 12,61 Horas</t>
  </si>
  <si>
    <t># Tripletas :  ERROR-TIMEOUT
Time: +24h</t>
  </si>
  <si>
    <t># Tripletas :  ERROR-TIMEOUT
Time: + 24h</t>
  </si>
  <si>
    <t># Tripletas :  11496220
Time: 169 seg</t>
  </si>
  <si>
    <t># Tripletas :  11496220
Time: 224 Seg</t>
  </si>
  <si>
    <t>Case50-01</t>
  </si>
  <si>
    <t>Case50-02</t>
  </si>
  <si>
    <t>Case50-03</t>
  </si>
  <si>
    <t>Case50-04</t>
  </si>
  <si>
    <t xml:space="preserve"># Tripletas :   
Time: </t>
  </si>
  <si>
    <t>Case100-01</t>
  </si>
  <si>
    <t>Case100-02</t>
  </si>
  <si>
    <t>Case100-03</t>
  </si>
  <si>
    <t>Case100-04</t>
  </si>
  <si>
    <t>SUCESFULL</t>
  </si>
  <si>
    <t>FAILED</t>
  </si>
  <si>
    <t xml:space="preserve">foaf:name OK .
geo:long OK .
geo:lat  OK . </t>
  </si>
  <si>
    <r>
      <t xml:space="preserve">dct:identifier OK .
gtfs:code OK .
dct:description OK .
gtfs:zone  OK .
foaf:page OK . 
gtfs:timeZone OK .
gtfs:parentStation OK .
gtfs:wheelchairAccessible OK
</t>
    </r>
    <r>
      <rPr>
        <sz val="11"/>
        <color theme="9" tint="-0.249977111117893"/>
        <rFont val="Calibri"/>
        <family val="2"/>
        <scheme val="minor"/>
      </rPr>
      <t>gtfs:locationType (added)</t>
    </r>
  </si>
  <si>
    <t>id</t>
  </si>
  <si>
    <t>Provenance</t>
  </si>
  <si>
    <t>Prov1</t>
  </si>
  <si>
    <t>Prov2</t>
  </si>
  <si>
    <t>Prov3</t>
  </si>
  <si>
    <t>Conciseness</t>
  </si>
  <si>
    <t>Conci1</t>
  </si>
  <si>
    <t>Conci2</t>
  </si>
  <si>
    <t>Completeness</t>
  </si>
  <si>
    <t>Comp2</t>
  </si>
  <si>
    <t>Consistency</t>
  </si>
  <si>
    <t>Cons1</t>
  </si>
  <si>
    <t>Cons2</t>
  </si>
  <si>
    <t>Cons3</t>
  </si>
  <si>
    <t>Accurracy</t>
  </si>
  <si>
    <t>Acc</t>
  </si>
  <si>
    <t>Acc1</t>
  </si>
  <si>
    <t>Comp3</t>
  </si>
  <si>
    <t>Case</t>
  </si>
  <si>
    <t>Conci01-q1</t>
  </si>
  <si>
    <t>Conci02-q1</t>
  </si>
  <si>
    <t>Acc3</t>
  </si>
  <si>
    <t>Why Not</t>
  </si>
  <si>
    <t>To do a count and not a distinct</t>
  </si>
  <si>
    <t>Why total#triplets when wc-l 574881 and it shows  575061</t>
  </si>
  <si>
    <t>Performance</t>
  </si>
  <si>
    <t>(Seg)</t>
  </si>
  <si>
    <t>TimeOut</t>
  </si>
  <si>
    <t>Comp1</t>
  </si>
  <si>
    <t>Mant1</t>
  </si>
  <si>
    <t>Mant2</t>
  </si>
  <si>
    <t>Dimension</t>
  </si>
  <si>
    <t>Peso (W)</t>
  </si>
  <si>
    <t>Metrics</t>
  </si>
  <si>
    <t>S/O</t>
  </si>
  <si>
    <t>Tecnica</t>
  </si>
  <si>
    <t>Escala</t>
  </si>
  <si>
    <t>Dq</t>
  </si>
  <si>
    <t>score</t>
  </si>
  <si>
    <t>weighted</t>
  </si>
  <si>
    <t>Rendimiento</t>
  </si>
  <si>
    <t>Per01</t>
  </si>
  <si>
    <t>O</t>
  </si>
  <si>
    <t>1- (Tiempo Finalizacion - Tiempo Inicializacion/3600)</t>
  </si>
  <si>
    <t>P</t>
  </si>
  <si>
    <t>Per02</t>
  </si>
  <si>
    <t>1 - (Memoria en uso / Memoria total)</t>
  </si>
  <si>
    <t>Per03</t>
  </si>
  <si>
    <t xml:space="preserve">S </t>
  </si>
  <si>
    <t>(1 Si 0 No)</t>
  </si>
  <si>
    <t>A</t>
  </si>
  <si>
    <t>S</t>
  </si>
  <si>
    <t>Mantenimiento</t>
  </si>
  <si>
    <t>Man01</t>
  </si>
  <si>
    <t>Man02</t>
  </si>
  <si>
    <t>Procedencia</t>
  </si>
  <si>
    <t>Prov01</t>
  </si>
  <si>
    <t>Prov02</t>
  </si>
  <si>
    <t>Exactitud</t>
  </si>
  <si>
    <t>Accu01</t>
  </si>
  <si>
    <t>1-(# tripletas con valores ausentes/# total tripletas dataset)</t>
  </si>
  <si>
    <t>Accu02</t>
  </si>
  <si>
    <t>1-(# tripletas con valores propiedasdes atipicos ausentes/# total tripletas dataset)</t>
  </si>
  <si>
    <t>Accu03</t>
  </si>
  <si>
    <t>1-(# tripletas con valores propiedasdes erroneos/# total tripletas dataset)</t>
  </si>
  <si>
    <t>Consistencia</t>
  </si>
  <si>
    <t>Con01</t>
  </si>
  <si>
    <t>1-(# entidades clases disjuntas / # entidades dataset)</t>
  </si>
  <si>
    <t>Con02</t>
  </si>
  <si>
    <t>1-(# propiedades con datos homogeneos /# total de propiedades)</t>
  </si>
  <si>
    <t>Con03</t>
  </si>
  <si>
    <t>1-(# tripletas con propiedades similares /# total tripletas dataset)</t>
  </si>
  <si>
    <t>Completitud</t>
  </si>
  <si>
    <t>Com01</t>
  </si>
  <si>
    <t>1-(#Clases y propiedades representadas/#total clases y propiedades dataaset)</t>
  </si>
  <si>
    <t>Com02</t>
  </si>
  <si>
    <t># Propiedades dataset / # Clases datasets</t>
  </si>
  <si>
    <t>Com03</t>
  </si>
  <si>
    <t># propiedades presentadas por instancia / # total isntancias dataset</t>
  </si>
  <si>
    <t>Maintainability</t>
  </si>
  <si>
    <t>Conci01</t>
  </si>
  <si>
    <t>Conci02</t>
  </si>
  <si>
    <t>Conciso</t>
  </si>
  <si>
    <t># Atributos unicos dataset /# Total Atributos en el esquema</t>
  </si>
  <si>
    <t># Objetos unicos dataset / # total de representación de objetos en el dataset</t>
  </si>
  <si>
    <t>p</t>
  </si>
  <si>
    <t>Error</t>
  </si>
  <si>
    <t>CaseX-01</t>
  </si>
  <si>
    <t>CaseX-02</t>
  </si>
  <si>
    <t>CaseX-03</t>
  </si>
  <si>
    <t>CaseX-04</t>
  </si>
  <si>
    <t>CaseX-05</t>
  </si>
  <si>
    <t>CaseX-06</t>
  </si>
  <si>
    <t>CaseX-07</t>
  </si>
  <si>
    <t>CaseX-08</t>
  </si>
  <si>
    <t>CaseX-09</t>
  </si>
  <si>
    <t>CaseX-10</t>
  </si>
  <si>
    <t>CaseX-11</t>
  </si>
  <si>
    <t>CaseX-12</t>
  </si>
  <si>
    <t>Herramienta</t>
  </si>
  <si>
    <t>SDM-RDFizer</t>
  </si>
  <si>
    <t>RMLMapper</t>
  </si>
  <si>
    <t>RocketRML</t>
  </si>
  <si>
    <t>CSV</t>
  </si>
  <si>
    <t>JSON</t>
  </si>
  <si>
    <t>XML</t>
  </si>
  <si>
    <t>CUSTOM</t>
  </si>
  <si>
    <t>Triples</t>
  </si>
  <si>
    <t>#</t>
  </si>
  <si>
    <t>Perfor.</t>
  </si>
  <si>
    <t>Mant.</t>
  </si>
  <si>
    <t>Comp.</t>
  </si>
  <si>
    <t xml:space="preserve">Concis. </t>
  </si>
  <si>
    <t>Consist.</t>
  </si>
  <si>
    <t>OAQ</t>
  </si>
  <si>
    <t>Quality</t>
  </si>
  <si>
    <t># Tripletas : 28744050
Time: 72360</t>
  </si>
  <si>
    <t># Tripletas :   28744050
Time: 78240</t>
  </si>
  <si>
    <t># Tripletas : 28740550
Time:  421.51</t>
  </si>
  <si>
    <t># Tripletas : 28740550
Time:  542.30</t>
  </si>
  <si>
    <t>SCALE 1</t>
  </si>
  <si>
    <t>AGENCY</t>
  </si>
  <si>
    <t>CALENDAR</t>
  </si>
  <si>
    <t>CALENDAR_DATES</t>
  </si>
  <si>
    <t>FEED_INFO</t>
  </si>
  <si>
    <t>FREQUENCIES</t>
  </si>
  <si>
    <t>ROUTES</t>
  </si>
  <si>
    <t>SHAPES</t>
  </si>
  <si>
    <t>STOP_TIMES</t>
  </si>
  <si>
    <t>STOPS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</si>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</sst>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rgb="FF000000"/>
      <name val="Bookman Old Style"/>
      <family val="1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D9D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11" borderId="1" xfId="0" applyFill="1" applyBorder="1" applyAlignment="1">
      <alignment vertical="top"/>
    </xf>
    <xf numFmtId="0" fontId="0" fillId="14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12" borderId="1" xfId="0" applyFill="1" applyBorder="1" applyAlignment="1">
      <alignment vertical="top"/>
    </xf>
    <xf numFmtId="0" fontId="0" fillId="12" borderId="1" xfId="0" applyFill="1" applyBorder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16" borderId="1" xfId="0" applyFill="1" applyBorder="1" applyAlignment="1">
      <alignment vertical="top"/>
    </xf>
    <xf numFmtId="0" fontId="0" fillId="16" borderId="1" xfId="0" applyFill="1" applyBorder="1" applyAlignment="1">
      <alignment vertical="top" wrapText="1"/>
    </xf>
    <xf numFmtId="0" fontId="4" fillId="17" borderId="0" xfId="0" applyFont="1" applyFill="1"/>
    <xf numFmtId="0" fontId="0" fillId="14" borderId="0" xfId="0" applyFill="1"/>
    <xf numFmtId="0" fontId="4" fillId="13" borderId="0" xfId="0" applyFont="1" applyFill="1"/>
    <xf numFmtId="0" fontId="0" fillId="17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0" fillId="13" borderId="1" xfId="0" applyFill="1" applyBorder="1" applyAlignment="1">
      <alignment vertical="top"/>
    </xf>
    <xf numFmtId="0" fontId="0" fillId="13" borderId="1" xfId="0" applyFill="1" applyBorder="1" applyAlignment="1">
      <alignment vertical="top" wrapText="1"/>
    </xf>
    <xf numFmtId="0" fontId="0" fillId="13" borderId="0" xfId="0" applyFill="1"/>
    <xf numFmtId="0" fontId="3" fillId="17" borderId="0" xfId="0" applyFont="1" applyFill="1"/>
    <xf numFmtId="0" fontId="5" fillId="17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13" borderId="0" xfId="0" applyFill="1" applyAlignment="1">
      <alignment vertical="top"/>
    </xf>
    <xf numFmtId="0" fontId="0" fillId="18" borderId="4" xfId="0" applyFill="1" applyBorder="1" applyAlignment="1">
      <alignment horizontal="right" vertical="top"/>
    </xf>
    <xf numFmtId="0" fontId="0" fillId="18" borderId="1" xfId="0" applyFill="1" applyBorder="1" applyAlignment="1">
      <alignment horizontal="right" vertical="top"/>
    </xf>
    <xf numFmtId="0" fontId="0" fillId="18" borderId="1" xfId="0" applyFill="1" applyBorder="1" applyAlignment="1">
      <alignment horizontal="right"/>
    </xf>
    <xf numFmtId="0" fontId="0" fillId="0" borderId="0" xfId="0" applyBorder="1"/>
    <xf numFmtId="0" fontId="0" fillId="0" borderId="8" xfId="0" applyBorder="1"/>
    <xf numFmtId="0" fontId="7" fillId="19" borderId="0" xfId="0" applyFont="1" applyFill="1" applyAlignment="1">
      <alignment horizontal="center" vertical="center" wrapText="1"/>
    </xf>
    <xf numFmtId="0" fontId="0" fillId="0" borderId="10" xfId="0" applyBorder="1"/>
    <xf numFmtId="0" fontId="7" fillId="19" borderId="13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vertical="center" wrapText="1"/>
    </xf>
    <xf numFmtId="0" fontId="7" fillId="19" borderId="6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20" borderId="11" xfId="0" applyFont="1" applyFill="1" applyBorder="1" applyAlignment="1">
      <alignment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center" vertical="center" wrapText="1"/>
    </xf>
    <xf numFmtId="0" fontId="7" fillId="20" borderId="14" xfId="0" applyFont="1" applyFill="1" applyBorder="1" applyAlignment="1">
      <alignment vertical="center"/>
    </xf>
    <xf numFmtId="0" fontId="7" fillId="20" borderId="8" xfId="0" applyFont="1" applyFill="1" applyBorder="1" applyAlignment="1">
      <alignment vertical="center"/>
    </xf>
    <xf numFmtId="0" fontId="7" fillId="20" borderId="1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0" borderId="11" xfId="0" applyFont="1" applyFill="1" applyBorder="1" applyAlignment="1">
      <alignment vertical="center" wrapText="1"/>
    </xf>
    <xf numFmtId="0" fontId="7" fillId="20" borderId="16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7" xfId="0" applyBorder="1"/>
    <xf numFmtId="0" fontId="0" fillId="0" borderId="13" xfId="0" applyBorder="1"/>
    <xf numFmtId="0" fontId="7" fillId="20" borderId="16" xfId="0" applyFont="1" applyFill="1" applyBorder="1" applyAlignment="1">
      <alignment horizontal="left" vertical="center" wrapText="1"/>
    </xf>
    <xf numFmtId="0" fontId="0" fillId="18" borderId="34" xfId="0" applyFill="1" applyBorder="1" applyAlignment="1">
      <alignment horizontal="right" vertical="top"/>
    </xf>
    <xf numFmtId="0" fontId="0" fillId="18" borderId="23" xfId="0" applyFill="1" applyBorder="1" applyAlignment="1">
      <alignment horizontal="right" vertical="top"/>
    </xf>
    <xf numFmtId="0" fontId="0" fillId="18" borderId="21" xfId="0" applyFill="1" applyBorder="1" applyAlignment="1">
      <alignment horizontal="right" vertical="top"/>
    </xf>
    <xf numFmtId="0" fontId="0" fillId="18" borderId="20" xfId="0" applyFill="1" applyBorder="1" applyAlignment="1">
      <alignment horizontal="right" vertical="top"/>
    </xf>
    <xf numFmtId="0" fontId="0" fillId="18" borderId="23" xfId="0" applyFill="1" applyBorder="1" applyAlignment="1">
      <alignment horizontal="right"/>
    </xf>
    <xf numFmtId="0" fontId="0" fillId="18" borderId="20" xfId="0" applyFill="1" applyBorder="1" applyAlignment="1">
      <alignment horizontal="right"/>
    </xf>
    <xf numFmtId="0" fontId="0" fillId="18" borderId="26" xfId="0" applyFill="1" applyBorder="1" applyAlignment="1">
      <alignment horizontal="right"/>
    </xf>
    <xf numFmtId="0" fontId="0" fillId="0" borderId="23" xfId="0" applyBorder="1"/>
    <xf numFmtId="0" fontId="0" fillId="18" borderId="43" xfId="0" applyFill="1" applyBorder="1" applyAlignment="1">
      <alignment horizontal="right" vertical="top"/>
    </xf>
    <xf numFmtId="0" fontId="0" fillId="18" borderId="26" xfId="0" applyFill="1" applyBorder="1" applyAlignment="1">
      <alignment horizontal="right" vertical="top"/>
    </xf>
    <xf numFmtId="0" fontId="0" fillId="18" borderId="21" xfId="0" applyFill="1" applyBorder="1"/>
    <xf numFmtId="0" fontId="0" fillId="18" borderId="4" xfId="0" applyFill="1" applyBorder="1"/>
    <xf numFmtId="0" fontId="0" fillId="18" borderId="32" xfId="0" applyFill="1" applyBorder="1"/>
    <xf numFmtId="0" fontId="0" fillId="18" borderId="29" xfId="0" applyFill="1" applyBorder="1"/>
    <xf numFmtId="0" fontId="0" fillId="18" borderId="37" xfId="0" applyFill="1" applyBorder="1"/>
    <xf numFmtId="0" fontId="0" fillId="18" borderId="49" xfId="0" applyFill="1" applyBorder="1"/>
    <xf numFmtId="0" fontId="0" fillId="4" borderId="25" xfId="0" applyFill="1" applyBorder="1" applyAlignment="1">
      <alignment horizontal="center" vertical="top"/>
    </xf>
    <xf numFmtId="0" fontId="0" fillId="4" borderId="51" xfId="0" applyFill="1" applyBorder="1" applyAlignment="1">
      <alignment horizontal="center" vertical="top"/>
    </xf>
    <xf numFmtId="0" fontId="0" fillId="4" borderId="27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39" xfId="0" applyFill="1" applyBorder="1" applyAlignment="1">
      <alignment horizontal="center" vertical="top"/>
    </xf>
    <xf numFmtId="0" fontId="0" fillId="4" borderId="14" xfId="0" applyFill="1" applyBorder="1" applyAlignment="1">
      <alignment horizontal="center" vertical="top"/>
    </xf>
    <xf numFmtId="0" fontId="0" fillId="4" borderId="31" xfId="0" applyFill="1" applyBorder="1" applyAlignment="1">
      <alignment horizontal="center" vertical="top"/>
    </xf>
    <xf numFmtId="0" fontId="0" fillId="4" borderId="2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18" borderId="33" xfId="0" applyFill="1" applyBorder="1"/>
    <xf numFmtId="0" fontId="0" fillId="18" borderId="34" xfId="0" applyFill="1" applyBorder="1"/>
    <xf numFmtId="0" fontId="0" fillId="18" borderId="36" xfId="0" applyFill="1" applyBorder="1" applyAlignment="1">
      <alignment horizontal="center"/>
    </xf>
    <xf numFmtId="0" fontId="2" fillId="18" borderId="23" xfId="0" applyFont="1" applyFill="1" applyBorder="1" applyAlignment="1">
      <alignment horizontal="center" vertical="top"/>
    </xf>
    <xf numFmtId="0" fontId="2" fillId="18" borderId="1" xfId="0" applyFont="1" applyFill="1" applyBorder="1" applyAlignment="1">
      <alignment horizontal="center" vertical="top"/>
    </xf>
    <xf numFmtId="0" fontId="2" fillId="18" borderId="20" xfId="0" applyFont="1" applyFill="1" applyBorder="1" applyAlignment="1">
      <alignment horizontal="center" vertical="top"/>
    </xf>
    <xf numFmtId="0" fontId="2" fillId="18" borderId="4" xfId="0" applyFont="1" applyFill="1" applyBorder="1" applyAlignment="1">
      <alignment horizontal="center" vertical="top"/>
    </xf>
    <xf numFmtId="0" fontId="2" fillId="18" borderId="26" xfId="0" applyFont="1" applyFill="1" applyBorder="1" applyAlignment="1">
      <alignment horizontal="center" vertical="top"/>
    </xf>
    <xf numFmtId="0" fontId="2" fillId="18" borderId="46" xfId="0" applyFont="1" applyFill="1" applyBorder="1" applyAlignment="1">
      <alignment horizontal="center" vertical="top"/>
    </xf>
    <xf numFmtId="0" fontId="2" fillId="18" borderId="48" xfId="0" applyFont="1" applyFill="1" applyBorder="1" applyAlignment="1">
      <alignment horizontal="center" vertical="top"/>
    </xf>
    <xf numFmtId="0" fontId="2" fillId="18" borderId="47" xfId="0" applyFont="1" applyFill="1" applyBorder="1" applyAlignment="1">
      <alignment horizontal="center" vertical="top"/>
    </xf>
    <xf numFmtId="0" fontId="2" fillId="18" borderId="45" xfId="0" applyFont="1" applyFill="1" applyBorder="1" applyAlignment="1">
      <alignment horizontal="center" vertical="top"/>
    </xf>
    <xf numFmtId="0" fontId="2" fillId="18" borderId="1" xfId="0" applyFont="1" applyFill="1" applyBorder="1" applyAlignment="1">
      <alignment horizontal="right"/>
    </xf>
    <xf numFmtId="0" fontId="2" fillId="18" borderId="21" xfId="0" applyFont="1" applyFill="1" applyBorder="1" applyAlignment="1">
      <alignment horizontal="center" vertical="top"/>
    </xf>
    <xf numFmtId="0" fontId="2" fillId="18" borderId="20" xfId="0" applyFont="1" applyFill="1" applyBorder="1" applyAlignment="1">
      <alignment horizontal="right"/>
    </xf>
    <xf numFmtId="0" fontId="2" fillId="18" borderId="34" xfId="0" applyFont="1" applyFill="1" applyBorder="1" applyAlignment="1">
      <alignment horizontal="center" vertical="top"/>
    </xf>
    <xf numFmtId="0" fontId="0" fillId="18" borderId="25" xfId="0" applyFill="1" applyBorder="1" applyAlignment="1">
      <alignment horizontal="center"/>
    </xf>
    <xf numFmtId="0" fontId="2" fillId="18" borderId="25" xfId="0" applyFont="1" applyFill="1" applyBorder="1" applyAlignment="1">
      <alignment horizontal="center"/>
    </xf>
    <xf numFmtId="0" fontId="0" fillId="18" borderId="22" xfId="0" applyFill="1" applyBorder="1" applyAlignment="1">
      <alignment horizontal="right" vertical="top"/>
    </xf>
    <xf numFmtId="0" fontId="0" fillId="18" borderId="36" xfId="0" applyFill="1" applyBorder="1" applyAlignment="1">
      <alignment horizontal="right" vertical="top"/>
    </xf>
    <xf numFmtId="0" fontId="0" fillId="18" borderId="42" xfId="0" applyFill="1" applyBorder="1" applyAlignment="1">
      <alignment horizontal="right" vertical="top"/>
    </xf>
    <xf numFmtId="0" fontId="0" fillId="18" borderId="53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36" xfId="0" applyFill="1" applyBorder="1" applyAlignment="1">
      <alignment horizontal="right"/>
    </xf>
    <xf numFmtId="0" fontId="0" fillId="18" borderId="25" xfId="0" applyFill="1" applyBorder="1" applyAlignment="1">
      <alignment horizontal="right"/>
    </xf>
    <xf numFmtId="0" fontId="0" fillId="4" borderId="30" xfId="0" applyFill="1" applyBorder="1" applyAlignment="1">
      <alignment horizontal="center" vertical="top"/>
    </xf>
    <xf numFmtId="0" fontId="0" fillId="18" borderId="44" xfId="0" applyFill="1" applyBorder="1" applyAlignment="1">
      <alignment horizontal="right"/>
    </xf>
    <xf numFmtId="0" fontId="0" fillId="0" borderId="12" xfId="0" applyBorder="1"/>
    <xf numFmtId="0" fontId="3" fillId="18" borderId="23" xfId="0" applyFont="1" applyFill="1" applyBorder="1" applyAlignment="1">
      <alignment horizontal="right"/>
    </xf>
    <xf numFmtId="0" fontId="0" fillId="18" borderId="22" xfId="0" applyFill="1" applyBorder="1" applyAlignment="1">
      <alignment horizontal="right"/>
    </xf>
    <xf numFmtId="0" fontId="3" fillId="18" borderId="4" xfId="0" applyFont="1" applyFill="1" applyBorder="1" applyAlignment="1">
      <alignment horizontal="center" vertical="top"/>
    </xf>
    <xf numFmtId="0" fontId="0" fillId="18" borderId="45" xfId="0" applyFill="1" applyBorder="1" applyAlignment="1">
      <alignment horizontal="right"/>
    </xf>
    <xf numFmtId="0" fontId="0" fillId="18" borderId="47" xfId="0" applyFill="1" applyBorder="1" applyAlignment="1">
      <alignment horizontal="right"/>
    </xf>
    <xf numFmtId="0" fontId="0" fillId="0" borderId="57" xfId="0" applyBorder="1"/>
    <xf numFmtId="0" fontId="0" fillId="0" borderId="0" xfId="0" applyAlignment="1">
      <alignment horizontal="right"/>
    </xf>
    <xf numFmtId="0" fontId="0" fillId="4" borderId="30" xfId="0" applyFill="1" applyBorder="1" applyAlignment="1">
      <alignment horizontal="right" vertical="top"/>
    </xf>
    <xf numFmtId="0" fontId="3" fillId="18" borderId="2" xfId="0" applyFont="1" applyFill="1" applyBorder="1" applyAlignment="1">
      <alignment horizontal="right" vertical="top"/>
    </xf>
    <xf numFmtId="0" fontId="3" fillId="18" borderId="20" xfId="0" applyFont="1" applyFill="1" applyBorder="1" applyAlignment="1">
      <alignment horizontal="right" vertical="top"/>
    </xf>
    <xf numFmtId="0" fontId="3" fillId="18" borderId="58" xfId="0" applyFont="1" applyFill="1" applyBorder="1" applyAlignment="1">
      <alignment horizontal="right" vertical="top"/>
    </xf>
    <xf numFmtId="0" fontId="3" fillId="18" borderId="26" xfId="0" applyFont="1" applyFill="1" applyBorder="1" applyAlignment="1">
      <alignment horizontal="right" vertical="top"/>
    </xf>
    <xf numFmtId="0" fontId="3" fillId="18" borderId="1" xfId="0" applyFont="1" applyFill="1" applyBorder="1" applyAlignment="1">
      <alignment horizontal="right" vertical="top"/>
    </xf>
    <xf numFmtId="0" fontId="3" fillId="18" borderId="23" xfId="0" applyFont="1" applyFill="1" applyBorder="1" applyAlignment="1">
      <alignment horizontal="right" vertical="top"/>
    </xf>
    <xf numFmtId="0" fontId="3" fillId="18" borderId="22" xfId="0" applyFont="1" applyFill="1" applyBorder="1" applyAlignment="1">
      <alignment horizontal="right" vertical="top"/>
    </xf>
    <xf numFmtId="0" fontId="3" fillId="18" borderId="59" xfId="0" applyFont="1" applyFill="1" applyBorder="1" applyAlignment="1">
      <alignment horizontal="right" vertical="top"/>
    </xf>
    <xf numFmtId="0" fontId="0" fillId="0" borderId="60" xfId="0" applyBorder="1"/>
    <xf numFmtId="0" fontId="0" fillId="0" borderId="61" xfId="0" applyBorder="1"/>
    <xf numFmtId="0" fontId="0" fillId="0" borderId="39" xfId="0" applyBorder="1"/>
    <xf numFmtId="0" fontId="0" fillId="0" borderId="62" xfId="0" applyBorder="1"/>
    <xf numFmtId="0" fontId="0" fillId="0" borderId="46" xfId="0" applyBorder="1"/>
    <xf numFmtId="0" fontId="2" fillId="18" borderId="1" xfId="0" applyFont="1" applyFill="1" applyBorder="1" applyAlignment="1">
      <alignment horizontal="center"/>
    </xf>
    <xf numFmtId="0" fontId="2" fillId="18" borderId="23" xfId="0" applyFont="1" applyFill="1" applyBorder="1" applyAlignment="1">
      <alignment horizontal="center"/>
    </xf>
    <xf numFmtId="0" fontId="2" fillId="18" borderId="58" xfId="0" applyFont="1" applyFill="1" applyBorder="1" applyAlignment="1">
      <alignment horizontal="center"/>
    </xf>
    <xf numFmtId="0" fontId="2" fillId="18" borderId="20" xfId="0" applyFont="1" applyFill="1" applyBorder="1" applyAlignment="1">
      <alignment horizontal="center"/>
    </xf>
    <xf numFmtId="0" fontId="2" fillId="18" borderId="47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18" borderId="22" xfId="0" applyFont="1" applyFill="1" applyBorder="1" applyAlignment="1">
      <alignment horizontal="center"/>
    </xf>
    <xf numFmtId="0" fontId="0" fillId="18" borderId="23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18" borderId="63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18" borderId="58" xfId="0" applyFont="1" applyFill="1" applyBorder="1" applyAlignment="1">
      <alignment horizontal="center" vertical="top"/>
    </xf>
    <xf numFmtId="0" fontId="2" fillId="0" borderId="60" xfId="0" applyFont="1" applyBorder="1" applyAlignment="1">
      <alignment horizontal="center"/>
    </xf>
    <xf numFmtId="0" fontId="2" fillId="18" borderId="46" xfId="0" applyFont="1" applyFill="1" applyBorder="1" applyAlignment="1">
      <alignment horizontal="center"/>
    </xf>
    <xf numFmtId="0" fontId="2" fillId="18" borderId="48" xfId="0" applyFont="1" applyFill="1" applyBorder="1" applyAlignment="1">
      <alignment horizontal="center"/>
    </xf>
    <xf numFmtId="0" fontId="0" fillId="0" borderId="51" xfId="0" applyBorder="1"/>
    <xf numFmtId="0" fontId="0" fillId="0" borderId="48" xfId="0" applyBorder="1"/>
    <xf numFmtId="0" fontId="0" fillId="4" borderId="6" xfId="0" applyFill="1" applyBorder="1" applyAlignment="1">
      <alignment horizontal="center" vertical="top"/>
    </xf>
    <xf numFmtId="0" fontId="2" fillId="14" borderId="0" xfId="0" applyFont="1" applyFill="1"/>
    <xf numFmtId="0" fontId="0" fillId="18" borderId="46" xfId="0" applyFill="1" applyBorder="1" applyAlignment="1">
      <alignment horizontal="right"/>
    </xf>
    <xf numFmtId="0" fontId="0" fillId="18" borderId="2" xfId="0" applyFill="1" applyBorder="1" applyAlignment="1">
      <alignment horizontal="right"/>
    </xf>
    <xf numFmtId="0" fontId="7" fillId="20" borderId="64" xfId="0" applyFont="1" applyFill="1" applyBorder="1" applyAlignment="1">
      <alignment horizontal="center" vertical="center" wrapText="1"/>
    </xf>
    <xf numFmtId="0" fontId="0" fillId="18" borderId="40" xfId="0" applyFill="1" applyBorder="1" applyAlignment="1">
      <alignment horizontal="center"/>
    </xf>
    <xf numFmtId="0" fontId="0" fillId="18" borderId="65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40" xfId="0" applyFill="1" applyBorder="1" applyAlignment="1">
      <alignment horizontal="center" vertical="top"/>
    </xf>
    <xf numFmtId="0" fontId="0" fillId="4" borderId="33" xfId="0" applyFill="1" applyBorder="1" applyAlignment="1">
      <alignment horizontal="center" vertical="top"/>
    </xf>
    <xf numFmtId="0" fontId="0" fillId="4" borderId="5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30" xfId="0" applyFill="1" applyBorder="1" applyAlignment="1">
      <alignment horizontal="center" vertical="top"/>
    </xf>
    <xf numFmtId="0" fontId="0" fillId="4" borderId="52" xfId="0" applyFill="1" applyBorder="1" applyAlignment="1">
      <alignment horizontal="center" vertical="top"/>
    </xf>
    <xf numFmtId="0" fontId="0" fillId="4" borderId="41" xfId="0" applyFill="1" applyBorder="1" applyAlignment="1">
      <alignment horizontal="center" vertical="top"/>
    </xf>
    <xf numFmtId="0" fontId="0" fillId="4" borderId="50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3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18" borderId="54" xfId="0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18" borderId="5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7" fillId="19" borderId="6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vertical="center"/>
    </xf>
    <xf numFmtId="0" fontId="7" fillId="19" borderId="7" xfId="0" applyFont="1" applyFill="1" applyBorder="1" applyAlignment="1">
      <alignment vertical="center"/>
    </xf>
    <xf numFmtId="0" fontId="7" fillId="19" borderId="8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35" workbookViewId="0">
      <selection activeCell="D64" sqref="D64"/>
    </sheetView>
  </sheetViews>
  <sheetFormatPr baseColWidth="10" defaultRowHeight="14.4" x14ac:dyDescent="0.55000000000000004"/>
  <cols>
    <col min="1" max="1" width="10.9453125" style="48"/>
    <col min="3" max="3" width="18.20703125" customWidth="1"/>
    <col min="4" max="4" width="23.26171875" customWidth="1"/>
  </cols>
  <sheetData>
    <row r="1" spans="1:5" x14ac:dyDescent="0.55000000000000004">
      <c r="E1" s="46" t="s">
        <v>205</v>
      </c>
    </row>
    <row r="2" spans="1:5" x14ac:dyDescent="0.55000000000000004">
      <c r="E2" s="37" t="s">
        <v>206</v>
      </c>
    </row>
    <row r="3" spans="1:5" x14ac:dyDescent="0.55000000000000004">
      <c r="A3" s="48" t="s">
        <v>209</v>
      </c>
      <c r="B3" s="41" t="s">
        <v>3</v>
      </c>
      <c r="C3" s="41" t="s">
        <v>4</v>
      </c>
      <c r="D3" s="42" t="s">
        <v>2</v>
      </c>
      <c r="E3" s="40" t="s">
        <v>0</v>
      </c>
    </row>
    <row r="4" spans="1:5" ht="43.2" x14ac:dyDescent="0.55000000000000004">
      <c r="A4" s="48">
        <v>1</v>
      </c>
      <c r="B4" s="19" t="s">
        <v>95</v>
      </c>
      <c r="C4" s="20" t="s">
        <v>59</v>
      </c>
      <c r="D4" s="20" t="s">
        <v>74</v>
      </c>
      <c r="E4" s="36"/>
    </row>
    <row r="5" spans="1:5" ht="43.2" x14ac:dyDescent="0.55000000000000004">
      <c r="A5" s="48">
        <v>2</v>
      </c>
      <c r="B5" s="19" t="s">
        <v>96</v>
      </c>
      <c r="C5" s="20" t="s">
        <v>60</v>
      </c>
      <c r="D5" s="20" t="s">
        <v>164</v>
      </c>
      <c r="E5" s="36"/>
    </row>
    <row r="6" spans="1:5" ht="43.2" x14ac:dyDescent="0.55000000000000004">
      <c r="A6" s="48">
        <v>3</v>
      </c>
      <c r="B6" s="19" t="s">
        <v>97</v>
      </c>
      <c r="C6" s="20" t="s">
        <v>61</v>
      </c>
      <c r="D6" s="20" t="s">
        <v>165</v>
      </c>
      <c r="E6" s="36"/>
    </row>
    <row r="7" spans="1:5" ht="57.6" x14ac:dyDescent="0.55000000000000004">
      <c r="A7" s="48">
        <v>4</v>
      </c>
      <c r="B7" s="19" t="s">
        <v>98</v>
      </c>
      <c r="C7" s="20" t="s">
        <v>143</v>
      </c>
      <c r="D7" s="20" t="s">
        <v>77</v>
      </c>
      <c r="E7" s="36"/>
    </row>
    <row r="8" spans="1:5" ht="43.2" x14ac:dyDescent="0.55000000000000004">
      <c r="A8" s="48">
        <v>5</v>
      </c>
      <c r="B8" s="15" t="s">
        <v>99</v>
      </c>
      <c r="C8" s="16" t="s">
        <v>65</v>
      </c>
      <c r="D8" s="16" t="s">
        <v>166</v>
      </c>
      <c r="E8" s="36"/>
    </row>
    <row r="9" spans="1:5" ht="43.2" x14ac:dyDescent="0.55000000000000004">
      <c r="A9" s="48">
        <v>6</v>
      </c>
      <c r="B9" s="15" t="s">
        <v>100</v>
      </c>
      <c r="C9" s="16" t="s">
        <v>66</v>
      </c>
      <c r="D9" s="16" t="s">
        <v>167</v>
      </c>
      <c r="E9" s="36"/>
    </row>
    <row r="10" spans="1:5" ht="57.6" x14ac:dyDescent="0.55000000000000004">
      <c r="A10" s="48">
        <v>7</v>
      </c>
      <c r="B10" s="15" t="s">
        <v>101</v>
      </c>
      <c r="C10" s="16" t="s">
        <v>67</v>
      </c>
      <c r="D10" s="18" t="s">
        <v>75</v>
      </c>
      <c r="E10" s="37"/>
    </row>
    <row r="11" spans="1:5" ht="57.6" x14ac:dyDescent="0.55000000000000004">
      <c r="A11" s="48">
        <v>8</v>
      </c>
      <c r="B11" s="15" t="s">
        <v>102</v>
      </c>
      <c r="C11" s="16" t="s">
        <v>145</v>
      </c>
      <c r="D11" s="16" t="s">
        <v>168</v>
      </c>
      <c r="E11" s="36"/>
    </row>
    <row r="12" spans="1:5" ht="43.2" x14ac:dyDescent="0.55000000000000004">
      <c r="A12" s="48">
        <v>9</v>
      </c>
      <c r="B12" s="21" t="s">
        <v>103</v>
      </c>
      <c r="C12" s="22" t="s">
        <v>71</v>
      </c>
      <c r="D12" s="22" t="s">
        <v>169</v>
      </c>
      <c r="E12" s="36"/>
    </row>
    <row r="13" spans="1:5" ht="43.2" x14ac:dyDescent="0.55000000000000004">
      <c r="A13" s="48">
        <v>10</v>
      </c>
      <c r="B13" s="21" t="s">
        <v>104</v>
      </c>
      <c r="C13" s="22" t="s">
        <v>72</v>
      </c>
      <c r="D13" s="22" t="s">
        <v>170</v>
      </c>
      <c r="E13" s="36"/>
    </row>
    <row r="14" spans="1:5" ht="43.2" x14ac:dyDescent="0.55000000000000004">
      <c r="A14" s="48">
        <v>11</v>
      </c>
      <c r="B14" s="21" t="s">
        <v>105</v>
      </c>
      <c r="C14" s="22" t="s">
        <v>73</v>
      </c>
      <c r="D14" s="22" t="s">
        <v>76</v>
      </c>
      <c r="E14" s="36"/>
    </row>
    <row r="15" spans="1:5" ht="57.6" x14ac:dyDescent="0.55000000000000004">
      <c r="A15" s="48">
        <v>12</v>
      </c>
      <c r="B15" s="21" t="s">
        <v>106</v>
      </c>
      <c r="C15" s="22" t="s">
        <v>146</v>
      </c>
      <c r="D15" s="22" t="s">
        <v>171</v>
      </c>
      <c r="E15" s="36"/>
    </row>
    <row r="16" spans="1:5" s="45" customFormat="1" x14ac:dyDescent="0.55000000000000004">
      <c r="A16" s="49"/>
      <c r="B16" s="43"/>
      <c r="C16" s="44"/>
      <c r="D16" s="44"/>
      <c r="E16" s="38"/>
    </row>
    <row r="17" spans="1:5" ht="43.2" x14ac:dyDescent="0.55000000000000004">
      <c r="A17" s="48">
        <v>13</v>
      </c>
      <c r="B17" s="23" t="s">
        <v>107</v>
      </c>
      <c r="C17" s="24" t="s">
        <v>147</v>
      </c>
      <c r="D17" s="24" t="s">
        <v>176</v>
      </c>
      <c r="E17" s="39"/>
    </row>
    <row r="18" spans="1:5" ht="43.2" x14ac:dyDescent="0.55000000000000004">
      <c r="A18" s="48">
        <v>14</v>
      </c>
      <c r="B18" s="23" t="s">
        <v>108</v>
      </c>
      <c r="C18" s="24" t="s">
        <v>148</v>
      </c>
      <c r="D18" s="24" t="s">
        <v>177</v>
      </c>
      <c r="E18" s="39"/>
    </row>
    <row r="19" spans="1:5" ht="43.2" x14ac:dyDescent="0.55000000000000004">
      <c r="A19" s="48">
        <v>15</v>
      </c>
      <c r="B19" s="23" t="s">
        <v>109</v>
      </c>
      <c r="C19" s="24" t="s">
        <v>149</v>
      </c>
      <c r="D19" s="24" t="s">
        <v>178</v>
      </c>
      <c r="E19" s="39"/>
    </row>
    <row r="20" spans="1:5" ht="57.6" x14ac:dyDescent="0.55000000000000004">
      <c r="A20" s="48">
        <v>16</v>
      </c>
      <c r="B20" s="23" t="s">
        <v>110</v>
      </c>
      <c r="C20" s="24" t="s">
        <v>144</v>
      </c>
      <c r="D20" s="24" t="s">
        <v>179</v>
      </c>
      <c r="E20" s="39"/>
    </row>
    <row r="21" spans="1:5" ht="43.2" x14ac:dyDescent="0.55000000000000004">
      <c r="A21" s="48">
        <v>17</v>
      </c>
      <c r="B21" s="25" t="s">
        <v>111</v>
      </c>
      <c r="C21" s="12" t="s">
        <v>150</v>
      </c>
      <c r="D21" s="12" t="s">
        <v>189</v>
      </c>
      <c r="E21" s="39"/>
    </row>
    <row r="22" spans="1:5" ht="43.2" x14ac:dyDescent="0.55000000000000004">
      <c r="A22" s="48">
        <v>18</v>
      </c>
      <c r="B22" s="25" t="s">
        <v>112</v>
      </c>
      <c r="C22" s="12" t="s">
        <v>151</v>
      </c>
      <c r="D22" s="12" t="s">
        <v>191</v>
      </c>
      <c r="E22" s="39"/>
    </row>
    <row r="23" spans="1:5" ht="57.6" x14ac:dyDescent="0.55000000000000004">
      <c r="A23" s="48">
        <v>19</v>
      </c>
      <c r="B23" s="25" t="s">
        <v>113</v>
      </c>
      <c r="C23" s="12" t="s">
        <v>152</v>
      </c>
      <c r="D23" s="18" t="s">
        <v>75</v>
      </c>
      <c r="E23" s="37"/>
    </row>
    <row r="24" spans="1:5" ht="57.6" x14ac:dyDescent="0.55000000000000004">
      <c r="A24" s="48">
        <v>20</v>
      </c>
      <c r="B24" s="25" t="s">
        <v>114</v>
      </c>
      <c r="C24" s="12" t="s">
        <v>153</v>
      </c>
      <c r="D24" s="18" t="s">
        <v>190</v>
      </c>
      <c r="E24" s="37"/>
    </row>
    <row r="25" spans="1:5" ht="43.2" x14ac:dyDescent="0.55000000000000004">
      <c r="A25" s="48">
        <v>21</v>
      </c>
      <c r="B25" s="26" t="s">
        <v>115</v>
      </c>
      <c r="C25" s="27" t="s">
        <v>154</v>
      </c>
      <c r="D25" s="27" t="s">
        <v>180</v>
      </c>
      <c r="E25" s="39"/>
    </row>
    <row r="26" spans="1:5" ht="57.6" x14ac:dyDescent="0.55000000000000004">
      <c r="A26" s="48">
        <v>22</v>
      </c>
      <c r="B26" s="26" t="s">
        <v>116</v>
      </c>
      <c r="C26" s="27" t="s">
        <v>155</v>
      </c>
      <c r="D26" s="18" t="s">
        <v>174</v>
      </c>
      <c r="E26" s="37"/>
    </row>
    <row r="27" spans="1:5" ht="57.6" x14ac:dyDescent="0.55000000000000004">
      <c r="A27" s="48">
        <v>23</v>
      </c>
      <c r="B27" s="26" t="s">
        <v>117</v>
      </c>
      <c r="C27" s="27" t="s">
        <v>156</v>
      </c>
      <c r="D27" s="18" t="s">
        <v>174</v>
      </c>
      <c r="E27" s="37"/>
    </row>
    <row r="28" spans="1:5" ht="57.6" x14ac:dyDescent="0.55000000000000004">
      <c r="A28" s="48">
        <v>24</v>
      </c>
      <c r="B28" s="26" t="s">
        <v>118</v>
      </c>
      <c r="C28" s="27" t="s">
        <v>157</v>
      </c>
      <c r="D28" s="18" t="s">
        <v>174</v>
      </c>
      <c r="E28" s="37"/>
    </row>
    <row r="29" spans="1:5" s="45" customFormat="1" x14ac:dyDescent="0.55000000000000004">
      <c r="A29" s="49"/>
      <c r="B29" s="43"/>
      <c r="C29" s="44"/>
      <c r="D29" s="44"/>
    </row>
    <row r="30" spans="1:5" ht="43.2" x14ac:dyDescent="0.55000000000000004">
      <c r="A30" s="48">
        <v>25</v>
      </c>
      <c r="B30" s="17" t="s">
        <v>119</v>
      </c>
      <c r="C30" s="13" t="s">
        <v>83</v>
      </c>
      <c r="D30" s="13" t="s">
        <v>172</v>
      </c>
      <c r="E30" s="39"/>
    </row>
    <row r="31" spans="1:5" ht="43.2" x14ac:dyDescent="0.55000000000000004">
      <c r="A31" s="48">
        <v>26</v>
      </c>
      <c r="B31" s="17" t="s">
        <v>120</v>
      </c>
      <c r="C31" s="13" t="s">
        <v>84</v>
      </c>
      <c r="D31" s="13" t="s">
        <v>93</v>
      </c>
      <c r="E31" s="39"/>
    </row>
    <row r="32" spans="1:5" ht="43.2" x14ac:dyDescent="0.55000000000000004">
      <c r="A32" s="48">
        <v>27</v>
      </c>
      <c r="B32" s="17" t="s">
        <v>121</v>
      </c>
      <c r="C32" s="13" t="s">
        <v>85</v>
      </c>
      <c r="D32" s="13" t="s">
        <v>173</v>
      </c>
      <c r="E32" s="39"/>
    </row>
    <row r="33" spans="1:5" ht="57.6" x14ac:dyDescent="0.55000000000000004">
      <c r="A33" s="48">
        <v>28</v>
      </c>
      <c r="B33" s="17" t="s">
        <v>122</v>
      </c>
      <c r="C33" s="13" t="s">
        <v>158</v>
      </c>
      <c r="D33" s="13" t="s">
        <v>94</v>
      </c>
      <c r="E33" s="39"/>
    </row>
    <row r="34" spans="1:5" ht="43.2" x14ac:dyDescent="0.55000000000000004">
      <c r="A34" s="48">
        <v>29</v>
      </c>
      <c r="B34" s="29" t="s">
        <v>123</v>
      </c>
      <c r="C34" s="14" t="s">
        <v>86</v>
      </c>
      <c r="D34" s="18" t="s">
        <v>192</v>
      </c>
      <c r="E34" s="37"/>
    </row>
    <row r="35" spans="1:5" ht="43.2" x14ac:dyDescent="0.55000000000000004">
      <c r="A35" s="48">
        <v>30</v>
      </c>
      <c r="B35" s="29" t="s">
        <v>124</v>
      </c>
      <c r="C35" s="14" t="s">
        <v>87</v>
      </c>
      <c r="D35" s="18" t="s">
        <v>193</v>
      </c>
      <c r="E35" s="37"/>
    </row>
    <row r="36" spans="1:5" ht="43.2" x14ac:dyDescent="0.55000000000000004">
      <c r="A36" s="48">
        <v>31</v>
      </c>
      <c r="B36" s="29" t="s">
        <v>125</v>
      </c>
      <c r="C36" s="14" t="s">
        <v>88</v>
      </c>
      <c r="D36" s="18" t="s">
        <v>193</v>
      </c>
      <c r="E36" s="37"/>
    </row>
    <row r="37" spans="1:5" ht="57.6" x14ac:dyDescent="0.55000000000000004">
      <c r="A37" s="48">
        <v>32</v>
      </c>
      <c r="B37" s="29" t="s">
        <v>126</v>
      </c>
      <c r="C37" s="14" t="s">
        <v>159</v>
      </c>
      <c r="D37" s="18" t="s">
        <v>193</v>
      </c>
      <c r="E37" s="37"/>
    </row>
    <row r="38" spans="1:5" ht="57.6" x14ac:dyDescent="0.55000000000000004">
      <c r="A38" s="48">
        <v>33</v>
      </c>
      <c r="B38" s="31" t="s">
        <v>127</v>
      </c>
      <c r="C38" s="32" t="s">
        <v>89</v>
      </c>
      <c r="D38" s="18" t="s">
        <v>174</v>
      </c>
      <c r="E38" s="37"/>
    </row>
    <row r="39" spans="1:5" ht="57.6" x14ac:dyDescent="0.55000000000000004">
      <c r="A39" s="48">
        <v>34</v>
      </c>
      <c r="B39" s="31" t="s">
        <v>128</v>
      </c>
      <c r="C39" s="32" t="s">
        <v>90</v>
      </c>
      <c r="D39" s="18" t="s">
        <v>174</v>
      </c>
      <c r="E39" s="37"/>
    </row>
    <row r="40" spans="1:5" ht="57.6" x14ac:dyDescent="0.55000000000000004">
      <c r="A40" s="48">
        <v>35</v>
      </c>
      <c r="B40" s="31" t="s">
        <v>129</v>
      </c>
      <c r="C40" s="32" t="s">
        <v>91</v>
      </c>
      <c r="D40" s="18" t="s">
        <v>174</v>
      </c>
      <c r="E40" s="37"/>
    </row>
    <row r="41" spans="1:5" ht="57.6" x14ac:dyDescent="0.55000000000000004">
      <c r="A41" s="48">
        <v>36</v>
      </c>
      <c r="B41" s="31" t="s">
        <v>130</v>
      </c>
      <c r="C41" s="32" t="s">
        <v>160</v>
      </c>
      <c r="D41" s="18" t="s">
        <v>174</v>
      </c>
      <c r="E41" s="37"/>
    </row>
    <row r="42" spans="1:5" s="45" customFormat="1" x14ac:dyDescent="0.55000000000000004">
      <c r="A42" s="49"/>
      <c r="B42" s="43"/>
      <c r="C42" s="44"/>
      <c r="D42" s="44"/>
    </row>
    <row r="43" spans="1:5" ht="43.2" x14ac:dyDescent="0.55000000000000004">
      <c r="A43" s="48">
        <v>37</v>
      </c>
      <c r="B43" s="30" t="s">
        <v>131</v>
      </c>
      <c r="C43" s="11" t="s">
        <v>62</v>
      </c>
      <c r="D43" s="11" t="s">
        <v>181</v>
      </c>
      <c r="E43" s="39"/>
    </row>
    <row r="44" spans="1:5" ht="43.2" x14ac:dyDescent="0.55000000000000004">
      <c r="A44" s="48">
        <v>38</v>
      </c>
      <c r="B44" s="30" t="s">
        <v>132</v>
      </c>
      <c r="C44" s="11" t="s">
        <v>63</v>
      </c>
      <c r="D44" s="11" t="s">
        <v>78</v>
      </c>
      <c r="E44" s="39"/>
    </row>
    <row r="45" spans="1:5" ht="43.2" x14ac:dyDescent="0.55000000000000004">
      <c r="A45" s="48">
        <v>39</v>
      </c>
      <c r="B45" s="30" t="s">
        <v>133</v>
      </c>
      <c r="C45" s="11" t="s">
        <v>64</v>
      </c>
      <c r="D45" s="11" t="s">
        <v>182</v>
      </c>
      <c r="E45" s="39"/>
    </row>
    <row r="46" spans="1:5" ht="57.6" x14ac:dyDescent="0.55000000000000004">
      <c r="A46" s="48">
        <v>40</v>
      </c>
      <c r="B46" s="30" t="s">
        <v>134</v>
      </c>
      <c r="C46" s="11" t="s">
        <v>161</v>
      </c>
      <c r="D46" s="11" t="s">
        <v>79</v>
      </c>
      <c r="E46" s="39"/>
    </row>
    <row r="47" spans="1:5" ht="43.2" x14ac:dyDescent="0.55000000000000004">
      <c r="A47" s="48">
        <v>41</v>
      </c>
      <c r="B47" s="33" t="s">
        <v>135</v>
      </c>
      <c r="C47" s="10" t="s">
        <v>68</v>
      </c>
      <c r="D47" s="18" t="s">
        <v>193</v>
      </c>
      <c r="E47" s="37"/>
    </row>
    <row r="48" spans="1:5" ht="43.2" x14ac:dyDescent="0.55000000000000004">
      <c r="A48" s="48">
        <v>42</v>
      </c>
      <c r="B48" s="33" t="s">
        <v>136</v>
      </c>
      <c r="C48" s="10" t="s">
        <v>69</v>
      </c>
      <c r="D48" s="18" t="s">
        <v>193</v>
      </c>
      <c r="E48" s="37"/>
    </row>
    <row r="49" spans="1:5" ht="43.2" x14ac:dyDescent="0.55000000000000004">
      <c r="A49" s="48">
        <v>43</v>
      </c>
      <c r="B49" s="33" t="s">
        <v>137</v>
      </c>
      <c r="C49" s="10" t="s">
        <v>70</v>
      </c>
      <c r="D49" s="18" t="s">
        <v>175</v>
      </c>
      <c r="E49" s="37"/>
    </row>
    <row r="50" spans="1:5" ht="57.6" x14ac:dyDescent="0.55000000000000004">
      <c r="A50" s="48">
        <v>44</v>
      </c>
      <c r="B50" s="33" t="s">
        <v>138</v>
      </c>
      <c r="C50" s="10" t="s">
        <v>162</v>
      </c>
      <c r="D50" s="18" t="s">
        <v>193</v>
      </c>
      <c r="E50" s="37"/>
    </row>
    <row r="51" spans="1:5" ht="57.6" x14ac:dyDescent="0.55000000000000004">
      <c r="A51" s="48">
        <v>45</v>
      </c>
      <c r="B51" s="34" t="s">
        <v>139</v>
      </c>
      <c r="C51" s="35" t="s">
        <v>80</v>
      </c>
      <c r="D51" s="18" t="s">
        <v>174</v>
      </c>
      <c r="E51" s="37"/>
    </row>
    <row r="52" spans="1:5" ht="57.6" x14ac:dyDescent="0.55000000000000004">
      <c r="A52" s="48">
        <v>46</v>
      </c>
      <c r="B52" s="34" t="s">
        <v>140</v>
      </c>
      <c r="C52" s="35" t="s">
        <v>81</v>
      </c>
      <c r="D52" s="18" t="s">
        <v>174</v>
      </c>
      <c r="E52" s="37"/>
    </row>
    <row r="53" spans="1:5" ht="57.6" x14ac:dyDescent="0.55000000000000004">
      <c r="A53" s="48">
        <v>47</v>
      </c>
      <c r="B53" s="34" t="s">
        <v>141</v>
      </c>
      <c r="C53" s="35" t="s">
        <v>82</v>
      </c>
      <c r="D53" s="18" t="s">
        <v>174</v>
      </c>
      <c r="E53" s="37"/>
    </row>
    <row r="54" spans="1:5" ht="57.6" x14ac:dyDescent="0.55000000000000004">
      <c r="A54" s="48">
        <v>48</v>
      </c>
      <c r="B54" s="34" t="s">
        <v>142</v>
      </c>
      <c r="C54" s="35" t="s">
        <v>163</v>
      </c>
      <c r="D54" s="18" t="s">
        <v>174</v>
      </c>
      <c r="E54" s="37"/>
    </row>
    <row r="55" spans="1:5" s="45" customFormat="1" x14ac:dyDescent="0.55000000000000004">
      <c r="A55" s="49"/>
      <c r="B55" s="43"/>
      <c r="C55" s="44"/>
      <c r="D55" s="44"/>
    </row>
    <row r="56" spans="1:5" ht="44.7" customHeight="1" x14ac:dyDescent="0.55000000000000004">
      <c r="A56" s="48">
        <v>49</v>
      </c>
      <c r="B56" s="2" t="s">
        <v>183</v>
      </c>
      <c r="C56" s="2" t="s">
        <v>59</v>
      </c>
      <c r="D56" s="2" t="s">
        <v>187</v>
      </c>
      <c r="E56" s="47"/>
    </row>
    <row r="57" spans="1:5" ht="43.2" x14ac:dyDescent="0.55000000000000004">
      <c r="A57" s="48">
        <v>50</v>
      </c>
      <c r="B57" s="2" t="s">
        <v>184</v>
      </c>
      <c r="C57" s="2" t="s">
        <v>60</v>
      </c>
      <c r="D57" s="28" t="s">
        <v>188</v>
      </c>
      <c r="E57" s="47"/>
    </row>
    <row r="58" spans="1:5" ht="43.2" x14ac:dyDescent="0.55000000000000004">
      <c r="A58" s="48">
        <v>51</v>
      </c>
      <c r="B58" s="2" t="s">
        <v>185</v>
      </c>
      <c r="C58" s="2" t="s">
        <v>61</v>
      </c>
      <c r="D58" s="2" t="s">
        <v>195</v>
      </c>
      <c r="E58" s="47"/>
    </row>
    <row r="59" spans="1:5" ht="57.6" x14ac:dyDescent="0.55000000000000004">
      <c r="A59" s="48">
        <v>52</v>
      </c>
      <c r="B59" s="2" t="s">
        <v>186</v>
      </c>
      <c r="C59" s="2" t="s">
        <v>143</v>
      </c>
      <c r="D59" s="2" t="s">
        <v>194</v>
      </c>
      <c r="E59" s="47"/>
    </row>
    <row r="60" spans="1:5" s="45" customFormat="1" x14ac:dyDescent="0.55000000000000004">
      <c r="A60" s="49"/>
    </row>
    <row r="61" spans="1:5" ht="43.2" x14ac:dyDescent="0.55000000000000004">
      <c r="A61" s="48">
        <v>53</v>
      </c>
      <c r="B61" s="2" t="s">
        <v>196</v>
      </c>
      <c r="C61" s="2" t="s">
        <v>59</v>
      </c>
      <c r="D61" s="2" t="s">
        <v>326</v>
      </c>
      <c r="E61" s="39"/>
    </row>
    <row r="62" spans="1:5" ht="43.2" x14ac:dyDescent="0.55000000000000004">
      <c r="A62" s="48">
        <v>54</v>
      </c>
      <c r="B62" s="2" t="s">
        <v>197</v>
      </c>
      <c r="C62" s="2" t="s">
        <v>60</v>
      </c>
      <c r="D62" s="2" t="s">
        <v>325</v>
      </c>
      <c r="E62" s="39"/>
    </row>
    <row r="63" spans="1:5" ht="43.2" x14ac:dyDescent="0.55000000000000004">
      <c r="A63" s="48">
        <v>55</v>
      </c>
      <c r="B63" s="2" t="s">
        <v>198</v>
      </c>
      <c r="C63" s="2" t="s">
        <v>61</v>
      </c>
      <c r="D63" s="2" t="s">
        <v>328</v>
      </c>
      <c r="E63" s="39"/>
    </row>
    <row r="64" spans="1:5" ht="57.6" x14ac:dyDescent="0.55000000000000004">
      <c r="A64" s="48">
        <v>56</v>
      </c>
      <c r="B64" s="2" t="s">
        <v>199</v>
      </c>
      <c r="C64" s="2" t="s">
        <v>143</v>
      </c>
      <c r="D64" s="2" t="s">
        <v>327</v>
      </c>
      <c r="E64" s="39"/>
    </row>
    <row r="65" spans="1:5" s="45" customFormat="1" x14ac:dyDescent="0.55000000000000004">
      <c r="A65" s="49"/>
    </row>
    <row r="66" spans="1:5" ht="43.2" x14ac:dyDescent="0.55000000000000004">
      <c r="B66" s="2" t="s">
        <v>201</v>
      </c>
      <c r="C66" s="2" t="s">
        <v>59</v>
      </c>
      <c r="D66" s="2" t="s">
        <v>200</v>
      </c>
      <c r="E66" s="184"/>
    </row>
    <row r="67" spans="1:5" ht="43.2" x14ac:dyDescent="0.55000000000000004">
      <c r="B67" s="2" t="s">
        <v>202</v>
      </c>
      <c r="C67" s="2" t="s">
        <v>60</v>
      </c>
      <c r="D67" s="2" t="s">
        <v>92</v>
      </c>
      <c r="E67" s="184"/>
    </row>
    <row r="68" spans="1:5" ht="43.2" x14ac:dyDescent="0.55000000000000004">
      <c r="B68" s="2" t="s">
        <v>203</v>
      </c>
      <c r="C68" s="2" t="s">
        <v>61</v>
      </c>
      <c r="D68" s="2" t="s">
        <v>92</v>
      </c>
    </row>
    <row r="69" spans="1:5" ht="57.6" x14ac:dyDescent="0.55000000000000004">
      <c r="B69" s="2" t="s">
        <v>204</v>
      </c>
      <c r="C69" s="2" t="s">
        <v>143</v>
      </c>
      <c r="D69" s="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opLeftCell="A13" zoomScale="90" zoomScaleNormal="90" workbookViewId="0">
      <selection activeCell="C9" sqref="C9"/>
    </sheetView>
  </sheetViews>
  <sheetFormatPr baseColWidth="10" defaultRowHeight="14.4" x14ac:dyDescent="0.55000000000000004"/>
  <cols>
    <col min="2" max="2" width="22.26171875" bestFit="1" customWidth="1"/>
    <col min="3" max="3" width="17.734375" style="1" customWidth="1"/>
    <col min="4" max="4" width="22.26171875" customWidth="1"/>
    <col min="5" max="5" width="25.5234375" customWidth="1"/>
    <col min="6" max="6" width="37.9453125" customWidth="1"/>
    <col min="7" max="7" width="29.3125" customWidth="1"/>
    <col min="12" max="12" width="21.7890625" bestFit="1" customWidth="1"/>
  </cols>
  <sheetData>
    <row r="3" spans="2:7" x14ac:dyDescent="0.55000000000000004">
      <c r="B3" s="6" t="s">
        <v>37</v>
      </c>
      <c r="C3" s="6" t="s">
        <v>38</v>
      </c>
      <c r="D3" s="6" t="s">
        <v>6</v>
      </c>
      <c r="E3" s="6" t="s">
        <v>33</v>
      </c>
      <c r="F3" s="191" t="s">
        <v>34</v>
      </c>
      <c r="G3" s="192"/>
    </row>
    <row r="4" spans="2:7" x14ac:dyDescent="0.55000000000000004">
      <c r="B4" s="6"/>
      <c r="C4" s="6"/>
      <c r="D4" s="6"/>
      <c r="E4" s="6"/>
      <c r="F4" s="6" t="s">
        <v>40</v>
      </c>
      <c r="G4" s="6" t="s">
        <v>41</v>
      </c>
    </row>
    <row r="5" spans="2:7" ht="43.2" x14ac:dyDescent="0.55000000000000004">
      <c r="B5" s="7" t="s">
        <v>5</v>
      </c>
      <c r="C5" s="4" t="s">
        <v>0</v>
      </c>
      <c r="D5" s="4" t="s">
        <v>0</v>
      </c>
      <c r="E5" s="7" t="s">
        <v>25</v>
      </c>
      <c r="F5" s="7" t="s">
        <v>39</v>
      </c>
      <c r="G5" s="7" t="s">
        <v>42</v>
      </c>
    </row>
    <row r="6" spans="2:7" ht="129.6" x14ac:dyDescent="0.55000000000000004">
      <c r="B6" s="8" t="s">
        <v>7</v>
      </c>
      <c r="C6" s="3" t="s">
        <v>0</v>
      </c>
      <c r="D6" s="3" t="s">
        <v>0</v>
      </c>
      <c r="E6" s="8" t="s">
        <v>26</v>
      </c>
      <c r="F6" s="7" t="s">
        <v>207</v>
      </c>
      <c r="G6" s="7" t="s">
        <v>208</v>
      </c>
    </row>
    <row r="7" spans="2:7" ht="57.6" x14ac:dyDescent="0.55000000000000004">
      <c r="B7" s="8" t="s">
        <v>11</v>
      </c>
      <c r="C7" s="3" t="s">
        <v>0</v>
      </c>
      <c r="D7" s="3" t="s">
        <v>0</v>
      </c>
      <c r="E7" s="8" t="s">
        <v>27</v>
      </c>
      <c r="F7" s="7" t="s">
        <v>43</v>
      </c>
      <c r="G7" s="7" t="s">
        <v>44</v>
      </c>
    </row>
    <row r="8" spans="2:7" ht="100.8" x14ac:dyDescent="0.55000000000000004">
      <c r="B8" s="8" t="s">
        <v>12</v>
      </c>
      <c r="C8" s="3" t="s">
        <v>0</v>
      </c>
      <c r="D8" s="3" t="s">
        <v>0</v>
      </c>
      <c r="E8" s="8" t="s">
        <v>28</v>
      </c>
      <c r="F8" s="9" t="s">
        <v>45</v>
      </c>
      <c r="G8" s="7" t="s">
        <v>46</v>
      </c>
    </row>
    <row r="9" spans="2:7" ht="72" x14ac:dyDescent="0.55000000000000004">
      <c r="B9" s="8" t="s">
        <v>13</v>
      </c>
      <c r="C9" s="3" t="s">
        <v>0</v>
      </c>
      <c r="D9" s="3" t="s">
        <v>0</v>
      </c>
      <c r="E9" s="8" t="s">
        <v>29</v>
      </c>
      <c r="F9" s="7" t="s">
        <v>47</v>
      </c>
      <c r="G9" s="7" t="s">
        <v>48</v>
      </c>
    </row>
    <row r="10" spans="2:7" ht="144" x14ac:dyDescent="0.55000000000000004">
      <c r="B10" s="8" t="s">
        <v>17</v>
      </c>
      <c r="C10" s="3" t="s">
        <v>0</v>
      </c>
      <c r="D10" s="3" t="s">
        <v>0</v>
      </c>
      <c r="E10" s="8" t="s">
        <v>30</v>
      </c>
      <c r="F10" s="7" t="s">
        <v>49</v>
      </c>
      <c r="G10" s="8"/>
    </row>
    <row r="11" spans="2:7" ht="28.8" x14ac:dyDescent="0.55000000000000004">
      <c r="B11" s="8" t="s">
        <v>18</v>
      </c>
      <c r="C11" s="3" t="s">
        <v>0</v>
      </c>
      <c r="D11" s="3" t="s">
        <v>0</v>
      </c>
      <c r="E11" s="8" t="s">
        <v>31</v>
      </c>
      <c r="F11" s="7" t="s">
        <v>50</v>
      </c>
      <c r="G11" s="8"/>
    </row>
    <row r="12" spans="2:7" ht="43.2" x14ac:dyDescent="0.55000000000000004">
      <c r="B12" s="8" t="s">
        <v>22</v>
      </c>
      <c r="C12" s="3" t="s">
        <v>0</v>
      </c>
      <c r="D12" s="3" t="s">
        <v>0</v>
      </c>
      <c r="E12" s="8" t="s">
        <v>23</v>
      </c>
      <c r="F12" s="9" t="s">
        <v>51</v>
      </c>
      <c r="G12" s="9" t="s">
        <v>52</v>
      </c>
    </row>
    <row r="13" spans="2:7" ht="72" x14ac:dyDescent="0.55000000000000004">
      <c r="B13" s="8" t="s">
        <v>53</v>
      </c>
      <c r="C13" s="3" t="s">
        <v>0</v>
      </c>
      <c r="D13" s="3" t="s">
        <v>0</v>
      </c>
      <c r="E13" s="8" t="s">
        <v>32</v>
      </c>
      <c r="F13" s="7" t="s">
        <v>54</v>
      </c>
      <c r="G13" s="8"/>
    </row>
    <row r="14" spans="2:7" ht="201.6" x14ac:dyDescent="0.55000000000000004">
      <c r="B14" s="8" t="s">
        <v>36</v>
      </c>
      <c r="C14" s="3" t="s">
        <v>0</v>
      </c>
      <c r="D14" s="3" t="s">
        <v>35</v>
      </c>
      <c r="E14" s="8" t="s">
        <v>58</v>
      </c>
      <c r="F14" s="9" t="s">
        <v>56</v>
      </c>
      <c r="G14" s="9" t="s">
        <v>57</v>
      </c>
    </row>
    <row r="15" spans="2:7" x14ac:dyDescent="0.55000000000000004">
      <c r="D15" s="1"/>
    </row>
    <row r="24" spans="2:2" x14ac:dyDescent="0.55000000000000004">
      <c r="B24" s="5" t="s">
        <v>55</v>
      </c>
    </row>
    <row r="25" spans="2:2" x14ac:dyDescent="0.55000000000000004">
      <c r="B25" t="s">
        <v>8</v>
      </c>
    </row>
    <row r="26" spans="2:2" x14ac:dyDescent="0.55000000000000004">
      <c r="B26" t="s">
        <v>9</v>
      </c>
    </row>
    <row r="27" spans="2:2" x14ac:dyDescent="0.55000000000000004">
      <c r="B27" t="s">
        <v>10</v>
      </c>
    </row>
    <row r="28" spans="2:2" x14ac:dyDescent="0.55000000000000004">
      <c r="B28" t="s">
        <v>14</v>
      </c>
    </row>
    <row r="29" spans="2:2" x14ac:dyDescent="0.55000000000000004">
      <c r="B29" t="s">
        <v>15</v>
      </c>
    </row>
    <row r="30" spans="2:2" x14ac:dyDescent="0.55000000000000004">
      <c r="B30" t="s">
        <v>16</v>
      </c>
    </row>
    <row r="31" spans="2:2" x14ac:dyDescent="0.55000000000000004">
      <c r="B31" t="s">
        <v>19</v>
      </c>
    </row>
    <row r="32" spans="2:2" x14ac:dyDescent="0.55000000000000004">
      <c r="B32" t="s">
        <v>20</v>
      </c>
    </row>
    <row r="33" spans="2:2" x14ac:dyDescent="0.55000000000000004">
      <c r="B33" t="s">
        <v>21</v>
      </c>
    </row>
    <row r="34" spans="2:2" x14ac:dyDescent="0.55000000000000004">
      <c r="B34" t="s">
        <v>23</v>
      </c>
    </row>
    <row r="35" spans="2:2" x14ac:dyDescent="0.55000000000000004">
      <c r="B35" t="s">
        <v>24</v>
      </c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opLeftCell="A52" workbookViewId="0">
      <selection activeCell="K9" sqref="K9"/>
    </sheetView>
  </sheetViews>
  <sheetFormatPr baseColWidth="10" defaultRowHeight="14.4" x14ac:dyDescent="0.55000000000000004"/>
  <cols>
    <col min="2" max="2" width="12.47265625" bestFit="1" customWidth="1"/>
    <col min="3" max="3" width="9.3125" customWidth="1"/>
    <col min="4" max="4" width="7.9453125" customWidth="1"/>
    <col min="5" max="5" width="6.05078125" customWidth="1"/>
    <col min="6" max="6" width="5.3125" customWidth="1"/>
    <col min="7" max="7" width="5.1015625" customWidth="1"/>
    <col min="8" max="9" width="4.5234375" customWidth="1"/>
    <col min="10" max="10" width="5.89453125" customWidth="1"/>
    <col min="11" max="11" width="8.3125" customWidth="1"/>
    <col min="12" max="12" width="6.3125" customWidth="1"/>
    <col min="13" max="13" width="7.89453125" customWidth="1"/>
    <col min="14" max="14" width="7.83984375" customWidth="1"/>
    <col min="15" max="15" width="4.578125" customWidth="1"/>
    <col min="16" max="16" width="6.578125" customWidth="1"/>
    <col min="17" max="17" width="5.05078125" customWidth="1"/>
    <col min="18" max="18" width="7.89453125" customWidth="1"/>
    <col min="19" max="19" width="7.62890625" customWidth="1"/>
    <col min="20" max="20" width="6.26171875" customWidth="1"/>
    <col min="23" max="23" width="4.62890625" customWidth="1"/>
    <col min="24" max="24" width="8.26171875" customWidth="1"/>
    <col min="25" max="25" width="9.5234375" customWidth="1"/>
    <col min="26" max="26" width="6.3125" customWidth="1"/>
    <col min="27" max="27" width="8" style="151" customWidth="1"/>
    <col min="28" max="28" width="9.3125" customWidth="1"/>
    <col min="29" max="29" width="8.05078125" customWidth="1"/>
  </cols>
  <sheetData>
    <row r="1" spans="1:30" x14ac:dyDescent="0.55000000000000004">
      <c r="G1" t="s">
        <v>228</v>
      </c>
      <c r="H1" t="s">
        <v>232</v>
      </c>
    </row>
    <row r="2" spans="1:30" x14ac:dyDescent="0.55000000000000004">
      <c r="G2" t="s">
        <v>229</v>
      </c>
      <c r="H2" t="s">
        <v>232</v>
      </c>
    </row>
    <row r="3" spans="1:30" x14ac:dyDescent="0.55000000000000004">
      <c r="G3" t="s">
        <v>230</v>
      </c>
      <c r="H3" t="s">
        <v>231</v>
      </c>
    </row>
    <row r="4" spans="1:30" x14ac:dyDescent="0.55000000000000004">
      <c r="G4" t="s">
        <v>233</v>
      </c>
    </row>
    <row r="6" spans="1:30" ht="14.7" thickBot="1" x14ac:dyDescent="0.6"/>
    <row r="7" spans="1:30" ht="14.7" thickBot="1" x14ac:dyDescent="0.6">
      <c r="B7" s="196" t="s">
        <v>227</v>
      </c>
      <c r="C7" s="142" t="s">
        <v>316</v>
      </c>
      <c r="D7" s="112" t="s">
        <v>318</v>
      </c>
      <c r="E7" s="201" t="s">
        <v>288</v>
      </c>
      <c r="F7" s="202"/>
      <c r="G7" s="198" t="s">
        <v>210</v>
      </c>
      <c r="H7" s="194"/>
      <c r="I7" s="194"/>
      <c r="J7" s="194" t="s">
        <v>214</v>
      </c>
      <c r="K7" s="194"/>
      <c r="L7" s="199" t="s">
        <v>217</v>
      </c>
      <c r="M7" s="200"/>
      <c r="N7" s="198"/>
      <c r="O7" s="194" t="s">
        <v>219</v>
      </c>
      <c r="P7" s="194"/>
      <c r="Q7" s="199"/>
      <c r="R7" s="193" t="s">
        <v>223</v>
      </c>
      <c r="S7" s="194"/>
      <c r="T7" s="195"/>
      <c r="V7" s="196" t="s">
        <v>227</v>
      </c>
      <c r="W7" s="112" t="s">
        <v>319</v>
      </c>
      <c r="X7" s="112" t="s">
        <v>321</v>
      </c>
      <c r="Y7" s="112" t="s">
        <v>320</v>
      </c>
      <c r="Z7" s="112" t="s">
        <v>322</v>
      </c>
      <c r="AA7" s="142" t="s">
        <v>230</v>
      </c>
      <c r="AB7" s="109" t="s">
        <v>323</v>
      </c>
      <c r="AC7" s="109" t="s">
        <v>324</v>
      </c>
    </row>
    <row r="8" spans="1:30" ht="14.7" thickBot="1" x14ac:dyDescent="0.6">
      <c r="B8" s="197"/>
      <c r="C8" s="112" t="s">
        <v>317</v>
      </c>
      <c r="D8" s="113" t="s">
        <v>235</v>
      </c>
      <c r="E8" s="108" t="s">
        <v>238</v>
      </c>
      <c r="F8" s="108" t="s">
        <v>239</v>
      </c>
      <c r="G8" s="111" t="s">
        <v>211</v>
      </c>
      <c r="H8" s="109" t="s">
        <v>212</v>
      </c>
      <c r="I8" s="109" t="s">
        <v>213</v>
      </c>
      <c r="J8" s="113" t="s">
        <v>215</v>
      </c>
      <c r="K8" s="110" t="s">
        <v>216</v>
      </c>
      <c r="L8" s="109" t="s">
        <v>237</v>
      </c>
      <c r="M8" s="109" t="s">
        <v>218</v>
      </c>
      <c r="N8" s="111" t="s">
        <v>226</v>
      </c>
      <c r="O8" s="109" t="s">
        <v>220</v>
      </c>
      <c r="P8" s="109" t="s">
        <v>221</v>
      </c>
      <c r="Q8" s="113" t="s">
        <v>222</v>
      </c>
      <c r="R8" s="112" t="s">
        <v>225</v>
      </c>
      <c r="S8" s="111" t="s">
        <v>224</v>
      </c>
      <c r="T8" s="109" t="s">
        <v>230</v>
      </c>
      <c r="V8" s="197"/>
      <c r="W8" s="113">
        <v>2</v>
      </c>
      <c r="X8" s="113">
        <v>2</v>
      </c>
      <c r="Y8" s="113">
        <v>4</v>
      </c>
      <c r="Z8" s="113">
        <v>5</v>
      </c>
      <c r="AA8" s="152">
        <v>5</v>
      </c>
      <c r="AB8" s="142">
        <f>SUM(W8:AA8)</f>
        <v>18</v>
      </c>
      <c r="AC8" s="183"/>
      <c r="AD8" s="87"/>
    </row>
    <row r="9" spans="1:30" x14ac:dyDescent="0.55000000000000004">
      <c r="A9" s="53"/>
      <c r="B9" s="105" t="s">
        <v>95</v>
      </c>
      <c r="C9" s="140">
        <v>574881</v>
      </c>
      <c r="D9" s="94">
        <v>39.44</v>
      </c>
      <c r="F9" s="117"/>
      <c r="G9" s="90">
        <v>1</v>
      </c>
      <c r="H9" s="91">
        <v>0</v>
      </c>
      <c r="I9" s="91">
        <v>1</v>
      </c>
      <c r="J9" s="91">
        <f>42/24</f>
        <v>1.75</v>
      </c>
      <c r="K9" s="91">
        <f>1-(170708/574881)</f>
        <v>0.70305506704865883</v>
      </c>
      <c r="L9" s="118" t="s">
        <v>1</v>
      </c>
      <c r="M9" s="91">
        <f t="shared" ref="M9:M14" si="0">56/11</f>
        <v>5.0909090909090908</v>
      </c>
      <c r="N9" s="91">
        <f>337116/63181</f>
        <v>5.3357180164922999</v>
      </c>
      <c r="O9" s="91">
        <v>1</v>
      </c>
      <c r="P9" s="118" t="s">
        <v>1</v>
      </c>
      <c r="Q9" s="118" t="s">
        <v>1</v>
      </c>
      <c r="R9" s="91">
        <f>1-(0/574881)</f>
        <v>1</v>
      </c>
      <c r="S9" s="91">
        <f>1-(119069/574881)</f>
        <v>0.79288061355306572</v>
      </c>
      <c r="T9" s="124" t="s">
        <v>1</v>
      </c>
      <c r="V9" s="105" t="s">
        <v>95</v>
      </c>
      <c r="W9" s="94">
        <f>(($F$10+$E$10)/2)*2</f>
        <v>2</v>
      </c>
      <c r="X9" s="94">
        <f t="shared" ref="X9:X14" si="1">((J9+K9)/2)*$X$8</f>
        <v>2.4530550670486591</v>
      </c>
      <c r="Y9" s="94">
        <f t="shared" ref="Y9:Y14" si="2">((N9+M9)/2)*$Y$8</f>
        <v>20.853254214802782</v>
      </c>
      <c r="Z9" s="94">
        <v>1</v>
      </c>
      <c r="AA9" s="156">
        <f t="shared" ref="AA9:AA14" si="3">((R9+S9)/2)*$AA$8</f>
        <v>4.4822015338826642</v>
      </c>
      <c r="AB9" s="161">
        <f>SUM(W9:AA9)/$AB$8</f>
        <v>1.7104728230963393</v>
      </c>
      <c r="AC9" s="214">
        <f>(AB9:AB12)/4</f>
        <v>0.42761820577408483</v>
      </c>
      <c r="AD9" s="53"/>
    </row>
    <row r="10" spans="1:30" x14ac:dyDescent="0.55000000000000004">
      <c r="A10" s="53"/>
      <c r="B10" s="102" t="s">
        <v>96</v>
      </c>
      <c r="C10" s="52">
        <v>574881</v>
      </c>
      <c r="D10" s="52">
        <v>34.979999999999997</v>
      </c>
      <c r="E10" s="117">
        <v>1</v>
      </c>
      <c r="F10" s="117">
        <v>1</v>
      </c>
      <c r="G10" s="50">
        <v>1</v>
      </c>
      <c r="H10" s="51">
        <v>0</v>
      </c>
      <c r="I10" s="51">
        <v>1</v>
      </c>
      <c r="J10" s="51">
        <f>42/24</f>
        <v>1.75</v>
      </c>
      <c r="K10" s="51">
        <f>1-170708/574881</f>
        <v>0.70305506704865883</v>
      </c>
      <c r="L10" s="119" t="s">
        <v>1</v>
      </c>
      <c r="M10" s="51">
        <f t="shared" si="0"/>
        <v>5.0909090909090908</v>
      </c>
      <c r="N10" s="51">
        <f>337116/63181</f>
        <v>5.3357180164922999</v>
      </c>
      <c r="O10" s="51">
        <v>1</v>
      </c>
      <c r="P10" s="119" t="s">
        <v>1</v>
      </c>
      <c r="Q10" s="119" t="s">
        <v>1</v>
      </c>
      <c r="R10" s="51">
        <f>1-(0/574881)</f>
        <v>1</v>
      </c>
      <c r="S10" s="51">
        <f>1-(119069/574881)</f>
        <v>0.79288061355306572</v>
      </c>
      <c r="T10" s="123" t="s">
        <v>1</v>
      </c>
      <c r="V10" s="102" t="s">
        <v>96</v>
      </c>
      <c r="W10" s="94">
        <f t="shared" ref="W10:W20" si="4">(($F$10+$E$10)/2)*2</f>
        <v>2</v>
      </c>
      <c r="X10" s="94">
        <f t="shared" si="1"/>
        <v>2.4530550670486591</v>
      </c>
      <c r="Y10" s="94">
        <f t="shared" si="2"/>
        <v>20.853254214802782</v>
      </c>
      <c r="Z10" s="94">
        <v>1</v>
      </c>
      <c r="AA10" s="157">
        <f t="shared" si="3"/>
        <v>4.4822015338826642</v>
      </c>
      <c r="AB10" s="162">
        <f t="shared" ref="AB10:AB20" si="5">SUM(W10:AA10)/$AB$8</f>
        <v>1.7104728230963393</v>
      </c>
      <c r="AC10" s="215"/>
      <c r="AD10" s="53"/>
    </row>
    <row r="11" spans="1:30" x14ac:dyDescent="0.55000000000000004">
      <c r="A11" s="53"/>
      <c r="B11" s="102" t="s">
        <v>97</v>
      </c>
      <c r="C11" s="140">
        <v>574811</v>
      </c>
      <c r="D11" s="52">
        <v>11.01</v>
      </c>
      <c r="E11" s="117"/>
      <c r="F11" s="117"/>
      <c r="G11" s="50">
        <v>1</v>
      </c>
      <c r="H11" s="51">
        <v>0</v>
      </c>
      <c r="I11" s="51">
        <v>1</v>
      </c>
      <c r="J11" s="51">
        <f>42/24</f>
        <v>1.75</v>
      </c>
      <c r="K11" s="51">
        <f>1-170699/574811</f>
        <v>0.70303456266494546</v>
      </c>
      <c r="L11" s="119" t="s">
        <v>1</v>
      </c>
      <c r="M11" s="51">
        <f t="shared" si="0"/>
        <v>5.0909090909090908</v>
      </c>
      <c r="N11" s="51">
        <f>337116/63181</f>
        <v>5.3357180164922999</v>
      </c>
      <c r="O11" s="51">
        <v>1</v>
      </c>
      <c r="P11" s="119" t="s">
        <v>1</v>
      </c>
      <c r="Q11" s="119" t="s">
        <v>1</v>
      </c>
      <c r="R11" s="51">
        <f>1-(0/574811)</f>
        <v>1</v>
      </c>
      <c r="S11" s="51">
        <f>1-119069/574811</f>
        <v>0.7928553907284307</v>
      </c>
      <c r="T11" s="123" t="s">
        <v>1</v>
      </c>
      <c r="V11" s="102" t="s">
        <v>97</v>
      </c>
      <c r="W11" s="94">
        <f t="shared" si="4"/>
        <v>2</v>
      </c>
      <c r="X11" s="94">
        <f t="shared" si="1"/>
        <v>2.4530345626649455</v>
      </c>
      <c r="Y11" s="146">
        <f t="shared" si="2"/>
        <v>20.853254214802782</v>
      </c>
      <c r="Z11" s="146">
        <v>1</v>
      </c>
      <c r="AA11" s="157">
        <f t="shared" si="3"/>
        <v>4.4821384768210768</v>
      </c>
      <c r="AB11" s="182">
        <f t="shared" si="5"/>
        <v>1.7104681807938225</v>
      </c>
      <c r="AC11" s="215"/>
      <c r="AD11" s="53"/>
    </row>
    <row r="12" spans="1:30" ht="14.7" thickBot="1" x14ac:dyDescent="0.6">
      <c r="A12" s="53"/>
      <c r="B12" s="103" t="s">
        <v>98</v>
      </c>
      <c r="C12" s="95">
        <v>574811</v>
      </c>
      <c r="D12" s="95">
        <v>10.78</v>
      </c>
      <c r="E12" s="131"/>
      <c r="F12" s="131"/>
      <c r="G12" s="93">
        <v>1</v>
      </c>
      <c r="H12" s="93">
        <v>0</v>
      </c>
      <c r="I12" s="93">
        <v>1</v>
      </c>
      <c r="J12" s="93">
        <f>42/24</f>
        <v>1.75</v>
      </c>
      <c r="K12" s="93">
        <f>1-(170699/574811)</f>
        <v>0.70303456266494546</v>
      </c>
      <c r="L12" s="120" t="s">
        <v>1</v>
      </c>
      <c r="M12" s="93">
        <f t="shared" si="0"/>
        <v>5.0909090909090908</v>
      </c>
      <c r="N12" s="93">
        <f>337116/63181</f>
        <v>5.3357180164922999</v>
      </c>
      <c r="O12" s="93">
        <v>1</v>
      </c>
      <c r="P12" s="120" t="s">
        <v>1</v>
      </c>
      <c r="Q12" s="120" t="s">
        <v>1</v>
      </c>
      <c r="R12" s="93">
        <f>1-(0/574811)</f>
        <v>1</v>
      </c>
      <c r="S12" s="93">
        <f>1-119069/574811</f>
        <v>0.7928553907284307</v>
      </c>
      <c r="T12" s="125" t="s">
        <v>1</v>
      </c>
      <c r="V12" s="103" t="s">
        <v>98</v>
      </c>
      <c r="W12" s="141">
        <f t="shared" si="4"/>
        <v>2</v>
      </c>
      <c r="X12" s="141">
        <f t="shared" si="1"/>
        <v>2.4530345626649455</v>
      </c>
      <c r="Y12" s="95">
        <f t="shared" si="2"/>
        <v>20.853254214802782</v>
      </c>
      <c r="Z12" s="95">
        <v>1</v>
      </c>
      <c r="AA12" s="160">
        <f t="shared" si="3"/>
        <v>4.4821384768210768</v>
      </c>
      <c r="AB12" s="54">
        <f t="shared" si="5"/>
        <v>1.7104681807938225</v>
      </c>
      <c r="AC12" s="215"/>
      <c r="AD12" s="53"/>
    </row>
    <row r="13" spans="1:30" x14ac:dyDescent="0.55000000000000004">
      <c r="A13" s="53"/>
      <c r="B13" s="104" t="s">
        <v>99</v>
      </c>
      <c r="C13" s="96">
        <v>576550</v>
      </c>
      <c r="D13" s="96">
        <v>5917</v>
      </c>
      <c r="E13" s="117"/>
      <c r="F13" s="117"/>
      <c r="G13" s="90">
        <v>1</v>
      </c>
      <c r="H13" s="91">
        <v>0</v>
      </c>
      <c r="I13" s="91">
        <v>1</v>
      </c>
      <c r="J13" s="91">
        <f>39/24</f>
        <v>1.625</v>
      </c>
      <c r="K13" s="91">
        <f>1-170723/576550</f>
        <v>0.70388864799236839</v>
      </c>
      <c r="L13" s="118" t="s">
        <v>1</v>
      </c>
      <c r="M13" s="91">
        <f t="shared" si="0"/>
        <v>5.0909090909090908</v>
      </c>
      <c r="N13" s="91">
        <f>338785/63181</f>
        <v>5.3621341859103211</v>
      </c>
      <c r="O13" s="91">
        <v>1</v>
      </c>
      <c r="P13" s="118" t="s">
        <v>1</v>
      </c>
      <c r="Q13" s="118" t="s">
        <v>1</v>
      </c>
      <c r="R13" s="91">
        <f>1-1539/576550</f>
        <v>0.99733067383574714</v>
      </c>
      <c r="S13" s="91">
        <f>1-119069/576550</f>
        <v>0.79348018385222441</v>
      </c>
      <c r="T13" s="124" t="s">
        <v>1</v>
      </c>
      <c r="V13" s="104" t="s">
        <v>99</v>
      </c>
      <c r="W13" s="94">
        <f t="shared" si="4"/>
        <v>2</v>
      </c>
      <c r="X13" s="94">
        <f t="shared" si="1"/>
        <v>2.3288886479923683</v>
      </c>
      <c r="Y13" s="94">
        <f t="shared" si="2"/>
        <v>20.906086553638822</v>
      </c>
      <c r="Z13" s="94">
        <v>1</v>
      </c>
      <c r="AA13" s="158">
        <f t="shared" si="3"/>
        <v>4.477027144219929</v>
      </c>
      <c r="AB13" s="161">
        <f t="shared" si="5"/>
        <v>1.7062223525472844</v>
      </c>
      <c r="AC13" s="214">
        <f>(AB13:AB16)/4</f>
        <v>0.4265555881368211</v>
      </c>
      <c r="AD13" s="53"/>
    </row>
    <row r="14" spans="1:30" x14ac:dyDescent="0.55000000000000004">
      <c r="A14" s="53"/>
      <c r="B14" s="102" t="s">
        <v>100</v>
      </c>
      <c r="C14" s="140">
        <v>576550</v>
      </c>
      <c r="D14" s="52">
        <v>12702</v>
      </c>
      <c r="E14" s="117">
        <v>1</v>
      </c>
      <c r="F14" s="117">
        <v>1</v>
      </c>
      <c r="G14" s="50">
        <v>1</v>
      </c>
      <c r="H14" s="51">
        <v>0</v>
      </c>
      <c r="I14" s="51">
        <v>1</v>
      </c>
      <c r="J14" s="51">
        <f>39/24</f>
        <v>1.625</v>
      </c>
      <c r="K14" s="51">
        <f>1-170723/576550</f>
        <v>0.70388864799236839</v>
      </c>
      <c r="L14" s="119" t="s">
        <v>1</v>
      </c>
      <c r="M14" s="51">
        <f t="shared" si="0"/>
        <v>5.0909090909090908</v>
      </c>
      <c r="N14" s="51">
        <f>338785/63181</f>
        <v>5.3621341859103211</v>
      </c>
      <c r="O14" s="51">
        <v>1</v>
      </c>
      <c r="P14" s="119" t="s">
        <v>1</v>
      </c>
      <c r="Q14" s="119" t="s">
        <v>1</v>
      </c>
      <c r="R14" s="51">
        <f>1-1539/576550</f>
        <v>0.99733067383574714</v>
      </c>
      <c r="S14" s="51">
        <f>1-119069/576550</f>
        <v>0.79348018385222441</v>
      </c>
      <c r="T14" s="123" t="s">
        <v>1</v>
      </c>
      <c r="V14" s="102" t="s">
        <v>100</v>
      </c>
      <c r="W14" s="94">
        <f t="shared" si="4"/>
        <v>2</v>
      </c>
      <c r="X14" s="94">
        <f t="shared" si="1"/>
        <v>2.3288886479923683</v>
      </c>
      <c r="Y14" s="94">
        <f t="shared" si="2"/>
        <v>20.906086553638822</v>
      </c>
      <c r="Z14" s="94">
        <v>1</v>
      </c>
      <c r="AA14" s="157">
        <f t="shared" si="3"/>
        <v>4.477027144219929</v>
      </c>
      <c r="AB14" s="53">
        <f t="shared" si="5"/>
        <v>1.7062223525472844</v>
      </c>
      <c r="AC14" s="215"/>
      <c r="AD14" s="53"/>
    </row>
    <row r="15" spans="1:30" x14ac:dyDescent="0.55000000000000004">
      <c r="A15" s="53"/>
      <c r="B15" s="102" t="s">
        <v>101</v>
      </c>
      <c r="C15" s="121" t="s">
        <v>1</v>
      </c>
      <c r="D15" s="127" t="s">
        <v>236</v>
      </c>
      <c r="E15" s="117"/>
      <c r="F15" s="117"/>
      <c r="G15" s="121" t="s">
        <v>1</v>
      </c>
      <c r="H15" s="121" t="s">
        <v>1</v>
      </c>
      <c r="I15" s="121" t="s">
        <v>1</v>
      </c>
      <c r="J15" s="121" t="s">
        <v>1</v>
      </c>
      <c r="K15" s="121" t="s">
        <v>1</v>
      </c>
      <c r="L15" s="119" t="s">
        <v>1</v>
      </c>
      <c r="M15" s="121" t="s">
        <v>1</v>
      </c>
      <c r="N15" s="121" t="s">
        <v>1</v>
      </c>
      <c r="O15" s="121" t="s">
        <v>1</v>
      </c>
      <c r="P15" s="121" t="s">
        <v>1</v>
      </c>
      <c r="Q15" s="119" t="s">
        <v>1</v>
      </c>
      <c r="R15" s="121" t="s">
        <v>1</v>
      </c>
      <c r="S15" s="121" t="s">
        <v>1</v>
      </c>
      <c r="T15" s="123" t="s">
        <v>1</v>
      </c>
      <c r="V15" s="102" t="s">
        <v>101</v>
      </c>
      <c r="W15" s="173">
        <v>2</v>
      </c>
      <c r="X15" s="166" t="s">
        <v>1</v>
      </c>
      <c r="Y15" s="167" t="s">
        <v>1</v>
      </c>
      <c r="Z15" s="172" t="s">
        <v>1</v>
      </c>
      <c r="AA15" s="172" t="s">
        <v>1</v>
      </c>
      <c r="AB15" s="179" t="s">
        <v>1</v>
      </c>
      <c r="AC15" s="215"/>
      <c r="AD15" s="53"/>
    </row>
    <row r="16" spans="1:30" ht="14.7" thickBot="1" x14ac:dyDescent="0.6">
      <c r="A16" s="53"/>
      <c r="B16" s="103" t="s">
        <v>102</v>
      </c>
      <c r="C16" s="141">
        <v>575011</v>
      </c>
      <c r="D16" s="95">
        <v>27320</v>
      </c>
      <c r="E16" s="131"/>
      <c r="F16" s="131"/>
      <c r="G16" s="93">
        <v>1</v>
      </c>
      <c r="H16" s="93">
        <v>0</v>
      </c>
      <c r="I16" s="93">
        <v>1</v>
      </c>
      <c r="J16" s="93">
        <f>39/24</f>
        <v>1.625</v>
      </c>
      <c r="K16" s="93">
        <f>1-170722/575011</f>
        <v>0.70309785378018863</v>
      </c>
      <c r="L16" s="120" t="s">
        <v>1</v>
      </c>
      <c r="M16" s="93">
        <f>56/11</f>
        <v>5.0909090909090908</v>
      </c>
      <c r="N16" s="93">
        <f>337246/63181</f>
        <v>5.3377755970940628</v>
      </c>
      <c r="O16" s="93">
        <v>1</v>
      </c>
      <c r="P16" s="120" t="s">
        <v>1</v>
      </c>
      <c r="Q16" s="120" t="s">
        <v>1</v>
      </c>
      <c r="R16" s="93">
        <f>1-0/575011</f>
        <v>1</v>
      </c>
      <c r="S16" s="93">
        <f>1-119069/575011</f>
        <v>0.7929274396489806</v>
      </c>
      <c r="T16" s="125" t="s">
        <v>1</v>
      </c>
      <c r="V16" s="103" t="s">
        <v>102</v>
      </c>
      <c r="W16" s="141">
        <f t="shared" si="4"/>
        <v>2</v>
      </c>
      <c r="X16" s="141">
        <f>((J16+K16)/2)*$X$8</f>
        <v>2.3280978537801884</v>
      </c>
      <c r="Y16" s="141">
        <f>((N16+M16)/2)*$Y$8</f>
        <v>20.857369376006307</v>
      </c>
      <c r="Z16" s="95">
        <v>1</v>
      </c>
      <c r="AA16" s="159">
        <f>((R16+S16)/2)*$AA$8</f>
        <v>4.4823185991224515</v>
      </c>
      <c r="AB16" s="181">
        <f t="shared" si="5"/>
        <v>1.7037658793838304</v>
      </c>
      <c r="AC16" s="216"/>
      <c r="AD16" s="53"/>
    </row>
    <row r="17" spans="1:30" x14ac:dyDescent="0.55000000000000004">
      <c r="A17" s="53"/>
      <c r="B17" s="104" t="s">
        <v>103</v>
      </c>
      <c r="C17" s="96">
        <v>574881</v>
      </c>
      <c r="D17" s="96">
        <v>116</v>
      </c>
      <c r="E17" s="117"/>
      <c r="F17" s="117"/>
      <c r="G17" s="98">
        <v>1</v>
      </c>
      <c r="H17" s="99">
        <v>0</v>
      </c>
      <c r="I17" s="99">
        <v>1</v>
      </c>
      <c r="J17" s="99">
        <f>42/24</f>
        <v>1.75</v>
      </c>
      <c r="K17" s="99">
        <f>1-170708/574881</f>
        <v>0.70305506704865883</v>
      </c>
      <c r="L17" s="122" t="s">
        <v>1</v>
      </c>
      <c r="M17" s="99">
        <f>56/11</f>
        <v>5.0909090909090908</v>
      </c>
      <c r="N17" s="99">
        <f>337116/63181</f>
        <v>5.3357180164922999</v>
      </c>
      <c r="O17" s="99">
        <v>1</v>
      </c>
      <c r="P17" s="122" t="s">
        <v>1</v>
      </c>
      <c r="Q17" s="122" t="s">
        <v>1</v>
      </c>
      <c r="R17" s="99">
        <f>1-0/574881</f>
        <v>1</v>
      </c>
      <c r="S17" s="99">
        <f>1-119069/574881</f>
        <v>0.79288061355306572</v>
      </c>
      <c r="T17" s="126" t="s">
        <v>1</v>
      </c>
      <c r="V17" s="105" t="s">
        <v>103</v>
      </c>
      <c r="W17" s="94">
        <f t="shared" si="4"/>
        <v>2</v>
      </c>
      <c r="X17" s="94">
        <f>((J17+K17)/2)*$X$8</f>
        <v>2.4530550670486591</v>
      </c>
      <c r="Y17" s="94">
        <f>((N17+M17)/2)*$Y$8</f>
        <v>20.853254214802782</v>
      </c>
      <c r="Z17" s="94">
        <v>1</v>
      </c>
      <c r="AA17" s="156">
        <f>((R17+S17)/2)*$AA$8</f>
        <v>4.4822015338826642</v>
      </c>
      <c r="AB17" s="162">
        <f t="shared" si="5"/>
        <v>1.7104728230963393</v>
      </c>
      <c r="AC17" s="217">
        <f>(AB17:AB20)/4</f>
        <v>0.42761820577408483</v>
      </c>
      <c r="AD17" s="53"/>
    </row>
    <row r="18" spans="1:30" x14ac:dyDescent="0.55000000000000004">
      <c r="A18" s="53"/>
      <c r="B18" s="102" t="s">
        <v>104</v>
      </c>
      <c r="C18" s="52">
        <v>576550</v>
      </c>
      <c r="D18" s="52">
        <v>172</v>
      </c>
      <c r="E18" s="117">
        <v>1</v>
      </c>
      <c r="F18" s="117">
        <v>1</v>
      </c>
      <c r="G18" s="50">
        <v>1</v>
      </c>
      <c r="H18" s="51">
        <v>0</v>
      </c>
      <c r="I18" s="51">
        <v>1</v>
      </c>
      <c r="J18" s="51">
        <f>42/24</f>
        <v>1.75</v>
      </c>
      <c r="K18" s="51">
        <f>1-170710/576550</f>
        <v>0.70391119590668638</v>
      </c>
      <c r="L18" s="119" t="s">
        <v>1</v>
      </c>
      <c r="M18" s="51">
        <f>56/11</f>
        <v>5.0909090909090908</v>
      </c>
      <c r="N18" s="51">
        <f>338785/63181</f>
        <v>5.3621341859103211</v>
      </c>
      <c r="O18" s="51">
        <v>1</v>
      </c>
      <c r="P18" s="119" t="s">
        <v>1</v>
      </c>
      <c r="Q18" s="119" t="s">
        <v>1</v>
      </c>
      <c r="R18" s="51">
        <f>1-(0/576550)</f>
        <v>1</v>
      </c>
      <c r="S18" s="51">
        <f>1-119069/576550</f>
        <v>0.79348018385222441</v>
      </c>
      <c r="T18" s="123" t="s">
        <v>1</v>
      </c>
      <c r="V18" s="102" t="s">
        <v>104</v>
      </c>
      <c r="W18" s="94">
        <f t="shared" si="4"/>
        <v>2</v>
      </c>
      <c r="X18" s="94">
        <f>((J18+K18)/2)*$X$8</f>
        <v>2.4539111959066862</v>
      </c>
      <c r="Y18" s="94">
        <f>((N18+M18)/2)*$Y$8</f>
        <v>20.906086553638822</v>
      </c>
      <c r="Z18" s="94">
        <v>1</v>
      </c>
      <c r="AA18" s="153">
        <f>((R18+S18)/2)*$AA$8</f>
        <v>4.483700459630561</v>
      </c>
      <c r="AB18" s="162">
        <f t="shared" si="5"/>
        <v>1.7135387893986704</v>
      </c>
      <c r="AC18" s="217"/>
      <c r="AD18" s="53"/>
    </row>
    <row r="19" spans="1:30" x14ac:dyDescent="0.55000000000000004">
      <c r="A19" s="53"/>
      <c r="B19" s="102" t="s">
        <v>105</v>
      </c>
      <c r="C19" s="52">
        <v>574881</v>
      </c>
      <c r="D19" s="52">
        <v>421</v>
      </c>
      <c r="E19" s="117"/>
      <c r="F19" s="117"/>
      <c r="G19" s="50">
        <v>1</v>
      </c>
      <c r="H19" s="51">
        <v>0</v>
      </c>
      <c r="I19" s="51">
        <v>1</v>
      </c>
      <c r="J19" s="51">
        <f>42/24</f>
        <v>1.75</v>
      </c>
      <c r="K19" s="51">
        <f>1-170708/574881</f>
        <v>0.70305506704865883</v>
      </c>
      <c r="L19" s="119" t="s">
        <v>1</v>
      </c>
      <c r="M19" s="51">
        <f>56/11</f>
        <v>5.0909090909090908</v>
      </c>
      <c r="N19" s="51">
        <f>337116/63181</f>
        <v>5.3357180164922999</v>
      </c>
      <c r="O19" s="51">
        <v>1</v>
      </c>
      <c r="P19" s="119" t="s">
        <v>1</v>
      </c>
      <c r="Q19" s="119" t="s">
        <v>1</v>
      </c>
      <c r="R19" s="51">
        <f>1-0/574881</f>
        <v>1</v>
      </c>
      <c r="S19" s="51">
        <f>1-119069/574881</f>
        <v>0.79288061355306572</v>
      </c>
      <c r="T19" s="123" t="s">
        <v>1</v>
      </c>
      <c r="V19" s="102" t="s">
        <v>105</v>
      </c>
      <c r="W19" s="94">
        <f t="shared" si="4"/>
        <v>2</v>
      </c>
      <c r="X19" s="94">
        <f>((J19+K19)/2)*$X$8</f>
        <v>2.4530550670486591</v>
      </c>
      <c r="Y19" s="94">
        <f>((N19+M19)/2)*$Y$8</f>
        <v>20.853254214802782</v>
      </c>
      <c r="Z19" s="94">
        <v>1</v>
      </c>
      <c r="AA19" s="153">
        <f>((R19+S19)/2)*$AA$8</f>
        <v>4.4822015338826642</v>
      </c>
      <c r="AB19" s="150">
        <f t="shared" si="5"/>
        <v>1.7104728230963393</v>
      </c>
      <c r="AC19" s="217"/>
      <c r="AD19" s="53"/>
    </row>
    <row r="20" spans="1:30" ht="14.7" thickBot="1" x14ac:dyDescent="0.6">
      <c r="A20" s="53"/>
      <c r="B20" s="103" t="s">
        <v>106</v>
      </c>
      <c r="C20" s="141">
        <v>574881</v>
      </c>
      <c r="D20" s="95">
        <v>152</v>
      </c>
      <c r="E20" s="131"/>
      <c r="F20" s="131"/>
      <c r="G20" s="92">
        <v>1</v>
      </c>
      <c r="H20" s="93">
        <v>0</v>
      </c>
      <c r="I20" s="93">
        <v>1</v>
      </c>
      <c r="J20" s="93">
        <f>42/24</f>
        <v>1.75</v>
      </c>
      <c r="K20" s="93">
        <f>1-170708/574881</f>
        <v>0.70305506704865883</v>
      </c>
      <c r="L20" s="120" t="s">
        <v>1</v>
      </c>
      <c r="M20" s="93">
        <f>56/11</f>
        <v>5.0909090909090908</v>
      </c>
      <c r="N20" s="93">
        <f>337116/63181</f>
        <v>5.3357180164922999</v>
      </c>
      <c r="O20" s="93">
        <v>1</v>
      </c>
      <c r="P20" s="120" t="s">
        <v>1</v>
      </c>
      <c r="Q20" s="120" t="s">
        <v>1</v>
      </c>
      <c r="R20" s="93">
        <f>1-0/574881</f>
        <v>1</v>
      </c>
      <c r="S20" s="93">
        <f>1-119069/574881</f>
        <v>0.79288061355306572</v>
      </c>
      <c r="T20" s="125" t="s">
        <v>1</v>
      </c>
      <c r="V20" s="103" t="s">
        <v>106</v>
      </c>
      <c r="W20" s="141">
        <f t="shared" si="4"/>
        <v>2</v>
      </c>
      <c r="X20" s="141">
        <f>((J20+K20)/2)*$X$8</f>
        <v>2.4530550670486591</v>
      </c>
      <c r="Y20" s="141">
        <f>((N20+M20)/2)*$Y$8</f>
        <v>20.853254214802782</v>
      </c>
      <c r="Z20" s="141">
        <v>1</v>
      </c>
      <c r="AA20" s="160">
        <f>((R20+S20)/2)*$AA$8</f>
        <v>4.4822015338826642</v>
      </c>
      <c r="AB20" s="163">
        <f t="shared" si="5"/>
        <v>1.7104728230963393</v>
      </c>
      <c r="AC20" s="218"/>
      <c r="AD20" s="53"/>
    </row>
    <row r="21" spans="1:30" x14ac:dyDescent="0.55000000000000004">
      <c r="C21" s="53"/>
      <c r="D21" s="97">
        <f>GEOMEAN(D9:D20)</f>
        <v>263.72858681545171</v>
      </c>
      <c r="E21" s="53"/>
      <c r="F21" s="53"/>
      <c r="AB21" s="88"/>
      <c r="AC21">
        <f>SUM(Y9:Y12)/4</f>
        <v>20.853254214802782</v>
      </c>
    </row>
    <row r="22" spans="1:30" ht="14.7" thickBot="1" x14ac:dyDescent="0.6">
      <c r="AC22">
        <f>SUM(Y17+Y18+Y19+Y20)/4</f>
        <v>20.866462299511792</v>
      </c>
    </row>
    <row r="23" spans="1:30" ht="14.7" thickBot="1" x14ac:dyDescent="0.6">
      <c r="B23" s="203" t="s">
        <v>227</v>
      </c>
      <c r="C23" s="142" t="s">
        <v>316</v>
      </c>
      <c r="D23" s="109" t="s">
        <v>318</v>
      </c>
      <c r="E23" s="201" t="s">
        <v>288</v>
      </c>
      <c r="F23" s="205"/>
      <c r="G23" s="193" t="s">
        <v>210</v>
      </c>
      <c r="H23" s="194"/>
      <c r="I23" s="195"/>
      <c r="J23" s="193" t="s">
        <v>214</v>
      </c>
      <c r="K23" s="195"/>
      <c r="L23" s="206" t="s">
        <v>217</v>
      </c>
      <c r="M23" s="200"/>
      <c r="N23" s="207"/>
      <c r="O23" s="193" t="s">
        <v>219</v>
      </c>
      <c r="P23" s="194"/>
      <c r="Q23" s="195"/>
      <c r="R23" s="193" t="s">
        <v>223</v>
      </c>
      <c r="S23" s="194"/>
      <c r="T23" s="195"/>
      <c r="V23" s="196" t="s">
        <v>227</v>
      </c>
      <c r="W23" s="112" t="s">
        <v>319</v>
      </c>
      <c r="X23" s="112" t="s">
        <v>321</v>
      </c>
      <c r="Y23" s="112" t="s">
        <v>320</v>
      </c>
      <c r="Z23" s="112" t="s">
        <v>322</v>
      </c>
      <c r="AA23" s="142" t="s">
        <v>230</v>
      </c>
      <c r="AB23" s="109" t="s">
        <v>323</v>
      </c>
    </row>
    <row r="24" spans="1:30" ht="14.7" thickBot="1" x14ac:dyDescent="0.6">
      <c r="B24" s="204"/>
      <c r="C24" s="112" t="s">
        <v>317</v>
      </c>
      <c r="D24" s="113" t="s">
        <v>235</v>
      </c>
      <c r="E24" s="108" t="s">
        <v>238</v>
      </c>
      <c r="F24" s="108" t="s">
        <v>239</v>
      </c>
      <c r="G24" s="108" t="s">
        <v>211</v>
      </c>
      <c r="H24" s="106" t="s">
        <v>212</v>
      </c>
      <c r="I24" s="106" t="s">
        <v>213</v>
      </c>
      <c r="J24" s="112" t="s">
        <v>215</v>
      </c>
      <c r="K24" s="111" t="s">
        <v>216</v>
      </c>
      <c r="L24" s="109" t="s">
        <v>237</v>
      </c>
      <c r="M24" s="111" t="s">
        <v>218</v>
      </c>
      <c r="N24" s="113" t="s">
        <v>226</v>
      </c>
      <c r="O24" s="112" t="s">
        <v>220</v>
      </c>
      <c r="P24" s="114" t="s">
        <v>221</v>
      </c>
      <c r="Q24" s="109" t="s">
        <v>222</v>
      </c>
      <c r="R24" s="111" t="s">
        <v>225</v>
      </c>
      <c r="S24" s="113" t="s">
        <v>224</v>
      </c>
      <c r="T24" s="107" t="s">
        <v>230</v>
      </c>
      <c r="V24" s="197"/>
      <c r="W24" s="113">
        <v>2</v>
      </c>
      <c r="X24" s="113">
        <v>2</v>
      </c>
      <c r="Y24" s="113">
        <v>4</v>
      </c>
      <c r="Z24" s="113">
        <v>5</v>
      </c>
      <c r="AA24" s="152">
        <v>5</v>
      </c>
      <c r="AB24" s="142">
        <f>SUM(W24:AA24)</f>
        <v>18</v>
      </c>
      <c r="AC24" s="87"/>
    </row>
    <row r="25" spans="1:30" x14ac:dyDescent="0.55000000000000004">
      <c r="B25" s="105" t="s">
        <v>107</v>
      </c>
      <c r="C25" s="140">
        <v>1149762</v>
      </c>
      <c r="D25" s="94">
        <v>132</v>
      </c>
      <c r="F25" s="117"/>
      <c r="G25" s="90">
        <v>1</v>
      </c>
      <c r="H25" s="91">
        <v>0</v>
      </c>
      <c r="I25" s="91">
        <v>1</v>
      </c>
      <c r="J25" s="91">
        <f>42/24</f>
        <v>1.75</v>
      </c>
      <c r="K25" s="91">
        <f>1-341362/1149762</f>
        <v>0.70310203329036791</v>
      </c>
      <c r="L25" s="118" t="s">
        <v>1</v>
      </c>
      <c r="M25" s="91">
        <f t="shared" ref="M25:M30" si="6">56/11</f>
        <v>5.0909090909090908</v>
      </c>
      <c r="N25" s="91">
        <f>674232/126362</f>
        <v>5.3357180164922999</v>
      </c>
      <c r="O25" s="91">
        <v>1</v>
      </c>
      <c r="P25" s="118" t="s">
        <v>1</v>
      </c>
      <c r="Q25" s="118" t="s">
        <v>1</v>
      </c>
      <c r="R25" s="91">
        <f>1-0/1149762</f>
        <v>1</v>
      </c>
      <c r="S25" s="91">
        <f>1-238686/1149762</f>
        <v>0.79240399317423948</v>
      </c>
      <c r="T25" s="124" t="s">
        <v>1</v>
      </c>
      <c r="V25" s="105" t="s">
        <v>95</v>
      </c>
      <c r="W25" s="94">
        <f>(($F$10+$E$10)/2)*2</f>
        <v>2</v>
      </c>
      <c r="X25" s="94">
        <f t="shared" ref="X25:X30" si="7">((J25+K25)/2)*$X$8</f>
        <v>2.4531020332903681</v>
      </c>
      <c r="Y25" s="94">
        <f t="shared" ref="Y25:Y30" si="8">((N25+M25)/2)*$Y$8</f>
        <v>20.853254214802782</v>
      </c>
      <c r="Z25" s="94">
        <v>1</v>
      </c>
      <c r="AA25" s="153">
        <f t="shared" ref="AA25:AA30" si="9">((R25+S25)/2)*$AA$8</f>
        <v>4.4810099829355989</v>
      </c>
      <c r="AB25" s="164">
        <f>SUM(W25:AA25)/$AB$8</f>
        <v>1.7104092350571527</v>
      </c>
      <c r="AC25" s="87"/>
    </row>
    <row r="26" spans="1:30" x14ac:dyDescent="0.55000000000000004">
      <c r="B26" s="102" t="s">
        <v>108</v>
      </c>
      <c r="C26" s="52">
        <v>1149762</v>
      </c>
      <c r="D26" s="52">
        <v>116</v>
      </c>
      <c r="E26" s="117">
        <v>1</v>
      </c>
      <c r="F26" s="117">
        <v>1</v>
      </c>
      <c r="G26" s="50">
        <v>1</v>
      </c>
      <c r="H26" s="51">
        <v>0</v>
      </c>
      <c r="I26" s="51">
        <v>1</v>
      </c>
      <c r="J26" s="51">
        <f>42/24</f>
        <v>1.75</v>
      </c>
      <c r="K26" s="51">
        <f>1-341362/1149762</f>
        <v>0.70310203329036791</v>
      </c>
      <c r="L26" s="119" t="s">
        <v>1</v>
      </c>
      <c r="M26" s="51">
        <f t="shared" si="6"/>
        <v>5.0909090909090908</v>
      </c>
      <c r="N26" s="51">
        <f>674232/126362</f>
        <v>5.3357180164922999</v>
      </c>
      <c r="O26" s="51">
        <v>1</v>
      </c>
      <c r="P26" s="119" t="s">
        <v>1</v>
      </c>
      <c r="Q26" s="119" t="s">
        <v>1</v>
      </c>
      <c r="R26" s="51">
        <f>1-0/1149762</f>
        <v>1</v>
      </c>
      <c r="S26" s="51">
        <f>1-238686/1149762</f>
        <v>0.79240399317423948</v>
      </c>
      <c r="T26" s="123" t="s">
        <v>1</v>
      </c>
      <c r="V26" s="102" t="s">
        <v>96</v>
      </c>
      <c r="W26" s="94">
        <f t="shared" ref="W26:W36" si="10">(($F$10+$E$10)/2)*2</f>
        <v>2</v>
      </c>
      <c r="X26" s="94">
        <f t="shared" si="7"/>
        <v>2.4531020332903681</v>
      </c>
      <c r="Y26" s="94">
        <f t="shared" si="8"/>
        <v>20.853254214802782</v>
      </c>
      <c r="Z26" s="94">
        <v>1</v>
      </c>
      <c r="AA26" s="153">
        <f t="shared" si="9"/>
        <v>4.4810099829355989</v>
      </c>
      <c r="AB26" s="150">
        <f t="shared" ref="AB26:AB33" si="11">SUM(W26:AA26)/$AB$8</f>
        <v>1.7104092350571527</v>
      </c>
      <c r="AC26" s="87"/>
    </row>
    <row r="27" spans="1:30" x14ac:dyDescent="0.55000000000000004">
      <c r="B27" s="102" t="s">
        <v>109</v>
      </c>
      <c r="C27" s="140">
        <v>1149622</v>
      </c>
      <c r="D27" s="52">
        <v>19</v>
      </c>
      <c r="E27" s="117"/>
      <c r="F27" s="117"/>
      <c r="G27" s="50">
        <v>1</v>
      </c>
      <c r="H27" s="51">
        <v>0</v>
      </c>
      <c r="I27" s="51">
        <v>1</v>
      </c>
      <c r="J27" s="51">
        <f>42/24</f>
        <v>1.75</v>
      </c>
      <c r="K27" s="51">
        <f>1-341344/1149622</f>
        <v>0.70308153462616407</v>
      </c>
      <c r="L27" s="119" t="s">
        <v>1</v>
      </c>
      <c r="M27" s="51">
        <f t="shared" si="6"/>
        <v>5.0909090909090908</v>
      </c>
      <c r="N27" s="51">
        <f>674232/126362</f>
        <v>5.3357180164922999</v>
      </c>
      <c r="O27" s="51">
        <v>1</v>
      </c>
      <c r="P27" s="119" t="s">
        <v>1</v>
      </c>
      <c r="Q27" s="119" t="s">
        <v>1</v>
      </c>
      <c r="R27" s="51">
        <f>1-0/1149622</f>
        <v>1</v>
      </c>
      <c r="S27" s="51">
        <f>1-238686/1149622</f>
        <v>0.79237871230717571</v>
      </c>
      <c r="T27" s="123" t="s">
        <v>1</v>
      </c>
      <c r="V27" s="102" t="s">
        <v>97</v>
      </c>
      <c r="W27" s="94">
        <f t="shared" si="10"/>
        <v>2</v>
      </c>
      <c r="X27" s="94">
        <f t="shared" si="7"/>
        <v>2.4530815346261639</v>
      </c>
      <c r="Y27" s="146">
        <f t="shared" si="8"/>
        <v>20.853254214802782</v>
      </c>
      <c r="Z27" s="146">
        <v>1</v>
      </c>
      <c r="AA27" s="153">
        <f t="shared" si="9"/>
        <v>4.4809467807679395</v>
      </c>
      <c r="AB27" s="150">
        <f t="shared" si="11"/>
        <v>1.7104045850109382</v>
      </c>
      <c r="AC27" s="87"/>
    </row>
    <row r="28" spans="1:30" ht="14.7" thickBot="1" x14ac:dyDescent="0.6">
      <c r="B28" s="103" t="s">
        <v>110</v>
      </c>
      <c r="C28" s="95">
        <v>1149622</v>
      </c>
      <c r="D28" s="95">
        <v>18</v>
      </c>
      <c r="E28" s="131"/>
      <c r="F28" s="131"/>
      <c r="G28" s="92">
        <v>1</v>
      </c>
      <c r="H28" s="93">
        <v>0</v>
      </c>
      <c r="I28" s="93">
        <v>1</v>
      </c>
      <c r="J28" s="93">
        <f>42/24</f>
        <v>1.75</v>
      </c>
      <c r="K28" s="93">
        <f>1-341344/1149622</f>
        <v>0.70308153462616407</v>
      </c>
      <c r="L28" s="120" t="s">
        <v>1</v>
      </c>
      <c r="M28" s="93">
        <f t="shared" si="6"/>
        <v>5.0909090909090908</v>
      </c>
      <c r="N28" s="93">
        <f>674232/126362</f>
        <v>5.3357180164922999</v>
      </c>
      <c r="O28" s="93">
        <v>1</v>
      </c>
      <c r="P28" s="120" t="s">
        <v>1</v>
      </c>
      <c r="Q28" s="120" t="s">
        <v>1</v>
      </c>
      <c r="R28" s="93">
        <f>1-0/1149622</f>
        <v>1</v>
      </c>
      <c r="S28" s="93">
        <f>1-238686/1149622</f>
        <v>0.79237871230717571</v>
      </c>
      <c r="T28" s="125" t="s">
        <v>1</v>
      </c>
      <c r="V28" s="103" t="s">
        <v>98</v>
      </c>
      <c r="W28" s="141">
        <f t="shared" si="10"/>
        <v>2</v>
      </c>
      <c r="X28" s="141">
        <f t="shared" si="7"/>
        <v>2.4530815346261639</v>
      </c>
      <c r="Y28" s="95">
        <f t="shared" si="8"/>
        <v>20.853254214802782</v>
      </c>
      <c r="Z28" s="95">
        <v>1</v>
      </c>
      <c r="AA28" s="154">
        <f t="shared" si="9"/>
        <v>4.4809467807679395</v>
      </c>
      <c r="AB28" s="150">
        <f t="shared" si="11"/>
        <v>1.7104045850109382</v>
      </c>
      <c r="AC28" s="87"/>
    </row>
    <row r="29" spans="1:30" x14ac:dyDescent="0.55000000000000004">
      <c r="B29" s="105" t="s">
        <v>111</v>
      </c>
      <c r="C29" s="52">
        <v>1153100</v>
      </c>
      <c r="D29" s="94">
        <v>50364</v>
      </c>
      <c r="E29" s="117"/>
      <c r="F29" s="117"/>
      <c r="G29" s="90">
        <v>1</v>
      </c>
      <c r="H29" s="91">
        <v>0</v>
      </c>
      <c r="I29" s="91">
        <v>1</v>
      </c>
      <c r="J29" s="91">
        <f>39/24</f>
        <v>1.625</v>
      </c>
      <c r="K29" s="91">
        <f>1-341390/1153100</f>
        <v>0.70393721273089938</v>
      </c>
      <c r="L29" s="118" t="s">
        <v>1</v>
      </c>
      <c r="M29" s="91">
        <f t="shared" si="6"/>
        <v>5.0909090909090908</v>
      </c>
      <c r="N29" s="91">
        <f>677570/126362</f>
        <v>5.3621341859103211</v>
      </c>
      <c r="O29" s="91">
        <v>1</v>
      </c>
      <c r="P29" s="118" t="s">
        <v>1</v>
      </c>
      <c r="Q29" s="118" t="s">
        <v>1</v>
      </c>
      <c r="R29" s="91">
        <f>1-3078/153100</f>
        <v>0.97989549314173741</v>
      </c>
      <c r="S29" s="91">
        <f>1-238686/1153100</f>
        <v>0.79300494319660042</v>
      </c>
      <c r="T29" s="124" t="s">
        <v>1</v>
      </c>
      <c r="V29" s="104" t="s">
        <v>99</v>
      </c>
      <c r="W29" s="94">
        <f t="shared" si="10"/>
        <v>2</v>
      </c>
      <c r="X29" s="94">
        <f t="shared" si="7"/>
        <v>2.3289372127308994</v>
      </c>
      <c r="Y29" s="94">
        <f t="shared" si="8"/>
        <v>20.906086553638822</v>
      </c>
      <c r="Z29" s="94">
        <v>1</v>
      </c>
      <c r="AA29" s="155">
        <f t="shared" si="9"/>
        <v>4.4322510908458446</v>
      </c>
      <c r="AB29" s="161">
        <f t="shared" si="11"/>
        <v>1.7037374920675314</v>
      </c>
      <c r="AC29" s="87"/>
    </row>
    <row r="30" spans="1:30" x14ac:dyDescent="0.55000000000000004">
      <c r="B30" s="102" t="s">
        <v>112</v>
      </c>
      <c r="C30" s="52">
        <v>1153100</v>
      </c>
      <c r="D30" s="52">
        <v>45411</v>
      </c>
      <c r="E30" s="117">
        <v>1</v>
      </c>
      <c r="F30" s="117">
        <v>1</v>
      </c>
      <c r="G30" s="50">
        <v>1</v>
      </c>
      <c r="H30" s="51">
        <v>0</v>
      </c>
      <c r="I30" s="51">
        <v>1</v>
      </c>
      <c r="J30" s="51">
        <f>39/24</f>
        <v>1.625</v>
      </c>
      <c r="K30" s="51">
        <f>1-341390/1153100</f>
        <v>0.70393721273089938</v>
      </c>
      <c r="L30" s="119" t="s">
        <v>1</v>
      </c>
      <c r="M30" s="51">
        <f t="shared" si="6"/>
        <v>5.0909090909090908</v>
      </c>
      <c r="N30" s="51">
        <f>677570/126362</f>
        <v>5.3621341859103211</v>
      </c>
      <c r="O30" s="51"/>
      <c r="P30" s="119" t="s">
        <v>1</v>
      </c>
      <c r="Q30" s="119" t="s">
        <v>1</v>
      </c>
      <c r="R30" s="51">
        <f>1-3078/1153100</f>
        <v>0.99733067383574714</v>
      </c>
      <c r="S30" s="51">
        <f>1-238686/1153100</f>
        <v>0.79300494319660042</v>
      </c>
      <c r="T30" s="123" t="s">
        <v>1</v>
      </c>
      <c r="V30" s="102" t="s">
        <v>100</v>
      </c>
      <c r="W30" s="94">
        <f t="shared" si="10"/>
        <v>2</v>
      </c>
      <c r="X30" s="94">
        <f t="shared" si="7"/>
        <v>2.3289372127308994</v>
      </c>
      <c r="Y30" s="94">
        <f t="shared" si="8"/>
        <v>20.906086553638822</v>
      </c>
      <c r="Z30" s="94">
        <v>1</v>
      </c>
      <c r="AA30" s="153">
        <f t="shared" si="9"/>
        <v>4.4758390425808692</v>
      </c>
      <c r="AB30" s="165">
        <f t="shared" si="11"/>
        <v>1.7061590449416995</v>
      </c>
      <c r="AC30" s="87"/>
    </row>
    <row r="31" spans="1:30" x14ac:dyDescent="0.55000000000000004">
      <c r="B31" s="102" t="s">
        <v>113</v>
      </c>
      <c r="C31" s="121" t="s">
        <v>1</v>
      </c>
      <c r="D31" s="127" t="s">
        <v>236</v>
      </c>
      <c r="E31" s="117"/>
      <c r="F31" s="117"/>
      <c r="G31" s="121" t="s">
        <v>1</v>
      </c>
      <c r="H31" s="121" t="s">
        <v>1</v>
      </c>
      <c r="I31" s="121" t="s">
        <v>1</v>
      </c>
      <c r="J31" s="121" t="s">
        <v>1</v>
      </c>
      <c r="K31" s="121" t="s">
        <v>1</v>
      </c>
      <c r="L31" s="119" t="s">
        <v>1</v>
      </c>
      <c r="M31" s="121" t="s">
        <v>1</v>
      </c>
      <c r="N31" s="121" t="s">
        <v>1</v>
      </c>
      <c r="O31" s="50">
        <v>1</v>
      </c>
      <c r="P31" s="121" t="s">
        <v>1</v>
      </c>
      <c r="Q31" s="119" t="s">
        <v>1</v>
      </c>
      <c r="R31" s="121" t="s">
        <v>1</v>
      </c>
      <c r="S31" s="121" t="s">
        <v>1</v>
      </c>
      <c r="T31" s="123" t="s">
        <v>1</v>
      </c>
      <c r="V31" s="102" t="s">
        <v>101</v>
      </c>
      <c r="W31" s="94">
        <f t="shared" si="10"/>
        <v>2</v>
      </c>
      <c r="X31" s="166" t="s">
        <v>1</v>
      </c>
      <c r="Y31" s="167" t="s">
        <v>1</v>
      </c>
      <c r="Z31" s="167" t="s">
        <v>1</v>
      </c>
      <c r="AA31" s="167" t="s">
        <v>1</v>
      </c>
      <c r="AB31" s="168" t="s">
        <v>1</v>
      </c>
      <c r="AC31" s="87"/>
    </row>
    <row r="32" spans="1:30" ht="14.7" thickBot="1" x14ac:dyDescent="0.6">
      <c r="B32" s="103" t="s">
        <v>114</v>
      </c>
      <c r="C32" s="120" t="s">
        <v>1</v>
      </c>
      <c r="D32" s="129" t="s">
        <v>236</v>
      </c>
      <c r="E32" s="131"/>
      <c r="F32" s="131"/>
      <c r="G32" s="120" t="s">
        <v>1</v>
      </c>
      <c r="H32" s="128" t="s">
        <v>1</v>
      </c>
      <c r="I32" s="128" t="s">
        <v>1</v>
      </c>
      <c r="J32" s="128" t="s">
        <v>1</v>
      </c>
      <c r="K32" s="128" t="s">
        <v>1</v>
      </c>
      <c r="L32" s="120" t="s">
        <v>1</v>
      </c>
      <c r="M32" s="128" t="s">
        <v>1</v>
      </c>
      <c r="N32" s="128" t="s">
        <v>1</v>
      </c>
      <c r="O32" s="92">
        <v>1</v>
      </c>
      <c r="P32" s="128" t="s">
        <v>1</v>
      </c>
      <c r="Q32" s="120" t="s">
        <v>1</v>
      </c>
      <c r="R32" s="128" t="s">
        <v>1</v>
      </c>
      <c r="S32" s="128" t="s">
        <v>1</v>
      </c>
      <c r="T32" s="125" t="s">
        <v>1</v>
      </c>
      <c r="V32" s="103" t="s">
        <v>102</v>
      </c>
      <c r="W32" s="141">
        <f t="shared" si="10"/>
        <v>2</v>
      </c>
      <c r="X32" s="169" t="s">
        <v>1</v>
      </c>
      <c r="Y32" s="169" t="s">
        <v>1</v>
      </c>
      <c r="Z32" s="169" t="s">
        <v>1</v>
      </c>
      <c r="AA32" s="167" t="s">
        <v>1</v>
      </c>
      <c r="AB32" s="170" t="s">
        <v>1</v>
      </c>
      <c r="AC32" s="87"/>
    </row>
    <row r="33" spans="1:29" x14ac:dyDescent="0.55000000000000004">
      <c r="B33" s="105" t="s">
        <v>115</v>
      </c>
      <c r="C33" s="147">
        <v>1149762</v>
      </c>
      <c r="D33" s="145">
        <v>317</v>
      </c>
      <c r="E33" s="117"/>
      <c r="F33" s="117"/>
      <c r="G33" s="90">
        <v>1</v>
      </c>
      <c r="H33" s="91">
        <v>0</v>
      </c>
      <c r="I33" s="91">
        <v>1</v>
      </c>
      <c r="J33" s="91">
        <f>42/24</f>
        <v>1.75</v>
      </c>
      <c r="K33" s="91">
        <f>1-341362/1149762</f>
        <v>0.70310203329036791</v>
      </c>
      <c r="L33" s="118" t="s">
        <v>1</v>
      </c>
      <c r="M33" s="91">
        <f>56/11</f>
        <v>5.0909090909090908</v>
      </c>
      <c r="N33" s="91">
        <f>674232/126362</f>
        <v>5.3357180164922999</v>
      </c>
      <c r="O33" s="91"/>
      <c r="P33" s="118" t="s">
        <v>1</v>
      </c>
      <c r="Q33" s="118" t="s">
        <v>1</v>
      </c>
      <c r="R33" s="91">
        <f>1-0/1149762</f>
        <v>1</v>
      </c>
      <c r="S33" s="91">
        <f>1-238686/1149762</f>
        <v>0.79240399317423948</v>
      </c>
      <c r="T33" s="124" t="s">
        <v>1</v>
      </c>
      <c r="V33" s="105" t="s">
        <v>103</v>
      </c>
      <c r="W33" s="94">
        <f t="shared" si="10"/>
        <v>2</v>
      </c>
      <c r="X33" s="94">
        <f>((J33+K33)/2)*$X$8</f>
        <v>2.4531020332903681</v>
      </c>
      <c r="Y33" s="94">
        <f>((N33+M33)/2)*$Y$8</f>
        <v>20.853254214802782</v>
      </c>
      <c r="Z33" s="94">
        <v>1</v>
      </c>
      <c r="AA33" s="156">
        <f>((R33+S33)/2)*$AA$8</f>
        <v>4.4810099829355989</v>
      </c>
      <c r="AB33" s="150">
        <f t="shared" si="11"/>
        <v>1.7104092350571527</v>
      </c>
      <c r="AC33" s="87"/>
    </row>
    <row r="34" spans="1:29" x14ac:dyDescent="0.55000000000000004">
      <c r="B34" s="102" t="s">
        <v>116</v>
      </c>
      <c r="C34" s="121" t="s">
        <v>1</v>
      </c>
      <c r="D34" s="127" t="s">
        <v>295</v>
      </c>
      <c r="E34" s="117">
        <v>1</v>
      </c>
      <c r="F34" s="117">
        <v>1</v>
      </c>
      <c r="G34" s="121" t="s">
        <v>1</v>
      </c>
      <c r="H34" s="121" t="s">
        <v>1</v>
      </c>
      <c r="I34" s="121" t="s">
        <v>1</v>
      </c>
      <c r="J34" s="121" t="s">
        <v>1</v>
      </c>
      <c r="K34" s="121" t="s">
        <v>1</v>
      </c>
      <c r="L34" s="119" t="s">
        <v>1</v>
      </c>
      <c r="M34" s="119" t="s">
        <v>1</v>
      </c>
      <c r="N34" s="119" t="s">
        <v>1</v>
      </c>
      <c r="O34" s="119" t="s">
        <v>1</v>
      </c>
      <c r="P34" s="119" t="s">
        <v>1</v>
      </c>
      <c r="Q34" s="119" t="s">
        <v>1</v>
      </c>
      <c r="R34" s="119" t="s">
        <v>1</v>
      </c>
      <c r="S34" s="119" t="s">
        <v>1</v>
      </c>
      <c r="T34" s="123" t="s">
        <v>1</v>
      </c>
      <c r="V34" s="102" t="s">
        <v>104</v>
      </c>
      <c r="W34" s="94">
        <f t="shared" si="10"/>
        <v>2</v>
      </c>
      <c r="X34" s="167" t="s">
        <v>1</v>
      </c>
      <c r="Y34" s="167" t="s">
        <v>1</v>
      </c>
      <c r="Z34" s="94">
        <v>1</v>
      </c>
      <c r="AA34" s="167" t="s">
        <v>1</v>
      </c>
      <c r="AB34" s="171" t="s">
        <v>1</v>
      </c>
      <c r="AC34" s="87"/>
    </row>
    <row r="35" spans="1:29" x14ac:dyDescent="0.55000000000000004">
      <c r="B35" s="102" t="s">
        <v>117</v>
      </c>
      <c r="C35" s="121" t="s">
        <v>1</v>
      </c>
      <c r="D35" s="127" t="s">
        <v>295</v>
      </c>
      <c r="E35" s="117"/>
      <c r="F35" s="117"/>
      <c r="G35" s="121" t="s">
        <v>1</v>
      </c>
      <c r="H35" s="121" t="s">
        <v>1</v>
      </c>
      <c r="I35" s="121" t="s">
        <v>1</v>
      </c>
      <c r="J35" s="121" t="s">
        <v>1</v>
      </c>
      <c r="K35" s="121" t="s">
        <v>1</v>
      </c>
      <c r="L35" s="119" t="s">
        <v>1</v>
      </c>
      <c r="M35" s="119" t="s">
        <v>1</v>
      </c>
      <c r="N35" s="119" t="s">
        <v>1</v>
      </c>
      <c r="O35" s="119" t="s">
        <v>1</v>
      </c>
      <c r="P35" s="119" t="s">
        <v>1</v>
      </c>
      <c r="Q35" s="119" t="s">
        <v>1</v>
      </c>
      <c r="R35" s="119" t="s">
        <v>1</v>
      </c>
      <c r="S35" s="119" t="s">
        <v>1</v>
      </c>
      <c r="T35" s="123" t="s">
        <v>1</v>
      </c>
      <c r="V35" s="102" t="s">
        <v>105</v>
      </c>
      <c r="W35" s="94">
        <f t="shared" si="10"/>
        <v>2</v>
      </c>
      <c r="X35" s="167" t="s">
        <v>1</v>
      </c>
      <c r="Y35" s="167" t="s">
        <v>1</v>
      </c>
      <c r="Z35" s="94">
        <v>1</v>
      </c>
      <c r="AA35" s="167" t="s">
        <v>1</v>
      </c>
      <c r="AB35" s="168" t="s">
        <v>1</v>
      </c>
      <c r="AC35" s="87"/>
    </row>
    <row r="36" spans="1:29" ht="14.7" thickBot="1" x14ac:dyDescent="0.6">
      <c r="B36" s="103" t="s">
        <v>118</v>
      </c>
      <c r="C36" s="128" t="s">
        <v>1</v>
      </c>
      <c r="D36" s="129" t="s">
        <v>295</v>
      </c>
      <c r="E36" s="131"/>
      <c r="F36" s="131"/>
      <c r="G36" s="128" t="s">
        <v>1</v>
      </c>
      <c r="H36" s="128" t="s">
        <v>1</v>
      </c>
      <c r="I36" s="128" t="s">
        <v>1</v>
      </c>
      <c r="J36" s="128" t="s">
        <v>1</v>
      </c>
      <c r="K36" s="128" t="s">
        <v>1</v>
      </c>
      <c r="L36" s="120" t="s">
        <v>1</v>
      </c>
      <c r="M36" s="120" t="s">
        <v>1</v>
      </c>
      <c r="N36" s="120" t="s">
        <v>1</v>
      </c>
      <c r="O36" s="120" t="s">
        <v>1</v>
      </c>
      <c r="P36" s="120" t="s">
        <v>1</v>
      </c>
      <c r="Q36" s="120" t="s">
        <v>1</v>
      </c>
      <c r="R36" s="120" t="s">
        <v>1</v>
      </c>
      <c r="S36" s="120" t="s">
        <v>1</v>
      </c>
      <c r="T36" s="125" t="s">
        <v>1</v>
      </c>
      <c r="V36" s="103" t="s">
        <v>106</v>
      </c>
      <c r="W36" s="141">
        <f t="shared" si="10"/>
        <v>2</v>
      </c>
      <c r="X36" s="172" t="s">
        <v>1</v>
      </c>
      <c r="Y36" s="169" t="s">
        <v>1</v>
      </c>
      <c r="Z36" s="141">
        <v>1</v>
      </c>
      <c r="AA36" s="169" t="s">
        <v>1</v>
      </c>
      <c r="AB36" s="175" t="s">
        <v>1</v>
      </c>
    </row>
    <row r="37" spans="1:29" ht="14.7" thickBot="1" x14ac:dyDescent="0.6">
      <c r="X37" s="144"/>
      <c r="Y37" s="53"/>
      <c r="AA37" s="174"/>
      <c r="AB37" s="144"/>
    </row>
    <row r="38" spans="1:29" ht="14.7" thickBot="1" x14ac:dyDescent="0.6">
      <c r="B38" s="203" t="s">
        <v>227</v>
      </c>
      <c r="C38" s="142" t="s">
        <v>316</v>
      </c>
      <c r="D38" s="109" t="s">
        <v>234</v>
      </c>
      <c r="E38" s="201" t="s">
        <v>288</v>
      </c>
      <c r="F38" s="202"/>
      <c r="G38" s="198" t="s">
        <v>210</v>
      </c>
      <c r="H38" s="194"/>
      <c r="I38" s="194"/>
      <c r="J38" s="194" t="s">
        <v>214</v>
      </c>
      <c r="K38" s="194"/>
      <c r="L38" s="199" t="s">
        <v>217</v>
      </c>
      <c r="M38" s="200"/>
      <c r="N38" s="198"/>
      <c r="O38" s="194" t="s">
        <v>219</v>
      </c>
      <c r="P38" s="194"/>
      <c r="Q38" s="199"/>
      <c r="R38" s="193" t="s">
        <v>223</v>
      </c>
      <c r="S38" s="194"/>
      <c r="T38" s="195"/>
      <c r="V38" s="196" t="s">
        <v>227</v>
      </c>
      <c r="W38" s="112" t="s">
        <v>319</v>
      </c>
      <c r="X38" s="112" t="s">
        <v>321</v>
      </c>
      <c r="Y38" s="112" t="s">
        <v>320</v>
      </c>
      <c r="Z38" s="112" t="s">
        <v>322</v>
      </c>
      <c r="AA38" s="142" t="s">
        <v>230</v>
      </c>
      <c r="AB38" s="109" t="s">
        <v>323</v>
      </c>
    </row>
    <row r="39" spans="1:29" ht="14.7" thickBot="1" x14ac:dyDescent="0.6">
      <c r="B39" s="204"/>
      <c r="C39" s="112" t="s">
        <v>317</v>
      </c>
      <c r="D39" s="106" t="s">
        <v>235</v>
      </c>
      <c r="E39" s="111" t="s">
        <v>238</v>
      </c>
      <c r="F39" s="109" t="s">
        <v>239</v>
      </c>
      <c r="G39" s="109" t="s">
        <v>211</v>
      </c>
      <c r="H39" s="109" t="s">
        <v>212</v>
      </c>
      <c r="I39" s="114" t="s">
        <v>213</v>
      </c>
      <c r="J39" s="111" t="s">
        <v>215</v>
      </c>
      <c r="K39" s="109" t="s">
        <v>216</v>
      </c>
      <c r="L39" s="114" t="s">
        <v>237</v>
      </c>
      <c r="M39" s="111" t="s">
        <v>218</v>
      </c>
      <c r="N39" s="109" t="s">
        <v>226</v>
      </c>
      <c r="O39" s="113" t="s">
        <v>220</v>
      </c>
      <c r="P39" s="110" t="s">
        <v>221</v>
      </c>
      <c r="Q39" s="113" t="s">
        <v>222</v>
      </c>
      <c r="R39" s="112" t="s">
        <v>225</v>
      </c>
      <c r="S39" s="109" t="s">
        <v>224</v>
      </c>
      <c r="T39" s="114" t="s">
        <v>230</v>
      </c>
      <c r="V39" s="197"/>
      <c r="W39" s="113">
        <v>2</v>
      </c>
      <c r="X39" s="113">
        <v>2</v>
      </c>
      <c r="Y39" s="113">
        <v>4</v>
      </c>
      <c r="Z39" s="113">
        <v>5</v>
      </c>
      <c r="AA39" s="152">
        <v>5</v>
      </c>
      <c r="AB39" s="142">
        <f>SUM(W39:AA39)</f>
        <v>18</v>
      </c>
      <c r="AC39" s="87"/>
    </row>
    <row r="40" spans="1:29" x14ac:dyDescent="0.55000000000000004">
      <c r="A40" s="56"/>
      <c r="B40" s="104" t="s">
        <v>119</v>
      </c>
      <c r="C40" s="140">
        <v>1724643</v>
      </c>
      <c r="D40" s="143">
        <v>282.89999999999998</v>
      </c>
      <c r="E40" s="208">
        <v>1</v>
      </c>
      <c r="F40" s="211">
        <v>1</v>
      </c>
      <c r="G40" s="98">
        <v>1</v>
      </c>
      <c r="H40" s="99">
        <v>0</v>
      </c>
      <c r="I40" s="99">
        <v>1</v>
      </c>
      <c r="J40" s="99">
        <f>42/24</f>
        <v>1.75</v>
      </c>
      <c r="K40" s="99">
        <f>1-512016/1724643</f>
        <v>0.70311768870427094</v>
      </c>
      <c r="L40" s="122" t="s">
        <v>1</v>
      </c>
      <c r="M40" s="51">
        <f>56/11</f>
        <v>5.0909090909090908</v>
      </c>
      <c r="N40" s="99">
        <f>1011348/189543</f>
        <v>5.3357180164922999</v>
      </c>
      <c r="O40" s="99">
        <v>1</v>
      </c>
      <c r="P40" s="122" t="s">
        <v>1</v>
      </c>
      <c r="Q40" s="122" t="s">
        <v>1</v>
      </c>
      <c r="R40" s="51">
        <v>1</v>
      </c>
      <c r="S40" s="135">
        <f>1-358291/1724643</f>
        <v>0.79225207767636552</v>
      </c>
      <c r="T40" s="126" t="s">
        <v>1</v>
      </c>
      <c r="V40" s="105" t="s">
        <v>95</v>
      </c>
      <c r="W40" s="94">
        <f>(($F$10+$E$10)/2)*2</f>
        <v>2</v>
      </c>
      <c r="X40" s="94">
        <f>((J40+K40)/2)*$X$8</f>
        <v>2.4531176887042712</v>
      </c>
      <c r="Y40" s="94">
        <f>((N40+M40)/2)*$Y$8</f>
        <v>20.853254214802782</v>
      </c>
      <c r="Z40" s="94">
        <v>1</v>
      </c>
      <c r="AA40" s="153">
        <f>((R40+S40)/2)*$AA$8</f>
        <v>4.4806301941909137</v>
      </c>
      <c r="AB40" s="164">
        <f>SUM(W40:AA40)/$AB$8</f>
        <v>1.7103890054276647</v>
      </c>
      <c r="AC40" s="87"/>
    </row>
    <row r="41" spans="1:29" x14ac:dyDescent="0.55000000000000004">
      <c r="A41" s="56"/>
      <c r="B41" s="102" t="s">
        <v>120</v>
      </c>
      <c r="C41" s="52">
        <v>1724643</v>
      </c>
      <c r="D41" s="52">
        <v>257.5</v>
      </c>
      <c r="E41" s="209"/>
      <c r="F41" s="212"/>
      <c r="G41" s="50">
        <v>1</v>
      </c>
      <c r="H41" s="51">
        <v>0</v>
      </c>
      <c r="I41" s="51">
        <v>1</v>
      </c>
      <c r="J41" s="51">
        <f>42/24</f>
        <v>1.75</v>
      </c>
      <c r="K41" s="91">
        <f>1-512016/1724643</f>
        <v>0.70311768870427094</v>
      </c>
      <c r="L41" s="119" t="s">
        <v>1</v>
      </c>
      <c r="M41" s="51">
        <f>56/11</f>
        <v>5.0909090909090908</v>
      </c>
      <c r="N41" s="91">
        <f>1011348/189543</f>
        <v>5.3357180164922999</v>
      </c>
      <c r="O41" s="134">
        <v>1</v>
      </c>
      <c r="P41" s="119" t="s">
        <v>1</v>
      </c>
      <c r="Q41" s="119" t="s">
        <v>1</v>
      </c>
      <c r="R41" s="51">
        <v>1</v>
      </c>
      <c r="S41" s="51">
        <f>1-358291/1724643</f>
        <v>0.79225207767636552</v>
      </c>
      <c r="T41" s="123" t="s">
        <v>1</v>
      </c>
      <c r="V41" s="102" t="s">
        <v>96</v>
      </c>
      <c r="W41" s="94">
        <f t="shared" ref="W41:W51" si="12">(($F$10+$E$10)/2)*2</f>
        <v>2</v>
      </c>
      <c r="X41" s="94">
        <f>((J41+K41)/2)*$X$8</f>
        <v>2.4531176887042712</v>
      </c>
      <c r="Y41" s="94">
        <f>((N41+M41)/2)*$Y$8</f>
        <v>20.853254214802782</v>
      </c>
      <c r="Z41" s="94">
        <v>1</v>
      </c>
      <c r="AA41" s="153">
        <f>((R41+S41)/2)*$AA$8</f>
        <v>4.4806301941909137</v>
      </c>
      <c r="AB41" s="150">
        <f>SUM(W41:AA41)/$AB$8</f>
        <v>1.7103890054276647</v>
      </c>
      <c r="AC41" s="87"/>
    </row>
    <row r="42" spans="1:29" x14ac:dyDescent="0.55000000000000004">
      <c r="A42" s="56"/>
      <c r="B42" s="102" t="s">
        <v>121</v>
      </c>
      <c r="C42" s="140">
        <v>1724433</v>
      </c>
      <c r="D42" s="52">
        <v>29.1</v>
      </c>
      <c r="E42" s="209"/>
      <c r="F42" s="212"/>
      <c r="G42" s="50">
        <v>1</v>
      </c>
      <c r="H42" s="51">
        <v>0</v>
      </c>
      <c r="I42" s="51">
        <v>1</v>
      </c>
      <c r="J42" s="51">
        <f>42/24</f>
        <v>1.75</v>
      </c>
      <c r="K42" s="51">
        <f>1-511989/1724433</f>
        <v>0.70309719194657028</v>
      </c>
      <c r="L42" s="119" t="s">
        <v>1</v>
      </c>
      <c r="M42" s="51">
        <f>56/11</f>
        <v>5.0909090909090908</v>
      </c>
      <c r="N42" s="51">
        <f>1011348/189543</f>
        <v>5.3357180164922999</v>
      </c>
      <c r="O42" s="133">
        <v>1</v>
      </c>
      <c r="P42" s="119" t="s">
        <v>1</v>
      </c>
      <c r="Q42" s="119" t="s">
        <v>1</v>
      </c>
      <c r="R42" s="51">
        <v>1</v>
      </c>
      <c r="S42" s="51">
        <f>1-358291/1724433</f>
        <v>0.79222677830916011</v>
      </c>
      <c r="T42" s="123" t="s">
        <v>1</v>
      </c>
      <c r="V42" s="102" t="s">
        <v>97</v>
      </c>
      <c r="W42" s="94">
        <f t="shared" si="12"/>
        <v>2</v>
      </c>
      <c r="X42" s="94">
        <f>((J42+K42)/2)*$X$8</f>
        <v>2.4530971919465703</v>
      </c>
      <c r="Y42" s="146">
        <f>((N42+M42)/2)*$Y$8</f>
        <v>20.853254214802782</v>
      </c>
      <c r="Z42" s="146">
        <v>1</v>
      </c>
      <c r="AA42" s="153">
        <f>((R42+S42)/2)*$AA$8</f>
        <v>4.4805669457729005</v>
      </c>
      <c r="AB42" s="150">
        <f>SUM(W42:AA42)/$AB$8</f>
        <v>1.7103843529179028</v>
      </c>
      <c r="AC42" s="87"/>
    </row>
    <row r="43" spans="1:29" ht="14.7" thickBot="1" x14ac:dyDescent="0.6">
      <c r="A43" s="56"/>
      <c r="B43" s="103" t="s">
        <v>122</v>
      </c>
      <c r="C43" s="95">
        <v>1724433</v>
      </c>
      <c r="D43" s="95">
        <v>26</v>
      </c>
      <c r="E43" s="210"/>
      <c r="F43" s="213"/>
      <c r="G43" s="93">
        <v>1</v>
      </c>
      <c r="H43" s="93">
        <v>0</v>
      </c>
      <c r="I43" s="93">
        <v>1</v>
      </c>
      <c r="J43" s="93">
        <f>42/24</f>
        <v>1.75</v>
      </c>
      <c r="K43" s="93">
        <f>1-511989/1724433</f>
        <v>0.70309719194657028</v>
      </c>
      <c r="L43" s="120" t="s">
        <v>1</v>
      </c>
      <c r="M43" s="93">
        <f>56/11</f>
        <v>5.0909090909090908</v>
      </c>
      <c r="N43" s="93">
        <f>1011348/189543</f>
        <v>5.3357180164922999</v>
      </c>
      <c r="O43" s="93">
        <v>1</v>
      </c>
      <c r="P43" s="120" t="s">
        <v>1</v>
      </c>
      <c r="Q43" s="120" t="s">
        <v>1</v>
      </c>
      <c r="R43" s="93">
        <v>1</v>
      </c>
      <c r="S43" s="93">
        <f>1-358291/1724433</f>
        <v>0.79222677830916011</v>
      </c>
      <c r="T43" s="125" t="s">
        <v>1</v>
      </c>
      <c r="V43" s="103" t="s">
        <v>98</v>
      </c>
      <c r="W43" s="141">
        <f t="shared" si="12"/>
        <v>2</v>
      </c>
      <c r="X43" s="141">
        <f>((J43+K43)/2)*$X$8</f>
        <v>2.4530971919465703</v>
      </c>
      <c r="Y43" s="95">
        <f>((N43+M43)/2)*$Y$8</f>
        <v>20.853254214802782</v>
      </c>
      <c r="Z43" s="95">
        <v>1</v>
      </c>
      <c r="AA43" s="154">
        <f>((R43+S43)/2)*$AA$8</f>
        <v>4.4805669457729005</v>
      </c>
      <c r="AB43" s="150">
        <f>SUM(W43:AA43)/$AB$8</f>
        <v>1.7103843529179028</v>
      </c>
      <c r="AC43" s="87"/>
    </row>
    <row r="44" spans="1:29" x14ac:dyDescent="0.55000000000000004">
      <c r="A44" s="56"/>
      <c r="B44" s="104" t="s">
        <v>123</v>
      </c>
      <c r="C44" s="118" t="s">
        <v>1</v>
      </c>
      <c r="D44" s="127" t="s">
        <v>236</v>
      </c>
      <c r="E44" s="117"/>
      <c r="F44" s="117"/>
      <c r="G44" s="118" t="s">
        <v>1</v>
      </c>
      <c r="H44" s="130" t="s">
        <v>1</v>
      </c>
      <c r="I44" s="130" t="s">
        <v>1</v>
      </c>
      <c r="J44" s="130" t="s">
        <v>1</v>
      </c>
      <c r="K44" s="130" t="s">
        <v>1</v>
      </c>
      <c r="L44" s="119" t="s">
        <v>1</v>
      </c>
      <c r="M44" s="130" t="s">
        <v>1</v>
      </c>
      <c r="N44" s="130" t="s">
        <v>1</v>
      </c>
      <c r="O44" s="130" t="s">
        <v>1</v>
      </c>
      <c r="P44" s="121" t="s">
        <v>1</v>
      </c>
      <c r="Q44" s="119" t="s">
        <v>1</v>
      </c>
      <c r="R44" s="121" t="s">
        <v>1</v>
      </c>
      <c r="S44" s="130" t="s">
        <v>1</v>
      </c>
      <c r="T44" s="123" t="s">
        <v>1</v>
      </c>
      <c r="V44" s="104" t="s">
        <v>99</v>
      </c>
      <c r="W44" s="94">
        <f t="shared" si="12"/>
        <v>2</v>
      </c>
      <c r="X44" s="167" t="s">
        <v>1</v>
      </c>
      <c r="Y44" s="167" t="s">
        <v>1</v>
      </c>
      <c r="Z44" s="167" t="s">
        <v>1</v>
      </c>
      <c r="AA44" s="177" t="s">
        <v>1</v>
      </c>
      <c r="AB44" s="178" t="s">
        <v>1</v>
      </c>
    </row>
    <row r="45" spans="1:29" x14ac:dyDescent="0.55000000000000004">
      <c r="A45" s="56"/>
      <c r="B45" s="102" t="s">
        <v>124</v>
      </c>
      <c r="C45" s="119" t="s">
        <v>1</v>
      </c>
      <c r="D45" s="127" t="s">
        <v>236</v>
      </c>
      <c r="E45" s="117">
        <v>1</v>
      </c>
      <c r="F45" s="117">
        <v>1</v>
      </c>
      <c r="G45" s="119" t="s">
        <v>1</v>
      </c>
      <c r="H45" s="121" t="s">
        <v>1</v>
      </c>
      <c r="I45" s="121" t="s">
        <v>1</v>
      </c>
      <c r="J45" s="121" t="s">
        <v>1</v>
      </c>
      <c r="K45" s="121" t="s">
        <v>1</v>
      </c>
      <c r="L45" s="119" t="s">
        <v>1</v>
      </c>
      <c r="M45" s="121" t="s">
        <v>1</v>
      </c>
      <c r="N45" s="121" t="s">
        <v>1</v>
      </c>
      <c r="O45" s="121" t="s">
        <v>1</v>
      </c>
      <c r="P45" s="121" t="s">
        <v>1</v>
      </c>
      <c r="Q45" s="119" t="s">
        <v>1</v>
      </c>
      <c r="R45" s="121" t="s">
        <v>1</v>
      </c>
      <c r="S45" s="121" t="s">
        <v>1</v>
      </c>
      <c r="T45" s="123" t="s">
        <v>1</v>
      </c>
      <c r="V45" s="102" t="s">
        <v>100</v>
      </c>
      <c r="W45" s="94">
        <f t="shared" si="12"/>
        <v>2</v>
      </c>
      <c r="X45" s="166" t="s">
        <v>1</v>
      </c>
      <c r="Y45" s="166" t="s">
        <v>1</v>
      </c>
      <c r="Z45" s="166" t="s">
        <v>1</v>
      </c>
      <c r="AA45" s="166" t="s">
        <v>1</v>
      </c>
      <c r="AB45" s="179" t="s">
        <v>1</v>
      </c>
      <c r="AC45" s="87"/>
    </row>
    <row r="46" spans="1:29" x14ac:dyDescent="0.55000000000000004">
      <c r="A46" s="56"/>
      <c r="B46" s="102" t="s">
        <v>125</v>
      </c>
      <c r="C46" s="119" t="s">
        <v>1</v>
      </c>
      <c r="D46" s="127" t="s">
        <v>236</v>
      </c>
      <c r="E46" s="117"/>
      <c r="F46" s="117"/>
      <c r="G46" s="119" t="s">
        <v>1</v>
      </c>
      <c r="H46" s="121" t="s">
        <v>1</v>
      </c>
      <c r="I46" s="121" t="s">
        <v>1</v>
      </c>
      <c r="J46" s="121" t="s">
        <v>1</v>
      </c>
      <c r="K46" s="121" t="s">
        <v>1</v>
      </c>
      <c r="L46" s="119" t="s">
        <v>1</v>
      </c>
      <c r="M46" s="121" t="s">
        <v>1</v>
      </c>
      <c r="N46" s="121" t="s">
        <v>1</v>
      </c>
      <c r="O46" s="121" t="s">
        <v>1</v>
      </c>
      <c r="P46" s="121" t="s">
        <v>1</v>
      </c>
      <c r="Q46" s="119" t="s">
        <v>1</v>
      </c>
      <c r="R46" s="121" t="s">
        <v>1</v>
      </c>
      <c r="S46" s="121" t="s">
        <v>1</v>
      </c>
      <c r="T46" s="123" t="s">
        <v>1</v>
      </c>
      <c r="V46" s="102" t="s">
        <v>101</v>
      </c>
      <c r="W46" s="94">
        <f t="shared" si="12"/>
        <v>2</v>
      </c>
      <c r="X46" s="166" t="s">
        <v>1</v>
      </c>
      <c r="Y46" s="167" t="s">
        <v>1</v>
      </c>
      <c r="Z46" s="167" t="s">
        <v>1</v>
      </c>
      <c r="AA46" s="167" t="s">
        <v>1</v>
      </c>
      <c r="AB46" s="168" t="s">
        <v>1</v>
      </c>
      <c r="AC46" s="87"/>
    </row>
    <row r="47" spans="1:29" ht="14.7" thickBot="1" x14ac:dyDescent="0.6">
      <c r="A47" s="56"/>
      <c r="B47" s="103" t="s">
        <v>126</v>
      </c>
      <c r="C47" s="120" t="s">
        <v>1</v>
      </c>
      <c r="D47" s="129" t="s">
        <v>236</v>
      </c>
      <c r="E47" s="131"/>
      <c r="F47" s="131"/>
      <c r="G47" s="120" t="s">
        <v>1</v>
      </c>
      <c r="H47" s="128" t="s">
        <v>1</v>
      </c>
      <c r="I47" s="128" t="s">
        <v>1</v>
      </c>
      <c r="J47" s="128" t="s">
        <v>1</v>
      </c>
      <c r="K47" s="128" t="s">
        <v>1</v>
      </c>
      <c r="L47" s="120" t="s">
        <v>1</v>
      </c>
      <c r="M47" s="128" t="s">
        <v>1</v>
      </c>
      <c r="N47" s="128" t="s">
        <v>1</v>
      </c>
      <c r="O47" s="128" t="s">
        <v>1</v>
      </c>
      <c r="P47" s="128" t="s">
        <v>1</v>
      </c>
      <c r="Q47" s="120" t="s">
        <v>1</v>
      </c>
      <c r="R47" s="128" t="s">
        <v>1</v>
      </c>
      <c r="S47" s="128" t="s">
        <v>1</v>
      </c>
      <c r="T47" s="125" t="s">
        <v>1</v>
      </c>
      <c r="V47" s="103" t="s">
        <v>102</v>
      </c>
      <c r="W47" s="141">
        <f t="shared" si="12"/>
        <v>2</v>
      </c>
      <c r="X47" s="169" t="s">
        <v>1</v>
      </c>
      <c r="Y47" s="169" t="s">
        <v>1</v>
      </c>
      <c r="Z47" s="169" t="s">
        <v>1</v>
      </c>
      <c r="AA47" s="167" t="s">
        <v>1</v>
      </c>
      <c r="AB47" s="170" t="s">
        <v>1</v>
      </c>
    </row>
    <row r="48" spans="1:29" x14ac:dyDescent="0.55000000000000004">
      <c r="A48" s="56"/>
      <c r="B48" s="116" t="s">
        <v>127</v>
      </c>
      <c r="C48" s="118" t="s">
        <v>1</v>
      </c>
      <c r="D48" s="127" t="s">
        <v>295</v>
      </c>
      <c r="E48" s="117"/>
      <c r="F48" s="117"/>
      <c r="G48" s="121" t="s">
        <v>1</v>
      </c>
      <c r="H48" s="121" t="s">
        <v>1</v>
      </c>
      <c r="I48" s="121" t="s">
        <v>1</v>
      </c>
      <c r="J48" s="121" t="s">
        <v>1</v>
      </c>
      <c r="K48" s="121" t="s">
        <v>1</v>
      </c>
      <c r="L48" s="119" t="s">
        <v>1</v>
      </c>
      <c r="M48" s="119" t="s">
        <v>1</v>
      </c>
      <c r="N48" s="119" t="s">
        <v>1</v>
      </c>
      <c r="O48" s="119" t="s">
        <v>1</v>
      </c>
      <c r="P48" s="119" t="s">
        <v>1</v>
      </c>
      <c r="Q48" s="119" t="s">
        <v>1</v>
      </c>
      <c r="R48" s="119" t="s">
        <v>1</v>
      </c>
      <c r="S48" s="119" t="s">
        <v>1</v>
      </c>
      <c r="T48" s="123" t="s">
        <v>1</v>
      </c>
      <c r="V48" s="105" t="s">
        <v>103</v>
      </c>
      <c r="W48" s="94">
        <f t="shared" si="12"/>
        <v>2</v>
      </c>
      <c r="X48" s="167" t="s">
        <v>1</v>
      </c>
      <c r="Y48" s="167" t="s">
        <v>1</v>
      </c>
      <c r="Z48" s="167" t="s">
        <v>1</v>
      </c>
      <c r="AA48" s="122" t="s">
        <v>1</v>
      </c>
      <c r="AB48" s="176" t="s">
        <v>1</v>
      </c>
    </row>
    <row r="49" spans="1:29" x14ac:dyDescent="0.55000000000000004">
      <c r="A49" s="56"/>
      <c r="B49" s="101" t="s">
        <v>128</v>
      </c>
      <c r="C49" s="119" t="s">
        <v>1</v>
      </c>
      <c r="D49" s="127" t="s">
        <v>295</v>
      </c>
      <c r="E49" s="117">
        <v>1</v>
      </c>
      <c r="F49" s="117">
        <v>1</v>
      </c>
      <c r="G49" s="121" t="s">
        <v>1</v>
      </c>
      <c r="H49" s="121" t="s">
        <v>1</v>
      </c>
      <c r="I49" s="121" t="s">
        <v>1</v>
      </c>
      <c r="J49" s="121" t="s">
        <v>1</v>
      </c>
      <c r="K49" s="121" t="s">
        <v>1</v>
      </c>
      <c r="L49" s="119" t="s">
        <v>1</v>
      </c>
      <c r="M49" s="119" t="s">
        <v>1</v>
      </c>
      <c r="N49" s="119" t="s">
        <v>1</v>
      </c>
      <c r="O49" s="119" t="s">
        <v>1</v>
      </c>
      <c r="P49" s="119" t="s">
        <v>1</v>
      </c>
      <c r="Q49" s="119" t="s">
        <v>1</v>
      </c>
      <c r="R49" s="119" t="s">
        <v>1</v>
      </c>
      <c r="S49" s="119" t="s">
        <v>1</v>
      </c>
      <c r="T49" s="123" t="s">
        <v>1</v>
      </c>
      <c r="V49" s="102" t="s">
        <v>104</v>
      </c>
      <c r="W49" s="94">
        <f t="shared" si="12"/>
        <v>2</v>
      </c>
      <c r="X49" s="167" t="s">
        <v>1</v>
      </c>
      <c r="Y49" s="167" t="s">
        <v>1</v>
      </c>
      <c r="Z49" s="167" t="s">
        <v>1</v>
      </c>
      <c r="AA49" s="167" t="s">
        <v>1</v>
      </c>
      <c r="AB49" s="171" t="s">
        <v>1</v>
      </c>
      <c r="AC49" s="87"/>
    </row>
    <row r="50" spans="1:29" x14ac:dyDescent="0.55000000000000004">
      <c r="A50" s="56"/>
      <c r="B50" s="101" t="s">
        <v>129</v>
      </c>
      <c r="C50" s="119" t="s">
        <v>1</v>
      </c>
      <c r="D50" s="127" t="s">
        <v>295</v>
      </c>
      <c r="E50" s="117"/>
      <c r="F50" s="117"/>
      <c r="G50" s="121" t="s">
        <v>1</v>
      </c>
      <c r="H50" s="121" t="s">
        <v>1</v>
      </c>
      <c r="I50" s="121" t="s">
        <v>1</v>
      </c>
      <c r="J50" s="121" t="s">
        <v>1</v>
      </c>
      <c r="K50" s="121" t="s">
        <v>1</v>
      </c>
      <c r="L50" s="119" t="s">
        <v>1</v>
      </c>
      <c r="M50" s="119" t="s">
        <v>1</v>
      </c>
      <c r="N50" s="119" t="s">
        <v>1</v>
      </c>
      <c r="O50" s="119" t="s">
        <v>1</v>
      </c>
      <c r="P50" s="119" t="s">
        <v>1</v>
      </c>
      <c r="Q50" s="119" t="s">
        <v>1</v>
      </c>
      <c r="R50" s="119" t="s">
        <v>1</v>
      </c>
      <c r="S50" s="119" t="s">
        <v>1</v>
      </c>
      <c r="T50" s="123" t="s">
        <v>1</v>
      </c>
      <c r="V50" s="102" t="s">
        <v>105</v>
      </c>
      <c r="W50" s="94">
        <f t="shared" si="12"/>
        <v>2</v>
      </c>
      <c r="X50" s="167" t="s">
        <v>1</v>
      </c>
      <c r="Y50" s="167" t="s">
        <v>1</v>
      </c>
      <c r="Z50" s="167" t="s">
        <v>1</v>
      </c>
      <c r="AA50" s="167" t="s">
        <v>1</v>
      </c>
      <c r="AB50" s="168" t="s">
        <v>1</v>
      </c>
      <c r="AC50" s="87"/>
    </row>
    <row r="51" spans="1:29" ht="14.7" thickBot="1" x14ac:dyDescent="0.6">
      <c r="A51" s="56"/>
      <c r="B51" s="100" t="s">
        <v>130</v>
      </c>
      <c r="C51" s="120" t="s">
        <v>1</v>
      </c>
      <c r="D51" s="129" t="s">
        <v>295</v>
      </c>
      <c r="E51" s="131"/>
      <c r="F51" s="131"/>
      <c r="G51" s="128" t="s">
        <v>1</v>
      </c>
      <c r="H51" s="128" t="s">
        <v>1</v>
      </c>
      <c r="I51" s="128" t="s">
        <v>1</v>
      </c>
      <c r="J51" s="128" t="s">
        <v>1</v>
      </c>
      <c r="K51" s="128" t="s">
        <v>1</v>
      </c>
      <c r="L51" s="120" t="s">
        <v>1</v>
      </c>
      <c r="M51" s="120" t="s">
        <v>1</v>
      </c>
      <c r="N51" s="120" t="s">
        <v>1</v>
      </c>
      <c r="O51" s="120" t="s">
        <v>1</v>
      </c>
      <c r="P51" s="120" t="s">
        <v>1</v>
      </c>
      <c r="Q51" s="120" t="s">
        <v>1</v>
      </c>
      <c r="R51" s="120" t="s">
        <v>1</v>
      </c>
      <c r="S51" s="120" t="s">
        <v>1</v>
      </c>
      <c r="T51" s="125" t="s">
        <v>1</v>
      </c>
      <c r="V51" s="103" t="s">
        <v>106</v>
      </c>
      <c r="W51" s="141">
        <f t="shared" si="12"/>
        <v>2</v>
      </c>
      <c r="X51" s="169" t="s">
        <v>1</v>
      </c>
      <c r="Y51" s="169" t="s">
        <v>1</v>
      </c>
      <c r="Z51" s="132" t="s">
        <v>1</v>
      </c>
      <c r="AA51" s="169" t="s">
        <v>1</v>
      </c>
      <c r="AB51" s="170" t="s">
        <v>1</v>
      </c>
    </row>
    <row r="52" spans="1:29" ht="14.7" thickBot="1" x14ac:dyDescent="0.6"/>
    <row r="53" spans="1:29" ht="14.7" thickBot="1" x14ac:dyDescent="0.6">
      <c r="B53" s="203" t="s">
        <v>227</v>
      </c>
      <c r="C53" s="142" t="s">
        <v>316</v>
      </c>
      <c r="D53" s="109" t="s">
        <v>234</v>
      </c>
      <c r="E53" s="201" t="s">
        <v>288</v>
      </c>
      <c r="F53" s="202"/>
      <c r="G53" s="198" t="s">
        <v>210</v>
      </c>
      <c r="H53" s="194"/>
      <c r="I53" s="194"/>
      <c r="J53" s="194" t="s">
        <v>214</v>
      </c>
      <c r="K53" s="194"/>
      <c r="L53" s="199" t="s">
        <v>217</v>
      </c>
      <c r="M53" s="200"/>
      <c r="N53" s="198"/>
      <c r="O53" s="194" t="s">
        <v>219</v>
      </c>
      <c r="P53" s="194"/>
      <c r="Q53" s="199"/>
      <c r="R53" s="193" t="s">
        <v>223</v>
      </c>
      <c r="S53" s="194"/>
      <c r="T53" s="195"/>
      <c r="V53" s="196" t="s">
        <v>227</v>
      </c>
      <c r="W53" s="112" t="s">
        <v>319</v>
      </c>
      <c r="X53" s="112" t="s">
        <v>321</v>
      </c>
      <c r="Y53" s="112" t="s">
        <v>320</v>
      </c>
      <c r="Z53" s="112" t="s">
        <v>322</v>
      </c>
      <c r="AA53" s="142" t="s">
        <v>230</v>
      </c>
      <c r="AB53" s="109" t="s">
        <v>323</v>
      </c>
    </row>
    <row r="54" spans="1:29" ht="14.7" thickBot="1" x14ac:dyDescent="0.6">
      <c r="B54" s="204"/>
      <c r="C54" s="112" t="s">
        <v>317</v>
      </c>
      <c r="D54" s="106" t="s">
        <v>235</v>
      </c>
      <c r="E54" s="111" t="s">
        <v>238</v>
      </c>
      <c r="F54" s="109" t="s">
        <v>239</v>
      </c>
      <c r="G54" s="109" t="s">
        <v>211</v>
      </c>
      <c r="H54" s="109" t="s">
        <v>212</v>
      </c>
      <c r="I54" s="114" t="s">
        <v>213</v>
      </c>
      <c r="J54" s="111" t="s">
        <v>215</v>
      </c>
      <c r="K54" s="109" t="s">
        <v>216</v>
      </c>
      <c r="L54" s="114" t="s">
        <v>237</v>
      </c>
      <c r="M54" s="111" t="s">
        <v>218</v>
      </c>
      <c r="N54" s="109" t="s">
        <v>226</v>
      </c>
      <c r="O54" s="113" t="s">
        <v>220</v>
      </c>
      <c r="P54" s="110" t="s">
        <v>221</v>
      </c>
      <c r="Q54" s="113" t="s">
        <v>222</v>
      </c>
      <c r="R54" s="112" t="s">
        <v>225</v>
      </c>
      <c r="S54" s="109" t="s">
        <v>224</v>
      </c>
      <c r="T54" s="114" t="s">
        <v>230</v>
      </c>
      <c r="V54" s="197"/>
      <c r="W54" s="113">
        <v>2</v>
      </c>
      <c r="X54" s="113">
        <v>2</v>
      </c>
      <c r="Y54" s="113">
        <v>4</v>
      </c>
      <c r="Z54" s="113">
        <v>5</v>
      </c>
      <c r="AA54" s="152">
        <v>5</v>
      </c>
      <c r="AB54" s="109">
        <f>SUM(W54:AA54)</f>
        <v>18</v>
      </c>
    </row>
    <row r="55" spans="1:29" x14ac:dyDescent="0.55000000000000004">
      <c r="B55" s="104" t="s">
        <v>131</v>
      </c>
      <c r="C55" s="140">
        <v>2874405</v>
      </c>
      <c r="D55" s="96">
        <v>756</v>
      </c>
      <c r="F55" s="117"/>
      <c r="G55" s="98">
        <v>1</v>
      </c>
      <c r="H55" s="99">
        <v>0</v>
      </c>
      <c r="I55" s="99">
        <v>1</v>
      </c>
      <c r="J55" s="99">
        <f>42/24</f>
        <v>1.75</v>
      </c>
      <c r="K55" s="99">
        <f>1-853324/2874405</f>
        <v>0.70313021303539336</v>
      </c>
      <c r="L55" s="122" t="s">
        <v>1</v>
      </c>
      <c r="M55" s="99">
        <f>56/11</f>
        <v>5.0909090909090908</v>
      </c>
      <c r="N55" s="99">
        <f>"1685580"/315905</f>
        <v>5.3357180164922999</v>
      </c>
      <c r="O55" s="99">
        <v>1</v>
      </c>
      <c r="P55" s="122" t="s">
        <v>1</v>
      </c>
      <c r="Q55" s="122" t="s">
        <v>1</v>
      </c>
      <c r="R55" s="51">
        <v>1</v>
      </c>
      <c r="S55" s="99">
        <f>1-597499/2874405</f>
        <v>0.79213124107423971</v>
      </c>
      <c r="T55" s="126" t="s">
        <v>1</v>
      </c>
      <c r="V55" s="105" t="s">
        <v>95</v>
      </c>
      <c r="W55" s="94">
        <f>(($F$10+$E$10)/2)*2</f>
        <v>2</v>
      </c>
      <c r="X55" s="94">
        <f>((J55+K55)/2)*$X$8</f>
        <v>2.4531302130353936</v>
      </c>
      <c r="Y55" s="94">
        <f>((N55+M55)/2)*$Y$8</f>
        <v>20.853254214802782</v>
      </c>
      <c r="Z55" s="94">
        <v>1</v>
      </c>
      <c r="AA55" s="153">
        <f>((R55+S55)/2)*$AA$8</f>
        <v>4.4803281026855988</v>
      </c>
      <c r="AB55" s="161">
        <f>SUM(W55:AA55)/$AB$8</f>
        <v>1.7103729183624319</v>
      </c>
    </row>
    <row r="56" spans="1:29" x14ac:dyDescent="0.55000000000000004">
      <c r="B56" s="102" t="s">
        <v>132</v>
      </c>
      <c r="C56" s="52">
        <v>2874405</v>
      </c>
      <c r="D56" s="52">
        <v>679</v>
      </c>
      <c r="E56" s="117">
        <v>1</v>
      </c>
      <c r="F56" s="117">
        <v>1</v>
      </c>
      <c r="G56" s="50">
        <v>1</v>
      </c>
      <c r="H56" s="51">
        <v>0</v>
      </c>
      <c r="I56" s="51">
        <v>1</v>
      </c>
      <c r="J56" s="91">
        <f>42/24</f>
        <v>1.75</v>
      </c>
      <c r="K56" s="51">
        <f>1-853324/2874405</f>
        <v>0.70313021303539336</v>
      </c>
      <c r="L56" s="119" t="s">
        <v>1</v>
      </c>
      <c r="M56" s="134">
        <f>56/11</f>
        <v>5.0909090909090908</v>
      </c>
      <c r="N56" s="91">
        <f>"1685580"/315905</f>
        <v>5.3357180164922999</v>
      </c>
      <c r="O56" s="51">
        <v>1</v>
      </c>
      <c r="P56" s="119" t="s">
        <v>1</v>
      </c>
      <c r="Q56" s="119" t="s">
        <v>1</v>
      </c>
      <c r="R56" s="51">
        <v>1</v>
      </c>
      <c r="S56" s="91">
        <f>1-597499/2874405</f>
        <v>0.79213124107423971</v>
      </c>
      <c r="T56" s="123" t="s">
        <v>1</v>
      </c>
      <c r="V56" s="102" t="s">
        <v>96</v>
      </c>
      <c r="W56" s="94">
        <f t="shared" ref="W56:W66" si="13">(($F$10+$E$10)/2)*2</f>
        <v>2</v>
      </c>
      <c r="X56" s="94">
        <f>((J56+K56)/2)*$X$8</f>
        <v>2.4531302130353936</v>
      </c>
      <c r="Y56" s="94">
        <f>((N56+M56)/2)*$Y$8</f>
        <v>20.853254214802782</v>
      </c>
      <c r="Z56" s="94">
        <v>1</v>
      </c>
      <c r="AA56" s="153">
        <f>((R56+S56)/2)*$AA$8</f>
        <v>4.4803281026855988</v>
      </c>
      <c r="AB56" s="162">
        <f>SUM(W56:AA56)/$AB$8</f>
        <v>1.7103729183624319</v>
      </c>
    </row>
    <row r="57" spans="1:29" x14ac:dyDescent="0.55000000000000004">
      <c r="B57" s="102" t="s">
        <v>133</v>
      </c>
      <c r="C57" s="140">
        <v>2874055</v>
      </c>
      <c r="D57" s="52">
        <v>46</v>
      </c>
      <c r="E57" s="117"/>
      <c r="F57" s="117"/>
      <c r="G57" s="50">
        <v>1</v>
      </c>
      <c r="H57" s="51">
        <v>0</v>
      </c>
      <c r="I57" s="51">
        <v>1</v>
      </c>
      <c r="J57" s="134">
        <f>42/24</f>
        <v>1.75</v>
      </c>
      <c r="K57" s="51">
        <f>1-853279/2874055</f>
        <v>0.70310971780289522</v>
      </c>
      <c r="L57" s="119" t="s">
        <v>1</v>
      </c>
      <c r="M57" s="51">
        <f>56/11</f>
        <v>5.0909090909090908</v>
      </c>
      <c r="N57" s="91">
        <f>"1685580"/315905</f>
        <v>5.3357180164922999</v>
      </c>
      <c r="O57" s="51">
        <v>1</v>
      </c>
      <c r="P57" s="119" t="s">
        <v>1</v>
      </c>
      <c r="Q57" s="119" t="s">
        <v>1</v>
      </c>
      <c r="R57" s="133">
        <v>1</v>
      </c>
      <c r="S57" s="51">
        <f>1-597499/2874055</f>
        <v>0.79210592699165461</v>
      </c>
      <c r="T57" s="123" t="s">
        <v>1</v>
      </c>
      <c r="V57" s="102" t="s">
        <v>97</v>
      </c>
      <c r="W57" s="94">
        <f t="shared" si="13"/>
        <v>2</v>
      </c>
      <c r="X57" s="94">
        <f>((J57+K57)/2)*$X$8</f>
        <v>2.4531097178028953</v>
      </c>
      <c r="Y57" s="146">
        <f>((N57+M57)/2)*$Y$8</f>
        <v>20.853254214802782</v>
      </c>
      <c r="Z57" s="146">
        <v>1</v>
      </c>
      <c r="AA57" s="153">
        <f>((R57+S57)/2)*$AA$8</f>
        <v>4.4802648174791369</v>
      </c>
      <c r="AB57" s="162">
        <f>SUM(W57:AA57)/$AB$8</f>
        <v>1.7103682638936009</v>
      </c>
    </row>
    <row r="58" spans="1:29" ht="14.7" thickBot="1" x14ac:dyDescent="0.6">
      <c r="B58" s="103" t="s">
        <v>134</v>
      </c>
      <c r="C58" s="95">
        <v>2874055</v>
      </c>
      <c r="D58" s="95">
        <v>43</v>
      </c>
      <c r="E58" s="131"/>
      <c r="F58" s="131"/>
      <c r="G58" s="93">
        <v>1</v>
      </c>
      <c r="H58" s="93">
        <v>0</v>
      </c>
      <c r="I58" s="93">
        <v>1</v>
      </c>
      <c r="J58" s="93">
        <f>42/24</f>
        <v>1.75</v>
      </c>
      <c r="K58" s="93">
        <f>1-853279/2874055</f>
        <v>0.70310971780289522</v>
      </c>
      <c r="L58" s="120" t="s">
        <v>1</v>
      </c>
      <c r="M58" s="93">
        <f>56/11</f>
        <v>5.0909090909090908</v>
      </c>
      <c r="N58" s="133">
        <f>"1685580"/315905</f>
        <v>5.3357180164922999</v>
      </c>
      <c r="O58" s="93">
        <v>1</v>
      </c>
      <c r="P58" s="120" t="s">
        <v>1</v>
      </c>
      <c r="Q58" s="120" t="s">
        <v>1</v>
      </c>
      <c r="R58" s="93">
        <v>1</v>
      </c>
      <c r="S58" s="93">
        <f>1-597499/2874055</f>
        <v>0.79210592699165461</v>
      </c>
      <c r="T58" s="125" t="s">
        <v>1</v>
      </c>
      <c r="V58" s="103" t="s">
        <v>98</v>
      </c>
      <c r="W58" s="141">
        <f t="shared" si="13"/>
        <v>2</v>
      </c>
      <c r="X58" s="141">
        <f>((J58+K58)/2)*$X$8</f>
        <v>2.4531097178028953</v>
      </c>
      <c r="Y58" s="95">
        <f>((N58+M58)/2)*$Y$8</f>
        <v>20.853254214802782</v>
      </c>
      <c r="Z58" s="95">
        <v>1</v>
      </c>
      <c r="AA58" s="154">
        <f>((R58+S58)/2)*$AA$8</f>
        <v>4.4802648174791369</v>
      </c>
      <c r="AB58" s="162">
        <f>SUM(W58:AA58)/$AB$8</f>
        <v>1.7103682638936009</v>
      </c>
    </row>
    <row r="59" spans="1:29" x14ac:dyDescent="0.55000000000000004">
      <c r="B59" s="104" t="s">
        <v>135</v>
      </c>
      <c r="C59" s="119" t="s">
        <v>1</v>
      </c>
      <c r="D59" s="127" t="s">
        <v>236</v>
      </c>
      <c r="E59" s="117"/>
      <c r="F59" s="117"/>
      <c r="G59" s="119" t="s">
        <v>1</v>
      </c>
      <c r="H59" s="121" t="s">
        <v>1</v>
      </c>
      <c r="I59" s="121" t="s">
        <v>1</v>
      </c>
      <c r="J59" s="130" t="s">
        <v>1</v>
      </c>
      <c r="K59" s="121" t="s">
        <v>1</v>
      </c>
      <c r="L59" s="119" t="s">
        <v>1</v>
      </c>
      <c r="M59" s="130" t="s">
        <v>1</v>
      </c>
      <c r="N59" s="122" t="s">
        <v>1</v>
      </c>
      <c r="O59" s="121" t="s">
        <v>1</v>
      </c>
      <c r="P59" s="121" t="s">
        <v>1</v>
      </c>
      <c r="Q59" s="119" t="s">
        <v>1</v>
      </c>
      <c r="R59" s="130" t="s">
        <v>1</v>
      </c>
      <c r="S59" s="121" t="s">
        <v>1</v>
      </c>
      <c r="T59" s="123" t="s">
        <v>1</v>
      </c>
      <c r="V59" s="104" t="s">
        <v>99</v>
      </c>
      <c r="W59" s="94">
        <f t="shared" si="13"/>
        <v>2</v>
      </c>
      <c r="X59" s="167" t="s">
        <v>1</v>
      </c>
      <c r="Y59" s="167" t="s">
        <v>1</v>
      </c>
      <c r="Z59" s="167" t="s">
        <v>1</v>
      </c>
      <c r="AA59" s="177" t="s">
        <v>1</v>
      </c>
      <c r="AB59" s="178" t="s">
        <v>1</v>
      </c>
    </row>
    <row r="60" spans="1:29" x14ac:dyDescent="0.55000000000000004">
      <c r="B60" s="102" t="s">
        <v>136</v>
      </c>
      <c r="C60" s="119" t="s">
        <v>1</v>
      </c>
      <c r="D60" s="127" t="s">
        <v>236</v>
      </c>
      <c r="E60" s="117">
        <v>1</v>
      </c>
      <c r="F60" s="117">
        <v>1</v>
      </c>
      <c r="G60" s="119" t="s">
        <v>1</v>
      </c>
      <c r="H60" s="121" t="s">
        <v>1</v>
      </c>
      <c r="I60" s="121" t="s">
        <v>1</v>
      </c>
      <c r="J60" s="121" t="s">
        <v>1</v>
      </c>
      <c r="K60" s="121" t="s">
        <v>1</v>
      </c>
      <c r="L60" s="119" t="s">
        <v>1</v>
      </c>
      <c r="M60" s="121" t="s">
        <v>1</v>
      </c>
      <c r="N60" s="121" t="s">
        <v>1</v>
      </c>
      <c r="O60" s="121" t="s">
        <v>1</v>
      </c>
      <c r="P60" s="121" t="s">
        <v>1</v>
      </c>
      <c r="Q60" s="119" t="s">
        <v>1</v>
      </c>
      <c r="R60" s="121" t="s">
        <v>1</v>
      </c>
      <c r="S60" s="121" t="s">
        <v>1</v>
      </c>
      <c r="T60" s="123" t="s">
        <v>1</v>
      </c>
      <c r="V60" s="102" t="s">
        <v>100</v>
      </c>
      <c r="W60" s="94">
        <f t="shared" si="13"/>
        <v>2</v>
      </c>
      <c r="X60" s="166" t="s">
        <v>1</v>
      </c>
      <c r="Y60" s="166" t="s">
        <v>1</v>
      </c>
      <c r="Z60" s="166" t="s">
        <v>1</v>
      </c>
      <c r="AA60" s="166" t="s">
        <v>1</v>
      </c>
      <c r="AB60" s="179" t="s">
        <v>1</v>
      </c>
    </row>
    <row r="61" spans="1:29" x14ac:dyDescent="0.55000000000000004">
      <c r="B61" s="102" t="s">
        <v>137</v>
      </c>
      <c r="C61" s="119" t="s">
        <v>1</v>
      </c>
      <c r="D61" s="127" t="s">
        <v>236</v>
      </c>
      <c r="E61" s="117"/>
      <c r="F61" s="117"/>
      <c r="G61" s="119" t="s">
        <v>1</v>
      </c>
      <c r="H61" s="121" t="s">
        <v>1</v>
      </c>
      <c r="I61" s="121" t="s">
        <v>1</v>
      </c>
      <c r="J61" s="121" t="s">
        <v>1</v>
      </c>
      <c r="K61" s="121" t="s">
        <v>1</v>
      </c>
      <c r="L61" s="119" t="s">
        <v>1</v>
      </c>
      <c r="M61" s="121" t="s">
        <v>1</v>
      </c>
      <c r="N61" s="121" t="s">
        <v>1</v>
      </c>
      <c r="O61" s="121" t="s">
        <v>1</v>
      </c>
      <c r="P61" s="121" t="s">
        <v>1</v>
      </c>
      <c r="Q61" s="119" t="s">
        <v>1</v>
      </c>
      <c r="R61" s="121" t="s">
        <v>1</v>
      </c>
      <c r="S61" s="121" t="s">
        <v>1</v>
      </c>
      <c r="T61" s="123" t="s">
        <v>1</v>
      </c>
      <c r="V61" s="102" t="s">
        <v>101</v>
      </c>
      <c r="W61" s="94">
        <f t="shared" si="13"/>
        <v>2</v>
      </c>
      <c r="X61" s="166" t="s">
        <v>1</v>
      </c>
      <c r="Y61" s="167" t="s">
        <v>1</v>
      </c>
      <c r="Z61" s="167" t="s">
        <v>1</v>
      </c>
      <c r="AA61" s="167" t="s">
        <v>1</v>
      </c>
      <c r="AB61" s="180" t="s">
        <v>1</v>
      </c>
    </row>
    <row r="62" spans="1:29" ht="14.7" thickBot="1" x14ac:dyDescent="0.6">
      <c r="B62" s="103" t="s">
        <v>138</v>
      </c>
      <c r="C62" s="120" t="s">
        <v>1</v>
      </c>
      <c r="D62" s="129" t="s">
        <v>236</v>
      </c>
      <c r="E62" s="131"/>
      <c r="F62" s="131"/>
      <c r="G62" s="120" t="s">
        <v>1</v>
      </c>
      <c r="H62" s="128" t="s">
        <v>1</v>
      </c>
      <c r="I62" s="128" t="s">
        <v>1</v>
      </c>
      <c r="J62" s="128" t="s">
        <v>1</v>
      </c>
      <c r="K62" s="128" t="s">
        <v>1</v>
      </c>
      <c r="L62" s="120" t="s">
        <v>1</v>
      </c>
      <c r="M62" s="128" t="s">
        <v>1</v>
      </c>
      <c r="N62" s="128" t="s">
        <v>1</v>
      </c>
      <c r="O62" s="128" t="s">
        <v>1</v>
      </c>
      <c r="P62" s="128" t="s">
        <v>1</v>
      </c>
      <c r="Q62" s="120" t="s">
        <v>1</v>
      </c>
      <c r="R62" s="128" t="s">
        <v>1</v>
      </c>
      <c r="S62" s="128" t="s">
        <v>1</v>
      </c>
      <c r="T62" s="125" t="s">
        <v>1</v>
      </c>
      <c r="V62" s="103" t="s">
        <v>102</v>
      </c>
      <c r="W62" s="141">
        <f t="shared" si="13"/>
        <v>2</v>
      </c>
      <c r="X62" s="169" t="s">
        <v>1</v>
      </c>
      <c r="Y62" s="169" t="s">
        <v>1</v>
      </c>
      <c r="Z62" s="169" t="s">
        <v>1</v>
      </c>
      <c r="AA62" s="167" t="s">
        <v>1</v>
      </c>
      <c r="AB62" s="170" t="s">
        <v>1</v>
      </c>
    </row>
    <row r="63" spans="1:29" x14ac:dyDescent="0.55000000000000004">
      <c r="A63" s="56"/>
      <c r="B63" s="116" t="s">
        <v>139</v>
      </c>
      <c r="C63" s="119" t="s">
        <v>1</v>
      </c>
      <c r="D63" s="127" t="s">
        <v>295</v>
      </c>
      <c r="E63" s="117"/>
      <c r="F63" s="117"/>
      <c r="G63" s="121" t="s">
        <v>1</v>
      </c>
      <c r="H63" s="121" t="s">
        <v>1</v>
      </c>
      <c r="I63" s="121" t="s">
        <v>1</v>
      </c>
      <c r="J63" s="121" t="s">
        <v>1</v>
      </c>
      <c r="K63" s="121" t="s">
        <v>1</v>
      </c>
      <c r="L63" s="119" t="s">
        <v>1</v>
      </c>
      <c r="M63" s="119" t="s">
        <v>1</v>
      </c>
      <c r="N63" s="119" t="s">
        <v>1</v>
      </c>
      <c r="O63" s="119" t="s">
        <v>1</v>
      </c>
      <c r="P63" s="119" t="s">
        <v>1</v>
      </c>
      <c r="Q63" s="119" t="s">
        <v>1</v>
      </c>
      <c r="R63" s="119" t="s">
        <v>1</v>
      </c>
      <c r="S63" s="119" t="s">
        <v>1</v>
      </c>
      <c r="T63" s="123" t="s">
        <v>1</v>
      </c>
      <c r="V63" s="105" t="s">
        <v>103</v>
      </c>
      <c r="W63" s="94">
        <f t="shared" si="13"/>
        <v>2</v>
      </c>
      <c r="X63" s="167" t="s">
        <v>1</v>
      </c>
      <c r="Y63" s="167" t="s">
        <v>1</v>
      </c>
      <c r="Z63" s="167" t="s">
        <v>1</v>
      </c>
      <c r="AA63" s="122" t="s">
        <v>1</v>
      </c>
      <c r="AB63" s="176" t="s">
        <v>1</v>
      </c>
    </row>
    <row r="64" spans="1:29" x14ac:dyDescent="0.55000000000000004">
      <c r="A64" s="56"/>
      <c r="B64" s="101" t="s">
        <v>140</v>
      </c>
      <c r="C64" s="119" t="s">
        <v>1</v>
      </c>
      <c r="D64" s="127" t="s">
        <v>295</v>
      </c>
      <c r="E64" s="117">
        <v>1</v>
      </c>
      <c r="F64" s="117">
        <v>1</v>
      </c>
      <c r="G64" s="121" t="s">
        <v>1</v>
      </c>
      <c r="H64" s="121" t="s">
        <v>1</v>
      </c>
      <c r="I64" s="121" t="s">
        <v>1</v>
      </c>
      <c r="J64" s="121" t="s">
        <v>1</v>
      </c>
      <c r="K64" s="121" t="s">
        <v>1</v>
      </c>
      <c r="L64" s="119" t="s">
        <v>1</v>
      </c>
      <c r="M64" s="119" t="s">
        <v>1</v>
      </c>
      <c r="N64" s="119" t="s">
        <v>1</v>
      </c>
      <c r="O64" s="119" t="s">
        <v>1</v>
      </c>
      <c r="P64" s="119" t="s">
        <v>1</v>
      </c>
      <c r="Q64" s="119" t="s">
        <v>1</v>
      </c>
      <c r="R64" s="119" t="s">
        <v>1</v>
      </c>
      <c r="S64" s="119" t="s">
        <v>1</v>
      </c>
      <c r="T64" s="123" t="s">
        <v>1</v>
      </c>
      <c r="V64" s="102" t="s">
        <v>104</v>
      </c>
      <c r="W64" s="94">
        <f t="shared" si="13"/>
        <v>2</v>
      </c>
      <c r="X64" s="167" t="s">
        <v>1</v>
      </c>
      <c r="Y64" s="167" t="s">
        <v>1</v>
      </c>
      <c r="Z64" s="167" t="s">
        <v>1</v>
      </c>
      <c r="AA64" s="167" t="s">
        <v>1</v>
      </c>
      <c r="AB64" s="179" t="s">
        <v>1</v>
      </c>
    </row>
    <row r="65" spans="1:28" x14ac:dyDescent="0.55000000000000004">
      <c r="A65" s="56"/>
      <c r="B65" s="101" t="s">
        <v>141</v>
      </c>
      <c r="C65" s="119" t="s">
        <v>1</v>
      </c>
      <c r="D65" s="127" t="s">
        <v>295</v>
      </c>
      <c r="E65" s="117"/>
      <c r="F65" s="117"/>
      <c r="G65" s="121" t="s">
        <v>1</v>
      </c>
      <c r="H65" s="121" t="s">
        <v>1</v>
      </c>
      <c r="I65" s="121" t="s">
        <v>1</v>
      </c>
      <c r="J65" s="121" t="s">
        <v>1</v>
      </c>
      <c r="K65" s="121" t="s">
        <v>1</v>
      </c>
      <c r="L65" s="119" t="s">
        <v>1</v>
      </c>
      <c r="M65" s="119" t="s">
        <v>1</v>
      </c>
      <c r="N65" s="119" t="s">
        <v>1</v>
      </c>
      <c r="O65" s="119" t="s">
        <v>1</v>
      </c>
      <c r="P65" s="119" t="s">
        <v>1</v>
      </c>
      <c r="Q65" s="119" t="s">
        <v>1</v>
      </c>
      <c r="R65" s="119" t="s">
        <v>1</v>
      </c>
      <c r="S65" s="119" t="s">
        <v>1</v>
      </c>
      <c r="T65" s="123" t="s">
        <v>1</v>
      </c>
      <c r="V65" s="102" t="s">
        <v>105</v>
      </c>
      <c r="W65" s="94">
        <f t="shared" si="13"/>
        <v>2</v>
      </c>
      <c r="X65" s="167" t="s">
        <v>1</v>
      </c>
      <c r="Y65" s="167" t="s">
        <v>1</v>
      </c>
      <c r="Z65" s="167" t="s">
        <v>1</v>
      </c>
      <c r="AA65" s="167" t="s">
        <v>1</v>
      </c>
      <c r="AB65" s="180" t="s">
        <v>1</v>
      </c>
    </row>
    <row r="66" spans="1:28" ht="14.7" thickBot="1" x14ac:dyDescent="0.6">
      <c r="A66" s="56"/>
      <c r="B66" s="100" t="s">
        <v>142</v>
      </c>
      <c r="C66" s="120" t="s">
        <v>1</v>
      </c>
      <c r="D66" s="129" t="s">
        <v>295</v>
      </c>
      <c r="E66" s="131"/>
      <c r="F66" s="131"/>
      <c r="G66" s="128" t="s">
        <v>1</v>
      </c>
      <c r="H66" s="128" t="s">
        <v>1</v>
      </c>
      <c r="I66" s="128" t="s">
        <v>1</v>
      </c>
      <c r="J66" s="128" t="s">
        <v>1</v>
      </c>
      <c r="K66" s="128" t="s">
        <v>1</v>
      </c>
      <c r="L66" s="120" t="s">
        <v>1</v>
      </c>
      <c r="M66" s="120" t="s">
        <v>1</v>
      </c>
      <c r="N66" s="120" t="s">
        <v>1</v>
      </c>
      <c r="O66" s="120" t="s">
        <v>1</v>
      </c>
      <c r="P66" s="120" t="s">
        <v>1</v>
      </c>
      <c r="Q66" s="120" t="s">
        <v>1</v>
      </c>
      <c r="R66" s="120" t="s">
        <v>1</v>
      </c>
      <c r="S66" s="120" t="s">
        <v>1</v>
      </c>
      <c r="T66" s="125" t="s">
        <v>1</v>
      </c>
      <c r="V66" s="103" t="s">
        <v>106</v>
      </c>
      <c r="W66" s="141">
        <f t="shared" si="13"/>
        <v>2</v>
      </c>
      <c r="X66" s="169" t="s">
        <v>1</v>
      </c>
      <c r="Y66" s="169" t="s">
        <v>1</v>
      </c>
      <c r="Z66" s="132" t="s">
        <v>1</v>
      </c>
      <c r="AA66" s="169" t="s">
        <v>1</v>
      </c>
      <c r="AB66" s="170" t="s">
        <v>1</v>
      </c>
    </row>
    <row r="67" spans="1:28" ht="14.7" thickBot="1" x14ac:dyDescent="0.6"/>
    <row r="68" spans="1:28" ht="14.7" thickBot="1" x14ac:dyDescent="0.6">
      <c r="B68" s="203" t="s">
        <v>227</v>
      </c>
      <c r="C68" s="142" t="s">
        <v>316</v>
      </c>
      <c r="D68" s="109" t="s">
        <v>318</v>
      </c>
      <c r="E68" s="87"/>
    </row>
    <row r="69" spans="1:28" ht="14.7" thickBot="1" x14ac:dyDescent="0.6">
      <c r="B69" s="204"/>
      <c r="C69" s="109" t="s">
        <v>317</v>
      </c>
      <c r="D69" s="107" t="s">
        <v>235</v>
      </c>
    </row>
    <row r="70" spans="1:28" x14ac:dyDescent="0.55000000000000004">
      <c r="B70" s="104" t="s">
        <v>131</v>
      </c>
      <c r="C70" s="140">
        <v>2874405</v>
      </c>
      <c r="D70" s="148">
        <v>756</v>
      </c>
    </row>
    <row r="71" spans="1:28" x14ac:dyDescent="0.55000000000000004">
      <c r="B71" s="102" t="s">
        <v>132</v>
      </c>
      <c r="C71" s="52">
        <v>2874405</v>
      </c>
      <c r="D71" s="186">
        <v>679</v>
      </c>
      <c r="E71" s="150"/>
    </row>
    <row r="72" spans="1:28" x14ac:dyDescent="0.55000000000000004">
      <c r="B72" s="102" t="s">
        <v>133</v>
      </c>
      <c r="C72" s="140">
        <v>2874055</v>
      </c>
      <c r="D72" s="185">
        <v>46</v>
      </c>
    </row>
    <row r="73" spans="1:28" ht="14.7" thickBot="1" x14ac:dyDescent="0.6">
      <c r="B73" s="136" t="s">
        <v>134</v>
      </c>
      <c r="C73" s="95">
        <v>2874055</v>
      </c>
      <c r="D73" s="149">
        <v>43</v>
      </c>
    </row>
    <row r="74" spans="1:28" x14ac:dyDescent="0.55000000000000004">
      <c r="B74" s="104" t="s">
        <v>183</v>
      </c>
      <c r="C74" s="140">
        <v>11497620</v>
      </c>
      <c r="D74" s="148">
        <v>13152</v>
      </c>
    </row>
    <row r="75" spans="1:28" x14ac:dyDescent="0.55000000000000004">
      <c r="B75" s="136" t="s">
        <v>184</v>
      </c>
      <c r="C75" s="52">
        <v>11497620</v>
      </c>
      <c r="D75" s="185">
        <v>12765</v>
      </c>
    </row>
    <row r="76" spans="1:28" x14ac:dyDescent="0.55000000000000004">
      <c r="B76" s="102" t="s">
        <v>185</v>
      </c>
      <c r="C76" s="140">
        <v>11496220</v>
      </c>
      <c r="D76" s="185">
        <v>224</v>
      </c>
    </row>
    <row r="77" spans="1:28" ht="14.7" thickBot="1" x14ac:dyDescent="0.6">
      <c r="B77" s="102" t="s">
        <v>186</v>
      </c>
      <c r="C77" s="95">
        <v>11496220</v>
      </c>
      <c r="D77" s="149">
        <v>169</v>
      </c>
    </row>
    <row r="78" spans="1:28" x14ac:dyDescent="0.55000000000000004">
      <c r="B78" s="104" t="s">
        <v>196</v>
      </c>
      <c r="C78" s="140">
        <v>28744050</v>
      </c>
      <c r="D78" s="148">
        <v>78240</v>
      </c>
    </row>
    <row r="79" spans="1:28" x14ac:dyDescent="0.55000000000000004">
      <c r="B79" s="102" t="s">
        <v>197</v>
      </c>
      <c r="C79" s="52">
        <v>28744050</v>
      </c>
      <c r="D79" s="185">
        <v>72360</v>
      </c>
    </row>
    <row r="80" spans="1:28" x14ac:dyDescent="0.55000000000000004">
      <c r="B80" s="102" t="s">
        <v>198</v>
      </c>
      <c r="C80" s="140">
        <v>28740550</v>
      </c>
      <c r="D80" s="185">
        <v>542.29999999999995</v>
      </c>
    </row>
    <row r="81" spans="2:4" ht="14.7" thickBot="1" x14ac:dyDescent="0.6">
      <c r="B81" s="103" t="s">
        <v>199</v>
      </c>
      <c r="C81" s="95">
        <v>28740550</v>
      </c>
      <c r="D81" s="149">
        <v>421.51</v>
      </c>
    </row>
  </sheetData>
  <mergeCells count="38">
    <mergeCell ref="V7:V8"/>
    <mergeCell ref="V23:V24"/>
    <mergeCell ref="V38:V39"/>
    <mergeCell ref="V53:V54"/>
    <mergeCell ref="AC9:AC12"/>
    <mergeCell ref="AC13:AC16"/>
    <mergeCell ref="AC17:AC20"/>
    <mergeCell ref="B53:B54"/>
    <mergeCell ref="E53:F53"/>
    <mergeCell ref="E40:E43"/>
    <mergeCell ref="F40:F43"/>
    <mergeCell ref="B68:B69"/>
    <mergeCell ref="G53:I53"/>
    <mergeCell ref="J53:K53"/>
    <mergeCell ref="L53:N53"/>
    <mergeCell ref="O53:Q53"/>
    <mergeCell ref="R53:T53"/>
    <mergeCell ref="J38:K38"/>
    <mergeCell ref="L38:N38"/>
    <mergeCell ref="O38:Q38"/>
    <mergeCell ref="R38:T38"/>
    <mergeCell ref="B38:B39"/>
    <mergeCell ref="E38:F38"/>
    <mergeCell ref="G38:I38"/>
    <mergeCell ref="O23:Q23"/>
    <mergeCell ref="R23:T23"/>
    <mergeCell ref="B23:B24"/>
    <mergeCell ref="E23:F23"/>
    <mergeCell ref="G23:I23"/>
    <mergeCell ref="J23:K23"/>
    <mergeCell ref="L23:N23"/>
    <mergeCell ref="R7:T7"/>
    <mergeCell ref="B7:B8"/>
    <mergeCell ref="G7:I7"/>
    <mergeCell ref="J7:K7"/>
    <mergeCell ref="O7:Q7"/>
    <mergeCell ref="L7:N7"/>
    <mergeCell ref="E7:F7"/>
  </mergeCells>
  <pageMargins left="0.7" right="0.7" top="0.75" bottom="0.75" header="0.3" footer="0.3"/>
  <pageSetup orientation="portrait" r:id="rId1"/>
  <ignoredErrors>
    <ignoredError sqref="S18 N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9"/>
  <sheetViews>
    <sheetView workbookViewId="0">
      <selection activeCell="B6" sqref="B6:B7"/>
    </sheetView>
  </sheetViews>
  <sheetFormatPr baseColWidth="10" defaultRowHeight="14.4" x14ac:dyDescent="0.55000000000000004"/>
  <cols>
    <col min="2" max="2" width="7.9453125" bestFit="1" customWidth="1"/>
  </cols>
  <sheetData>
    <row r="5" spans="2:4" ht="14.7" thickBot="1" x14ac:dyDescent="0.6"/>
    <row r="6" spans="2:4" x14ac:dyDescent="0.55000000000000004">
      <c r="B6" s="203" t="s">
        <v>227</v>
      </c>
      <c r="C6" s="203" t="s">
        <v>308</v>
      </c>
      <c r="D6" s="196" t="s">
        <v>227</v>
      </c>
    </row>
    <row r="7" spans="2:4" ht="14.7" thickBot="1" x14ac:dyDescent="0.6">
      <c r="B7" s="204"/>
      <c r="C7" s="204"/>
      <c r="D7" s="197"/>
    </row>
    <row r="8" spans="2:4" x14ac:dyDescent="0.55000000000000004">
      <c r="B8" s="104" t="s">
        <v>296</v>
      </c>
      <c r="C8" s="222" t="s">
        <v>309</v>
      </c>
      <c r="D8" s="188" t="s">
        <v>312</v>
      </c>
    </row>
    <row r="9" spans="2:4" x14ac:dyDescent="0.55000000000000004">
      <c r="B9" s="102" t="s">
        <v>297</v>
      </c>
      <c r="C9" s="223"/>
      <c r="D9" s="189" t="s">
        <v>313</v>
      </c>
    </row>
    <row r="10" spans="2:4" x14ac:dyDescent="0.55000000000000004">
      <c r="B10" s="102" t="s">
        <v>298</v>
      </c>
      <c r="C10" s="223"/>
      <c r="D10" s="189" t="s">
        <v>314</v>
      </c>
    </row>
    <row r="11" spans="2:4" ht="14.7" thickBot="1" x14ac:dyDescent="0.6">
      <c r="B11" s="103" t="s">
        <v>299</v>
      </c>
      <c r="C11" s="224"/>
      <c r="D11" s="190" t="s">
        <v>315</v>
      </c>
    </row>
    <row r="12" spans="2:4" x14ac:dyDescent="0.55000000000000004">
      <c r="B12" s="104" t="s">
        <v>300</v>
      </c>
      <c r="C12" s="222" t="s">
        <v>310</v>
      </c>
      <c r="D12" s="188" t="s">
        <v>312</v>
      </c>
    </row>
    <row r="13" spans="2:4" x14ac:dyDescent="0.55000000000000004">
      <c r="B13" s="102" t="s">
        <v>301</v>
      </c>
      <c r="C13" s="223"/>
      <c r="D13" s="189" t="s">
        <v>313</v>
      </c>
    </row>
    <row r="14" spans="2:4" x14ac:dyDescent="0.55000000000000004">
      <c r="B14" s="102" t="s">
        <v>302</v>
      </c>
      <c r="C14" s="223"/>
      <c r="D14" s="189" t="s">
        <v>314</v>
      </c>
    </row>
    <row r="15" spans="2:4" ht="14.7" thickBot="1" x14ac:dyDescent="0.6">
      <c r="B15" s="115" t="s">
        <v>303</v>
      </c>
      <c r="C15" s="224"/>
      <c r="D15" s="190" t="s">
        <v>315</v>
      </c>
    </row>
    <row r="16" spans="2:4" x14ac:dyDescent="0.55000000000000004">
      <c r="B16" s="137" t="s">
        <v>304</v>
      </c>
      <c r="C16" s="219" t="s">
        <v>311</v>
      </c>
      <c r="D16" s="188" t="s">
        <v>312</v>
      </c>
    </row>
    <row r="17" spans="2:4" x14ac:dyDescent="0.55000000000000004">
      <c r="B17" s="138" t="s">
        <v>305</v>
      </c>
      <c r="C17" s="220"/>
      <c r="D17" s="189" t="s">
        <v>313</v>
      </c>
    </row>
    <row r="18" spans="2:4" x14ac:dyDescent="0.55000000000000004">
      <c r="B18" s="138" t="s">
        <v>306</v>
      </c>
      <c r="C18" s="220"/>
      <c r="D18" s="189" t="s">
        <v>314</v>
      </c>
    </row>
    <row r="19" spans="2:4" ht="14.7" thickBot="1" x14ac:dyDescent="0.6">
      <c r="B19" s="139" t="s">
        <v>307</v>
      </c>
      <c r="C19" s="221"/>
      <c r="D19" s="190" t="s">
        <v>315</v>
      </c>
    </row>
  </sheetData>
  <mergeCells count="6">
    <mergeCell ref="C16:C19"/>
    <mergeCell ref="B6:B7"/>
    <mergeCell ref="C6:C7"/>
    <mergeCell ref="D6:D7"/>
    <mergeCell ref="C8:C11"/>
    <mergeCell ref="C12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C6" sqref="C6"/>
    </sheetView>
  </sheetViews>
  <sheetFormatPr baseColWidth="10" defaultRowHeight="14.4" x14ac:dyDescent="0.55000000000000004"/>
  <cols>
    <col min="2" max="2" width="18.3125" bestFit="1" customWidth="1"/>
  </cols>
  <sheetData>
    <row r="2" spans="2:3" x14ac:dyDescent="0.55000000000000004">
      <c r="B2" t="s">
        <v>329</v>
      </c>
      <c r="C2" t="s">
        <v>312</v>
      </c>
    </row>
    <row r="3" spans="2:3" x14ac:dyDescent="0.55000000000000004">
      <c r="B3" t="s">
        <v>330</v>
      </c>
      <c r="C3">
        <v>1</v>
      </c>
    </row>
    <row r="4" spans="2:3" x14ac:dyDescent="0.55000000000000004">
      <c r="B4" t="s">
        <v>331</v>
      </c>
      <c r="C4">
        <v>1</v>
      </c>
    </row>
    <row r="5" spans="2:3" x14ac:dyDescent="0.55000000000000004">
      <c r="B5" t="s">
        <v>332</v>
      </c>
      <c r="C5">
        <v>3</v>
      </c>
    </row>
    <row r="6" spans="2:3" x14ac:dyDescent="0.55000000000000004">
      <c r="B6" t="s">
        <v>333</v>
      </c>
      <c r="C6">
        <v>1</v>
      </c>
    </row>
    <row r="7" spans="2:3" x14ac:dyDescent="0.55000000000000004">
      <c r="B7" t="s">
        <v>334</v>
      </c>
    </row>
    <row r="8" spans="2:3" x14ac:dyDescent="0.55000000000000004">
      <c r="B8" t="s">
        <v>335</v>
      </c>
    </row>
    <row r="9" spans="2:3" x14ac:dyDescent="0.55000000000000004">
      <c r="B9" t="s">
        <v>336</v>
      </c>
    </row>
    <row r="10" spans="2:3" x14ac:dyDescent="0.55000000000000004">
      <c r="B10" t="s">
        <v>337</v>
      </c>
    </row>
    <row r="11" spans="2:3" x14ac:dyDescent="0.55000000000000004">
      <c r="B11" t="s">
        <v>338</v>
      </c>
    </row>
    <row r="12" spans="2:3" x14ac:dyDescent="0.55000000000000004">
      <c r="B12" t="s">
        <v>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opLeftCell="A12" workbookViewId="0">
      <selection activeCell="B3" sqref="B3:I23"/>
    </sheetView>
  </sheetViews>
  <sheetFormatPr baseColWidth="10" defaultRowHeight="14.4" x14ac:dyDescent="0.55000000000000004"/>
  <sheetData>
    <row r="2" spans="2:9" ht="14.7" thickBot="1" x14ac:dyDescent="0.6"/>
    <row r="3" spans="2:9" x14ac:dyDescent="0.55000000000000004">
      <c r="B3" s="228" t="s">
        <v>240</v>
      </c>
      <c r="C3" s="231" t="s">
        <v>241</v>
      </c>
      <c r="D3" s="234" t="s">
        <v>242</v>
      </c>
      <c r="E3" s="234" t="s">
        <v>243</v>
      </c>
      <c r="F3" s="234" t="s">
        <v>244</v>
      </c>
      <c r="G3" s="228" t="s">
        <v>245</v>
      </c>
      <c r="H3" s="57" t="s">
        <v>246</v>
      </c>
      <c r="I3" s="59" t="s">
        <v>246</v>
      </c>
    </row>
    <row r="4" spans="2:9" x14ac:dyDescent="0.55000000000000004">
      <c r="B4" s="229"/>
      <c r="C4" s="232"/>
      <c r="D4" s="235"/>
      <c r="E4" s="235"/>
      <c r="F4" s="235"/>
      <c r="G4" s="229"/>
      <c r="H4" s="55" t="s">
        <v>247</v>
      </c>
      <c r="I4" s="60" t="s">
        <v>248</v>
      </c>
    </row>
    <row r="5" spans="2:9" ht="14.7" thickBot="1" x14ac:dyDescent="0.6">
      <c r="B5" s="230"/>
      <c r="C5" s="233"/>
      <c r="D5" s="236"/>
      <c r="E5" s="236"/>
      <c r="F5" s="236"/>
      <c r="G5" s="230"/>
      <c r="H5" s="58"/>
      <c r="I5" s="61" t="s">
        <v>247</v>
      </c>
    </row>
    <row r="6" spans="2:9" ht="51.3" thickBot="1" x14ac:dyDescent="0.6">
      <c r="B6" s="225" t="s">
        <v>249</v>
      </c>
      <c r="C6" s="225">
        <v>3</v>
      </c>
      <c r="D6" s="62" t="s">
        <v>250</v>
      </c>
      <c r="E6" s="62" t="s">
        <v>251</v>
      </c>
      <c r="F6" s="63" t="s">
        <v>252</v>
      </c>
      <c r="G6" s="64" t="s">
        <v>253</v>
      </c>
      <c r="H6" s="65"/>
      <c r="I6" s="225">
        <f>H6+H7+H8/3</f>
        <v>0</v>
      </c>
    </row>
    <row r="7" spans="2:9" ht="30.9" thickBot="1" x14ac:dyDescent="0.6">
      <c r="B7" s="226"/>
      <c r="C7" s="226"/>
      <c r="D7" s="62" t="s">
        <v>254</v>
      </c>
      <c r="E7" s="62" t="s">
        <v>251</v>
      </c>
      <c r="F7" s="63" t="s">
        <v>255</v>
      </c>
      <c r="G7" s="64" t="s">
        <v>253</v>
      </c>
      <c r="H7" s="65"/>
      <c r="I7" s="226"/>
    </row>
    <row r="8" spans="2:9" ht="14.7" thickBot="1" x14ac:dyDescent="0.6">
      <c r="B8" s="227"/>
      <c r="C8" s="227"/>
      <c r="D8" s="62" t="s">
        <v>256</v>
      </c>
      <c r="E8" s="66" t="s">
        <v>257</v>
      </c>
      <c r="F8" s="62" t="s">
        <v>258</v>
      </c>
      <c r="G8" s="64" t="s">
        <v>259</v>
      </c>
      <c r="H8" s="65"/>
      <c r="I8" s="227"/>
    </row>
    <row r="9" spans="2:9" ht="14.7" thickBot="1" x14ac:dyDescent="0.6">
      <c r="B9" s="237" t="s">
        <v>261</v>
      </c>
      <c r="C9" s="238">
        <v>2</v>
      </c>
      <c r="D9" s="62" t="s">
        <v>262</v>
      </c>
      <c r="E9" s="62" t="s">
        <v>260</v>
      </c>
      <c r="F9" s="62" t="s">
        <v>258</v>
      </c>
      <c r="G9" s="64" t="s">
        <v>259</v>
      </c>
      <c r="H9" s="65"/>
      <c r="I9" s="237"/>
    </row>
    <row r="10" spans="2:9" ht="14.7" thickBot="1" x14ac:dyDescent="0.6">
      <c r="B10" s="227"/>
      <c r="C10" s="239"/>
      <c r="D10" s="62" t="s">
        <v>263</v>
      </c>
      <c r="E10" s="62" t="s">
        <v>260</v>
      </c>
      <c r="F10" s="62" t="s">
        <v>258</v>
      </c>
      <c r="G10" s="64" t="s">
        <v>259</v>
      </c>
      <c r="H10" s="65"/>
      <c r="I10" s="227"/>
    </row>
    <row r="11" spans="2:9" ht="14.7" thickBot="1" x14ac:dyDescent="0.6">
      <c r="B11" s="240" t="s">
        <v>264</v>
      </c>
      <c r="C11" s="240">
        <v>2</v>
      </c>
      <c r="D11" s="70" t="s">
        <v>265</v>
      </c>
      <c r="E11" s="71" t="s">
        <v>260</v>
      </c>
      <c r="F11" s="67" t="s">
        <v>258</v>
      </c>
      <c r="G11" s="68" t="s">
        <v>259</v>
      </c>
      <c r="H11" s="72"/>
      <c r="I11" s="242"/>
    </row>
    <row r="12" spans="2:9" ht="14.7" thickBot="1" x14ac:dyDescent="0.6">
      <c r="B12" s="241"/>
      <c r="C12" s="241"/>
      <c r="D12" s="70" t="s">
        <v>266</v>
      </c>
      <c r="E12" s="71" t="s">
        <v>260</v>
      </c>
      <c r="F12" s="67" t="s">
        <v>258</v>
      </c>
      <c r="G12" s="68" t="s">
        <v>259</v>
      </c>
      <c r="H12" s="72"/>
      <c r="I12" s="243"/>
    </row>
    <row r="13" spans="2:9" ht="51.3" thickBot="1" x14ac:dyDescent="0.6">
      <c r="B13" s="238" t="s">
        <v>267</v>
      </c>
      <c r="C13" s="237">
        <v>4</v>
      </c>
      <c r="D13" s="62" t="s">
        <v>268</v>
      </c>
      <c r="E13" s="62" t="s">
        <v>251</v>
      </c>
      <c r="F13" s="63" t="s">
        <v>269</v>
      </c>
      <c r="G13" s="73" t="s">
        <v>253</v>
      </c>
      <c r="H13" s="73"/>
      <c r="I13" s="237"/>
    </row>
    <row r="14" spans="2:9" ht="71.7" thickBot="1" x14ac:dyDescent="0.6">
      <c r="B14" s="246"/>
      <c r="C14" s="226"/>
      <c r="D14" s="62" t="s">
        <v>270</v>
      </c>
      <c r="E14" s="62" t="s">
        <v>251</v>
      </c>
      <c r="F14" s="63" t="s">
        <v>271</v>
      </c>
      <c r="G14" s="73" t="s">
        <v>253</v>
      </c>
      <c r="H14" s="73"/>
      <c r="I14" s="226"/>
    </row>
    <row r="15" spans="2:9" ht="61.5" thickBot="1" x14ac:dyDescent="0.6">
      <c r="B15" s="239"/>
      <c r="C15" s="227"/>
      <c r="D15" s="62" t="s">
        <v>272</v>
      </c>
      <c r="E15" s="62" t="s">
        <v>251</v>
      </c>
      <c r="F15" s="63" t="s">
        <v>273</v>
      </c>
      <c r="G15" s="73" t="s">
        <v>253</v>
      </c>
      <c r="H15" s="73"/>
      <c r="I15" s="227"/>
    </row>
    <row r="16" spans="2:9" ht="51.3" thickBot="1" x14ac:dyDescent="0.6">
      <c r="B16" s="240" t="s">
        <v>274</v>
      </c>
      <c r="C16" s="240">
        <v>5</v>
      </c>
      <c r="D16" s="67" t="s">
        <v>275</v>
      </c>
      <c r="E16" s="67" t="s">
        <v>251</v>
      </c>
      <c r="F16" s="74" t="s">
        <v>276</v>
      </c>
      <c r="G16" s="68" t="s">
        <v>253</v>
      </c>
      <c r="H16" s="71"/>
      <c r="I16" s="69"/>
    </row>
    <row r="17" spans="1:10" ht="61.5" thickBot="1" x14ac:dyDescent="0.6">
      <c r="B17" s="247"/>
      <c r="C17" s="247"/>
      <c r="D17" s="67" t="s">
        <v>277</v>
      </c>
      <c r="E17" s="67" t="s">
        <v>251</v>
      </c>
      <c r="F17" s="74" t="s">
        <v>278</v>
      </c>
      <c r="G17" s="68" t="s">
        <v>253</v>
      </c>
      <c r="H17" s="71"/>
      <c r="I17" s="69"/>
    </row>
    <row r="18" spans="1:10" ht="61.5" thickBot="1" x14ac:dyDescent="0.6">
      <c r="B18" s="248"/>
      <c r="C18" s="241"/>
      <c r="D18" s="67" t="s">
        <v>279</v>
      </c>
      <c r="E18" s="67" t="s">
        <v>251</v>
      </c>
      <c r="F18" s="74" t="s">
        <v>280</v>
      </c>
      <c r="G18" s="68" t="s">
        <v>253</v>
      </c>
      <c r="H18" s="71"/>
      <c r="I18" s="75"/>
    </row>
    <row r="19" spans="1:10" ht="61.5" thickBot="1" x14ac:dyDescent="0.6">
      <c r="B19" s="249" t="s">
        <v>281</v>
      </c>
      <c r="C19" s="238">
        <v>4</v>
      </c>
      <c r="D19" s="62" t="s">
        <v>282</v>
      </c>
      <c r="E19" s="62" t="s">
        <v>251</v>
      </c>
      <c r="F19" s="76" t="s">
        <v>283</v>
      </c>
      <c r="G19" s="65" t="s">
        <v>253</v>
      </c>
      <c r="H19" s="62"/>
      <c r="I19" s="80"/>
    </row>
    <row r="20" spans="1:10" ht="41.1" thickBot="1" x14ac:dyDescent="0.6">
      <c r="B20" s="246"/>
      <c r="C20" s="246"/>
      <c r="D20" s="82" t="s">
        <v>284</v>
      </c>
      <c r="E20" s="79" t="s">
        <v>251</v>
      </c>
      <c r="F20" s="77" t="s">
        <v>285</v>
      </c>
      <c r="G20" s="78" t="s">
        <v>253</v>
      </c>
      <c r="H20" s="79"/>
      <c r="I20" s="81"/>
    </row>
    <row r="21" spans="1:10" ht="61.5" thickBot="1" x14ac:dyDescent="0.6">
      <c r="B21" s="250"/>
      <c r="C21" s="250"/>
      <c r="D21" s="66" t="s">
        <v>286</v>
      </c>
      <c r="E21" s="83" t="s">
        <v>251</v>
      </c>
      <c r="F21" s="84" t="s">
        <v>287</v>
      </c>
      <c r="G21" s="85" t="s">
        <v>253</v>
      </c>
      <c r="H21" s="66"/>
      <c r="I21" s="86"/>
      <c r="J21" s="87"/>
    </row>
    <row r="22" spans="1:10" ht="51.3" thickBot="1" x14ac:dyDescent="0.6">
      <c r="A22" s="53"/>
      <c r="B22" s="244" t="s">
        <v>291</v>
      </c>
      <c r="C22" s="244">
        <v>2</v>
      </c>
      <c r="D22" s="89" t="s">
        <v>289</v>
      </c>
      <c r="E22" s="75" t="s">
        <v>251</v>
      </c>
      <c r="F22" s="75" t="s">
        <v>292</v>
      </c>
      <c r="G22" s="75" t="s">
        <v>294</v>
      </c>
      <c r="H22" s="75"/>
      <c r="I22" s="75"/>
      <c r="J22" s="87"/>
    </row>
    <row r="23" spans="1:10" ht="61.5" thickBot="1" x14ac:dyDescent="0.6">
      <c r="B23" s="245"/>
      <c r="C23" s="243"/>
      <c r="D23" s="89" t="s">
        <v>290</v>
      </c>
      <c r="E23" s="75" t="s">
        <v>251</v>
      </c>
      <c r="F23" s="75" t="s">
        <v>293</v>
      </c>
      <c r="G23" s="75" t="s">
        <v>294</v>
      </c>
      <c r="H23" s="75"/>
      <c r="I23" s="187"/>
      <c r="J23" s="87"/>
    </row>
    <row r="24" spans="1:10" x14ac:dyDescent="0.55000000000000004">
      <c r="E24" s="88"/>
      <c r="I24" s="88"/>
    </row>
  </sheetData>
  <mergeCells count="24">
    <mergeCell ref="B22:B23"/>
    <mergeCell ref="C22:C23"/>
    <mergeCell ref="B13:B15"/>
    <mergeCell ref="C13:C15"/>
    <mergeCell ref="I13:I15"/>
    <mergeCell ref="B16:B18"/>
    <mergeCell ref="C16:C18"/>
    <mergeCell ref="B19:B21"/>
    <mergeCell ref="C19:C21"/>
    <mergeCell ref="B9:B10"/>
    <mergeCell ref="C9:C10"/>
    <mergeCell ref="I9:I10"/>
    <mergeCell ref="B11:B12"/>
    <mergeCell ref="C11:C12"/>
    <mergeCell ref="I11:I12"/>
    <mergeCell ref="B6:B8"/>
    <mergeCell ref="C6:C8"/>
    <mergeCell ref="I6:I8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ListCases</vt:lpstr>
      <vt:lpstr>Specification</vt:lpstr>
      <vt:lpstr>ResultadosTam1</vt:lpstr>
      <vt:lpstr>ListaCasos</vt:lpstr>
      <vt:lpstr>Hoja3</vt:lpstr>
      <vt:lpstr>TablaDimensiones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Borrero</dc:creator>
  <cp:lastModifiedBy>Francisco Borrero</cp:lastModifiedBy>
  <dcterms:created xsi:type="dcterms:W3CDTF">2020-09-14T20:24:18Z</dcterms:created>
  <dcterms:modified xsi:type="dcterms:W3CDTF">2020-10-19T17:33:08Z</dcterms:modified>
</cp:coreProperties>
</file>