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taddy\Google 雲端硬碟\清大計財\財務管理\answers\"/>
    </mc:Choice>
  </mc:AlternateContent>
  <xr:revisionPtr revIDLastSave="0" documentId="13_ncr:1_{5276F13B-707E-4F35-B2FF-F7FB282AB9CF}" xr6:coauthVersionLast="45" xr6:coauthVersionMax="45" xr10:uidLastSave="{00000000-0000-0000-0000-000000000000}"/>
  <bookViews>
    <workbookView xWindow="-108" yWindow="-108" windowWidth="23256" windowHeight="12576" firstSheet="11" activeTab="11" xr2:uid="{00000000-000D-0000-FFFF-FFFF00000000}"/>
  </bookViews>
  <sheets>
    <sheet name="Chapter 5" sheetId="25" r:id="rId1"/>
    <sheet name="#1" sheetId="3" r:id="rId2"/>
    <sheet name="#2" sheetId="4" r:id="rId3"/>
    <sheet name="#3" sheetId="5" r:id="rId4"/>
    <sheet name="#4" sheetId="6" r:id="rId5"/>
    <sheet name="#5" sheetId="8" r:id="rId6"/>
    <sheet name="#6" sheetId="27" r:id="rId7"/>
    <sheet name="#7" sheetId="10" r:id="rId8"/>
    <sheet name="#8" sheetId="11" r:id="rId9"/>
    <sheet name="#9" sheetId="21" r:id="rId10"/>
    <sheet name="#10" sheetId="13" r:id="rId11"/>
    <sheet name="#11" sheetId="14" r:id="rId12"/>
    <sheet name="#12" sheetId="17" r:id="rId13"/>
    <sheet name="#13" sheetId="15" r:id="rId14"/>
    <sheet name="#14" sheetId="18" r:id="rId15"/>
    <sheet name="#15" sheetId="29" r:id="rId16"/>
    <sheet name="#16" sheetId="30" r:id="rId17"/>
    <sheet name="#17" sheetId="31" r:id="rId18"/>
    <sheet name="#18" sheetId="32" r:id="rId19"/>
    <sheet name="#19" sheetId="33" r:id="rId20"/>
    <sheet name="#20" sheetId="46" r:id="rId21"/>
    <sheet name="#21" sheetId="47" r:id="rId22"/>
    <sheet name="#22" sheetId="40" r:id="rId23"/>
    <sheet name="#22 Answer report" sheetId="48" r:id="rId24"/>
    <sheet name="#23" sheetId="22" r:id="rId25"/>
    <sheet name="#24" sheetId="23" r:id="rId26"/>
    <sheet name="#25" sheetId="24" r:id="rId27"/>
    <sheet name="#26" sheetId="35" r:id="rId28"/>
    <sheet name="#27" sheetId="42" r:id="rId29"/>
    <sheet name="#28" sheetId="36" r:id="rId30"/>
    <sheet name="#29" sheetId="41" r:id="rId31"/>
    <sheet name="#30" sheetId="28" r:id="rId32"/>
  </sheets>
  <definedNames>
    <definedName name="solver_adj" localSheetId="22" hidden="1">'#22'!$D$12</definedName>
    <definedName name="solver_adj" localSheetId="29" hidden="1">'#28'!$D$16</definedName>
    <definedName name="solver_cvg" localSheetId="22" hidden="1">0.0001</definedName>
    <definedName name="solver_cvg" localSheetId="29" hidden="1">0.0001</definedName>
    <definedName name="solver_drv" localSheetId="22" hidden="1">1</definedName>
    <definedName name="solver_drv" localSheetId="29" hidden="1">1</definedName>
    <definedName name="solver_eng" localSheetId="22" hidden="1">1</definedName>
    <definedName name="solver_eng" localSheetId="29" hidden="1">1</definedName>
    <definedName name="solver_est" localSheetId="22" hidden="1">1</definedName>
    <definedName name="solver_est" localSheetId="29" hidden="1">1</definedName>
    <definedName name="solver_itr" localSheetId="22" hidden="1">100</definedName>
    <definedName name="solver_itr" localSheetId="29" hidden="1">100</definedName>
    <definedName name="solver_lin" localSheetId="22" hidden="1">2</definedName>
    <definedName name="solver_lin" localSheetId="29" hidden="1">2</definedName>
    <definedName name="solver_mip" localSheetId="22" hidden="1">2147483647</definedName>
    <definedName name="solver_mip" localSheetId="29" hidden="1">2147483647</definedName>
    <definedName name="solver_mni" localSheetId="22" hidden="1">30</definedName>
    <definedName name="solver_mni" localSheetId="29" hidden="1">30</definedName>
    <definedName name="solver_mrt" localSheetId="22" hidden="1">0.075</definedName>
    <definedName name="solver_mrt" localSheetId="29" hidden="1">0.075</definedName>
    <definedName name="solver_msl" localSheetId="22" hidden="1">2</definedName>
    <definedName name="solver_msl" localSheetId="29" hidden="1">2</definedName>
    <definedName name="solver_neg" localSheetId="22" hidden="1">2</definedName>
    <definedName name="solver_neg" localSheetId="29" hidden="1">2</definedName>
    <definedName name="solver_nod" localSheetId="22" hidden="1">2147483647</definedName>
    <definedName name="solver_nod" localSheetId="29" hidden="1">2147483647</definedName>
    <definedName name="solver_num" localSheetId="22" hidden="1">0</definedName>
    <definedName name="solver_num" localSheetId="29" hidden="1">0</definedName>
    <definedName name="solver_nwt" localSheetId="22" hidden="1">1</definedName>
    <definedName name="solver_nwt" localSheetId="29" hidden="1">1</definedName>
    <definedName name="solver_opt" localSheetId="22" hidden="1">'#22'!$D$21</definedName>
    <definedName name="solver_opt" localSheetId="29" hidden="1">'#28'!$D$26</definedName>
    <definedName name="solver_pre" localSheetId="22" hidden="1">0.000001</definedName>
    <definedName name="solver_pre" localSheetId="29" hidden="1">0.000001</definedName>
    <definedName name="solver_rbv" localSheetId="22" hidden="1">1</definedName>
    <definedName name="solver_rbv" localSheetId="29" hidden="1">1</definedName>
    <definedName name="solver_rlx" localSheetId="22" hidden="1">1</definedName>
    <definedName name="solver_rlx" localSheetId="29" hidden="1">1</definedName>
    <definedName name="solver_rsd" localSheetId="22" hidden="1">0</definedName>
    <definedName name="solver_rsd" localSheetId="29" hidden="1">0</definedName>
    <definedName name="solver_scl" localSheetId="22" hidden="1">2</definedName>
    <definedName name="solver_scl" localSheetId="29" hidden="1">2</definedName>
    <definedName name="solver_sho" localSheetId="22" hidden="1">2</definedName>
    <definedName name="solver_sho" localSheetId="29" hidden="1">2</definedName>
    <definedName name="solver_ssz" localSheetId="22" hidden="1">100</definedName>
    <definedName name="solver_ssz" localSheetId="29" hidden="1">100</definedName>
    <definedName name="solver_tim" localSheetId="22" hidden="1">100</definedName>
    <definedName name="solver_tim" localSheetId="29" hidden="1">100</definedName>
    <definedName name="solver_tol" localSheetId="22" hidden="1">0.05</definedName>
    <definedName name="solver_tol" localSheetId="29" hidden="1">0.05</definedName>
    <definedName name="solver_typ" localSheetId="22" hidden="1">1</definedName>
    <definedName name="solver_typ" localSheetId="29" hidden="1">3</definedName>
    <definedName name="solver_val" localSheetId="22" hidden="1">0</definedName>
    <definedName name="solver_val" localSheetId="29" hidden="1">0</definedName>
    <definedName name="solver_ver" localSheetId="22" hidden="1">3</definedName>
    <definedName name="solver_ver" localSheetId="29" hidden="1">3</definedName>
  </definedNames>
  <calcPr calcId="191029"/>
</workbook>
</file>

<file path=xl/calcChain.xml><?xml version="1.0" encoding="utf-8"?>
<calcChain xmlns="http://schemas.openxmlformats.org/spreadsheetml/2006/main">
  <c r="D23" i="14" l="1"/>
  <c r="D28" i="14"/>
  <c r="D19" i="14"/>
  <c r="D50" i="46"/>
  <c r="D45" i="46"/>
  <c r="D39" i="46"/>
  <c r="D23" i="46"/>
  <c r="D30" i="46" s="1"/>
  <c r="D16" i="28"/>
  <c r="D26" i="41"/>
  <c r="D17" i="22" l="1"/>
  <c r="D29" i="47" l="1"/>
  <c r="D26" i="47"/>
  <c r="D13" i="47"/>
  <c r="D12" i="47"/>
  <c r="D28" i="47" s="1"/>
  <c r="D11" i="47"/>
  <c r="D27" i="47" s="1"/>
  <c r="D10" i="47"/>
  <c r="D9" i="47"/>
  <c r="D8" i="47"/>
  <c r="D24" i="47" s="1"/>
  <c r="D52" i="46"/>
  <c r="D41" i="46"/>
  <c r="D34" i="46"/>
  <c r="D28" i="46"/>
  <c r="D27" i="46"/>
  <c r="D26" i="46"/>
  <c r="D25" i="46"/>
  <c r="D24" i="46"/>
  <c r="D40" i="47" l="1"/>
  <c r="D25" i="47"/>
  <c r="D31" i="47"/>
  <c r="D46" i="47"/>
  <c r="D35" i="47"/>
  <c r="D42" i="47" s="1"/>
  <c r="D51" i="47"/>
  <c r="D53" i="47" l="1"/>
  <c r="D10" i="33"/>
  <c r="D11" i="33"/>
  <c r="D12" i="33"/>
  <c r="D13" i="33"/>
  <c r="E10" i="33"/>
  <c r="E11" i="33" l="1"/>
  <c r="E12" i="33" s="1"/>
  <c r="E13" i="33" s="1"/>
  <c r="D23" i="40" l="1"/>
  <c r="D21" i="40"/>
  <c r="D19" i="40"/>
  <c r="D18" i="40"/>
  <c r="E21" i="33"/>
  <c r="E22" i="33"/>
  <c r="F20" i="32"/>
  <c r="F19" i="32"/>
  <c r="C31" i="13"/>
  <c r="C29" i="13"/>
  <c r="D24" i="4"/>
  <c r="D21" i="4"/>
  <c r="D18" i="4"/>
  <c r="C23" i="4"/>
  <c r="C20" i="4"/>
  <c r="C17" i="4"/>
  <c r="D22" i="24"/>
  <c r="D27" i="42"/>
  <c r="D26" i="42"/>
  <c r="D25" i="42"/>
  <c r="D24" i="42"/>
  <c r="D22" i="42"/>
  <c r="D29" i="42" l="1"/>
  <c r="E23" i="33"/>
  <c r="D30" i="42"/>
  <c r="D24" i="41"/>
  <c r="D23" i="41"/>
  <c r="D22" i="41"/>
  <c r="D21" i="41"/>
  <c r="D28" i="41" s="1"/>
  <c r="D24" i="36"/>
  <c r="D22" i="36"/>
  <c r="D26" i="36" l="1"/>
  <c r="E30" i="33"/>
  <c r="D19" i="35"/>
  <c r="D18" i="35"/>
  <c r="D16" i="24"/>
  <c r="D18" i="24" s="1"/>
  <c r="D22" i="23"/>
  <c r="D21" i="23"/>
  <c r="D20" i="23"/>
  <c r="D19" i="23"/>
  <c r="E29" i="33"/>
  <c r="E25" i="33"/>
  <c r="E34" i="33"/>
  <c r="D38" i="32"/>
  <c r="D37" i="32"/>
  <c r="D36" i="32"/>
  <c r="D35" i="32"/>
  <c r="F30" i="32"/>
  <c r="F29" i="32"/>
  <c r="F25" i="32"/>
  <c r="F24" i="32"/>
  <c r="H21" i="31"/>
  <c r="F21" i="31"/>
  <c r="D21" i="31"/>
  <c r="H19" i="31"/>
  <c r="D26" i="31" s="1"/>
  <c r="F19" i="31"/>
  <c r="D25" i="31" s="1"/>
  <c r="D19" i="31"/>
  <c r="D24" i="31" s="1"/>
  <c r="H18" i="31"/>
  <c r="F18" i="31"/>
  <c r="D18" i="31"/>
  <c r="F30" i="30"/>
  <c r="D30" i="30"/>
  <c r="F25" i="30"/>
  <c r="D25" i="30"/>
  <c r="F20" i="30"/>
  <c r="D20" i="30"/>
  <c r="H25" i="29"/>
  <c r="F25" i="29"/>
  <c r="D25" i="29"/>
  <c r="H20" i="29"/>
  <c r="F20" i="29"/>
  <c r="D20" i="29"/>
  <c r="H19" i="29"/>
  <c r="F19" i="29"/>
  <c r="D19" i="29"/>
  <c r="D38" i="18"/>
  <c r="D37" i="18"/>
  <c r="D36" i="18"/>
  <c r="D35" i="18"/>
  <c r="F30" i="18"/>
  <c r="F29" i="18"/>
  <c r="F25" i="18"/>
  <c r="F24" i="18"/>
  <c r="F20" i="18"/>
  <c r="F19" i="18"/>
  <c r="D22" i="15"/>
  <c r="D21" i="15"/>
  <c r="D18" i="15"/>
  <c r="F25" i="17"/>
  <c r="F24" i="17"/>
  <c r="F20" i="17"/>
  <c r="F19" i="17"/>
  <c r="D32" i="14"/>
  <c r="D30" i="14"/>
  <c r="D26" i="14"/>
  <c r="D25" i="14"/>
  <c r="D24" i="14"/>
  <c r="D20" i="14"/>
  <c r="D31" i="13"/>
  <c r="D29" i="13"/>
  <c r="D20" i="13"/>
  <c r="C25" i="13" s="1"/>
  <c r="D21" i="11"/>
  <c r="D19" i="11"/>
  <c r="D16" i="10"/>
  <c r="C18" i="10" s="1"/>
  <c r="E19" i="27"/>
  <c r="E17" i="27"/>
  <c r="D18" i="8"/>
  <c r="D20" i="8" s="1"/>
  <c r="D23" i="6"/>
  <c r="D22" i="6"/>
  <c r="D21" i="6"/>
  <c r="D20" i="6"/>
  <c r="D19" i="6"/>
  <c r="D18" i="6"/>
  <c r="D17" i="6"/>
  <c r="F21" i="18" l="1"/>
  <c r="F31" i="18"/>
  <c r="F26" i="18"/>
  <c r="D25" i="6"/>
  <c r="D20" i="24"/>
  <c r="E35" i="33"/>
  <c r="E36" i="33" s="1"/>
  <c r="E26" i="33"/>
  <c r="E27" i="33" s="1"/>
  <c r="E31" i="33"/>
  <c r="F21" i="32"/>
  <c r="F26" i="32"/>
  <c r="F31" i="32"/>
  <c r="D40" i="32"/>
  <c r="C42" i="32" s="1"/>
  <c r="F22" i="30"/>
  <c r="F27" i="30"/>
  <c r="F32" i="30"/>
  <c r="D21" i="29"/>
  <c r="F22" i="29" s="1"/>
  <c r="D26" i="29"/>
  <c r="F27" i="29" s="1"/>
  <c r="D40" i="18"/>
  <c r="C42" i="18" s="1"/>
  <c r="D19" i="15"/>
  <c r="F21" i="17"/>
  <c r="F26" i="17"/>
  <c r="C27" i="13"/>
  <c r="C23" i="11"/>
  <c r="D25" i="5"/>
  <c r="D24" i="5"/>
  <c r="D23" i="5"/>
  <c r="D22" i="5"/>
  <c r="E29" i="3"/>
  <c r="E30" i="3" s="1"/>
  <c r="E26" i="3"/>
  <c r="E27" i="3" s="1"/>
  <c r="E23" i="3"/>
  <c r="E24" i="3" s="1"/>
  <c r="E20" i="3"/>
  <c r="E21" i="3" s="1"/>
  <c r="D20" i="35"/>
  <c r="D21" i="35" s="1"/>
  <c r="D22" i="35" l="1"/>
  <c r="D23" i="35" s="1"/>
  <c r="D24" i="35" s="1"/>
  <c r="D25" i="35" s="1"/>
  <c r="D26" i="35" s="1"/>
  <c r="D27" i="35" s="1"/>
  <c r="D28" i="35" s="1"/>
  <c r="D29" i="35" s="1"/>
  <c r="D27" i="5"/>
  <c r="C32" i="3"/>
  <c r="D31" i="35" l="1"/>
  <c r="D33" i="35" s="1"/>
</calcChain>
</file>

<file path=xl/sharedStrings.xml><?xml version="1.0" encoding="utf-8"?>
<sst xmlns="http://schemas.openxmlformats.org/spreadsheetml/2006/main" count="622" uniqueCount="271">
  <si>
    <t>Input area:</t>
  </si>
  <si>
    <t>Output area:</t>
  </si>
  <si>
    <t>Year</t>
  </si>
  <si>
    <t>Cash flow</t>
  </si>
  <si>
    <t>Question 1</t>
  </si>
  <si>
    <t>Question 2</t>
  </si>
  <si>
    <t>Cash Flow (A)</t>
  </si>
  <si>
    <t>Cash Flow (B)</t>
  </si>
  <si>
    <t>Annual cash inflow</t>
  </si>
  <si>
    <t># of years</t>
  </si>
  <si>
    <t>Initial cost</t>
  </si>
  <si>
    <t>.</t>
  </si>
  <si>
    <t>Question 4</t>
  </si>
  <si>
    <t>Question 3</t>
  </si>
  <si>
    <t>Annual cash inflows:</t>
  </si>
  <si>
    <t>Year 1</t>
  </si>
  <si>
    <t>Year 2</t>
  </si>
  <si>
    <t>Year 3</t>
  </si>
  <si>
    <t>Year 4</t>
  </si>
  <si>
    <t>Discount rate</t>
  </si>
  <si>
    <t>Discounted payments:</t>
  </si>
  <si>
    <t>Question 5</t>
  </si>
  <si>
    <t>Annual cash flow</t>
  </si>
  <si>
    <t>Question 6</t>
  </si>
  <si>
    <t>Year 0</t>
  </si>
  <si>
    <t>Question 7</t>
  </si>
  <si>
    <t>Required Return</t>
  </si>
  <si>
    <t>Annual cash flows:</t>
  </si>
  <si>
    <t>IRR</t>
  </si>
  <si>
    <t>Question 8</t>
  </si>
  <si>
    <t>Question 9</t>
  </si>
  <si>
    <t>Annual cash flows</t>
  </si>
  <si>
    <t>Costs</t>
  </si>
  <si>
    <t>Question 10</t>
  </si>
  <si>
    <t>Question 11</t>
  </si>
  <si>
    <t>Question 12</t>
  </si>
  <si>
    <t>Required return</t>
  </si>
  <si>
    <t>NPV (A)</t>
  </si>
  <si>
    <t>Question 13</t>
  </si>
  <si>
    <t>Question 14</t>
  </si>
  <si>
    <t>NPV</t>
  </si>
  <si>
    <t>Question 15</t>
  </si>
  <si>
    <t>Question 16</t>
  </si>
  <si>
    <t>I</t>
  </si>
  <si>
    <t>II</t>
  </si>
  <si>
    <t>Profitability index (I)</t>
  </si>
  <si>
    <t>Profitability index (II)</t>
  </si>
  <si>
    <t>NPV (I)</t>
  </si>
  <si>
    <t>NPV (II)</t>
  </si>
  <si>
    <t xml:space="preserve">Using the profitability index to compare mutually exclusive </t>
  </si>
  <si>
    <t xml:space="preserve">projects can be ambiguous when the magnitude of the cash </t>
  </si>
  <si>
    <t>Question 17</t>
  </si>
  <si>
    <t>Question 18</t>
  </si>
  <si>
    <t>Question 19</t>
  </si>
  <si>
    <t>Question 20</t>
  </si>
  <si>
    <t>Pays</t>
  </si>
  <si>
    <t>R</t>
  </si>
  <si>
    <t>C</t>
  </si>
  <si>
    <t>N</t>
  </si>
  <si>
    <t>To have a payback equal to the project's life,</t>
  </si>
  <si>
    <t>given C is a constant cash flow for N years,</t>
  </si>
  <si>
    <t>Question 21</t>
  </si>
  <si>
    <t>Cost</t>
  </si>
  <si>
    <t>Payback</t>
  </si>
  <si>
    <t xml:space="preserve">Given the six year payback, the worst case is the </t>
  </si>
  <si>
    <t>Worst-case NPV</t>
  </si>
  <si>
    <t xml:space="preserve">The best case has infinite cash flows beyond the </t>
  </si>
  <si>
    <t>Question 22</t>
  </si>
  <si>
    <t>Question 23</t>
  </si>
  <si>
    <t>Initial investment</t>
  </si>
  <si>
    <t>Cash flow growth per year</t>
  </si>
  <si>
    <t>PV of cash flows</t>
  </si>
  <si>
    <t xml:space="preserve">NPV </t>
  </si>
  <si>
    <t>Input boxes in tan</t>
  </si>
  <si>
    <t>Output boxes in yellow</t>
  </si>
  <si>
    <t>Given data in blue</t>
  </si>
  <si>
    <t>Calculations in red</t>
  </si>
  <si>
    <t>Answers in green</t>
  </si>
  <si>
    <t>Payback period</t>
  </si>
  <si>
    <t xml:space="preserve">Project A Payback </t>
  </si>
  <si>
    <t>Project B Payback</t>
  </si>
  <si>
    <t>Required payback</t>
  </si>
  <si>
    <t>Project A</t>
  </si>
  <si>
    <t>Project B</t>
  </si>
  <si>
    <t xml:space="preserve">Payback period </t>
  </si>
  <si>
    <r>
      <t xml:space="preserve">Discounted
</t>
    </r>
    <r>
      <rPr>
        <u/>
        <sz val="12"/>
        <rFont val="Arial"/>
        <family val="2"/>
      </rPr>
      <t xml:space="preserve">Cash Flow </t>
    </r>
  </si>
  <si>
    <t>Accept/Reject</t>
  </si>
  <si>
    <t xml:space="preserve">flows for the two projects are of different scale. </t>
  </si>
  <si>
    <t xml:space="preserve">The profitability index implies accept </t>
  </si>
  <si>
    <t xml:space="preserve">NPV decision rule implies accept </t>
  </si>
  <si>
    <t>because it pays back sooner.</t>
  </si>
  <si>
    <t xml:space="preserve">Payback criterion implies accept </t>
  </si>
  <si>
    <t>a.</t>
  </si>
  <si>
    <t>b.</t>
  </si>
  <si>
    <t>c.</t>
  </si>
  <si>
    <t>because it has a higher NPV.</t>
  </si>
  <si>
    <t xml:space="preserve">NPV criterion implies accept </t>
  </si>
  <si>
    <t>d.</t>
  </si>
  <si>
    <t>because its IRR is greater.</t>
  </si>
  <si>
    <t xml:space="preserve">IRR decision rule implies accept </t>
  </si>
  <si>
    <t>Necessary growth rate</t>
  </si>
  <si>
    <t>C = I/N</t>
  </si>
  <si>
    <t>a)</t>
  </si>
  <si>
    <t>b)</t>
  </si>
  <si>
    <t>Project A NPV</t>
  </si>
  <si>
    <t>Project B NPV</t>
  </si>
  <si>
    <t>Project B IRR</t>
  </si>
  <si>
    <t>Project A IRR</t>
  </si>
  <si>
    <t>Profitability index</t>
  </si>
  <si>
    <t>Project Alpha</t>
  </si>
  <si>
    <t>Project Beta</t>
  </si>
  <si>
    <t>PI for Alpha</t>
  </si>
  <si>
    <t>PI for Beta</t>
  </si>
  <si>
    <t>It is possible that the cash flows do not</t>
  </si>
  <si>
    <t xml:space="preserve">have an IRR. That is the case here. </t>
  </si>
  <si>
    <t>There is no real root to the IRR equation.</t>
  </si>
  <si>
    <t>Question 24</t>
  </si>
  <si>
    <t>Question 25</t>
  </si>
  <si>
    <t>c)</t>
  </si>
  <si>
    <t>d)</t>
  </si>
  <si>
    <t xml:space="preserve">This is a financing project, so the IRR </t>
  </si>
  <si>
    <t>decision rule is reversed.</t>
  </si>
  <si>
    <t xml:space="preserve">e) </t>
  </si>
  <si>
    <t>The answers agree if you remember that</t>
  </si>
  <si>
    <t>the IRR decision rule is reversed for a</t>
  </si>
  <si>
    <t>financing project.</t>
  </si>
  <si>
    <t>Fishing</t>
  </si>
  <si>
    <t>Submarine</t>
  </si>
  <si>
    <t>Incremental CF</t>
  </si>
  <si>
    <t>Incremental IRR</t>
  </si>
  <si>
    <t>IRR (Fishing)</t>
  </si>
  <si>
    <t>IRR (Submarine)</t>
  </si>
  <si>
    <t>NPV (Fishing)</t>
  </si>
  <si>
    <t>NPV (Submarine)</t>
  </si>
  <si>
    <t>Board Game</t>
  </si>
  <si>
    <t>Payback (Board game)</t>
  </si>
  <si>
    <t>NPV (Board game)</t>
  </si>
  <si>
    <t>IRR (Board game)</t>
  </si>
  <si>
    <t>Year 5</t>
  </si>
  <si>
    <t xml:space="preserve">Payback </t>
  </si>
  <si>
    <t>Payback criterion implies accept</t>
  </si>
  <si>
    <t>because it has a shorter payback.</t>
  </si>
  <si>
    <t>Highest NPV</t>
  </si>
  <si>
    <t>CDMA</t>
  </si>
  <si>
    <t>G4</t>
  </si>
  <si>
    <t>Wi-Fi</t>
  </si>
  <si>
    <t>Highest PI</t>
  </si>
  <si>
    <t>Profitability index implies accept</t>
  </si>
  <si>
    <t>because it has the highest value.</t>
  </si>
  <si>
    <t>AZM</t>
  </si>
  <si>
    <t>AZF</t>
  </si>
  <si>
    <t xml:space="preserve">IRR criterion implies accept </t>
  </si>
  <si>
    <t>Project C</t>
  </si>
  <si>
    <t>Accept/Reject if independent projects</t>
  </si>
  <si>
    <t>Dry Prepeg</t>
  </si>
  <si>
    <t>Solvent Prepeg</t>
  </si>
  <si>
    <t>Payback (Dry Prepeg)</t>
  </si>
  <si>
    <t>NPV (Dry Prepeg)</t>
  </si>
  <si>
    <t>IRR (Dry Prepeg)</t>
  </si>
  <si>
    <t>Payback (Solvent Prepeg)</t>
  </si>
  <si>
    <t>NPV (Solvent Prepeg)</t>
  </si>
  <si>
    <t>IRR (Solvent Prepeg)</t>
  </si>
  <si>
    <t>NP-30</t>
  </si>
  <si>
    <t>NX-20</t>
  </si>
  <si>
    <t>NPV (NP-30)</t>
  </si>
  <si>
    <t>IRR (NP-30)</t>
  </si>
  <si>
    <t>NPV (NX-20)</t>
  </si>
  <si>
    <t>IRR (NX-20)</t>
  </si>
  <si>
    <t>Profitability index (NP-30)</t>
  </si>
  <si>
    <t>Profitability index (NX-20)</t>
  </si>
  <si>
    <t xml:space="preserve">PI decision rule implies accept </t>
  </si>
  <si>
    <t>because its PI is greater.</t>
  </si>
  <si>
    <t>Question 26</t>
  </si>
  <si>
    <t>First year cash flow</t>
  </si>
  <si>
    <t>Cash flow growth rate</t>
  </si>
  <si>
    <t>Cost to abandon</t>
  </si>
  <si>
    <t>Cash flow A:</t>
  </si>
  <si>
    <t>First cash flow</t>
  </si>
  <si>
    <t>Growth rate in cash flow</t>
  </si>
  <si>
    <t>Cash flow B:</t>
  </si>
  <si>
    <t>Years until first cash flow</t>
  </si>
  <si>
    <t>PV of cash flow A</t>
  </si>
  <si>
    <t>PV of cash flow B</t>
  </si>
  <si>
    <t>Question 27</t>
  </si>
  <si>
    <t>Setting the NPV of the present value of the</t>
  </si>
  <si>
    <t xml:space="preserve">two cash flow streams, and solving for the </t>
  </si>
  <si>
    <t>IRR, we find the IRR of the combined cash</t>
  </si>
  <si>
    <t>flow streams is:</t>
  </si>
  <si>
    <t>Cell</t>
  </si>
  <si>
    <t>Name</t>
  </si>
  <si>
    <t>Original Value</t>
  </si>
  <si>
    <t>Final Value</t>
  </si>
  <si>
    <t>Constraints</t>
  </si>
  <si>
    <t>NONE</t>
  </si>
  <si>
    <t xml:space="preserve">The correct decision rule for an investing-type </t>
  </si>
  <si>
    <t xml:space="preserve">project is to accept the project if the discount </t>
  </si>
  <si>
    <t xml:space="preserve">future, the cash flows from stream A will be </t>
  </si>
  <si>
    <t xml:space="preserve">although there are many cash flows, there will </t>
  </si>
  <si>
    <t xml:space="preserve">the cash flows change more than once over </t>
  </si>
  <si>
    <t xml:space="preserve">the life of the project, there may be multiple </t>
  </si>
  <si>
    <t xml:space="preserve">is no correct decision rule for accepting and </t>
  </si>
  <si>
    <t xml:space="preserve">rejecting projects using the internal rate of </t>
  </si>
  <si>
    <t xml:space="preserve">return. </t>
  </si>
  <si>
    <t>Question 28</t>
  </si>
  <si>
    <t>Project Million</t>
  </si>
  <si>
    <t>Project Billion</t>
  </si>
  <si>
    <r>
      <t>-I</t>
    </r>
    <r>
      <rPr>
        <vertAlign val="subscript"/>
        <sz val="12"/>
        <color indexed="12"/>
        <rFont val="Arial"/>
        <family val="2"/>
      </rPr>
      <t>0</t>
    </r>
  </si>
  <si>
    <t>Incremental cash flows: Project Billion - Project Million</t>
  </si>
  <si>
    <t>PV of future cash flows</t>
  </si>
  <si>
    <r>
      <t>- I</t>
    </r>
    <r>
      <rPr>
        <vertAlign val="subscript"/>
        <sz val="12"/>
        <color indexed="12"/>
        <rFont val="Arial"/>
        <family val="2"/>
      </rPr>
      <t>0</t>
    </r>
  </si>
  <si>
    <t>since it has a larger profitability</t>
  </si>
  <si>
    <t>index. However, remember the profitability index can</t>
  </si>
  <si>
    <t>lead to incorrect decisions when evaluating mutually</t>
  </si>
  <si>
    <t>exclusive projects.</t>
  </si>
  <si>
    <r>
      <t>So, I</t>
    </r>
    <r>
      <rPr>
        <vertAlign val="subscript"/>
        <sz val="12"/>
        <rFont val="Arial"/>
        <family val="2"/>
      </rPr>
      <t>0</t>
    </r>
    <r>
      <rPr>
        <sz val="12"/>
        <rFont val="Arial"/>
        <family val="2"/>
      </rPr>
      <t xml:space="preserve"> must be less than </t>
    </r>
  </si>
  <si>
    <t xml:space="preserve">NOTE: Some functions used in these spreadsheets may require that </t>
  </si>
  <si>
    <t>the "Analysis ToolPak" or "Solver Add-in" be installed in Excel.</t>
  </si>
  <si>
    <t xml:space="preserve">To install these, click on "Tools|Add-Ins" and select "Analysis ToolPak" </t>
  </si>
  <si>
    <t>and "Solver Add-In."</t>
  </si>
  <si>
    <t>Chapter 5</t>
  </si>
  <si>
    <t>Reinvestment rate</t>
  </si>
  <si>
    <t>CF</t>
  </si>
  <si>
    <t>The IRRs are:</t>
  </si>
  <si>
    <t xml:space="preserve">  Payback period </t>
  </si>
  <si>
    <t>Payback (NP-30)</t>
  </si>
  <si>
    <t>Payback (NX-20)</t>
  </si>
  <si>
    <t xml:space="preserve">Payback decision rule implies accept </t>
  </si>
  <si>
    <t>$D$21</t>
  </si>
  <si>
    <t>$D$12</t>
  </si>
  <si>
    <r>
      <t>f</t>
    </r>
    <r>
      <rPr>
        <sz val="12"/>
        <rFont val="Symbol"/>
        <family val="1"/>
        <charset val="2"/>
      </rPr>
      <t>²</t>
    </r>
    <r>
      <rPr>
        <sz val="12"/>
        <rFont val="Arial"/>
        <family val="2"/>
      </rPr>
      <t>(IRR)</t>
    </r>
  </si>
  <si>
    <t>DVD</t>
  </si>
  <si>
    <t>Payback (DVD)</t>
  </si>
  <si>
    <t>NPV (DVD)</t>
  </si>
  <si>
    <t>IRR (DVD)</t>
  </si>
  <si>
    <t>Solver Engine</t>
  </si>
  <si>
    <t>Engine: GRG Nonlinear</t>
  </si>
  <si>
    <t>Solver Options</t>
  </si>
  <si>
    <t>Max Time 100 sec,  Iterations 100, Precision 0.000001</t>
  </si>
  <si>
    <t xml:space="preserve"> Convergence 0.0001, Population Size 100, Random Seed 0, Derivatives Forward, Require Bounds</t>
  </si>
  <si>
    <t>Max Subproblems Unlimited, Max Integer Sols Unlimited, Integer Tolerance 5%, Solve Without Integer Constraints</t>
  </si>
  <si>
    <t>Variable Cells</t>
  </si>
  <si>
    <t>Integer</t>
  </si>
  <si>
    <t>Contin</t>
  </si>
  <si>
    <t>Problems 1-30</t>
  </si>
  <si>
    <t>Question 30</t>
  </si>
  <si>
    <t>Question 29</t>
  </si>
  <si>
    <t>Discounting approach:</t>
  </si>
  <si>
    <t>MIRR</t>
  </si>
  <si>
    <t>Reinvestment approach:</t>
  </si>
  <si>
    <t>Combination approach:</t>
  </si>
  <si>
    <t>Microsoft Excel 15.0 Answer Report</t>
  </si>
  <si>
    <t>Worksheet: [CF 12th edition Chapter 05.xlsx]#22</t>
  </si>
  <si>
    <t>Report Created: 8/30/2017 4:31:45 PM</t>
  </si>
  <si>
    <t>Result: Solver has converged to the current solution.  All Constraints are satisfied.</t>
  </si>
  <si>
    <t>Solution Time: 0.046 Seconds.</t>
  </si>
  <si>
    <t>Iterations: 7 Subproblems: 0</t>
  </si>
  <si>
    <t>Objective Cell (Max)</t>
  </si>
  <si>
    <r>
      <t>Thus, C &gt; I / (PVIFA</t>
    </r>
    <r>
      <rPr>
        <vertAlign val="subscript"/>
        <sz val="12"/>
        <rFont val="Arial"/>
        <family val="2"/>
      </rPr>
      <t>r%,N</t>
    </r>
    <r>
      <rPr>
        <sz val="12"/>
        <rFont val="Arial"/>
        <family val="2"/>
      </rPr>
      <t>)</t>
    </r>
  </si>
  <si>
    <r>
      <t>To have a positive NPV, I &lt; C(PVIFA</t>
    </r>
    <r>
      <rPr>
        <vertAlign val="subscript"/>
        <sz val="12"/>
        <rFont val="Arial"/>
        <family val="2"/>
      </rPr>
      <t>r%,N</t>
    </r>
    <r>
      <rPr>
        <sz val="12"/>
        <rFont val="Arial"/>
        <family val="2"/>
      </rPr>
      <t>).</t>
    </r>
  </si>
  <si>
    <r>
      <t>Benefits = C (PVIFA</t>
    </r>
    <r>
      <rPr>
        <vertAlign val="subscript"/>
        <sz val="12"/>
        <rFont val="Arial"/>
        <family val="2"/>
      </rPr>
      <t>r%,N</t>
    </r>
    <r>
      <rPr>
        <sz val="12"/>
        <rFont val="Arial"/>
        <family val="2"/>
      </rPr>
      <t>) = 2 costs = 2I</t>
    </r>
  </si>
  <si>
    <r>
      <t>C = 2I / (PVIFA</t>
    </r>
    <r>
      <rPr>
        <vertAlign val="subscript"/>
        <sz val="12"/>
        <rFont val="Arial"/>
        <family val="2"/>
      </rPr>
      <t>r%,N</t>
    </r>
    <r>
      <rPr>
        <sz val="12"/>
        <rFont val="Arial"/>
        <family val="2"/>
      </rPr>
      <t>)</t>
    </r>
  </si>
  <si>
    <t xml:space="preserve">When there are multiple IRRs, the IRR decision rule is ambiguous. Both IRRs are correct; that is, both discount rates make the NPV of the project equal to zero. If we are evaluating whether or not to accept this project, we would not want to use the IRR to make our decision. </t>
  </si>
  <si>
    <t xml:space="preserve">payback occurs at the end of the sixth year. Thus, </t>
  </si>
  <si>
    <t>payback point. Thus, the best-case NPV is infinite.</t>
  </si>
  <si>
    <t>Net cash flow (Year 1)</t>
  </si>
  <si>
    <t xml:space="preserve">rate is below the IRR. Since there is one IRR, </t>
  </si>
  <si>
    <t xml:space="preserve">a decision can be made. At a point in the </t>
  </si>
  <si>
    <t xml:space="preserve">greater than those from stream B. Therefore, </t>
  </si>
  <si>
    <t xml:space="preserve">be only one change in sign. When the sign of </t>
  </si>
  <si>
    <t xml:space="preserve">internal rates of return. In such cases, there </t>
  </si>
  <si>
    <t>because it has a higher IRR.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</si>
</sst>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76" formatCode="&quot;$&quot;#,##0_);\(&quot;$&quot;#,##0\)"/>
    <numFmt numFmtId="177" formatCode="&quot;$&quot;#,##0.00_);\(&quot;$&quot;#,##0.00\)"/>
    <numFmt numFmtId="178" formatCode="&quot;$&quot;#,##0.00_);[Red]\(&quot;$&quot;#,##0.00\)"/>
    <numFmt numFmtId="179" formatCode="_(&quot;$&quot;* #,##0_);_(&quot;$&quot;* \(#,##0\);_(&quot;$&quot;* &quot;-&quot;_);_(@_)"/>
    <numFmt numFmtId="180" formatCode="_(* #,##0_);_(* \(#,##0\);_(* &quot;-&quot;_);_(@_)"/>
    <numFmt numFmtId="181" formatCode="_(&quot;$&quot;* #,##0.00_);_(&quot;$&quot;* \(#,##0.00\);_(&quot;$&quot;* &quot;-&quot;??_);_(@_)"/>
    <numFmt numFmtId="182" formatCode="_(* #,##0.00_);_(* \(#,##0.00\);_(* &quot;-&quot;??_);_(@_)"/>
    <numFmt numFmtId="183" formatCode="_(&quot;$&quot;* #,##0_);_(&quot;$&quot;* \(#,##0\);_(&quot;$&quot;* &quot;-&quot;??_);_(@_)"/>
    <numFmt numFmtId="184" formatCode="_(* #,##0_);_(* \(#,##0\);_(* &quot;-&quot;??_);_(@_)"/>
    <numFmt numFmtId="185" formatCode="0.000"/>
    <numFmt numFmtId="186" formatCode="0.00_);\(0.00\)"/>
    <numFmt numFmtId="187" formatCode="&quot;$&quot;#,##0"/>
    <numFmt numFmtId="188" formatCode="#,##0.000_);\(#,##0.000\)"/>
    <numFmt numFmtId="189" formatCode="_(* #,##0.000_);_(* \(#,##0.000\);_(* &quot;-&quot;???_);_(@_)"/>
    <numFmt numFmtId="190" formatCode="_(&quot;$&quot;* #,##0.00_);_(&quot;$&quot;* \(#,##0.00\);_(&quot;$&quot;* &quot;-&quot;_);_(@_)"/>
    <numFmt numFmtId="191" formatCode="_(* #,##0.000_);_(* \(#,##0.000\);_(* &quot;-&quot;????_);_(@_)"/>
    <numFmt numFmtId="192" formatCode="_(&quot;$&quot;* #,##0.0_);_(&quot;$&quot;* \(#,##0.0\);_(&quot;$&quot;* &quot;-&quot;?_);_(@_)"/>
    <numFmt numFmtId="193" formatCode="0.0%"/>
  </numFmts>
  <fonts count="34" x14ac:knownFonts="1">
    <font>
      <sz val="10"/>
      <name val="Arial"/>
    </font>
    <font>
      <sz val="10"/>
      <name val="Arial"/>
      <family val="2"/>
    </font>
    <font>
      <sz val="12"/>
      <name val="Arial"/>
      <family val="2"/>
    </font>
    <font>
      <i/>
      <sz val="12"/>
      <name val="Arial"/>
      <family val="2"/>
    </font>
    <font>
      <sz val="12"/>
      <color indexed="48"/>
      <name val="Arial"/>
      <family val="2"/>
    </font>
    <font>
      <b/>
      <sz val="12"/>
      <color indexed="57"/>
      <name val="Arial"/>
      <family val="2"/>
    </font>
    <font>
      <sz val="12"/>
      <color indexed="57"/>
      <name val="Arial"/>
      <family val="2"/>
    </font>
    <font>
      <sz val="12"/>
      <color indexed="8"/>
      <name val="Arial"/>
      <family val="2"/>
    </font>
    <font>
      <sz val="10"/>
      <color indexed="8"/>
      <name val="Arial"/>
      <family val="2"/>
    </font>
    <font>
      <sz val="48"/>
      <color indexed="52"/>
      <name val="Arial"/>
      <family val="2"/>
    </font>
    <font>
      <sz val="10"/>
      <color indexed="19"/>
      <name val="Arial"/>
      <family val="2"/>
    </font>
    <font>
      <sz val="18"/>
      <color indexed="52"/>
      <name val="Arial"/>
      <family val="2"/>
    </font>
    <font>
      <b/>
      <sz val="12"/>
      <color indexed="47"/>
      <name val="Arial"/>
      <family val="2"/>
    </font>
    <font>
      <b/>
      <sz val="12"/>
      <color indexed="43"/>
      <name val="Arial"/>
      <family val="2"/>
    </font>
    <font>
      <b/>
      <sz val="12"/>
      <color indexed="48"/>
      <name val="Arial"/>
      <family val="2"/>
    </font>
    <font>
      <b/>
      <sz val="12"/>
      <color indexed="10"/>
      <name val="Arial"/>
      <family val="2"/>
    </font>
    <font>
      <sz val="12"/>
      <color indexed="12"/>
      <name val="Arial"/>
      <family val="2"/>
    </font>
    <font>
      <sz val="12"/>
      <color indexed="10"/>
      <name val="Arial"/>
      <family val="2"/>
    </font>
    <font>
      <u/>
      <sz val="12"/>
      <name val="Arial"/>
      <family val="2"/>
    </font>
    <font>
      <b/>
      <sz val="12"/>
      <color indexed="57"/>
      <name val="Arial"/>
      <family val="2"/>
    </font>
    <font>
      <vertAlign val="subscript"/>
      <sz val="12"/>
      <name val="Arial"/>
      <family val="2"/>
    </font>
    <font>
      <b/>
      <sz val="14"/>
      <name val="Arial"/>
      <family val="2"/>
    </font>
    <font>
      <b/>
      <sz val="10"/>
      <color indexed="57"/>
      <name val="Arial"/>
      <family val="2"/>
    </font>
    <font>
      <b/>
      <sz val="10"/>
      <name val="Arial"/>
      <family val="2"/>
    </font>
    <font>
      <vertAlign val="subscript"/>
      <sz val="12"/>
      <color indexed="12"/>
      <name val="Arial"/>
      <family val="2"/>
    </font>
    <font>
      <b/>
      <sz val="10"/>
      <color indexed="9"/>
      <name val="Arial"/>
      <family val="2"/>
    </font>
    <font>
      <u/>
      <sz val="12"/>
      <color indexed="8"/>
      <name val="Arial"/>
      <family val="2"/>
    </font>
    <font>
      <sz val="12"/>
      <color rgb="FFFF0000"/>
      <name val="Arial"/>
      <family val="2"/>
    </font>
    <font>
      <b/>
      <sz val="12"/>
      <color rgb="FF339966"/>
      <name val="Arial"/>
      <family val="2"/>
    </font>
    <font>
      <sz val="12"/>
      <name val="Symbol"/>
      <family val="1"/>
      <charset val="2"/>
    </font>
    <font>
      <sz val="12"/>
      <color rgb="FF0000FF"/>
      <name val="Arial"/>
      <family val="2"/>
    </font>
    <font>
      <i/>
      <sz val="12"/>
      <color indexed="8"/>
      <name val="Arial"/>
      <family val="2"/>
    </font>
    <font>
      <b/>
      <sz val="10"/>
      <color indexed="18"/>
      <name val="Arial"/>
      <family val="2"/>
    </font>
    <font>
      <sz val="9"/>
      <name val="細明體"/>
      <family val="3"/>
      <charset val="136"/>
    </font>
  </fonts>
  <fills count="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8"/>
        <bgColor indexed="64"/>
      </patternFill>
    </fill>
  </fills>
  <borders count="1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23"/>
      </top>
      <bottom style="medium">
        <color indexed="23"/>
      </bottom>
      <diagonal/>
    </border>
    <border>
      <left/>
      <right/>
      <top style="medium">
        <color indexed="23"/>
      </top>
      <bottom style="medium">
        <color indexed="23"/>
      </bottom>
      <diagonal/>
    </border>
  </borders>
  <cellStyleXfs count="5">
    <xf numFmtId="0" fontId="0" fillId="0" borderId="0"/>
    <xf numFmtId="182" fontId="1" fillId="0" borderId="0" applyFont="0" applyFill="0" applyBorder="0" applyAlignment="0" applyProtection="0"/>
    <xf numFmtId="181" fontId="1" fillId="0" borderId="0" applyFont="0" applyFill="0" applyBorder="0" applyAlignment="0" applyProtection="0"/>
    <xf numFmtId="9" fontId="1" fillId="0" borderId="0" applyFont="0" applyFill="0" applyBorder="0" applyAlignment="0" applyProtection="0"/>
    <xf numFmtId="0" fontId="1" fillId="0" borderId="0"/>
  </cellStyleXfs>
  <cellXfs count="266">
    <xf numFmtId="0" fontId="0" fillId="0" borderId="0" xfId="0"/>
    <xf numFmtId="0" fontId="2" fillId="0" borderId="0" xfId="0" applyFont="1"/>
    <xf numFmtId="0" fontId="3" fillId="0" borderId="0" xfId="0" applyFont="1"/>
    <xf numFmtId="0" fontId="3" fillId="0" borderId="0" xfId="0" applyFont="1" applyBorder="1"/>
    <xf numFmtId="0" fontId="2" fillId="0" borderId="0" xfId="0" applyFont="1" applyBorder="1"/>
    <xf numFmtId="0" fontId="2" fillId="2" borderId="1" xfId="0" applyFont="1" applyFill="1" applyBorder="1"/>
    <xf numFmtId="0" fontId="3" fillId="2" borderId="2" xfId="0" applyFont="1" applyFill="1" applyBorder="1"/>
    <xf numFmtId="0" fontId="2" fillId="2" borderId="2" xfId="0" applyFont="1" applyFill="1" applyBorder="1"/>
    <xf numFmtId="0" fontId="2" fillId="2" borderId="3" xfId="0" applyFont="1" applyFill="1" applyBorder="1"/>
    <xf numFmtId="0" fontId="2" fillId="2" borderId="4" xfId="0" applyFont="1" applyFill="1" applyBorder="1"/>
    <xf numFmtId="0" fontId="2" fillId="2" borderId="0" xfId="0" applyFont="1" applyFill="1" applyBorder="1"/>
    <xf numFmtId="0" fontId="2" fillId="2" borderId="5" xfId="0" applyFont="1" applyFill="1" applyBorder="1"/>
    <xf numFmtId="0" fontId="2" fillId="2" borderId="6" xfId="0" applyFont="1" applyFill="1" applyBorder="1"/>
    <xf numFmtId="0" fontId="2" fillId="2" borderId="7" xfId="0" applyFont="1" applyFill="1" applyBorder="1"/>
    <xf numFmtId="0" fontId="2" fillId="3" borderId="1"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2" fillId="3" borderId="0" xfId="0" applyFont="1" applyFill="1" applyBorder="1"/>
    <xf numFmtId="0" fontId="2" fillId="3" borderId="6" xfId="0" applyFont="1" applyFill="1" applyBorder="1"/>
    <xf numFmtId="0" fontId="2" fillId="3" borderId="8" xfId="0" applyFont="1" applyFill="1" applyBorder="1"/>
    <xf numFmtId="0" fontId="2" fillId="3" borderId="7" xfId="0" applyFont="1" applyFill="1" applyBorder="1"/>
    <xf numFmtId="0" fontId="2" fillId="2" borderId="0" xfId="0" applyFont="1" applyFill="1" applyBorder="1" applyAlignment="1">
      <alignment horizontal="right"/>
    </xf>
    <xf numFmtId="0" fontId="6" fillId="0" borderId="0" xfId="0" applyFont="1"/>
    <xf numFmtId="0" fontId="4" fillId="2" borderId="8" xfId="0" applyFont="1" applyFill="1" applyBorder="1"/>
    <xf numFmtId="0" fontId="2" fillId="0" borderId="0" xfId="0" applyFont="1" applyFill="1" applyBorder="1"/>
    <xf numFmtId="0" fontId="4" fillId="0" borderId="0" xfId="0" applyFont="1" applyFill="1" applyBorder="1"/>
    <xf numFmtId="0" fontId="3" fillId="0" borderId="0" xfId="0" applyFont="1" applyFill="1" applyBorder="1"/>
    <xf numFmtId="0" fontId="4" fillId="3" borderId="2" xfId="0" applyFont="1" applyFill="1" applyBorder="1"/>
    <xf numFmtId="2" fontId="5" fillId="3" borderId="9" xfId="0" applyNumberFormat="1" applyFont="1" applyFill="1" applyBorder="1"/>
    <xf numFmtId="183" fontId="2" fillId="2" borderId="0" xfId="2" applyNumberFormat="1" applyFont="1" applyFill="1" applyBorder="1" applyAlignment="1">
      <alignment horizontal="right"/>
    </xf>
    <xf numFmtId="2" fontId="5" fillId="3" borderId="0" xfId="0" applyNumberFormat="1" applyFont="1" applyFill="1" applyBorder="1"/>
    <xf numFmtId="183" fontId="2" fillId="2" borderId="0" xfId="2" applyNumberFormat="1" applyFont="1" applyFill="1" applyBorder="1" applyAlignment="1">
      <alignment horizontal="left"/>
    </xf>
    <xf numFmtId="183" fontId="4" fillId="2" borderId="0" xfId="2" applyNumberFormat="1" applyFont="1" applyFill="1" applyBorder="1" applyAlignment="1">
      <alignment horizontal="right"/>
    </xf>
    <xf numFmtId="0" fontId="3" fillId="2" borderId="0" xfId="0" applyFont="1" applyFill="1" applyBorder="1" applyAlignment="1">
      <alignment horizontal="left"/>
    </xf>
    <xf numFmtId="181" fontId="3" fillId="3" borderId="0" xfId="2" applyFont="1" applyFill="1" applyBorder="1" applyAlignment="1">
      <alignment horizontal="left"/>
    </xf>
    <xf numFmtId="182" fontId="5" fillId="3" borderId="9" xfId="1" applyFont="1" applyFill="1" applyBorder="1"/>
    <xf numFmtId="0" fontId="3" fillId="2" borderId="0" xfId="0" applyFont="1" applyFill="1" applyBorder="1"/>
    <xf numFmtId="0" fontId="2" fillId="2" borderId="8" xfId="0" applyFont="1" applyFill="1" applyBorder="1"/>
    <xf numFmtId="176" fontId="2" fillId="3" borderId="0" xfId="0" applyNumberFormat="1" applyFont="1" applyFill="1" applyBorder="1"/>
    <xf numFmtId="10" fontId="5" fillId="3" borderId="9" xfId="3" applyNumberFormat="1" applyFont="1" applyFill="1" applyBorder="1"/>
    <xf numFmtId="10" fontId="5" fillId="3" borderId="0" xfId="3" applyNumberFormat="1" applyFont="1" applyFill="1" applyBorder="1"/>
    <xf numFmtId="177" fontId="2" fillId="3" borderId="0" xfId="0" applyNumberFormat="1" applyFont="1" applyFill="1" applyBorder="1"/>
    <xf numFmtId="176" fontId="4" fillId="2" borderId="0" xfId="2" applyNumberFormat="1" applyFont="1" applyFill="1" applyBorder="1"/>
    <xf numFmtId="9" fontId="7" fillId="2" borderId="0" xfId="2" applyNumberFormat="1" applyFont="1" applyFill="1" applyBorder="1" applyAlignment="1">
      <alignment horizontal="center"/>
    </xf>
    <xf numFmtId="9" fontId="4" fillId="2" borderId="8" xfId="1" applyNumberFormat="1" applyFont="1" applyFill="1" applyBorder="1"/>
    <xf numFmtId="0" fontId="2" fillId="2" borderId="0" xfId="0" applyFont="1" applyFill="1" applyBorder="1" applyAlignment="1">
      <alignment horizontal="center"/>
    </xf>
    <xf numFmtId="0" fontId="2" fillId="3" borderId="2" xfId="0" applyFont="1" applyFill="1" applyBorder="1"/>
    <xf numFmtId="0" fontId="0" fillId="3" borderId="2" xfId="0" applyFill="1" applyBorder="1"/>
    <xf numFmtId="0" fontId="0" fillId="3" borderId="3" xfId="0" applyFill="1" applyBorder="1"/>
    <xf numFmtId="0" fontId="0" fillId="3" borderId="0" xfId="0" applyFill="1" applyBorder="1"/>
    <xf numFmtId="0" fontId="0" fillId="3" borderId="5" xfId="0" applyFill="1" applyBorder="1"/>
    <xf numFmtId="9" fontId="2" fillId="3" borderId="0" xfId="0" applyNumberFormat="1" applyFont="1" applyFill="1" applyBorder="1" applyAlignment="1">
      <alignment horizontal="center"/>
    </xf>
    <xf numFmtId="177" fontId="2" fillId="3" borderId="0" xfId="0" applyNumberFormat="1" applyFont="1" applyFill="1" applyBorder="1" applyAlignment="1">
      <alignment horizontal="center"/>
    </xf>
    <xf numFmtId="0" fontId="2" fillId="3" borderId="0" xfId="0" applyFont="1" applyFill="1" applyBorder="1" applyAlignment="1">
      <alignment horizontal="center"/>
    </xf>
    <xf numFmtId="177" fontId="6" fillId="3" borderId="0" xfId="0" applyNumberFormat="1" applyFont="1" applyFill="1" applyBorder="1" applyAlignment="1">
      <alignment horizontal="center"/>
    </xf>
    <xf numFmtId="0" fontId="2" fillId="0" borderId="0" xfId="0" applyFont="1" applyFill="1" applyBorder="1" applyAlignment="1">
      <alignment horizontal="center"/>
    </xf>
    <xf numFmtId="176" fontId="4" fillId="0" borderId="0" xfId="0" applyNumberFormat="1" applyFont="1" applyFill="1" applyBorder="1" applyAlignment="1">
      <alignment horizontal="center"/>
    </xf>
    <xf numFmtId="9" fontId="4" fillId="0" borderId="0" xfId="0" applyNumberFormat="1" applyFont="1" applyFill="1" applyBorder="1"/>
    <xf numFmtId="0" fontId="0" fillId="0" borderId="0" xfId="0" applyFill="1" applyBorder="1"/>
    <xf numFmtId="177" fontId="6" fillId="0" borderId="0" xfId="0" applyNumberFormat="1" applyFont="1" applyFill="1" applyBorder="1" applyAlignment="1">
      <alignment horizontal="center"/>
    </xf>
    <xf numFmtId="0" fontId="6" fillId="3" borderId="5" xfId="0" applyFont="1" applyFill="1" applyBorder="1" applyAlignment="1">
      <alignment horizontal="center"/>
    </xf>
    <xf numFmtId="9" fontId="2" fillId="3" borderId="0" xfId="0" applyNumberFormat="1" applyFont="1" applyFill="1" applyBorder="1" applyAlignment="1">
      <alignment horizontal="left"/>
    </xf>
    <xf numFmtId="177" fontId="6" fillId="3" borderId="0" xfId="0" applyNumberFormat="1" applyFont="1" applyFill="1" applyBorder="1" applyAlignment="1">
      <alignment horizontal="left"/>
    </xf>
    <xf numFmtId="188" fontId="2" fillId="3" borderId="0" xfId="0" applyNumberFormat="1" applyFont="1" applyFill="1" applyBorder="1"/>
    <xf numFmtId="186" fontId="2" fillId="0" borderId="0" xfId="0" applyNumberFormat="1" applyFont="1" applyFill="1" applyBorder="1"/>
    <xf numFmtId="39" fontId="2" fillId="0" borderId="0" xfId="0" applyNumberFormat="1" applyFont="1" applyFill="1" applyBorder="1"/>
    <xf numFmtId="0" fontId="0" fillId="3" borderId="8" xfId="0" applyFill="1" applyBorder="1"/>
    <xf numFmtId="0" fontId="0" fillId="3" borderId="7" xfId="0" applyFill="1" applyBorder="1"/>
    <xf numFmtId="176" fontId="2" fillId="0" borderId="0" xfId="0" applyNumberFormat="1" applyFont="1" applyFill="1" applyBorder="1"/>
    <xf numFmtId="10" fontId="5" fillId="3" borderId="9" xfId="0" applyNumberFormat="1" applyFont="1" applyFill="1" applyBorder="1"/>
    <xf numFmtId="177" fontId="5" fillId="3" borderId="9" xfId="0" applyNumberFormat="1" applyFont="1" applyFill="1" applyBorder="1"/>
    <xf numFmtId="177" fontId="5" fillId="3" borderId="0" xfId="0" applyNumberFormat="1" applyFont="1" applyFill="1" applyBorder="1"/>
    <xf numFmtId="188" fontId="5" fillId="3" borderId="9" xfId="0" applyNumberFormat="1" applyFont="1" applyFill="1" applyBorder="1"/>
    <xf numFmtId="186" fontId="5" fillId="3" borderId="9" xfId="0" applyNumberFormat="1" applyFont="1" applyFill="1" applyBorder="1"/>
    <xf numFmtId="0" fontId="5" fillId="3" borderId="9" xfId="0" applyFont="1" applyFill="1" applyBorder="1" applyAlignment="1">
      <alignment horizontal="right"/>
    </xf>
    <xf numFmtId="177" fontId="5" fillId="3" borderId="9" xfId="0" applyNumberFormat="1" applyFont="1" applyFill="1" applyBorder="1" applyAlignment="1">
      <alignment horizontal="right"/>
    </xf>
    <xf numFmtId="10" fontId="5" fillId="3" borderId="9" xfId="0" applyNumberFormat="1" applyFont="1" applyFill="1" applyBorder="1" applyAlignment="1">
      <alignment horizontal="right"/>
    </xf>
    <xf numFmtId="185" fontId="5" fillId="3" borderId="9" xfId="0" applyNumberFormat="1" applyFont="1" applyFill="1" applyBorder="1"/>
    <xf numFmtId="0" fontId="8" fillId="4" borderId="0" xfId="0" applyFont="1" applyFill="1" applyBorder="1"/>
    <xf numFmtId="0" fontId="8" fillId="4" borderId="0" xfId="0" applyFont="1" applyFill="1"/>
    <xf numFmtId="0" fontId="0" fillId="4" borderId="0" xfId="0" applyFill="1"/>
    <xf numFmtId="2" fontId="9" fillId="4" borderId="0" xfId="0" applyNumberFormat="1" applyFont="1" applyFill="1" applyBorder="1" applyAlignment="1"/>
    <xf numFmtId="0" fontId="10" fillId="4" borderId="0" xfId="0" applyFont="1" applyFill="1" applyBorder="1"/>
    <xf numFmtId="0" fontId="11" fillId="4" borderId="0" xfId="0" applyFont="1" applyFill="1" applyBorder="1" applyAlignment="1">
      <alignment horizontal="center"/>
    </xf>
    <xf numFmtId="0" fontId="7" fillId="4" borderId="0" xfId="0" applyFont="1" applyFill="1" applyBorder="1"/>
    <xf numFmtId="0" fontId="12" fillId="4" borderId="0" xfId="0" applyFont="1" applyFill="1" applyBorder="1"/>
    <xf numFmtId="0" fontId="13" fillId="4" borderId="0" xfId="0" applyFont="1" applyFill="1" applyBorder="1"/>
    <xf numFmtId="0" fontId="14" fillId="4" borderId="0" xfId="0" applyFont="1" applyFill="1" applyBorder="1"/>
    <xf numFmtId="0" fontId="15" fillId="4" borderId="0" xfId="0" applyFont="1" applyFill="1" applyBorder="1"/>
    <xf numFmtId="0" fontId="5" fillId="4" borderId="0" xfId="0" applyFont="1" applyFill="1" applyBorder="1"/>
    <xf numFmtId="0" fontId="0" fillId="4" borderId="0" xfId="0" applyFill="1" applyBorder="1"/>
    <xf numFmtId="179" fontId="16" fillId="2" borderId="0" xfId="2" applyNumberFormat="1" applyFont="1" applyFill="1" applyBorder="1"/>
    <xf numFmtId="180" fontId="16" fillId="2" borderId="0" xfId="1" applyNumberFormat="1" applyFont="1" applyFill="1" applyBorder="1"/>
    <xf numFmtId="179" fontId="17" fillId="3" borderId="0" xfId="0" applyNumberFormat="1" applyFont="1" applyFill="1" applyBorder="1"/>
    <xf numFmtId="37" fontId="16" fillId="2" borderId="0" xfId="1" applyNumberFormat="1" applyFont="1" applyFill="1" applyBorder="1"/>
    <xf numFmtId="181" fontId="17" fillId="3" borderId="0" xfId="2" applyNumberFormat="1" applyFont="1" applyFill="1" applyBorder="1"/>
    <xf numFmtId="181" fontId="17" fillId="3" borderId="0" xfId="1" applyNumberFormat="1" applyFont="1" applyFill="1" applyBorder="1"/>
    <xf numFmtId="184" fontId="16" fillId="2" borderId="0" xfId="1" applyNumberFormat="1" applyFont="1" applyFill="1" applyBorder="1"/>
    <xf numFmtId="9" fontId="16" fillId="2" borderId="0" xfId="3" applyFont="1" applyFill="1" applyBorder="1"/>
    <xf numFmtId="179" fontId="16" fillId="2" borderId="0" xfId="1" applyNumberFormat="1" applyFont="1" applyFill="1" applyBorder="1"/>
    <xf numFmtId="0" fontId="0" fillId="3" borderId="0" xfId="0" applyFill="1"/>
    <xf numFmtId="181" fontId="17" fillId="3" borderId="0" xfId="0" applyNumberFormat="1" applyFont="1" applyFill="1" applyBorder="1"/>
    <xf numFmtId="0" fontId="2" fillId="2" borderId="0" xfId="0" applyFont="1" applyFill="1" applyBorder="1" applyAlignment="1">
      <alignment horizontal="left"/>
    </xf>
    <xf numFmtId="185" fontId="5" fillId="3" borderId="9" xfId="0" applyNumberFormat="1" applyFont="1" applyFill="1" applyBorder="1" applyAlignment="1">
      <alignment horizontal="right"/>
    </xf>
    <xf numFmtId="0" fontId="2" fillId="3" borderId="0" xfId="0" applyFont="1" applyFill="1" applyBorder="1" applyAlignment="1">
      <alignment horizontal="right"/>
    </xf>
    <xf numFmtId="0" fontId="2" fillId="3" borderId="0" xfId="0" applyFont="1" applyFill="1" applyBorder="1" applyAlignment="1">
      <alignment horizontal="right" wrapText="1"/>
    </xf>
    <xf numFmtId="0" fontId="18" fillId="3" borderId="0" xfId="0" applyFont="1" applyFill="1" applyBorder="1" applyAlignment="1">
      <alignment horizontal="right"/>
    </xf>
    <xf numFmtId="182" fontId="17" fillId="3" borderId="0" xfId="0" applyNumberFormat="1" applyFont="1" applyFill="1" applyBorder="1"/>
    <xf numFmtId="9" fontId="16" fillId="2" borderId="0" xfId="2" applyNumberFormat="1" applyFont="1" applyFill="1" applyBorder="1"/>
    <xf numFmtId="10" fontId="5" fillId="3" borderId="9" xfId="3" applyNumberFormat="1" applyFont="1" applyFill="1" applyBorder="1" applyAlignment="1">
      <alignment horizontal="right"/>
    </xf>
    <xf numFmtId="181" fontId="5" fillId="3" borderId="9" xfId="0" applyNumberFormat="1" applyFont="1" applyFill="1" applyBorder="1"/>
    <xf numFmtId="9" fontId="16" fillId="2" borderId="0" xfId="1" applyNumberFormat="1" applyFont="1" applyFill="1" applyBorder="1"/>
    <xf numFmtId="179" fontId="16" fillId="2" borderId="0" xfId="2" applyNumberFormat="1" applyFont="1" applyFill="1" applyBorder="1" applyAlignment="1">
      <alignment horizontal="right"/>
    </xf>
    <xf numFmtId="179" fontId="16" fillId="2" borderId="0" xfId="0" applyNumberFormat="1" applyFont="1" applyFill="1" applyBorder="1"/>
    <xf numFmtId="179" fontId="16" fillId="2" borderId="0" xfId="0" applyNumberFormat="1" applyFont="1" applyFill="1" applyBorder="1" applyAlignment="1">
      <alignment horizontal="right"/>
    </xf>
    <xf numFmtId="179" fontId="16" fillId="2" borderId="0" xfId="1" applyNumberFormat="1" applyFont="1" applyFill="1" applyBorder="1" applyAlignment="1">
      <alignment horizontal="right"/>
    </xf>
    <xf numFmtId="0" fontId="16" fillId="2" borderId="0" xfId="0" applyFont="1" applyFill="1" applyBorder="1"/>
    <xf numFmtId="9" fontId="16" fillId="2" borderId="0" xfId="0" applyNumberFormat="1" applyFont="1" applyFill="1" applyBorder="1"/>
    <xf numFmtId="0" fontId="19" fillId="3" borderId="0" xfId="0" applyFont="1" applyFill="1" applyBorder="1" applyAlignment="1">
      <alignment horizontal="center"/>
    </xf>
    <xf numFmtId="0" fontId="5" fillId="3" borderId="0" xfId="0" applyFont="1" applyFill="1" applyBorder="1" applyAlignment="1">
      <alignment horizontal="center"/>
    </xf>
    <xf numFmtId="179" fontId="16" fillId="2" borderId="0" xfId="2" applyNumberFormat="1" applyFont="1" applyFill="1" applyBorder="1" applyAlignment="1">
      <alignment horizontal="center"/>
    </xf>
    <xf numFmtId="179" fontId="16" fillId="2" borderId="0" xfId="1" applyNumberFormat="1" applyFont="1" applyFill="1" applyBorder="1" applyAlignment="1">
      <alignment horizontal="center"/>
    </xf>
    <xf numFmtId="181" fontId="17" fillId="3" borderId="0" xfId="0" applyNumberFormat="1" applyFont="1" applyFill="1" applyBorder="1" applyAlignment="1">
      <alignment horizontal="center"/>
    </xf>
    <xf numFmtId="10" fontId="5" fillId="3" borderId="0" xfId="0" applyNumberFormat="1" applyFont="1" applyFill="1" applyBorder="1"/>
    <xf numFmtId="9" fontId="0" fillId="0" borderId="0" xfId="0" applyNumberFormat="1"/>
    <xf numFmtId="0" fontId="16" fillId="2" borderId="0" xfId="0" applyFont="1" applyFill="1" applyBorder="1" applyAlignment="1">
      <alignment horizontal="right"/>
    </xf>
    <xf numFmtId="37" fontId="16" fillId="2" borderId="0" xfId="1" applyNumberFormat="1" applyFont="1" applyFill="1" applyBorder="1" applyAlignment="1">
      <alignment horizontal="right"/>
    </xf>
    <xf numFmtId="9" fontId="16" fillId="2" borderId="0" xfId="1" applyNumberFormat="1" applyFont="1" applyFill="1" applyBorder="1" applyAlignment="1">
      <alignment horizontal="right"/>
    </xf>
    <xf numFmtId="9" fontId="16" fillId="2" borderId="0" xfId="0" applyNumberFormat="1" applyFont="1" applyFill="1" applyBorder="1" applyAlignment="1">
      <alignment horizontal="right"/>
    </xf>
    <xf numFmtId="179" fontId="16" fillId="2" borderId="0" xfId="2" applyNumberFormat="1" applyFont="1" applyFill="1" applyBorder="1" applyAlignment="1"/>
    <xf numFmtId="179" fontId="16" fillId="2" borderId="0" xfId="0" applyNumberFormat="1" applyFont="1" applyFill="1" applyBorder="1" applyAlignment="1"/>
    <xf numFmtId="179" fontId="16" fillId="2" borderId="0" xfId="1" applyNumberFormat="1" applyFont="1" applyFill="1" applyBorder="1" applyAlignment="1"/>
    <xf numFmtId="0" fontId="3" fillId="3" borderId="4" xfId="0" applyFont="1" applyFill="1" applyBorder="1"/>
    <xf numFmtId="181" fontId="5" fillId="3" borderId="9" xfId="0" applyNumberFormat="1" applyFont="1" applyFill="1" applyBorder="1" applyAlignment="1">
      <alignment horizontal="right"/>
    </xf>
    <xf numFmtId="0" fontId="16" fillId="2" borderId="0" xfId="0" applyFont="1" applyFill="1" applyBorder="1" applyAlignment="1">
      <alignment horizontal="center"/>
    </xf>
    <xf numFmtId="187" fontId="16" fillId="2" borderId="0" xfId="2" applyNumberFormat="1" applyFont="1" applyFill="1" applyBorder="1" applyAlignment="1">
      <alignment horizontal="center"/>
    </xf>
    <xf numFmtId="37" fontId="16" fillId="2" borderId="0" xfId="2" applyNumberFormat="1" applyFont="1" applyFill="1" applyBorder="1" applyAlignment="1">
      <alignment horizontal="center"/>
    </xf>
    <xf numFmtId="177" fontId="17" fillId="3" borderId="10" xfId="0" applyNumberFormat="1" applyFont="1" applyFill="1" applyBorder="1"/>
    <xf numFmtId="0" fontId="21" fillId="0" borderId="0" xfId="0" applyFont="1"/>
    <xf numFmtId="185" fontId="5" fillId="3" borderId="0" xfId="0" applyNumberFormat="1" applyFont="1" applyFill="1" applyBorder="1" applyAlignment="1">
      <alignment horizontal="right"/>
    </xf>
    <xf numFmtId="0" fontId="5" fillId="3" borderId="0" xfId="0" applyFont="1" applyFill="1" applyBorder="1"/>
    <xf numFmtId="179" fontId="16" fillId="2" borderId="0" xfId="3" applyNumberFormat="1" applyFont="1" applyFill="1" applyBorder="1"/>
    <xf numFmtId="0" fontId="3" fillId="3" borderId="0" xfId="0" applyFont="1" applyFill="1" applyBorder="1"/>
    <xf numFmtId="0" fontId="3" fillId="2" borderId="0" xfId="0" applyFont="1" applyFill="1" applyBorder="1" applyAlignment="1">
      <alignment horizontal="right"/>
    </xf>
    <xf numFmtId="184" fontId="3" fillId="2" borderId="0" xfId="1" applyNumberFormat="1" applyFont="1" applyFill="1" applyBorder="1" applyAlignment="1">
      <alignment horizontal="right"/>
    </xf>
    <xf numFmtId="0" fontId="4" fillId="3" borderId="0" xfId="0" applyFont="1" applyFill="1" applyBorder="1"/>
    <xf numFmtId="9" fontId="3" fillId="2" borderId="0" xfId="2" applyNumberFormat="1" applyFont="1" applyFill="1" applyBorder="1" applyAlignment="1">
      <alignment horizontal="right"/>
    </xf>
    <xf numFmtId="189" fontId="5" fillId="3" borderId="9" xfId="0" applyNumberFormat="1" applyFont="1" applyFill="1" applyBorder="1"/>
    <xf numFmtId="189" fontId="5" fillId="3" borderId="0" xfId="0" applyNumberFormat="1" applyFont="1" applyFill="1" applyBorder="1"/>
    <xf numFmtId="181" fontId="5" fillId="3" borderId="0" xfId="0" applyNumberFormat="1" applyFont="1" applyFill="1" applyBorder="1"/>
    <xf numFmtId="0" fontId="22" fillId="3" borderId="0" xfId="0" applyFont="1" applyFill="1" applyBorder="1"/>
    <xf numFmtId="181" fontId="5" fillId="3" borderId="0" xfId="0" applyNumberFormat="1" applyFont="1" applyFill="1" applyBorder="1" applyAlignment="1">
      <alignment horizontal="right"/>
    </xf>
    <xf numFmtId="185" fontId="2" fillId="3" borderId="0" xfId="0" applyNumberFormat="1" applyFont="1" applyFill="1" applyBorder="1"/>
    <xf numFmtId="0" fontId="6" fillId="2" borderId="0" xfId="0" applyFont="1" applyFill="1" applyBorder="1"/>
    <xf numFmtId="0" fontId="6" fillId="2" borderId="8" xfId="0" applyFont="1" applyFill="1" applyBorder="1"/>
    <xf numFmtId="186" fontId="17" fillId="3" borderId="0" xfId="0" applyNumberFormat="1" applyFont="1" applyFill="1" applyBorder="1"/>
    <xf numFmtId="186" fontId="5" fillId="3" borderId="0" xfId="0" applyNumberFormat="1" applyFont="1" applyFill="1" applyBorder="1"/>
    <xf numFmtId="186" fontId="5" fillId="3" borderId="9" xfId="0" applyNumberFormat="1" applyFont="1" applyFill="1" applyBorder="1" applyAlignment="1">
      <alignment horizontal="center"/>
    </xf>
    <xf numFmtId="181" fontId="17" fillId="3" borderId="0" xfId="2" applyFont="1" applyFill="1" applyBorder="1"/>
    <xf numFmtId="181" fontId="5" fillId="3" borderId="11" xfId="0" applyNumberFormat="1" applyFont="1" applyFill="1" applyBorder="1" applyAlignment="1">
      <alignment horizontal="right"/>
    </xf>
    <xf numFmtId="0" fontId="2" fillId="2" borderId="0" xfId="0" applyFont="1" applyFill="1"/>
    <xf numFmtId="181" fontId="5" fillId="3" borderId="0" xfId="0" applyNumberFormat="1" applyFont="1" applyFill="1" applyBorder="1" applyAlignment="1">
      <alignment horizontal="center"/>
    </xf>
    <xf numFmtId="189" fontId="5" fillId="3" borderId="9" xfId="0" applyNumberFormat="1" applyFont="1" applyFill="1" applyBorder="1" applyAlignment="1">
      <alignment horizontal="right"/>
    </xf>
    <xf numFmtId="177" fontId="17" fillId="3" borderId="0" xfId="0" applyNumberFormat="1" applyFont="1" applyFill="1" applyBorder="1" applyAlignment="1">
      <alignment horizontal="left"/>
    </xf>
    <xf numFmtId="177" fontId="17" fillId="3" borderId="0" xfId="0" applyNumberFormat="1" applyFont="1" applyFill="1" applyBorder="1" applyAlignment="1">
      <alignment horizontal="right"/>
    </xf>
    <xf numFmtId="1" fontId="2" fillId="3" borderId="0" xfId="0" applyNumberFormat="1" applyFont="1" applyFill="1" applyBorder="1" applyAlignment="1">
      <alignment horizontal="center"/>
    </xf>
    <xf numFmtId="179" fontId="17" fillId="3" borderId="0" xfId="0" applyNumberFormat="1" applyFont="1" applyFill="1" applyBorder="1" applyAlignment="1">
      <alignment horizontal="right"/>
    </xf>
    <xf numFmtId="1" fontId="2" fillId="3" borderId="0" xfId="0" applyNumberFormat="1" applyFont="1" applyFill="1" applyBorder="1" applyAlignment="1">
      <alignment horizontal="left"/>
    </xf>
    <xf numFmtId="10" fontId="5" fillId="3" borderId="0" xfId="3" applyNumberFormat="1" applyFont="1" applyFill="1" applyBorder="1" applyAlignment="1">
      <alignment horizontal="right"/>
    </xf>
    <xf numFmtId="180" fontId="16" fillId="2" borderId="0" xfId="3" applyNumberFormat="1" applyFont="1" applyFill="1" applyBorder="1"/>
    <xf numFmtId="0" fontId="2" fillId="3" borderId="0" xfId="0" applyFont="1" applyFill="1" applyBorder="1" applyAlignment="1"/>
    <xf numFmtId="1" fontId="2" fillId="3" borderId="0" xfId="0" applyNumberFormat="1" applyFont="1" applyFill="1" applyBorder="1" applyAlignment="1"/>
    <xf numFmtId="9" fontId="2" fillId="3" borderId="0" xfId="0" applyNumberFormat="1" applyFont="1" applyFill="1" applyBorder="1" applyAlignment="1"/>
    <xf numFmtId="0" fontId="2" fillId="3" borderId="8" xfId="0" applyFont="1" applyFill="1" applyBorder="1" applyAlignment="1"/>
    <xf numFmtId="0" fontId="2" fillId="0" borderId="0" xfId="0" applyFont="1" applyBorder="1" applyAlignment="1"/>
    <xf numFmtId="0" fontId="2" fillId="0" borderId="0" xfId="0" applyFont="1" applyAlignment="1"/>
    <xf numFmtId="190" fontId="17" fillId="3" borderId="0" xfId="0" applyNumberFormat="1" applyFont="1" applyFill="1" applyBorder="1" applyAlignment="1">
      <alignment horizontal="right"/>
    </xf>
    <xf numFmtId="0" fontId="23" fillId="0" borderId="0" xfId="0" applyFont="1"/>
    <xf numFmtId="0" fontId="0" fillId="0" borderId="12" xfId="0" applyFill="1" applyBorder="1" applyAlignment="1"/>
    <xf numFmtId="10" fontId="16" fillId="2" borderId="0" xfId="1" applyNumberFormat="1" applyFont="1" applyFill="1" applyBorder="1"/>
    <xf numFmtId="10" fontId="0" fillId="0" borderId="12" xfId="0" applyNumberFormat="1" applyFill="1" applyBorder="1" applyAlignment="1"/>
    <xf numFmtId="0" fontId="16" fillId="2" borderId="0" xfId="0" quotePrefix="1" applyNumberFormat="1" applyFont="1" applyFill="1" applyBorder="1" applyAlignment="1">
      <alignment horizontal="right"/>
    </xf>
    <xf numFmtId="188" fontId="3" fillId="3" borderId="0" xfId="0" applyNumberFormat="1" applyFont="1" applyFill="1" applyBorder="1"/>
    <xf numFmtId="185" fontId="16" fillId="3" borderId="0" xfId="0" quotePrefix="1" applyNumberFormat="1" applyFont="1" applyFill="1" applyBorder="1"/>
    <xf numFmtId="181" fontId="17" fillId="3" borderId="0" xfId="3" applyNumberFormat="1" applyFont="1" applyFill="1" applyBorder="1"/>
    <xf numFmtId="189" fontId="5" fillId="3" borderId="0" xfId="0" applyNumberFormat="1" applyFont="1" applyFill="1" applyBorder="1" applyAlignment="1">
      <alignment horizontal="right"/>
    </xf>
    <xf numFmtId="181" fontId="2" fillId="0" borderId="0" xfId="0" applyNumberFormat="1" applyFont="1" applyBorder="1"/>
    <xf numFmtId="183" fontId="17" fillId="3" borderId="0" xfId="0" applyNumberFormat="1" applyFont="1" applyFill="1" applyBorder="1"/>
    <xf numFmtId="189" fontId="2" fillId="3" borderId="0" xfId="0" applyNumberFormat="1" applyFont="1" applyFill="1" applyBorder="1"/>
    <xf numFmtId="0" fontId="25" fillId="4" borderId="0" xfId="0" applyFont="1" applyFill="1" applyBorder="1"/>
    <xf numFmtId="183" fontId="16" fillId="2" borderId="0" xfId="2" applyNumberFormat="1" applyFont="1" applyFill="1" applyBorder="1" applyAlignment="1">
      <alignment horizontal="right"/>
    </xf>
    <xf numFmtId="183" fontId="16" fillId="2" borderId="0" xfId="2" applyNumberFormat="1" applyFont="1" applyFill="1" applyBorder="1"/>
    <xf numFmtId="182" fontId="0" fillId="0" borderId="0" xfId="0" applyNumberFormat="1"/>
    <xf numFmtId="191" fontId="5" fillId="3" borderId="9" xfId="0" applyNumberFormat="1" applyFont="1" applyFill="1" applyBorder="1"/>
    <xf numFmtId="181" fontId="2" fillId="0" borderId="0" xfId="0" applyNumberFormat="1" applyFont="1"/>
    <xf numFmtId="0" fontId="2" fillId="0" borderId="0" xfId="4" applyFont="1"/>
    <xf numFmtId="0" fontId="21" fillId="0" borderId="0" xfId="4" applyFont="1"/>
    <xf numFmtId="0" fontId="3" fillId="0" borderId="0" xfId="4" applyFont="1"/>
    <xf numFmtId="0" fontId="3" fillId="0" borderId="0" xfId="4" applyFont="1" applyBorder="1"/>
    <xf numFmtId="0" fontId="2" fillId="0" borderId="0" xfId="4" applyFont="1" applyBorder="1"/>
    <xf numFmtId="0" fontId="2" fillId="2" borderId="1" xfId="4" applyFont="1" applyFill="1" applyBorder="1"/>
    <xf numFmtId="0" fontId="3" fillId="2" borderId="2" xfId="4" applyFont="1" applyFill="1" applyBorder="1"/>
    <xf numFmtId="0" fontId="2" fillId="2" borderId="2" xfId="4" applyFont="1" applyFill="1" applyBorder="1"/>
    <xf numFmtId="0" fontId="2" fillId="2" borderId="3" xfId="4" applyFont="1" applyFill="1" applyBorder="1"/>
    <xf numFmtId="0" fontId="2" fillId="0" borderId="0" xfId="4" applyFont="1" applyFill="1" applyBorder="1"/>
    <xf numFmtId="0" fontId="2" fillId="2" borderId="4" xfId="4" applyFont="1" applyFill="1" applyBorder="1"/>
    <xf numFmtId="0" fontId="3" fillId="2" borderId="0" xfId="4" applyFont="1" applyFill="1" applyBorder="1"/>
    <xf numFmtId="0" fontId="2" fillId="2" borderId="5" xfId="4" applyFont="1" applyFill="1" applyBorder="1"/>
    <xf numFmtId="0" fontId="2" fillId="0" borderId="0" xfId="4" applyFont="1" applyFill="1" applyBorder="1" applyAlignment="1">
      <alignment horizontal="center"/>
    </xf>
    <xf numFmtId="0" fontId="2" fillId="2" borderId="0" xfId="4" applyFont="1" applyFill="1" applyBorder="1"/>
    <xf numFmtId="176" fontId="4" fillId="0" borderId="0" xfId="4" applyNumberFormat="1" applyFont="1" applyFill="1" applyBorder="1" applyAlignment="1">
      <alignment horizontal="center"/>
    </xf>
    <xf numFmtId="0" fontId="6" fillId="0" borderId="0" xfId="4" applyFont="1"/>
    <xf numFmtId="9" fontId="4" fillId="0" borderId="0" xfId="4" applyNumberFormat="1" applyFont="1" applyFill="1" applyBorder="1"/>
    <xf numFmtId="0" fontId="2" fillId="2" borderId="6" xfId="4" applyFont="1" applyFill="1" applyBorder="1"/>
    <xf numFmtId="0" fontId="2" fillId="2" borderId="8" xfId="4" applyFont="1" applyFill="1" applyBorder="1"/>
    <xf numFmtId="0" fontId="2" fillId="2" borderId="7" xfId="4" applyFont="1" applyFill="1" applyBorder="1"/>
    <xf numFmtId="0" fontId="4" fillId="0" borderId="0" xfId="4" applyFont="1" applyFill="1" applyBorder="1"/>
    <xf numFmtId="0" fontId="1" fillId="0" borderId="0" xfId="4"/>
    <xf numFmtId="0" fontId="3" fillId="0" borderId="0" xfId="4" applyFont="1" applyFill="1" applyBorder="1"/>
    <xf numFmtId="0" fontId="2" fillId="3" borderId="1" xfId="4" applyFont="1" applyFill="1" applyBorder="1"/>
    <xf numFmtId="0" fontId="4" fillId="3" borderId="2" xfId="4" applyFont="1" applyFill="1" applyBorder="1"/>
    <xf numFmtId="0" fontId="2" fillId="3" borderId="3" xfId="4" applyFont="1" applyFill="1" applyBorder="1"/>
    <xf numFmtId="0" fontId="1" fillId="0" borderId="0" xfId="4" applyFill="1" applyBorder="1"/>
    <xf numFmtId="0" fontId="2" fillId="3" borderId="4" xfId="4" applyFont="1" applyFill="1" applyBorder="1"/>
    <xf numFmtId="0" fontId="26" fillId="3" borderId="0" xfId="4" applyFont="1" applyFill="1" applyBorder="1" applyAlignment="1">
      <alignment horizontal="center"/>
    </xf>
    <xf numFmtId="0" fontId="26" fillId="3" borderId="0" xfId="4" applyFont="1" applyFill="1" applyBorder="1" applyAlignment="1">
      <alignment horizontal="right"/>
    </xf>
    <xf numFmtId="0" fontId="2" fillId="3" borderId="5" xfId="4" applyFont="1" applyFill="1" applyBorder="1"/>
    <xf numFmtId="0" fontId="7" fillId="3" borderId="0" xfId="4" applyFont="1" applyFill="1" applyBorder="1" applyAlignment="1">
      <alignment horizontal="center"/>
    </xf>
    <xf numFmtId="181" fontId="17" fillId="3" borderId="0" xfId="4" applyNumberFormat="1" applyFont="1" applyFill="1" applyBorder="1"/>
    <xf numFmtId="0" fontId="7" fillId="3" borderId="0" xfId="4" applyFont="1" applyFill="1" applyBorder="1"/>
    <xf numFmtId="181" fontId="5" fillId="3" borderId="9" xfId="3" applyNumberFormat="1" applyFont="1" applyFill="1" applyBorder="1"/>
    <xf numFmtId="0" fontId="2" fillId="3" borderId="6" xfId="4" applyFont="1" applyFill="1" applyBorder="1"/>
    <xf numFmtId="0" fontId="2" fillId="3" borderId="8" xfId="4" applyFont="1" applyFill="1" applyBorder="1"/>
    <xf numFmtId="0" fontId="2" fillId="3" borderId="7" xfId="4" applyFont="1" applyFill="1" applyBorder="1"/>
    <xf numFmtId="182" fontId="17" fillId="3" borderId="0" xfId="3" applyNumberFormat="1" applyFont="1" applyFill="1" applyBorder="1"/>
    <xf numFmtId="192" fontId="2" fillId="0" borderId="0" xfId="0" applyNumberFormat="1" applyFont="1"/>
    <xf numFmtId="178" fontId="2" fillId="0" borderId="0" xfId="0" applyNumberFormat="1" applyFont="1"/>
    <xf numFmtId="181" fontId="0" fillId="0" borderId="0" xfId="0" applyNumberFormat="1"/>
    <xf numFmtId="182" fontId="5" fillId="3" borderId="9" xfId="0" applyNumberFormat="1" applyFont="1" applyFill="1" applyBorder="1" applyAlignment="1">
      <alignment horizontal="right"/>
    </xf>
    <xf numFmtId="182" fontId="28" fillId="3" borderId="9" xfId="0" applyNumberFormat="1" applyFont="1" applyFill="1" applyBorder="1" applyAlignment="1">
      <alignment horizontal="right"/>
    </xf>
    <xf numFmtId="10" fontId="28" fillId="3" borderId="9" xfId="0" applyNumberFormat="1" applyFont="1" applyFill="1" applyBorder="1" applyAlignment="1">
      <alignment horizontal="right"/>
    </xf>
    <xf numFmtId="10" fontId="28" fillId="3" borderId="9" xfId="3" applyNumberFormat="1" applyFont="1" applyFill="1" applyBorder="1"/>
    <xf numFmtId="181" fontId="27" fillId="3" borderId="0" xfId="0" applyNumberFormat="1" applyFont="1" applyFill="1" applyBorder="1"/>
    <xf numFmtId="10" fontId="16" fillId="2" borderId="0" xfId="0" applyNumberFormat="1" applyFont="1" applyFill="1" applyBorder="1"/>
    <xf numFmtId="181" fontId="0" fillId="0" borderId="12" xfId="0" applyNumberFormat="1" applyFill="1" applyBorder="1" applyAlignment="1"/>
    <xf numFmtId="179" fontId="2" fillId="0" borderId="0" xfId="0" applyNumberFormat="1" applyFont="1"/>
    <xf numFmtId="193" fontId="16" fillId="2" borderId="0" xfId="3" applyNumberFormat="1" applyFont="1" applyFill="1" applyBorder="1"/>
    <xf numFmtId="193" fontId="16" fillId="2" borderId="0" xfId="2" applyNumberFormat="1" applyFont="1" applyFill="1" applyBorder="1"/>
    <xf numFmtId="180" fontId="2" fillId="0" borderId="0" xfId="0" applyNumberFormat="1" applyFont="1"/>
    <xf numFmtId="182" fontId="2" fillId="0" borderId="0" xfId="0" applyNumberFormat="1" applyFont="1" applyBorder="1"/>
    <xf numFmtId="179" fontId="27" fillId="2" borderId="0" xfId="0" applyNumberFormat="1" applyFont="1" applyFill="1" applyBorder="1" applyAlignment="1"/>
    <xf numFmtId="179" fontId="27" fillId="2" borderId="0" xfId="1" applyNumberFormat="1" applyFont="1" applyFill="1" applyBorder="1" applyAlignment="1"/>
    <xf numFmtId="179" fontId="30" fillId="2" borderId="0" xfId="2" applyNumberFormat="1" applyFont="1" applyFill="1" applyBorder="1" applyAlignment="1">
      <alignment horizontal="right"/>
    </xf>
    <xf numFmtId="192" fontId="2" fillId="0" borderId="0" xfId="4" applyNumberFormat="1" applyFont="1"/>
    <xf numFmtId="179" fontId="30" fillId="2" borderId="0" xfId="1" applyNumberFormat="1" applyFont="1" applyFill="1" applyBorder="1" applyAlignment="1">
      <alignment horizontal="right"/>
    </xf>
    <xf numFmtId="0" fontId="31" fillId="3" borderId="0" xfId="4" applyFont="1" applyFill="1" applyBorder="1"/>
    <xf numFmtId="0" fontId="4" fillId="3" borderId="0" xfId="4" applyFont="1" applyFill="1" applyBorder="1"/>
    <xf numFmtId="179" fontId="27" fillId="2" borderId="0" xfId="2" applyNumberFormat="1" applyFont="1" applyFill="1" applyBorder="1" applyAlignment="1">
      <alignment horizontal="right"/>
    </xf>
    <xf numFmtId="0" fontId="32" fillId="0" borderId="13" xfId="0" applyFont="1" applyFill="1" applyBorder="1" applyAlignment="1">
      <alignment horizontal="center"/>
    </xf>
    <xf numFmtId="0" fontId="32" fillId="0" borderId="13" xfId="0" applyFont="1" applyFill="1" applyBorder="1" applyAlignment="1">
      <alignment horizontal="centerContinuous"/>
    </xf>
    <xf numFmtId="191" fontId="5" fillId="3" borderId="0" xfId="0" applyNumberFormat="1" applyFont="1" applyFill="1" applyBorder="1"/>
    <xf numFmtId="0" fontId="28" fillId="3" borderId="0" xfId="0" applyFont="1" applyFill="1" applyBorder="1"/>
    <xf numFmtId="0" fontId="1" fillId="0" borderId="12" xfId="0" applyFont="1" applyFill="1" applyBorder="1" applyAlignment="1"/>
    <xf numFmtId="181" fontId="28" fillId="3" borderId="9" xfId="0" applyNumberFormat="1" applyFont="1" applyFill="1" applyBorder="1"/>
    <xf numFmtId="0" fontId="2" fillId="3" borderId="0" xfId="0" applyFont="1" applyFill="1" applyBorder="1" applyAlignment="1">
      <alignment horizontal="left" vertical="top" wrapText="1"/>
    </xf>
  </cellXfs>
  <cellStyles count="5">
    <cellStyle name="Normal 2" xfId="4" xr:uid="{00000000-0005-0000-0000-000003000000}"/>
    <cellStyle name="一般" xfId="0" builtinId="0"/>
    <cellStyle name="千分位" xfId="1" builtinId="3"/>
    <cellStyle name="百分比" xfId="3" builtinId="5"/>
    <cellStyle name="貨幣" xfId="2" builtinId="4"/>
  </cellStyles>
  <dxfs count="0"/>
  <tableStyles count="0" defaultTableStyle="TableStyleMedium9" defaultPivotStyle="PivotStyleLight16"/>
  <colors>
    <mruColors>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06"/>
  <sheetViews>
    <sheetView workbookViewId="0"/>
  </sheetViews>
  <sheetFormatPr defaultColWidth="9.109375" defaultRowHeight="13.2" x14ac:dyDescent="0.25"/>
  <cols>
    <col min="1" max="3" width="9.109375" style="81"/>
    <col min="4" max="4" width="42.5546875" style="81" customWidth="1"/>
    <col min="5" max="16384" width="9.109375" style="81"/>
  </cols>
  <sheetData>
    <row r="1" spans="1:29" x14ac:dyDescent="0.25">
      <c r="A1" s="79"/>
      <c r="B1" s="79"/>
      <c r="C1" s="79"/>
      <c r="D1" s="79"/>
      <c r="E1" s="79"/>
      <c r="F1" s="79"/>
      <c r="G1" s="79"/>
      <c r="H1" s="79"/>
      <c r="I1" s="79"/>
      <c r="J1" s="79"/>
      <c r="K1" s="79"/>
      <c r="L1" s="79"/>
      <c r="M1" s="80"/>
      <c r="N1" s="80"/>
      <c r="O1" s="80"/>
      <c r="P1" s="80"/>
      <c r="Q1" s="80"/>
      <c r="R1" s="80"/>
      <c r="S1" s="80"/>
      <c r="T1" s="80"/>
      <c r="U1" s="80"/>
      <c r="V1" s="80"/>
      <c r="W1" s="80"/>
      <c r="X1" s="80"/>
      <c r="Y1" s="80"/>
      <c r="Z1" s="80"/>
      <c r="AA1" s="80"/>
      <c r="AB1" s="80"/>
      <c r="AC1" s="80"/>
    </row>
    <row r="2" spans="1:29" x14ac:dyDescent="0.25">
      <c r="A2" s="79"/>
      <c r="B2" s="79"/>
      <c r="C2" s="79"/>
      <c r="D2" s="79"/>
      <c r="E2" s="79"/>
      <c r="F2" s="79"/>
      <c r="G2" s="79"/>
      <c r="H2" s="79"/>
      <c r="I2" s="79"/>
      <c r="J2" s="79"/>
      <c r="K2" s="79"/>
      <c r="L2" s="79"/>
      <c r="M2" s="80"/>
      <c r="N2" s="80"/>
      <c r="O2" s="80"/>
      <c r="P2" s="80"/>
      <c r="Q2" s="80"/>
      <c r="R2" s="80"/>
      <c r="S2" s="80"/>
      <c r="T2" s="80"/>
      <c r="U2" s="80"/>
      <c r="V2" s="80"/>
      <c r="W2" s="80"/>
      <c r="X2" s="80"/>
      <c r="Y2" s="80"/>
      <c r="Z2" s="80"/>
      <c r="AA2" s="80"/>
      <c r="AB2" s="80"/>
      <c r="AC2" s="80"/>
    </row>
    <row r="3" spans="1:29" x14ac:dyDescent="0.25">
      <c r="A3" s="79"/>
      <c r="B3" s="79"/>
      <c r="C3" s="79"/>
      <c r="D3" s="79"/>
      <c r="E3" s="79"/>
      <c r="F3" s="79"/>
      <c r="G3" s="79"/>
      <c r="H3" s="79"/>
      <c r="I3" s="79"/>
      <c r="J3" s="79"/>
      <c r="K3" s="79"/>
      <c r="L3" s="79"/>
      <c r="M3" s="80"/>
      <c r="N3" s="80"/>
      <c r="O3" s="80"/>
      <c r="P3" s="80"/>
      <c r="Q3" s="80"/>
      <c r="R3" s="80"/>
      <c r="S3" s="80"/>
      <c r="T3" s="80"/>
      <c r="U3" s="80"/>
      <c r="V3" s="80"/>
      <c r="W3" s="80"/>
      <c r="X3" s="80"/>
      <c r="Y3" s="80"/>
      <c r="Z3" s="80"/>
      <c r="AA3" s="80"/>
      <c r="AB3" s="80"/>
      <c r="AC3" s="80"/>
    </row>
    <row r="4" spans="1:29" x14ac:dyDescent="0.25">
      <c r="A4" s="79"/>
      <c r="B4" s="79"/>
      <c r="C4" s="79"/>
      <c r="D4" s="79"/>
      <c r="E4" s="79"/>
      <c r="F4" s="79"/>
      <c r="G4" s="79"/>
      <c r="H4" s="79"/>
      <c r="I4" s="79"/>
      <c r="J4" s="79"/>
      <c r="K4" s="79"/>
      <c r="L4" s="79"/>
      <c r="M4" s="80"/>
      <c r="N4" s="80"/>
      <c r="O4" s="80"/>
      <c r="P4" s="80"/>
      <c r="Q4" s="80"/>
      <c r="R4" s="80"/>
      <c r="S4" s="80"/>
      <c r="T4" s="80"/>
      <c r="U4" s="80"/>
      <c r="V4" s="80"/>
      <c r="W4" s="80"/>
      <c r="X4" s="80"/>
      <c r="Y4" s="80"/>
      <c r="Z4" s="80"/>
      <c r="AA4" s="80"/>
      <c r="AB4" s="80"/>
      <c r="AC4" s="80"/>
    </row>
    <row r="5" spans="1:29" x14ac:dyDescent="0.25">
      <c r="A5" s="79"/>
      <c r="B5" s="79"/>
      <c r="C5" s="79"/>
      <c r="D5" s="79"/>
      <c r="E5" s="79"/>
      <c r="F5" s="79"/>
      <c r="G5" s="79"/>
      <c r="H5" s="79"/>
      <c r="I5" s="79"/>
      <c r="J5" s="79"/>
      <c r="K5" s="79"/>
      <c r="L5" s="79"/>
      <c r="M5" s="80"/>
      <c r="N5" s="80"/>
      <c r="O5" s="80"/>
      <c r="P5" s="80"/>
      <c r="Q5" s="80"/>
      <c r="R5" s="80"/>
      <c r="S5" s="80"/>
      <c r="T5" s="80"/>
      <c r="U5" s="80"/>
      <c r="V5" s="80"/>
      <c r="W5" s="80"/>
      <c r="X5" s="80"/>
      <c r="Y5" s="80"/>
      <c r="Z5" s="80"/>
      <c r="AA5" s="80"/>
      <c r="AB5" s="80"/>
      <c r="AC5" s="80"/>
    </row>
    <row r="6" spans="1:29" x14ac:dyDescent="0.25">
      <c r="A6" s="79"/>
      <c r="B6" s="79"/>
      <c r="C6" s="79"/>
      <c r="D6" s="79"/>
      <c r="E6" s="79"/>
      <c r="F6" s="79"/>
      <c r="G6" s="79"/>
      <c r="H6" s="79"/>
      <c r="I6" s="79"/>
      <c r="J6" s="79"/>
      <c r="K6" s="79"/>
      <c r="L6" s="79"/>
      <c r="M6" s="80"/>
      <c r="N6" s="80"/>
      <c r="O6" s="80"/>
      <c r="P6" s="80"/>
      <c r="Q6" s="80"/>
      <c r="R6" s="80"/>
      <c r="S6" s="80"/>
      <c r="T6" s="80"/>
      <c r="U6" s="80"/>
      <c r="V6" s="80"/>
      <c r="W6" s="80"/>
      <c r="X6" s="80"/>
      <c r="Y6" s="80"/>
      <c r="Z6" s="80"/>
      <c r="AA6" s="80"/>
      <c r="AB6" s="80"/>
      <c r="AC6" s="80"/>
    </row>
    <row r="7" spans="1:29" x14ac:dyDescent="0.25">
      <c r="A7" s="79"/>
      <c r="B7" s="79"/>
      <c r="C7" s="79"/>
      <c r="D7" s="79"/>
      <c r="E7" s="79"/>
      <c r="F7" s="79"/>
      <c r="G7" s="79"/>
      <c r="H7" s="79"/>
      <c r="I7" s="79"/>
      <c r="J7" s="79"/>
      <c r="K7" s="79"/>
      <c r="L7" s="79"/>
      <c r="M7" s="80"/>
      <c r="N7" s="80"/>
      <c r="O7" s="80"/>
      <c r="P7" s="80"/>
      <c r="Q7" s="80"/>
      <c r="R7" s="80"/>
      <c r="S7" s="80"/>
      <c r="T7" s="80"/>
      <c r="U7" s="80"/>
      <c r="V7" s="80"/>
      <c r="W7" s="80"/>
      <c r="X7" s="80"/>
      <c r="Y7" s="80"/>
      <c r="Z7" s="80"/>
      <c r="AA7" s="80"/>
      <c r="AB7" s="80"/>
      <c r="AC7" s="80"/>
    </row>
    <row r="8" spans="1:29" x14ac:dyDescent="0.25">
      <c r="A8" s="79"/>
      <c r="B8" s="79"/>
      <c r="C8" s="79"/>
      <c r="D8" s="79"/>
      <c r="E8" s="79"/>
      <c r="F8" s="79"/>
      <c r="G8" s="79"/>
      <c r="H8" s="79"/>
      <c r="I8" s="79"/>
      <c r="J8" s="79"/>
      <c r="K8" s="79"/>
      <c r="L8" s="79"/>
      <c r="M8" s="80"/>
      <c r="N8" s="80"/>
      <c r="O8" s="80"/>
      <c r="P8" s="80"/>
      <c r="Q8" s="80"/>
      <c r="R8" s="80"/>
      <c r="S8" s="80"/>
      <c r="T8" s="80"/>
      <c r="U8" s="80"/>
      <c r="V8" s="80"/>
      <c r="W8" s="80"/>
      <c r="X8" s="80"/>
      <c r="Y8" s="80"/>
      <c r="Z8" s="80"/>
      <c r="AA8" s="80"/>
      <c r="AB8" s="80"/>
      <c r="AC8" s="80"/>
    </row>
    <row r="9" spans="1:29" x14ac:dyDescent="0.25">
      <c r="A9" s="79"/>
      <c r="B9" s="79"/>
      <c r="C9" s="79"/>
      <c r="D9" s="79"/>
      <c r="E9" s="79"/>
      <c r="F9" s="79"/>
      <c r="G9" s="79"/>
      <c r="H9" s="79"/>
      <c r="I9" s="79"/>
      <c r="J9" s="79"/>
      <c r="K9" s="79"/>
      <c r="L9" s="79"/>
      <c r="M9" s="80"/>
      <c r="N9" s="80"/>
      <c r="O9" s="80"/>
      <c r="P9" s="80"/>
      <c r="Q9" s="80"/>
      <c r="R9" s="80"/>
      <c r="S9" s="80"/>
      <c r="T9" s="80"/>
      <c r="U9" s="80"/>
      <c r="V9" s="80"/>
      <c r="W9" s="80"/>
      <c r="X9" s="80"/>
      <c r="Y9" s="80"/>
      <c r="Z9" s="80"/>
      <c r="AA9" s="80"/>
      <c r="AB9" s="80"/>
      <c r="AC9" s="80"/>
    </row>
    <row r="10" spans="1:29" x14ac:dyDescent="0.25">
      <c r="A10" s="79"/>
      <c r="B10" s="79"/>
      <c r="C10" s="79"/>
      <c r="D10" s="79"/>
      <c r="E10" s="79"/>
      <c r="F10" s="79"/>
      <c r="G10" s="79"/>
      <c r="H10" s="79"/>
      <c r="I10" s="79"/>
      <c r="J10" s="79"/>
      <c r="K10" s="79"/>
      <c r="L10" s="79"/>
      <c r="M10" s="80"/>
      <c r="N10" s="80"/>
      <c r="O10" s="80"/>
      <c r="P10" s="80"/>
      <c r="Q10" s="80"/>
      <c r="R10" s="80"/>
      <c r="S10" s="80"/>
      <c r="T10" s="80"/>
      <c r="U10" s="80"/>
      <c r="V10" s="80"/>
      <c r="W10" s="80"/>
      <c r="X10" s="80"/>
      <c r="Y10" s="80"/>
      <c r="Z10" s="80"/>
      <c r="AA10" s="80"/>
      <c r="AB10" s="80"/>
      <c r="AC10" s="80"/>
    </row>
    <row r="11" spans="1:29" x14ac:dyDescent="0.25">
      <c r="A11" s="79"/>
      <c r="B11" s="79"/>
      <c r="C11" s="79"/>
      <c r="D11" s="79"/>
      <c r="E11" s="79"/>
      <c r="F11" s="79"/>
      <c r="G11" s="79"/>
      <c r="H11" s="79"/>
      <c r="I11" s="79"/>
      <c r="J11" s="79"/>
      <c r="K11" s="79"/>
      <c r="L11" s="79"/>
      <c r="M11" s="80"/>
      <c r="N11" s="80"/>
      <c r="O11" s="80"/>
      <c r="P11" s="80"/>
      <c r="Q11" s="80"/>
      <c r="R11" s="80"/>
      <c r="S11" s="80"/>
      <c r="T11" s="80"/>
      <c r="U11" s="80"/>
      <c r="V11" s="80"/>
      <c r="W11" s="80"/>
      <c r="X11" s="80"/>
      <c r="Y11" s="80"/>
      <c r="Z11" s="80"/>
      <c r="AA11" s="80"/>
      <c r="AB11" s="80"/>
      <c r="AC11" s="80"/>
    </row>
    <row r="12" spans="1:29" ht="60" x14ac:dyDescent="0.95">
      <c r="A12" s="79"/>
      <c r="B12" s="79"/>
      <c r="C12" s="79"/>
      <c r="D12" s="82" t="s">
        <v>219</v>
      </c>
      <c r="E12" s="79"/>
      <c r="F12" s="83"/>
      <c r="G12" s="79"/>
      <c r="H12" s="79"/>
      <c r="I12" s="79"/>
      <c r="J12" s="79"/>
      <c r="K12" s="79"/>
      <c r="L12" s="79"/>
      <c r="M12" s="80"/>
      <c r="N12" s="80"/>
      <c r="O12" s="80"/>
      <c r="P12" s="80"/>
      <c r="Q12" s="80"/>
      <c r="R12" s="80"/>
      <c r="S12" s="80"/>
      <c r="T12" s="80"/>
      <c r="U12" s="80"/>
      <c r="V12" s="80"/>
      <c r="W12" s="80"/>
      <c r="X12" s="80"/>
      <c r="Y12" s="80"/>
      <c r="Z12" s="80"/>
      <c r="AA12" s="80"/>
      <c r="AB12" s="80"/>
      <c r="AC12" s="80"/>
    </row>
    <row r="13" spans="1:29" x14ac:dyDescent="0.25">
      <c r="A13" s="79"/>
      <c r="B13" s="79"/>
      <c r="C13" s="79"/>
      <c r="D13" s="79"/>
      <c r="E13" s="79"/>
      <c r="F13" s="79"/>
      <c r="G13" s="79"/>
      <c r="H13" s="79"/>
      <c r="I13" s="79"/>
      <c r="J13" s="79"/>
      <c r="K13" s="79"/>
      <c r="L13" s="79"/>
      <c r="M13" s="80"/>
      <c r="N13" s="80"/>
      <c r="O13" s="80"/>
      <c r="P13" s="80"/>
      <c r="Q13" s="80"/>
      <c r="R13" s="80"/>
      <c r="S13" s="80"/>
      <c r="T13" s="80"/>
      <c r="U13" s="80"/>
      <c r="V13" s="80"/>
      <c r="W13" s="80"/>
      <c r="X13" s="80"/>
      <c r="Y13" s="80"/>
      <c r="Z13" s="80"/>
      <c r="AA13" s="80"/>
      <c r="AB13" s="80"/>
      <c r="AC13" s="80"/>
    </row>
    <row r="14" spans="1:29" ht="22.8" x14ac:dyDescent="0.4">
      <c r="A14" s="79"/>
      <c r="B14" s="79"/>
      <c r="C14" s="79"/>
      <c r="D14" s="84" t="s">
        <v>243</v>
      </c>
      <c r="E14" s="79"/>
      <c r="F14" s="79"/>
      <c r="G14" s="79"/>
      <c r="H14" s="79"/>
      <c r="I14" s="79"/>
      <c r="J14" s="79"/>
      <c r="K14" s="79"/>
      <c r="L14" s="79"/>
      <c r="M14" s="80"/>
      <c r="N14" s="80"/>
      <c r="O14" s="80"/>
      <c r="P14" s="80"/>
      <c r="Q14" s="80"/>
      <c r="R14" s="80"/>
      <c r="S14" s="80"/>
      <c r="T14" s="80"/>
      <c r="U14" s="80"/>
      <c r="V14" s="80"/>
      <c r="W14" s="80"/>
      <c r="X14" s="80"/>
      <c r="Y14" s="80"/>
      <c r="Z14" s="80"/>
      <c r="AA14" s="80"/>
      <c r="AB14" s="80"/>
      <c r="AC14" s="80"/>
    </row>
    <row r="15" spans="1:29" x14ac:dyDescent="0.25">
      <c r="A15" s="79"/>
      <c r="B15" s="79"/>
      <c r="C15" s="79"/>
      <c r="D15" s="79"/>
      <c r="E15" s="79"/>
      <c r="F15" s="79"/>
      <c r="G15" s="79"/>
      <c r="H15" s="79"/>
      <c r="I15" s="79"/>
      <c r="J15" s="79"/>
      <c r="K15" s="79"/>
      <c r="L15" s="79"/>
      <c r="M15" s="80"/>
      <c r="N15" s="80"/>
      <c r="O15" s="80"/>
      <c r="P15" s="80"/>
      <c r="Q15" s="80"/>
      <c r="R15" s="80"/>
      <c r="S15" s="80"/>
      <c r="T15" s="80"/>
      <c r="U15" s="80"/>
      <c r="V15" s="80"/>
      <c r="W15" s="80"/>
      <c r="X15" s="80"/>
      <c r="Y15" s="80"/>
      <c r="Z15" s="80"/>
      <c r="AA15" s="80"/>
      <c r="AB15" s="80"/>
      <c r="AC15" s="80"/>
    </row>
    <row r="16" spans="1:29" x14ac:dyDescent="0.25">
      <c r="A16" s="79"/>
      <c r="B16" s="79"/>
      <c r="C16" s="79"/>
      <c r="D16" s="79"/>
      <c r="E16" s="79"/>
      <c r="F16" s="79"/>
      <c r="G16" s="79"/>
      <c r="H16" s="79"/>
      <c r="I16" s="79"/>
      <c r="J16" s="79"/>
      <c r="K16" s="79"/>
      <c r="L16" s="79"/>
      <c r="M16" s="80"/>
      <c r="N16" s="80"/>
      <c r="O16" s="80"/>
      <c r="P16" s="80"/>
      <c r="Q16" s="80"/>
      <c r="R16" s="80"/>
      <c r="S16" s="80"/>
      <c r="T16" s="80"/>
      <c r="U16" s="80"/>
      <c r="V16" s="80"/>
      <c r="W16" s="80"/>
      <c r="X16" s="80"/>
      <c r="Y16" s="80"/>
      <c r="Z16" s="80"/>
      <c r="AA16" s="80"/>
      <c r="AB16" s="80"/>
      <c r="AC16" s="80"/>
    </row>
    <row r="17" spans="1:29" ht="15" x14ac:dyDescent="0.25">
      <c r="A17" s="79"/>
      <c r="B17" s="79"/>
      <c r="C17" s="79"/>
      <c r="D17" s="85"/>
      <c r="E17" s="79"/>
      <c r="F17" s="79"/>
      <c r="G17" s="79"/>
      <c r="H17" s="79"/>
      <c r="I17" s="79"/>
      <c r="J17" s="79"/>
      <c r="K17" s="79"/>
      <c r="L17" s="79"/>
      <c r="M17" s="80"/>
      <c r="N17" s="80"/>
      <c r="O17" s="80"/>
      <c r="P17" s="80"/>
      <c r="Q17" s="80"/>
      <c r="R17" s="80"/>
      <c r="S17" s="80"/>
      <c r="T17" s="80"/>
      <c r="U17" s="80"/>
      <c r="V17" s="80"/>
      <c r="W17" s="80"/>
      <c r="X17" s="80"/>
      <c r="Y17" s="80"/>
      <c r="Z17" s="80"/>
      <c r="AA17" s="80"/>
      <c r="AB17" s="80"/>
      <c r="AC17" s="80"/>
    </row>
    <row r="18" spans="1:29" ht="15.6" x14ac:dyDescent="0.3">
      <c r="A18" s="79"/>
      <c r="B18" s="79"/>
      <c r="C18" s="79"/>
      <c r="D18" s="86" t="s">
        <v>73</v>
      </c>
      <c r="E18" s="79"/>
      <c r="F18" s="79"/>
      <c r="G18" s="79"/>
      <c r="H18" s="79"/>
      <c r="I18" s="79"/>
      <c r="J18" s="79"/>
      <c r="K18" s="79"/>
      <c r="L18" s="79"/>
      <c r="M18" s="80"/>
      <c r="N18" s="80"/>
      <c r="O18" s="80"/>
      <c r="P18" s="80"/>
      <c r="Q18" s="80"/>
      <c r="R18" s="80"/>
      <c r="S18" s="80"/>
      <c r="T18" s="80"/>
      <c r="U18" s="80"/>
      <c r="V18" s="80"/>
      <c r="W18" s="80"/>
      <c r="X18" s="80"/>
      <c r="Y18" s="80"/>
      <c r="Z18" s="80"/>
      <c r="AA18" s="80"/>
      <c r="AB18" s="80"/>
      <c r="AC18" s="80"/>
    </row>
    <row r="19" spans="1:29" ht="15.6" x14ac:dyDescent="0.3">
      <c r="A19" s="79"/>
      <c r="B19" s="79"/>
      <c r="C19" s="79"/>
      <c r="D19" s="87" t="s">
        <v>74</v>
      </c>
      <c r="E19" s="79"/>
      <c r="F19" s="79"/>
      <c r="G19" s="79"/>
      <c r="H19" s="79"/>
      <c r="I19" s="79"/>
      <c r="J19" s="79"/>
      <c r="K19" s="79"/>
      <c r="L19" s="79"/>
      <c r="M19" s="80"/>
      <c r="N19" s="80"/>
      <c r="O19" s="80"/>
      <c r="P19" s="80"/>
      <c r="Q19" s="80"/>
      <c r="R19" s="80"/>
      <c r="S19" s="80"/>
      <c r="T19" s="80"/>
      <c r="U19" s="80"/>
      <c r="V19" s="80"/>
      <c r="W19" s="80"/>
      <c r="X19" s="80"/>
      <c r="Y19" s="80"/>
      <c r="Z19" s="80"/>
      <c r="AA19" s="80"/>
      <c r="AB19" s="80"/>
      <c r="AC19" s="80"/>
    </row>
    <row r="20" spans="1:29" ht="15.6" x14ac:dyDescent="0.3">
      <c r="A20" s="79"/>
      <c r="B20" s="79"/>
      <c r="C20" s="79"/>
      <c r="D20" s="88" t="s">
        <v>75</v>
      </c>
      <c r="E20" s="79"/>
      <c r="F20" s="79"/>
      <c r="G20" s="79"/>
      <c r="H20" s="79"/>
      <c r="I20" s="79"/>
      <c r="J20" s="79"/>
      <c r="K20" s="79"/>
      <c r="L20" s="79"/>
      <c r="M20" s="80"/>
      <c r="N20" s="80"/>
      <c r="O20" s="80"/>
      <c r="P20" s="80"/>
      <c r="Q20" s="80"/>
      <c r="R20" s="80"/>
      <c r="S20" s="80"/>
      <c r="T20" s="80"/>
      <c r="U20" s="80"/>
      <c r="V20" s="80"/>
      <c r="W20" s="80"/>
      <c r="X20" s="80"/>
      <c r="Y20" s="80"/>
      <c r="Z20" s="80"/>
      <c r="AA20" s="80"/>
      <c r="AB20" s="80"/>
      <c r="AC20" s="80"/>
    </row>
    <row r="21" spans="1:29" ht="15.6" x14ac:dyDescent="0.3">
      <c r="A21" s="79"/>
      <c r="B21" s="79"/>
      <c r="C21" s="79"/>
      <c r="D21" s="89" t="s">
        <v>76</v>
      </c>
      <c r="E21" s="79"/>
      <c r="F21" s="79"/>
      <c r="G21" s="79"/>
      <c r="H21" s="79"/>
      <c r="I21" s="79"/>
      <c r="J21" s="79"/>
      <c r="K21" s="79"/>
      <c r="L21" s="79"/>
      <c r="M21" s="80"/>
      <c r="N21" s="80"/>
      <c r="O21" s="80"/>
      <c r="P21" s="80"/>
      <c r="Q21" s="80"/>
      <c r="R21" s="80"/>
      <c r="S21" s="80"/>
      <c r="T21" s="80"/>
      <c r="U21" s="80"/>
      <c r="V21" s="80"/>
      <c r="W21" s="80"/>
      <c r="X21" s="80"/>
      <c r="Y21" s="80"/>
      <c r="Z21" s="80"/>
      <c r="AA21" s="80"/>
      <c r="AB21" s="80"/>
      <c r="AC21" s="80"/>
    </row>
    <row r="22" spans="1:29" ht="15.6" x14ac:dyDescent="0.3">
      <c r="A22" s="79"/>
      <c r="B22" s="79"/>
      <c r="C22" s="79"/>
      <c r="D22" s="90" t="s">
        <v>77</v>
      </c>
      <c r="E22" s="79"/>
      <c r="F22" s="79"/>
      <c r="G22" s="79"/>
      <c r="H22" s="79"/>
      <c r="I22" s="79"/>
      <c r="J22" s="79"/>
      <c r="K22" s="79"/>
      <c r="L22" s="79"/>
      <c r="M22" s="80"/>
      <c r="N22" s="80"/>
      <c r="O22" s="80"/>
      <c r="P22" s="80"/>
      <c r="Q22" s="80"/>
      <c r="R22" s="80"/>
      <c r="S22" s="80"/>
      <c r="T22" s="80"/>
      <c r="U22" s="80"/>
      <c r="V22" s="80"/>
      <c r="W22" s="80"/>
      <c r="X22" s="80"/>
      <c r="Y22" s="80"/>
      <c r="Z22" s="80"/>
      <c r="AA22" s="80"/>
      <c r="AB22" s="80"/>
      <c r="AC22" s="80"/>
    </row>
    <row r="23" spans="1:29" ht="15" x14ac:dyDescent="0.25">
      <c r="A23" s="79"/>
      <c r="B23" s="79"/>
      <c r="C23" s="79"/>
      <c r="D23" s="85"/>
      <c r="E23" s="79"/>
      <c r="F23" s="79"/>
      <c r="G23" s="79"/>
      <c r="H23" s="79"/>
      <c r="I23" s="79"/>
      <c r="J23" s="79"/>
      <c r="K23" s="79"/>
      <c r="L23" s="79"/>
      <c r="M23" s="80"/>
      <c r="N23" s="80"/>
      <c r="O23" s="80"/>
      <c r="P23" s="80"/>
      <c r="Q23" s="80"/>
      <c r="R23" s="80"/>
      <c r="S23" s="80"/>
      <c r="T23" s="80"/>
      <c r="U23" s="80"/>
      <c r="V23" s="80"/>
      <c r="W23" s="80"/>
      <c r="X23" s="80"/>
      <c r="Y23" s="80"/>
      <c r="Z23" s="80"/>
      <c r="AA23" s="80"/>
      <c r="AB23" s="80"/>
      <c r="AC23" s="80"/>
    </row>
    <row r="24" spans="1:29" x14ac:dyDescent="0.25">
      <c r="A24" s="79"/>
      <c r="B24" s="79"/>
      <c r="C24" s="79"/>
      <c r="D24" s="190" t="s">
        <v>215</v>
      </c>
      <c r="E24" s="79"/>
      <c r="F24" s="79"/>
      <c r="G24" s="79"/>
      <c r="H24" s="79"/>
      <c r="I24" s="79"/>
      <c r="J24" s="79"/>
      <c r="K24" s="79"/>
      <c r="L24" s="79"/>
      <c r="M24" s="80"/>
      <c r="N24" s="80"/>
      <c r="O24" s="80"/>
      <c r="P24" s="80"/>
      <c r="Q24" s="80"/>
      <c r="R24" s="80"/>
      <c r="S24" s="80"/>
      <c r="T24" s="80"/>
      <c r="U24" s="80"/>
      <c r="V24" s="80"/>
      <c r="W24" s="80"/>
      <c r="X24" s="80"/>
      <c r="Y24" s="80"/>
      <c r="Z24" s="80"/>
      <c r="AA24" s="80"/>
      <c r="AB24" s="80"/>
      <c r="AC24" s="80"/>
    </row>
    <row r="25" spans="1:29" x14ac:dyDescent="0.25">
      <c r="A25" s="79"/>
      <c r="B25" s="79"/>
      <c r="C25" s="79"/>
      <c r="D25" s="190" t="s">
        <v>216</v>
      </c>
      <c r="E25" s="79"/>
      <c r="F25" s="79"/>
      <c r="G25" s="79"/>
      <c r="H25" s="79"/>
      <c r="I25" s="79"/>
      <c r="J25" s="79"/>
      <c r="K25" s="79"/>
      <c r="L25" s="79"/>
      <c r="M25" s="80"/>
      <c r="N25" s="80"/>
      <c r="O25" s="80"/>
      <c r="P25" s="80"/>
      <c r="Q25" s="80"/>
      <c r="R25" s="80"/>
      <c r="S25" s="80"/>
      <c r="T25" s="80"/>
      <c r="U25" s="80"/>
      <c r="V25" s="80"/>
      <c r="W25" s="80"/>
      <c r="X25" s="80"/>
      <c r="Y25" s="80"/>
      <c r="Z25" s="80"/>
      <c r="AA25" s="80"/>
      <c r="AB25" s="80"/>
      <c r="AC25" s="80"/>
    </row>
    <row r="26" spans="1:29" x14ac:dyDescent="0.25">
      <c r="A26" s="79"/>
      <c r="B26" s="79"/>
      <c r="C26" s="79"/>
      <c r="D26" s="190" t="s">
        <v>217</v>
      </c>
      <c r="E26" s="79"/>
      <c r="F26" s="79"/>
      <c r="G26" s="79"/>
      <c r="H26" s="79"/>
      <c r="I26" s="79"/>
      <c r="J26" s="79"/>
      <c r="K26" s="79"/>
      <c r="L26" s="79"/>
      <c r="M26" s="80"/>
      <c r="N26" s="80"/>
      <c r="O26" s="80"/>
      <c r="P26" s="80"/>
      <c r="Q26" s="80"/>
      <c r="R26" s="80"/>
      <c r="S26" s="80"/>
      <c r="T26" s="80"/>
      <c r="U26" s="80"/>
      <c r="V26" s="80"/>
      <c r="W26" s="80"/>
      <c r="X26" s="80"/>
      <c r="Y26" s="80"/>
      <c r="Z26" s="80"/>
      <c r="AA26" s="80"/>
      <c r="AB26" s="80"/>
      <c r="AC26" s="80"/>
    </row>
    <row r="27" spans="1:29" x14ac:dyDescent="0.25">
      <c r="A27" s="79"/>
      <c r="B27" s="79"/>
      <c r="C27" s="79"/>
      <c r="D27" s="190" t="s">
        <v>218</v>
      </c>
      <c r="E27" s="79"/>
      <c r="F27" s="79"/>
      <c r="G27" s="79"/>
      <c r="H27" s="79"/>
      <c r="I27" s="79"/>
      <c r="J27" s="79"/>
      <c r="K27" s="79"/>
      <c r="L27" s="79"/>
      <c r="M27" s="80"/>
      <c r="N27" s="80"/>
      <c r="O27" s="80"/>
      <c r="P27" s="80"/>
      <c r="Q27" s="80"/>
      <c r="R27" s="80"/>
      <c r="S27" s="80"/>
      <c r="T27" s="80"/>
      <c r="U27" s="80"/>
      <c r="V27" s="80"/>
      <c r="W27" s="80"/>
      <c r="X27" s="80"/>
      <c r="Y27" s="80"/>
      <c r="Z27" s="80"/>
      <c r="AA27" s="80"/>
      <c r="AB27" s="80"/>
      <c r="AC27" s="80"/>
    </row>
    <row r="28" spans="1:29" x14ac:dyDescent="0.25">
      <c r="A28" s="79"/>
      <c r="B28" s="79"/>
      <c r="C28" s="79"/>
      <c r="D28" s="79"/>
      <c r="E28" s="79"/>
      <c r="F28" s="79"/>
      <c r="G28" s="79"/>
      <c r="H28" s="79"/>
      <c r="I28" s="79"/>
      <c r="J28" s="79"/>
      <c r="K28" s="79"/>
      <c r="L28" s="79"/>
      <c r="M28" s="80"/>
      <c r="N28" s="80"/>
      <c r="O28" s="80"/>
      <c r="P28" s="80"/>
      <c r="Q28" s="80"/>
      <c r="R28" s="80"/>
      <c r="S28" s="80"/>
      <c r="T28" s="80"/>
      <c r="U28" s="80"/>
      <c r="V28" s="80"/>
      <c r="W28" s="80"/>
      <c r="X28" s="80"/>
      <c r="Y28" s="80"/>
      <c r="Z28" s="80"/>
      <c r="AA28" s="80"/>
      <c r="AB28" s="80"/>
      <c r="AC28" s="80"/>
    </row>
    <row r="29" spans="1:29" x14ac:dyDescent="0.25">
      <c r="A29" s="79"/>
      <c r="B29" s="79"/>
      <c r="C29" s="79"/>
      <c r="D29" s="79"/>
      <c r="E29" s="79"/>
      <c r="F29" s="79"/>
      <c r="G29" s="79"/>
      <c r="H29" s="79"/>
      <c r="I29" s="79"/>
      <c r="J29" s="79"/>
      <c r="K29" s="79"/>
      <c r="L29" s="79"/>
      <c r="M29" s="80"/>
      <c r="N29" s="80"/>
      <c r="O29" s="80"/>
      <c r="P29" s="80"/>
      <c r="Q29" s="80"/>
      <c r="R29" s="80"/>
      <c r="S29" s="80"/>
      <c r="T29" s="80"/>
      <c r="U29" s="80"/>
      <c r="V29" s="80"/>
      <c r="W29" s="80"/>
      <c r="X29" s="80"/>
      <c r="Y29" s="80"/>
      <c r="Z29" s="80"/>
      <c r="AA29" s="80"/>
      <c r="AB29" s="80"/>
      <c r="AC29" s="80"/>
    </row>
    <row r="30" spans="1:29" x14ac:dyDescent="0.25">
      <c r="A30" s="79"/>
      <c r="B30" s="79"/>
      <c r="C30" s="79"/>
      <c r="D30" s="79"/>
      <c r="E30" s="79"/>
      <c r="F30" s="79"/>
      <c r="G30" s="79"/>
      <c r="H30" s="79"/>
      <c r="I30" s="79"/>
      <c r="J30" s="79"/>
      <c r="K30" s="79"/>
      <c r="L30" s="79"/>
      <c r="M30" s="80"/>
      <c r="N30" s="80"/>
      <c r="O30" s="80"/>
      <c r="P30" s="80"/>
      <c r="Q30" s="80"/>
      <c r="R30" s="80"/>
      <c r="S30" s="80"/>
      <c r="T30" s="80"/>
      <c r="U30" s="80"/>
      <c r="V30" s="80"/>
      <c r="W30" s="80"/>
      <c r="X30" s="80"/>
      <c r="Y30" s="80"/>
      <c r="Z30" s="80"/>
      <c r="AA30" s="80"/>
      <c r="AB30" s="80"/>
      <c r="AC30" s="80"/>
    </row>
    <row r="31" spans="1:29" x14ac:dyDescent="0.25">
      <c r="A31" s="79"/>
      <c r="B31" s="79"/>
      <c r="C31" s="79"/>
      <c r="D31" s="79"/>
      <c r="E31" s="79"/>
      <c r="F31" s="79"/>
      <c r="G31" s="79"/>
      <c r="H31" s="79"/>
      <c r="I31" s="79"/>
      <c r="J31" s="79"/>
      <c r="K31" s="79"/>
      <c r="L31" s="79"/>
      <c r="M31" s="80"/>
      <c r="N31" s="80"/>
      <c r="O31" s="80"/>
      <c r="P31" s="80"/>
      <c r="Q31" s="80"/>
      <c r="R31" s="80"/>
      <c r="S31" s="80"/>
      <c r="T31" s="80"/>
      <c r="U31" s="80"/>
      <c r="V31" s="80"/>
      <c r="W31" s="80"/>
      <c r="X31" s="80"/>
      <c r="Y31" s="80"/>
      <c r="Z31" s="80"/>
      <c r="AA31" s="80"/>
      <c r="AB31" s="80"/>
      <c r="AC31" s="80"/>
    </row>
    <row r="32" spans="1:29" x14ac:dyDescent="0.25">
      <c r="A32" s="79"/>
      <c r="B32" s="79"/>
      <c r="C32" s="79"/>
      <c r="D32" s="79"/>
      <c r="E32" s="79"/>
      <c r="F32" s="79"/>
      <c r="G32" s="79"/>
      <c r="H32" s="79"/>
      <c r="I32" s="79"/>
      <c r="J32" s="79"/>
      <c r="K32" s="79"/>
      <c r="L32" s="79"/>
      <c r="M32" s="80"/>
      <c r="N32" s="80"/>
      <c r="O32" s="80"/>
      <c r="P32" s="80"/>
      <c r="Q32" s="80"/>
      <c r="R32" s="80"/>
      <c r="S32" s="80"/>
      <c r="T32" s="80"/>
      <c r="U32" s="80"/>
      <c r="V32" s="80"/>
      <c r="W32" s="80"/>
      <c r="X32" s="80"/>
      <c r="Y32" s="80"/>
      <c r="Z32" s="80"/>
      <c r="AA32" s="80"/>
      <c r="AB32" s="80"/>
      <c r="AC32" s="80"/>
    </row>
    <row r="33" spans="1:29" x14ac:dyDescent="0.25">
      <c r="A33" s="79"/>
      <c r="B33" s="79"/>
      <c r="C33" s="79"/>
      <c r="D33" s="79"/>
      <c r="E33" s="79"/>
      <c r="F33" s="79"/>
      <c r="G33" s="79"/>
      <c r="H33" s="79"/>
      <c r="I33" s="79"/>
      <c r="J33" s="79"/>
      <c r="K33" s="79"/>
      <c r="L33" s="79"/>
      <c r="M33" s="80"/>
      <c r="N33" s="80"/>
      <c r="O33" s="80"/>
      <c r="P33" s="80"/>
      <c r="Q33" s="80"/>
      <c r="R33" s="80"/>
      <c r="S33" s="80"/>
      <c r="T33" s="80"/>
      <c r="U33" s="80"/>
      <c r="V33" s="80"/>
      <c r="W33" s="80"/>
      <c r="X33" s="80"/>
      <c r="Y33" s="80"/>
      <c r="Z33" s="80"/>
      <c r="AA33" s="80"/>
      <c r="AB33" s="80"/>
      <c r="AC33" s="80"/>
    </row>
    <row r="34" spans="1:29" x14ac:dyDescent="0.25">
      <c r="A34" s="79"/>
      <c r="B34" s="79"/>
      <c r="C34" s="79"/>
      <c r="D34" s="79"/>
      <c r="E34" s="79"/>
      <c r="F34" s="79"/>
      <c r="G34" s="79"/>
      <c r="H34" s="79"/>
      <c r="I34" s="79"/>
      <c r="J34" s="79"/>
      <c r="K34" s="79"/>
      <c r="L34" s="79"/>
      <c r="M34" s="80"/>
      <c r="N34" s="80"/>
      <c r="O34" s="80"/>
      <c r="P34" s="80"/>
      <c r="Q34" s="80"/>
      <c r="R34" s="80"/>
      <c r="S34" s="80"/>
      <c r="T34" s="80"/>
      <c r="U34" s="80"/>
      <c r="V34" s="80"/>
      <c r="W34" s="80"/>
      <c r="X34" s="80"/>
      <c r="Y34" s="80"/>
      <c r="Z34" s="80"/>
      <c r="AA34" s="80"/>
      <c r="AB34" s="80"/>
      <c r="AC34" s="80"/>
    </row>
    <row r="35" spans="1:29" x14ac:dyDescent="0.25">
      <c r="A35" s="79"/>
      <c r="B35" s="79"/>
      <c r="C35" s="79"/>
      <c r="D35" s="79"/>
      <c r="E35" s="79"/>
      <c r="F35" s="79"/>
      <c r="G35" s="79"/>
      <c r="H35" s="79"/>
      <c r="I35" s="79"/>
      <c r="J35" s="79"/>
      <c r="K35" s="79"/>
      <c r="L35" s="79"/>
      <c r="M35" s="80"/>
      <c r="N35" s="80"/>
      <c r="O35" s="80"/>
      <c r="P35" s="80"/>
      <c r="Q35" s="80"/>
      <c r="R35" s="80"/>
      <c r="S35" s="80"/>
      <c r="T35" s="80"/>
      <c r="U35" s="80"/>
      <c r="V35" s="80"/>
      <c r="W35" s="80"/>
      <c r="X35" s="80"/>
      <c r="Y35" s="80"/>
      <c r="Z35" s="80"/>
      <c r="AA35" s="80"/>
      <c r="AB35" s="80"/>
      <c r="AC35" s="80"/>
    </row>
    <row r="36" spans="1:29" x14ac:dyDescent="0.25">
      <c r="A36" s="79"/>
      <c r="B36" s="79"/>
      <c r="C36" s="79"/>
      <c r="D36" s="79"/>
      <c r="E36" s="79"/>
      <c r="F36" s="79"/>
      <c r="G36" s="79"/>
      <c r="H36" s="79"/>
      <c r="I36" s="79"/>
      <c r="J36" s="79"/>
      <c r="K36" s="79"/>
      <c r="L36" s="79"/>
      <c r="M36" s="80"/>
      <c r="N36" s="80"/>
      <c r="O36" s="80"/>
      <c r="P36" s="80"/>
      <c r="Q36" s="80"/>
      <c r="R36" s="80"/>
      <c r="S36" s="80"/>
      <c r="T36" s="80"/>
      <c r="U36" s="80"/>
      <c r="V36" s="80"/>
      <c r="W36" s="80"/>
      <c r="X36" s="80"/>
      <c r="Y36" s="80"/>
      <c r="Z36" s="80"/>
      <c r="AA36" s="80"/>
      <c r="AB36" s="80"/>
      <c r="AC36" s="80"/>
    </row>
    <row r="37" spans="1:29" x14ac:dyDescent="0.25">
      <c r="A37" s="79"/>
      <c r="B37" s="79"/>
      <c r="C37" s="79"/>
      <c r="D37" s="79"/>
      <c r="E37" s="79"/>
      <c r="F37" s="79"/>
      <c r="G37" s="79"/>
      <c r="H37" s="79"/>
      <c r="I37" s="79"/>
      <c r="J37" s="79"/>
      <c r="K37" s="79"/>
      <c r="L37" s="79"/>
      <c r="M37" s="80"/>
      <c r="N37" s="80"/>
      <c r="O37" s="80"/>
      <c r="P37" s="80"/>
      <c r="Q37" s="80"/>
      <c r="R37" s="80"/>
      <c r="S37" s="80"/>
      <c r="T37" s="80"/>
      <c r="U37" s="80"/>
      <c r="V37" s="80"/>
      <c r="W37" s="80"/>
      <c r="X37" s="80"/>
      <c r="Y37" s="80"/>
      <c r="Z37" s="80"/>
      <c r="AA37" s="80"/>
      <c r="AB37" s="80"/>
      <c r="AC37" s="80"/>
    </row>
    <row r="38" spans="1:29" x14ac:dyDescent="0.25">
      <c r="A38" s="79"/>
      <c r="B38" s="79"/>
      <c r="C38" s="79"/>
      <c r="D38" s="79"/>
      <c r="E38" s="79"/>
      <c r="F38" s="79"/>
      <c r="G38" s="79"/>
      <c r="H38" s="79"/>
      <c r="I38" s="79"/>
      <c r="J38" s="79"/>
      <c r="K38" s="79"/>
      <c r="L38" s="79"/>
      <c r="M38" s="80"/>
      <c r="N38" s="80"/>
      <c r="O38" s="80"/>
      <c r="P38" s="80"/>
      <c r="Q38" s="80"/>
      <c r="R38" s="80"/>
      <c r="S38" s="80"/>
      <c r="T38" s="80"/>
      <c r="U38" s="80"/>
      <c r="V38" s="80"/>
      <c r="W38" s="80"/>
      <c r="X38" s="80"/>
      <c r="Y38" s="80"/>
      <c r="Z38" s="80"/>
      <c r="AA38" s="80"/>
      <c r="AB38" s="80"/>
      <c r="AC38" s="80"/>
    </row>
    <row r="39" spans="1:29" x14ac:dyDescent="0.25">
      <c r="A39" s="79"/>
      <c r="B39" s="79"/>
      <c r="C39" s="79"/>
      <c r="D39" s="79"/>
      <c r="E39" s="79"/>
      <c r="F39" s="79"/>
      <c r="G39" s="79"/>
      <c r="H39" s="79"/>
      <c r="I39" s="79"/>
      <c r="J39" s="79"/>
      <c r="K39" s="79"/>
      <c r="L39" s="79"/>
      <c r="M39" s="80"/>
      <c r="N39" s="80"/>
      <c r="O39" s="80"/>
      <c r="P39" s="80"/>
      <c r="Q39" s="80"/>
      <c r="R39" s="80"/>
      <c r="S39" s="80"/>
      <c r="T39" s="80"/>
      <c r="U39" s="80"/>
      <c r="V39" s="80"/>
      <c r="W39" s="80"/>
      <c r="X39" s="80"/>
      <c r="Y39" s="80"/>
      <c r="Z39" s="80"/>
      <c r="AA39" s="80"/>
      <c r="AB39" s="80"/>
      <c r="AC39" s="80"/>
    </row>
    <row r="40" spans="1:29" x14ac:dyDescent="0.25">
      <c r="A40" s="79"/>
      <c r="B40" s="79"/>
      <c r="C40" s="79"/>
      <c r="D40" s="79"/>
      <c r="E40" s="79"/>
      <c r="F40" s="79"/>
      <c r="G40" s="79"/>
      <c r="H40" s="79"/>
      <c r="I40" s="79"/>
      <c r="J40" s="79"/>
      <c r="K40" s="79"/>
      <c r="L40" s="79"/>
      <c r="M40" s="80"/>
      <c r="N40" s="80"/>
      <c r="O40" s="80"/>
      <c r="P40" s="80"/>
      <c r="Q40" s="80"/>
      <c r="R40" s="80"/>
      <c r="S40" s="80"/>
      <c r="T40" s="80"/>
      <c r="U40" s="80"/>
      <c r="V40" s="80"/>
      <c r="W40" s="80"/>
      <c r="X40" s="80"/>
      <c r="Y40" s="80"/>
      <c r="Z40" s="80"/>
      <c r="AA40" s="80"/>
      <c r="AB40" s="80"/>
      <c r="AC40" s="80"/>
    </row>
    <row r="41" spans="1:29" x14ac:dyDescent="0.25">
      <c r="A41" s="91"/>
      <c r="B41" s="91"/>
      <c r="C41" s="91"/>
      <c r="D41" s="91"/>
      <c r="E41" s="91"/>
      <c r="F41" s="91"/>
      <c r="G41" s="91"/>
      <c r="H41" s="91"/>
      <c r="I41" s="91"/>
      <c r="J41" s="91"/>
      <c r="K41" s="91"/>
      <c r="L41" s="91"/>
    </row>
    <row r="42" spans="1:29" x14ac:dyDescent="0.25">
      <c r="A42" s="91"/>
      <c r="B42" s="91"/>
      <c r="C42" s="91"/>
      <c r="D42" s="91"/>
      <c r="E42" s="91"/>
      <c r="F42" s="91"/>
      <c r="G42" s="91"/>
      <c r="H42" s="91"/>
      <c r="I42" s="91"/>
      <c r="J42" s="91"/>
      <c r="K42" s="91"/>
      <c r="L42" s="91"/>
    </row>
    <row r="43" spans="1:29" x14ac:dyDescent="0.25">
      <c r="A43" s="91"/>
      <c r="B43" s="91"/>
      <c r="C43" s="91"/>
      <c r="D43" s="91"/>
      <c r="E43" s="91"/>
      <c r="F43" s="91"/>
      <c r="G43" s="91"/>
      <c r="H43" s="91"/>
      <c r="I43" s="91"/>
      <c r="J43" s="91"/>
      <c r="K43" s="91"/>
      <c r="L43" s="91"/>
    </row>
    <row r="44" spans="1:29" x14ac:dyDescent="0.25">
      <c r="A44" s="91"/>
      <c r="B44" s="91"/>
      <c r="C44" s="91"/>
      <c r="D44" s="91"/>
      <c r="E44" s="91"/>
      <c r="F44" s="91"/>
      <c r="G44" s="91"/>
      <c r="H44" s="91"/>
      <c r="I44" s="91"/>
      <c r="J44" s="91"/>
      <c r="K44" s="91"/>
      <c r="L44" s="91"/>
    </row>
    <row r="45" spans="1:29" x14ac:dyDescent="0.25">
      <c r="A45" s="91"/>
      <c r="B45" s="91"/>
      <c r="C45" s="91"/>
      <c r="D45" s="91"/>
      <c r="E45" s="91"/>
      <c r="F45" s="91"/>
      <c r="G45" s="91"/>
      <c r="H45" s="91"/>
      <c r="I45" s="91"/>
      <c r="J45" s="91"/>
      <c r="K45" s="91"/>
      <c r="L45" s="91"/>
    </row>
    <row r="46" spans="1:29" x14ac:dyDescent="0.25">
      <c r="A46" s="91"/>
      <c r="B46" s="91"/>
      <c r="C46" s="91"/>
      <c r="D46" s="91"/>
      <c r="E46" s="91"/>
      <c r="F46" s="91"/>
      <c r="G46" s="91"/>
      <c r="H46" s="91"/>
      <c r="I46" s="91"/>
      <c r="J46" s="91"/>
      <c r="K46" s="91"/>
      <c r="L46" s="91"/>
    </row>
    <row r="47" spans="1:29" x14ac:dyDescent="0.25">
      <c r="A47" s="91"/>
      <c r="B47" s="91"/>
      <c r="C47" s="91"/>
      <c r="D47" s="91"/>
      <c r="E47" s="91"/>
      <c r="F47" s="91"/>
      <c r="G47" s="91"/>
      <c r="H47" s="91"/>
      <c r="I47" s="91"/>
      <c r="J47" s="91"/>
      <c r="K47" s="91"/>
      <c r="L47" s="91"/>
    </row>
    <row r="48" spans="1:29" x14ac:dyDescent="0.25">
      <c r="A48" s="91"/>
      <c r="B48" s="91"/>
      <c r="C48" s="91"/>
      <c r="D48" s="91"/>
      <c r="E48" s="91"/>
      <c r="F48" s="91"/>
      <c r="G48" s="91"/>
      <c r="H48" s="91"/>
      <c r="I48" s="91"/>
      <c r="J48" s="91"/>
      <c r="K48" s="91"/>
      <c r="L48" s="91"/>
    </row>
    <row r="49" spans="1:12" x14ac:dyDescent="0.25">
      <c r="A49" s="91"/>
      <c r="B49" s="91"/>
      <c r="C49" s="91"/>
      <c r="D49" s="91"/>
      <c r="E49" s="91"/>
      <c r="F49" s="91"/>
      <c r="G49" s="91"/>
      <c r="H49" s="91"/>
      <c r="I49" s="91"/>
      <c r="J49" s="91"/>
      <c r="K49" s="91"/>
      <c r="L49" s="91"/>
    </row>
    <row r="50" spans="1:12" x14ac:dyDescent="0.25">
      <c r="A50" s="91"/>
      <c r="B50" s="91"/>
      <c r="C50" s="91"/>
      <c r="D50" s="91"/>
      <c r="E50" s="91"/>
      <c r="F50" s="91"/>
      <c r="G50" s="91"/>
      <c r="H50" s="91"/>
      <c r="I50" s="91"/>
      <c r="J50" s="91"/>
      <c r="K50" s="91"/>
      <c r="L50" s="91"/>
    </row>
    <row r="51" spans="1:12" x14ac:dyDescent="0.25">
      <c r="A51" s="91"/>
      <c r="B51" s="91"/>
      <c r="C51" s="91"/>
      <c r="D51" s="91"/>
      <c r="E51" s="91"/>
      <c r="F51" s="91"/>
      <c r="G51" s="91"/>
      <c r="H51" s="91"/>
      <c r="I51" s="91"/>
      <c r="J51" s="91"/>
      <c r="K51" s="91"/>
      <c r="L51" s="91"/>
    </row>
    <row r="52" spans="1:12" x14ac:dyDescent="0.25">
      <c r="A52" s="91"/>
      <c r="B52" s="91"/>
      <c r="C52" s="91"/>
      <c r="D52" s="91"/>
      <c r="E52" s="91"/>
      <c r="F52" s="91"/>
      <c r="G52" s="91"/>
      <c r="H52" s="91"/>
      <c r="I52" s="91"/>
      <c r="J52" s="91"/>
      <c r="K52" s="91"/>
      <c r="L52" s="91"/>
    </row>
    <row r="53" spans="1:12" x14ac:dyDescent="0.25">
      <c r="A53" s="91"/>
      <c r="B53" s="91"/>
      <c r="C53" s="91"/>
      <c r="D53" s="91"/>
      <c r="E53" s="91"/>
      <c r="F53" s="91"/>
      <c r="G53" s="91"/>
      <c r="H53" s="91"/>
      <c r="I53" s="91"/>
      <c r="J53" s="91"/>
      <c r="K53" s="91"/>
      <c r="L53" s="91"/>
    </row>
    <row r="54" spans="1:12" x14ac:dyDescent="0.25">
      <c r="A54" s="91"/>
      <c r="B54" s="91"/>
      <c r="C54" s="91"/>
      <c r="D54" s="91"/>
      <c r="E54" s="91"/>
      <c r="F54" s="91"/>
      <c r="G54" s="91"/>
      <c r="H54" s="91"/>
      <c r="I54" s="91"/>
      <c r="J54" s="91"/>
      <c r="K54" s="91"/>
      <c r="L54" s="91"/>
    </row>
    <row r="55" spans="1:12" x14ac:dyDescent="0.25">
      <c r="A55" s="91"/>
      <c r="B55" s="91"/>
      <c r="C55" s="91"/>
      <c r="D55" s="91"/>
      <c r="E55" s="91"/>
      <c r="F55" s="91"/>
      <c r="G55" s="91"/>
      <c r="H55" s="91"/>
      <c r="I55" s="91"/>
      <c r="J55" s="91"/>
      <c r="K55" s="91"/>
      <c r="L55" s="91"/>
    </row>
    <row r="56" spans="1:12" x14ac:dyDescent="0.25">
      <c r="A56" s="91"/>
      <c r="B56" s="91"/>
      <c r="C56" s="91"/>
      <c r="D56" s="91"/>
      <c r="E56" s="91"/>
      <c r="F56" s="91"/>
      <c r="G56" s="91"/>
      <c r="H56" s="91"/>
      <c r="I56" s="91"/>
      <c r="J56" s="91"/>
      <c r="K56" s="91"/>
      <c r="L56" s="91"/>
    </row>
    <row r="57" spans="1:12" x14ac:dyDescent="0.25">
      <c r="A57" s="91"/>
      <c r="B57" s="91"/>
      <c r="C57" s="91"/>
      <c r="D57" s="91"/>
      <c r="E57" s="91"/>
      <c r="F57" s="91"/>
      <c r="G57" s="91"/>
      <c r="H57" s="91"/>
      <c r="I57" s="91"/>
      <c r="J57" s="91"/>
      <c r="K57" s="91"/>
      <c r="L57" s="91"/>
    </row>
    <row r="58" spans="1:12" x14ac:dyDescent="0.25">
      <c r="A58" s="91"/>
      <c r="B58" s="91"/>
      <c r="C58" s="91"/>
      <c r="D58" s="91"/>
      <c r="E58" s="91"/>
      <c r="F58" s="91"/>
      <c r="G58" s="91"/>
      <c r="H58" s="91"/>
      <c r="I58" s="91"/>
      <c r="J58" s="91"/>
      <c r="K58" s="91"/>
      <c r="L58" s="91"/>
    </row>
    <row r="59" spans="1:12" x14ac:dyDescent="0.25">
      <c r="A59" s="91"/>
      <c r="B59" s="91"/>
      <c r="C59" s="91"/>
      <c r="D59" s="91"/>
      <c r="E59" s="91"/>
      <c r="F59" s="91"/>
      <c r="G59" s="91"/>
      <c r="H59" s="91"/>
      <c r="I59" s="91"/>
      <c r="J59" s="91"/>
      <c r="K59" s="91"/>
      <c r="L59" s="91"/>
    </row>
    <row r="60" spans="1:12" x14ac:dyDescent="0.25">
      <c r="A60" s="91"/>
      <c r="B60" s="91"/>
      <c r="C60" s="91"/>
      <c r="D60" s="91"/>
      <c r="E60" s="91"/>
      <c r="F60" s="91"/>
      <c r="G60" s="91"/>
      <c r="H60" s="91"/>
      <c r="I60" s="91"/>
      <c r="J60" s="91"/>
      <c r="K60" s="91"/>
      <c r="L60" s="91"/>
    </row>
    <row r="61" spans="1:12" x14ac:dyDescent="0.25">
      <c r="A61" s="91"/>
      <c r="B61" s="91"/>
      <c r="C61" s="91"/>
      <c r="D61" s="91"/>
      <c r="E61" s="91"/>
      <c r="F61" s="91"/>
      <c r="G61" s="91"/>
      <c r="H61" s="91"/>
      <c r="I61" s="91"/>
      <c r="J61" s="91"/>
      <c r="K61" s="91"/>
      <c r="L61" s="91"/>
    </row>
    <row r="62" spans="1:12" x14ac:dyDescent="0.25">
      <c r="A62" s="91"/>
      <c r="B62" s="91"/>
      <c r="C62" s="91"/>
      <c r="D62" s="91"/>
      <c r="E62" s="91"/>
      <c r="F62" s="91"/>
      <c r="G62" s="91"/>
      <c r="H62" s="91"/>
      <c r="I62" s="91"/>
      <c r="J62" s="91"/>
      <c r="K62" s="91"/>
      <c r="L62" s="91"/>
    </row>
    <row r="63" spans="1:12" x14ac:dyDescent="0.25">
      <c r="A63" s="91"/>
      <c r="B63" s="91"/>
      <c r="C63" s="91"/>
      <c r="D63" s="91"/>
      <c r="E63" s="91"/>
      <c r="F63" s="91"/>
      <c r="G63" s="91"/>
      <c r="H63" s="91"/>
      <c r="I63" s="91"/>
      <c r="J63" s="91"/>
      <c r="K63" s="91"/>
      <c r="L63" s="91"/>
    </row>
    <row r="64" spans="1:12" x14ac:dyDescent="0.25">
      <c r="A64" s="91"/>
      <c r="B64" s="91"/>
      <c r="C64" s="91"/>
      <c r="D64" s="91"/>
      <c r="E64" s="91"/>
      <c r="F64" s="91"/>
      <c r="G64" s="91"/>
      <c r="H64" s="91"/>
      <c r="I64" s="91"/>
      <c r="J64" s="91"/>
      <c r="K64" s="91"/>
      <c r="L64" s="91"/>
    </row>
    <row r="65" spans="1:12" x14ac:dyDescent="0.25">
      <c r="A65" s="91"/>
      <c r="B65" s="91"/>
      <c r="C65" s="91"/>
      <c r="D65" s="91"/>
      <c r="E65" s="91"/>
      <c r="F65" s="91"/>
      <c r="G65" s="91"/>
      <c r="H65" s="91"/>
      <c r="I65" s="91"/>
      <c r="J65" s="91"/>
      <c r="K65" s="91"/>
      <c r="L65" s="91"/>
    </row>
    <row r="66" spans="1:12" x14ac:dyDescent="0.25">
      <c r="A66" s="91"/>
      <c r="B66" s="91"/>
      <c r="C66" s="91"/>
      <c r="D66" s="91"/>
      <c r="E66" s="91"/>
      <c r="F66" s="91"/>
      <c r="G66" s="91"/>
      <c r="H66" s="91"/>
      <c r="I66" s="91"/>
      <c r="J66" s="91"/>
      <c r="K66" s="91"/>
      <c r="L66" s="91"/>
    </row>
    <row r="67" spans="1:12" x14ac:dyDescent="0.25">
      <c r="A67" s="91"/>
      <c r="B67" s="91"/>
      <c r="C67" s="91"/>
      <c r="D67" s="91"/>
      <c r="E67" s="91"/>
      <c r="F67" s="91"/>
      <c r="G67" s="91"/>
      <c r="H67" s="91"/>
      <c r="I67" s="91"/>
      <c r="J67" s="91"/>
      <c r="K67" s="91"/>
      <c r="L67" s="91"/>
    </row>
    <row r="68" spans="1:12" x14ac:dyDescent="0.25">
      <c r="A68" s="91"/>
      <c r="B68" s="91"/>
      <c r="C68" s="91"/>
      <c r="D68" s="91"/>
      <c r="E68" s="91"/>
      <c r="F68" s="91"/>
      <c r="G68" s="91"/>
      <c r="H68" s="91"/>
      <c r="I68" s="91"/>
      <c r="J68" s="91"/>
      <c r="K68" s="91"/>
      <c r="L68" s="91"/>
    </row>
    <row r="69" spans="1:12" x14ac:dyDescent="0.25">
      <c r="A69" s="91"/>
      <c r="B69" s="91"/>
      <c r="C69" s="91"/>
      <c r="D69" s="91"/>
      <c r="E69" s="91"/>
      <c r="F69" s="91"/>
      <c r="G69" s="91"/>
      <c r="H69" s="91"/>
      <c r="I69" s="91"/>
      <c r="J69" s="91"/>
      <c r="K69" s="91"/>
      <c r="L69" s="91"/>
    </row>
    <row r="70" spans="1:12" x14ac:dyDescent="0.25">
      <c r="A70" s="91"/>
      <c r="B70" s="91"/>
      <c r="C70" s="91"/>
      <c r="D70" s="91"/>
      <c r="E70" s="91"/>
      <c r="F70" s="91"/>
      <c r="G70" s="91"/>
      <c r="H70" s="91"/>
      <c r="I70" s="91"/>
      <c r="J70" s="91"/>
      <c r="K70" s="91"/>
      <c r="L70" s="91"/>
    </row>
    <row r="71" spans="1:12" x14ac:dyDescent="0.25">
      <c r="A71" s="91"/>
      <c r="B71" s="91"/>
      <c r="C71" s="91"/>
      <c r="D71" s="91"/>
      <c r="E71" s="91"/>
      <c r="F71" s="91"/>
      <c r="G71" s="91"/>
      <c r="H71" s="91"/>
      <c r="I71" s="91"/>
      <c r="J71" s="91"/>
      <c r="K71" s="91"/>
      <c r="L71" s="91"/>
    </row>
    <row r="72" spans="1:12" x14ac:dyDescent="0.25">
      <c r="A72" s="91"/>
      <c r="B72" s="91"/>
      <c r="C72" s="91"/>
      <c r="D72" s="91"/>
      <c r="E72" s="91"/>
      <c r="F72" s="91"/>
      <c r="G72" s="91"/>
      <c r="H72" s="91"/>
      <c r="I72" s="91"/>
      <c r="J72" s="91"/>
      <c r="K72" s="91"/>
      <c r="L72" s="91"/>
    </row>
    <row r="73" spans="1:12" x14ac:dyDescent="0.25">
      <c r="A73" s="91"/>
      <c r="B73" s="91"/>
      <c r="C73" s="91"/>
      <c r="D73" s="91"/>
      <c r="E73" s="91"/>
      <c r="F73" s="91"/>
      <c r="G73" s="91"/>
      <c r="H73" s="91"/>
      <c r="I73" s="91"/>
      <c r="J73" s="91"/>
      <c r="K73" s="91"/>
      <c r="L73" s="91"/>
    </row>
    <row r="74" spans="1:12" x14ac:dyDescent="0.25">
      <c r="A74" s="91"/>
      <c r="B74" s="91"/>
      <c r="C74" s="91"/>
      <c r="D74" s="91"/>
      <c r="E74" s="91"/>
      <c r="F74" s="91"/>
      <c r="G74" s="91"/>
      <c r="H74" s="91"/>
      <c r="I74" s="91"/>
      <c r="J74" s="91"/>
      <c r="K74" s="91"/>
      <c r="L74" s="91"/>
    </row>
    <row r="75" spans="1:12" x14ac:dyDescent="0.25">
      <c r="A75" s="91"/>
      <c r="B75" s="91"/>
      <c r="C75" s="91"/>
      <c r="D75" s="91"/>
      <c r="E75" s="91"/>
      <c r="F75" s="91"/>
      <c r="G75" s="91"/>
      <c r="H75" s="91"/>
      <c r="I75" s="91"/>
      <c r="J75" s="91"/>
      <c r="K75" s="91"/>
      <c r="L75" s="91"/>
    </row>
    <row r="76" spans="1:12" x14ac:dyDescent="0.25">
      <c r="A76" s="91"/>
      <c r="B76" s="91"/>
      <c r="C76" s="91"/>
      <c r="D76" s="91"/>
      <c r="E76" s="91"/>
      <c r="F76" s="91"/>
      <c r="G76" s="91"/>
      <c r="H76" s="91"/>
      <c r="I76" s="91"/>
      <c r="J76" s="91"/>
      <c r="K76" s="91"/>
      <c r="L76" s="91"/>
    </row>
    <row r="77" spans="1:12" x14ac:dyDescent="0.25">
      <c r="A77" s="91"/>
      <c r="B77" s="91"/>
      <c r="C77" s="91"/>
      <c r="D77" s="91"/>
      <c r="E77" s="91"/>
      <c r="F77" s="91"/>
      <c r="G77" s="91"/>
      <c r="H77" s="91"/>
      <c r="I77" s="91"/>
      <c r="J77" s="91"/>
      <c r="K77" s="91"/>
      <c r="L77" s="91"/>
    </row>
    <row r="78" spans="1:12" x14ac:dyDescent="0.25">
      <c r="A78" s="91"/>
      <c r="B78" s="91"/>
      <c r="C78" s="91"/>
      <c r="D78" s="91"/>
      <c r="E78" s="91"/>
      <c r="F78" s="91"/>
      <c r="G78" s="91"/>
      <c r="H78" s="91"/>
      <c r="I78" s="91"/>
      <c r="J78" s="91"/>
      <c r="K78" s="91"/>
      <c r="L78" s="91"/>
    </row>
    <row r="79" spans="1:12" x14ac:dyDescent="0.25">
      <c r="A79" s="91"/>
      <c r="B79" s="91"/>
      <c r="C79" s="91"/>
      <c r="D79" s="91"/>
      <c r="E79" s="91"/>
      <c r="F79" s="91"/>
      <c r="G79" s="91"/>
      <c r="H79" s="91"/>
      <c r="I79" s="91"/>
      <c r="J79" s="91"/>
      <c r="K79" s="91"/>
      <c r="L79" s="91"/>
    </row>
    <row r="80" spans="1:12" x14ac:dyDescent="0.25">
      <c r="A80" s="91"/>
      <c r="B80" s="91"/>
      <c r="C80" s="91"/>
      <c r="D80" s="91"/>
      <c r="E80" s="91"/>
      <c r="F80" s="91"/>
      <c r="G80" s="91"/>
      <c r="H80" s="91"/>
      <c r="I80" s="91"/>
      <c r="J80" s="91"/>
      <c r="K80" s="91"/>
      <c r="L80" s="91"/>
    </row>
    <row r="81" spans="1:12" x14ac:dyDescent="0.25">
      <c r="A81" s="91"/>
      <c r="B81" s="91"/>
      <c r="C81" s="91"/>
      <c r="D81" s="91"/>
      <c r="E81" s="91"/>
      <c r="F81" s="91"/>
      <c r="G81" s="91"/>
      <c r="H81" s="91"/>
      <c r="I81" s="91"/>
      <c r="J81" s="91"/>
      <c r="K81" s="91"/>
      <c r="L81" s="91"/>
    </row>
    <row r="82" spans="1:12" x14ac:dyDescent="0.25">
      <c r="A82" s="91"/>
      <c r="B82" s="91"/>
      <c r="C82" s="91"/>
      <c r="D82" s="91"/>
      <c r="E82" s="91"/>
      <c r="F82" s="91"/>
      <c r="G82" s="91"/>
      <c r="H82" s="91"/>
      <c r="I82" s="91"/>
      <c r="J82" s="91"/>
      <c r="K82" s="91"/>
      <c r="L82" s="91"/>
    </row>
    <row r="83" spans="1:12" x14ac:dyDescent="0.25">
      <c r="A83" s="91"/>
      <c r="B83" s="91"/>
      <c r="C83" s="91"/>
      <c r="D83" s="91"/>
      <c r="E83" s="91"/>
      <c r="F83" s="91"/>
      <c r="G83" s="91"/>
      <c r="H83" s="91"/>
      <c r="I83" s="91"/>
      <c r="J83" s="91"/>
      <c r="K83" s="91"/>
      <c r="L83" s="91"/>
    </row>
    <row r="84" spans="1:12" x14ac:dyDescent="0.25">
      <c r="A84" s="91"/>
      <c r="B84" s="91"/>
      <c r="C84" s="91"/>
      <c r="D84" s="91"/>
      <c r="E84" s="91"/>
      <c r="F84" s="91"/>
      <c r="G84" s="91"/>
      <c r="H84" s="91"/>
      <c r="I84" s="91"/>
      <c r="J84" s="91"/>
      <c r="K84" s="91"/>
      <c r="L84" s="91"/>
    </row>
    <row r="85" spans="1:12" x14ac:dyDescent="0.25">
      <c r="A85" s="91"/>
      <c r="B85" s="91"/>
      <c r="C85" s="91"/>
      <c r="D85" s="91"/>
      <c r="E85" s="91"/>
      <c r="F85" s="91"/>
      <c r="G85" s="91"/>
      <c r="H85" s="91"/>
      <c r="I85" s="91"/>
      <c r="J85" s="91"/>
      <c r="K85" s="91"/>
      <c r="L85" s="91"/>
    </row>
    <row r="86" spans="1:12" x14ac:dyDescent="0.25">
      <c r="A86" s="91"/>
      <c r="B86" s="91"/>
      <c r="C86" s="91"/>
      <c r="D86" s="91"/>
      <c r="E86" s="91"/>
      <c r="F86" s="91"/>
      <c r="G86" s="91"/>
      <c r="H86" s="91"/>
      <c r="I86" s="91"/>
      <c r="J86" s="91"/>
      <c r="K86" s="91"/>
      <c r="L86" s="91"/>
    </row>
    <row r="87" spans="1:12" x14ac:dyDescent="0.25">
      <c r="A87" s="91"/>
      <c r="B87" s="91"/>
      <c r="C87" s="91"/>
      <c r="D87" s="91"/>
      <c r="E87" s="91"/>
      <c r="F87" s="91"/>
      <c r="G87" s="91"/>
      <c r="H87" s="91"/>
      <c r="I87" s="91"/>
      <c r="J87" s="91"/>
      <c r="K87" s="91"/>
      <c r="L87" s="91"/>
    </row>
    <row r="88" spans="1:12" x14ac:dyDescent="0.25">
      <c r="A88" s="91"/>
      <c r="B88" s="91"/>
      <c r="C88" s="91"/>
      <c r="D88" s="91"/>
      <c r="E88" s="91"/>
      <c r="F88" s="91"/>
      <c r="G88" s="91"/>
      <c r="H88" s="91"/>
      <c r="I88" s="91"/>
      <c r="J88" s="91"/>
      <c r="K88" s="91"/>
      <c r="L88" s="91"/>
    </row>
    <row r="89" spans="1:12" x14ac:dyDescent="0.25">
      <c r="A89" s="91"/>
      <c r="B89" s="91"/>
      <c r="C89" s="91"/>
      <c r="D89" s="91"/>
      <c r="E89" s="91"/>
      <c r="F89" s="91"/>
      <c r="G89" s="91"/>
      <c r="H89" s="91"/>
      <c r="I89" s="91"/>
      <c r="J89" s="91"/>
      <c r="K89" s="91"/>
      <c r="L89" s="91"/>
    </row>
    <row r="90" spans="1:12" x14ac:dyDescent="0.25">
      <c r="A90" s="91"/>
      <c r="B90" s="91"/>
      <c r="C90" s="91"/>
      <c r="D90" s="91"/>
      <c r="E90" s="91"/>
      <c r="F90" s="91"/>
      <c r="G90" s="91"/>
      <c r="H90" s="91"/>
      <c r="I90" s="91"/>
      <c r="J90" s="91"/>
      <c r="K90" s="91"/>
      <c r="L90" s="91"/>
    </row>
    <row r="91" spans="1:12" x14ac:dyDescent="0.25">
      <c r="A91" s="91"/>
      <c r="B91" s="91"/>
      <c r="C91" s="91"/>
      <c r="D91" s="91"/>
      <c r="E91" s="91"/>
      <c r="F91" s="91"/>
      <c r="G91" s="91"/>
      <c r="H91" s="91"/>
      <c r="I91" s="91"/>
      <c r="J91" s="91"/>
      <c r="K91" s="91"/>
      <c r="L91" s="91"/>
    </row>
    <row r="92" spans="1:12" x14ac:dyDescent="0.25">
      <c r="A92" s="91"/>
      <c r="B92" s="91"/>
      <c r="C92" s="91"/>
      <c r="D92" s="91"/>
      <c r="E92" s="91"/>
      <c r="F92" s="91"/>
      <c r="G92" s="91"/>
      <c r="H92" s="91"/>
      <c r="I92" s="91"/>
      <c r="J92" s="91"/>
      <c r="K92" s="91"/>
      <c r="L92" s="91"/>
    </row>
    <row r="93" spans="1:12" x14ac:dyDescent="0.25">
      <c r="A93" s="91"/>
      <c r="B93" s="91"/>
      <c r="C93" s="91"/>
      <c r="D93" s="91"/>
      <c r="E93" s="91"/>
      <c r="F93" s="91"/>
      <c r="G93" s="91"/>
      <c r="H93" s="91"/>
      <c r="I93" s="91"/>
      <c r="J93" s="91"/>
      <c r="K93" s="91"/>
      <c r="L93" s="91"/>
    </row>
    <row r="94" spans="1:12" x14ac:dyDescent="0.25">
      <c r="A94" s="91"/>
      <c r="B94" s="91"/>
      <c r="C94" s="91"/>
      <c r="D94" s="91"/>
      <c r="E94" s="91"/>
      <c r="F94" s="91"/>
      <c r="G94" s="91"/>
      <c r="H94" s="91"/>
      <c r="I94" s="91"/>
      <c r="J94" s="91"/>
      <c r="K94" s="91"/>
      <c r="L94" s="91"/>
    </row>
    <row r="95" spans="1:12" x14ac:dyDescent="0.25">
      <c r="A95" s="91"/>
      <c r="B95" s="91"/>
      <c r="C95" s="91"/>
      <c r="D95" s="91"/>
      <c r="E95" s="91"/>
      <c r="F95" s="91"/>
      <c r="G95" s="91"/>
      <c r="H95" s="91"/>
      <c r="I95" s="91"/>
      <c r="J95" s="91"/>
      <c r="K95" s="91"/>
      <c r="L95" s="91"/>
    </row>
    <row r="96" spans="1:12" x14ac:dyDescent="0.25">
      <c r="A96" s="91"/>
      <c r="B96" s="91"/>
      <c r="C96" s="91"/>
      <c r="D96" s="91"/>
      <c r="E96" s="91"/>
      <c r="F96" s="91"/>
      <c r="G96" s="91"/>
      <c r="H96" s="91"/>
      <c r="I96" s="91"/>
      <c r="J96" s="91"/>
      <c r="K96" s="91"/>
      <c r="L96" s="91"/>
    </row>
    <row r="97" spans="1:12" x14ac:dyDescent="0.25">
      <c r="A97" s="91"/>
      <c r="B97" s="91"/>
      <c r="C97" s="91"/>
      <c r="D97" s="91"/>
      <c r="E97" s="91"/>
      <c r="F97" s="91"/>
      <c r="G97" s="91"/>
      <c r="H97" s="91"/>
      <c r="I97" s="91"/>
      <c r="J97" s="91"/>
      <c r="K97" s="91"/>
      <c r="L97" s="91"/>
    </row>
    <row r="98" spans="1:12" x14ac:dyDescent="0.25">
      <c r="A98" s="91"/>
      <c r="B98" s="91"/>
      <c r="C98" s="91"/>
      <c r="D98" s="91"/>
      <c r="E98" s="91"/>
      <c r="F98" s="91"/>
      <c r="G98" s="91"/>
      <c r="H98" s="91"/>
      <c r="I98" s="91"/>
      <c r="J98" s="91"/>
      <c r="K98" s="91"/>
      <c r="L98" s="91"/>
    </row>
    <row r="99" spans="1:12" x14ac:dyDescent="0.25">
      <c r="A99" s="91"/>
      <c r="B99" s="91"/>
      <c r="C99" s="91"/>
      <c r="D99" s="91"/>
      <c r="E99" s="91"/>
      <c r="F99" s="91"/>
      <c r="G99" s="91"/>
      <c r="H99" s="91"/>
      <c r="I99" s="91"/>
      <c r="J99" s="91"/>
      <c r="K99" s="91"/>
      <c r="L99" s="91"/>
    </row>
    <row r="100" spans="1:12" x14ac:dyDescent="0.25">
      <c r="A100" s="91"/>
      <c r="B100" s="91"/>
      <c r="C100" s="91"/>
      <c r="D100" s="91"/>
      <c r="E100" s="91"/>
      <c r="F100" s="91"/>
      <c r="G100" s="91"/>
      <c r="H100" s="91"/>
      <c r="I100" s="91"/>
      <c r="J100" s="91"/>
      <c r="K100" s="91"/>
      <c r="L100" s="91"/>
    </row>
    <row r="101" spans="1:12" x14ac:dyDescent="0.25">
      <c r="A101" s="91"/>
      <c r="B101" s="91"/>
      <c r="C101" s="91"/>
      <c r="D101" s="91"/>
      <c r="E101" s="91"/>
      <c r="F101" s="91"/>
      <c r="G101" s="91"/>
      <c r="H101" s="91"/>
      <c r="I101" s="91"/>
      <c r="J101" s="91"/>
      <c r="K101" s="91"/>
      <c r="L101" s="91"/>
    </row>
    <row r="102" spans="1:12" x14ac:dyDescent="0.25">
      <c r="A102" s="91"/>
      <c r="B102" s="91"/>
      <c r="C102" s="91"/>
      <c r="D102" s="91"/>
      <c r="E102" s="91"/>
      <c r="F102" s="91"/>
      <c r="G102" s="91"/>
      <c r="H102" s="91"/>
      <c r="I102" s="91"/>
      <c r="J102" s="91"/>
      <c r="K102" s="91"/>
      <c r="L102" s="91"/>
    </row>
    <row r="103" spans="1:12" x14ac:dyDescent="0.25">
      <c r="A103" s="91"/>
      <c r="B103" s="91"/>
      <c r="C103" s="91"/>
      <c r="D103" s="91"/>
      <c r="E103" s="91"/>
      <c r="F103" s="91"/>
      <c r="G103" s="91"/>
      <c r="H103" s="91"/>
      <c r="I103" s="91"/>
      <c r="J103" s="91"/>
      <c r="K103" s="91"/>
      <c r="L103" s="91"/>
    </row>
    <row r="104" spans="1:12" x14ac:dyDescent="0.25">
      <c r="A104" s="91"/>
      <c r="B104" s="91"/>
      <c r="C104" s="91"/>
      <c r="D104" s="91"/>
      <c r="E104" s="91"/>
      <c r="F104" s="91"/>
      <c r="G104" s="91"/>
      <c r="H104" s="91"/>
      <c r="I104" s="91"/>
      <c r="J104" s="91"/>
      <c r="K104" s="91"/>
      <c r="L104" s="91"/>
    </row>
    <row r="105" spans="1:12" x14ac:dyDescent="0.25">
      <c r="A105" s="91"/>
      <c r="B105" s="91"/>
      <c r="C105" s="91"/>
      <c r="D105" s="91"/>
      <c r="E105" s="91"/>
      <c r="F105" s="91"/>
      <c r="G105" s="91"/>
      <c r="H105" s="91"/>
      <c r="I105" s="91"/>
      <c r="J105" s="91"/>
      <c r="K105" s="91"/>
      <c r="L105" s="91"/>
    </row>
    <row r="106" spans="1:12" x14ac:dyDescent="0.25">
      <c r="A106" s="91"/>
      <c r="B106" s="91"/>
      <c r="C106" s="91"/>
      <c r="D106" s="91"/>
      <c r="E106" s="91"/>
      <c r="F106" s="91"/>
      <c r="G106" s="91"/>
      <c r="H106" s="91"/>
      <c r="I106" s="91"/>
      <c r="J106" s="91"/>
      <c r="K106" s="91"/>
      <c r="L106" s="91"/>
    </row>
  </sheetData>
  <phoneticPr fontId="0" type="noConversion"/>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211111121111111111111111"/>
  <dimension ref="B1:H43"/>
  <sheetViews>
    <sheetView workbookViewId="0">
      <selection activeCell="C2" sqref="C2"/>
    </sheetView>
  </sheetViews>
  <sheetFormatPr defaultRowHeight="13.2" x14ac:dyDescent="0.25"/>
  <cols>
    <col min="2" max="2" width="3.109375" customWidth="1"/>
    <col min="3" max="3" width="26.109375" bestFit="1" customWidth="1"/>
    <col min="4" max="4" width="15.109375" customWidth="1"/>
    <col min="5" max="5" width="4.6640625" customWidth="1"/>
    <col min="6" max="7" width="9.109375" customWidth="1"/>
  </cols>
  <sheetData>
    <row r="1" spans="2:8" s="1" customFormat="1" ht="17.399999999999999" x14ac:dyDescent="0.3">
      <c r="C1" s="139" t="s">
        <v>219</v>
      </c>
    </row>
    <row r="2" spans="2:8" s="1" customFormat="1" ht="15.75" customHeight="1" x14ac:dyDescent="0.25">
      <c r="C2" s="1" t="s">
        <v>30</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8"/>
      <c r="F6" s="25"/>
      <c r="G6" s="25"/>
    </row>
    <row r="7" spans="2:8" s="1" customFormat="1" ht="15.75" customHeight="1" x14ac:dyDescent="0.25">
      <c r="B7" s="9"/>
      <c r="C7" s="10" t="s">
        <v>10</v>
      </c>
      <c r="D7" s="135" t="s">
        <v>43</v>
      </c>
      <c r="E7" s="11"/>
      <c r="F7" s="25"/>
      <c r="G7" s="25"/>
    </row>
    <row r="8" spans="2:8" s="1" customFormat="1" ht="15.75" customHeight="1" x14ac:dyDescent="0.25">
      <c r="B8" s="9"/>
      <c r="C8" s="10" t="s">
        <v>36</v>
      </c>
      <c r="D8" s="135" t="s">
        <v>56</v>
      </c>
      <c r="E8" s="11"/>
      <c r="F8" s="25"/>
      <c r="G8" s="25"/>
    </row>
    <row r="9" spans="2:8" s="1" customFormat="1" ht="15.75" customHeight="1" x14ac:dyDescent="0.25">
      <c r="B9" s="9"/>
      <c r="C9" s="10" t="s">
        <v>55</v>
      </c>
      <c r="D9" s="136" t="s">
        <v>57</v>
      </c>
      <c r="E9" s="11"/>
      <c r="F9" s="56"/>
      <c r="G9" s="25"/>
    </row>
    <row r="10" spans="2:8" s="1" customFormat="1" ht="15.75" customHeight="1" x14ac:dyDescent="0.25">
      <c r="B10" s="9"/>
      <c r="C10" s="10" t="s">
        <v>9</v>
      </c>
      <c r="D10" s="137" t="s">
        <v>58</v>
      </c>
      <c r="E10" s="11"/>
      <c r="F10" s="57"/>
      <c r="G10" s="25"/>
    </row>
    <row r="11" spans="2:8" s="1" customFormat="1" ht="15.75" customHeight="1" thickBot="1" x14ac:dyDescent="0.3">
      <c r="B11" s="12"/>
      <c r="C11" s="38"/>
      <c r="D11" s="45"/>
      <c r="E11" s="13"/>
      <c r="F11" s="25"/>
      <c r="G11" s="25"/>
      <c r="H11" s="23"/>
    </row>
    <row r="12" spans="2:8" ht="15.75" customHeight="1" x14ac:dyDescent="0.25">
      <c r="B12" s="25"/>
      <c r="C12" s="26"/>
      <c r="D12" s="26"/>
      <c r="E12" s="25"/>
    </row>
    <row r="13" spans="2:8" ht="15.75" customHeight="1" x14ac:dyDescent="0.3">
      <c r="B13" s="25"/>
      <c r="C13" s="27" t="s">
        <v>1</v>
      </c>
      <c r="D13" s="26"/>
      <c r="E13" s="25"/>
    </row>
    <row r="14" spans="2:8" ht="15.75" customHeight="1" thickBot="1" x14ac:dyDescent="0.3">
      <c r="B14" s="25"/>
      <c r="C14" s="26"/>
      <c r="D14" s="26"/>
      <c r="E14" s="25"/>
    </row>
    <row r="15" spans="2:8" ht="15.75" customHeight="1" x14ac:dyDescent="0.25">
      <c r="B15" s="14"/>
      <c r="C15" s="28"/>
      <c r="D15" s="28"/>
      <c r="E15" s="15"/>
      <c r="F15" s="59"/>
      <c r="G15" s="59"/>
    </row>
    <row r="16" spans="2:8" ht="15.75" customHeight="1" x14ac:dyDescent="0.25">
      <c r="B16" s="16"/>
      <c r="C16" s="18" t="s">
        <v>59</v>
      </c>
      <c r="D16" s="39"/>
      <c r="E16" s="17"/>
      <c r="F16" s="65"/>
      <c r="G16" s="59"/>
    </row>
    <row r="17" spans="2:7" ht="15.75" customHeight="1" x14ac:dyDescent="0.25">
      <c r="B17" s="16"/>
      <c r="C17" s="18" t="s">
        <v>60</v>
      </c>
      <c r="D17" s="39"/>
      <c r="E17" s="17"/>
      <c r="F17" s="66"/>
      <c r="G17" s="59"/>
    </row>
    <row r="18" spans="2:7" ht="15.75" customHeight="1" x14ac:dyDescent="0.25">
      <c r="B18" s="16"/>
      <c r="C18" s="18" t="s">
        <v>101</v>
      </c>
      <c r="D18" s="39"/>
      <c r="E18" s="17"/>
      <c r="F18" s="66"/>
      <c r="G18" s="59"/>
    </row>
    <row r="19" spans="2:7" ht="15.75" customHeight="1" x14ac:dyDescent="0.25">
      <c r="B19" s="16"/>
      <c r="C19" s="18"/>
      <c r="D19" s="39"/>
      <c r="E19" s="17"/>
      <c r="F19" s="66"/>
      <c r="G19" s="59"/>
    </row>
    <row r="20" spans="2:7" ht="15.75" customHeight="1" x14ac:dyDescent="0.4">
      <c r="B20" s="16"/>
      <c r="C20" s="18" t="s">
        <v>258</v>
      </c>
      <c r="D20" s="39"/>
      <c r="E20" s="17"/>
      <c r="F20" s="66"/>
      <c r="G20" s="59"/>
    </row>
    <row r="21" spans="2:7" ht="15.75" customHeight="1" x14ac:dyDescent="0.4">
      <c r="B21" s="16"/>
      <c r="C21" s="18" t="s">
        <v>257</v>
      </c>
      <c r="D21" s="39"/>
      <c r="E21" s="17"/>
      <c r="F21" s="66"/>
      <c r="G21" s="59"/>
    </row>
    <row r="22" spans="2:7" ht="15.75" customHeight="1" x14ac:dyDescent="0.25">
      <c r="B22" s="16"/>
      <c r="C22" s="18"/>
      <c r="D22" s="39"/>
      <c r="E22" s="17"/>
      <c r="F22" s="66"/>
      <c r="G22" s="59"/>
    </row>
    <row r="23" spans="2:7" ht="15.75" customHeight="1" x14ac:dyDescent="0.4">
      <c r="B23" s="16"/>
      <c r="C23" s="18" t="s">
        <v>259</v>
      </c>
      <c r="D23" s="39"/>
      <c r="E23" s="17"/>
      <c r="F23" s="66"/>
      <c r="G23" s="59"/>
    </row>
    <row r="24" spans="2:7" ht="15.75" customHeight="1" x14ac:dyDescent="0.4">
      <c r="B24" s="16"/>
      <c r="C24" s="18" t="s">
        <v>260</v>
      </c>
      <c r="D24" s="39"/>
      <c r="E24" s="17"/>
      <c r="F24" s="66"/>
      <c r="G24" s="59"/>
    </row>
    <row r="25" spans="2:7" s="1" customFormat="1" ht="15.75" customHeight="1" thickBot="1" x14ac:dyDescent="0.3">
      <c r="B25" s="19"/>
      <c r="C25" s="20"/>
      <c r="D25" s="20"/>
      <c r="E25" s="21"/>
      <c r="F25" s="25"/>
      <c r="G25" s="25"/>
    </row>
    <row r="26" spans="2:7" ht="15.75" customHeight="1" x14ac:dyDescent="0.25">
      <c r="B26" s="4"/>
      <c r="C26" s="4"/>
      <c r="D26" s="4"/>
      <c r="E26" s="4"/>
    </row>
    <row r="27" spans="2:7" ht="15.75" customHeight="1" x14ac:dyDescent="0.25">
      <c r="B27" s="4"/>
      <c r="C27" s="4"/>
      <c r="D27" s="4"/>
      <c r="E27" s="4"/>
    </row>
    <row r="28" spans="2:7" ht="15.75" customHeight="1" x14ac:dyDescent="0.25">
      <c r="B28" s="1"/>
      <c r="C28" s="1"/>
      <c r="D28" s="1"/>
      <c r="E28" s="1"/>
    </row>
    <row r="29" spans="2:7" ht="15.75" customHeight="1" x14ac:dyDescent="0.25">
      <c r="B29" s="1"/>
      <c r="C29" s="1"/>
      <c r="D29" s="1"/>
      <c r="E29" s="1"/>
    </row>
    <row r="30" spans="2:7" ht="15.75" customHeight="1" x14ac:dyDescent="0.25"/>
    <row r="31" spans="2:7" ht="15.75" customHeight="1" x14ac:dyDescent="0.25"/>
    <row r="32" spans="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sheetData>
  <phoneticPr fontId="0" type="noConversion"/>
  <pageMargins left="0.75" right="0.75" top="1" bottom="1" header="0.5" footer="0.5"/>
  <pageSetup orientation="portrait" horizontalDpi="3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21111112111111111"/>
  <dimension ref="B1:F66"/>
  <sheetViews>
    <sheetView workbookViewId="0">
      <selection activeCell="C2" sqref="C2"/>
    </sheetView>
  </sheetViews>
  <sheetFormatPr defaultRowHeight="13.2" x14ac:dyDescent="0.25"/>
  <cols>
    <col min="2" max="2" width="3.109375" customWidth="1"/>
    <col min="3" max="3" width="27.5546875" customWidth="1"/>
    <col min="4" max="4" width="15.109375" customWidth="1"/>
    <col min="5" max="5" width="3.109375" customWidth="1"/>
  </cols>
  <sheetData>
    <row r="1" spans="2:6" s="1" customFormat="1" ht="17.399999999999999" x14ac:dyDescent="0.3">
      <c r="C1" s="139" t="s">
        <v>219</v>
      </c>
    </row>
    <row r="2" spans="2:6" s="1" customFormat="1" ht="15.75" customHeight="1" x14ac:dyDescent="0.25">
      <c r="C2" s="1" t="s">
        <v>33</v>
      </c>
    </row>
    <row r="3" spans="2:6" s="1" customFormat="1" ht="15.75" customHeight="1" x14ac:dyDescent="0.25"/>
    <row r="4" spans="2:6" s="1" customFormat="1" ht="15.75" customHeight="1" x14ac:dyDescent="0.3">
      <c r="C4" s="2" t="s">
        <v>0</v>
      </c>
    </row>
    <row r="5" spans="2:6" s="1" customFormat="1" ht="15.75" customHeight="1" thickBot="1" x14ac:dyDescent="0.35">
      <c r="C5" s="3"/>
    </row>
    <row r="6" spans="2:6" s="1" customFormat="1" ht="15.75" customHeight="1" x14ac:dyDescent="0.3">
      <c r="B6" s="5"/>
      <c r="C6" s="6"/>
      <c r="D6" s="7"/>
      <c r="E6" s="8"/>
    </row>
    <row r="7" spans="2:6" s="1" customFormat="1" ht="15.75" customHeight="1" x14ac:dyDescent="0.25">
      <c r="B7" s="9"/>
      <c r="C7" s="10" t="s">
        <v>24</v>
      </c>
      <c r="D7" s="115">
        <v>8700</v>
      </c>
      <c r="E7" s="11"/>
    </row>
    <row r="8" spans="2:6" s="1" customFormat="1" ht="15.75" customHeight="1" x14ac:dyDescent="0.25">
      <c r="B8" s="9"/>
      <c r="C8" s="10" t="s">
        <v>15</v>
      </c>
      <c r="D8" s="115">
        <v>-3900</v>
      </c>
      <c r="E8" s="11"/>
      <c r="F8" s="23"/>
    </row>
    <row r="9" spans="2:6" s="1" customFormat="1" ht="15.75" customHeight="1" x14ac:dyDescent="0.25">
      <c r="B9" s="9"/>
      <c r="C9" s="10" t="s">
        <v>16</v>
      </c>
      <c r="D9" s="115">
        <v>-2900</v>
      </c>
      <c r="E9" s="11"/>
      <c r="F9" s="23"/>
    </row>
    <row r="10" spans="2:6" s="1" customFormat="1" ht="15.75" customHeight="1" x14ac:dyDescent="0.25">
      <c r="B10" s="9"/>
      <c r="C10" s="10" t="s">
        <v>17</v>
      </c>
      <c r="D10" s="115">
        <v>-2300</v>
      </c>
      <c r="E10" s="11"/>
      <c r="F10" s="23"/>
    </row>
    <row r="11" spans="2:6" s="1" customFormat="1" ht="15.75" customHeight="1" x14ac:dyDescent="0.25">
      <c r="B11" s="9"/>
      <c r="C11" s="10" t="s">
        <v>18</v>
      </c>
      <c r="D11" s="115">
        <v>-1800</v>
      </c>
      <c r="E11" s="11"/>
      <c r="F11" s="23"/>
    </row>
    <row r="12" spans="2:6" s="1" customFormat="1" ht="15.75" customHeight="1" x14ac:dyDescent="0.25">
      <c r="B12" s="9"/>
      <c r="C12" s="10"/>
      <c r="D12" s="117"/>
      <c r="E12" s="11"/>
      <c r="F12" s="23"/>
    </row>
    <row r="13" spans="2:6" s="1" customFormat="1" ht="15.75" customHeight="1" x14ac:dyDescent="0.25">
      <c r="B13" s="9" t="s">
        <v>103</v>
      </c>
      <c r="C13" s="10" t="s">
        <v>36</v>
      </c>
      <c r="D13" s="118">
        <v>0.1</v>
      </c>
      <c r="E13" s="11"/>
      <c r="F13" s="23"/>
    </row>
    <row r="14" spans="2:6" s="1" customFormat="1" ht="15.75" customHeight="1" x14ac:dyDescent="0.25">
      <c r="B14" s="9" t="s">
        <v>118</v>
      </c>
      <c r="C14" s="10" t="s">
        <v>36</v>
      </c>
      <c r="D14" s="118">
        <v>0.2</v>
      </c>
      <c r="E14" s="11"/>
      <c r="F14" s="23"/>
    </row>
    <row r="15" spans="2:6" s="1" customFormat="1" ht="15.75" customHeight="1" thickBot="1" x14ac:dyDescent="0.3">
      <c r="B15" s="12"/>
      <c r="C15" s="38"/>
      <c r="D15" s="38"/>
      <c r="E15" s="13"/>
      <c r="F15" s="23"/>
    </row>
    <row r="16" spans="2:6" ht="15.75" customHeight="1" x14ac:dyDescent="0.25">
      <c r="B16" s="25"/>
      <c r="C16" s="26"/>
    </row>
    <row r="17" spans="2:5" ht="15.75" customHeight="1" x14ac:dyDescent="0.3">
      <c r="B17" s="25"/>
      <c r="C17" s="27" t="s">
        <v>1</v>
      </c>
    </row>
    <row r="18" spans="2:5" ht="15.75" customHeight="1" thickBot="1" x14ac:dyDescent="0.3">
      <c r="B18" s="25"/>
      <c r="C18" s="26"/>
    </row>
    <row r="19" spans="2:5" ht="15.75" customHeight="1" x14ac:dyDescent="0.25">
      <c r="B19" s="14"/>
      <c r="C19" s="28"/>
      <c r="D19" s="48"/>
      <c r="E19" s="49"/>
    </row>
    <row r="20" spans="2:5" ht="15.75" customHeight="1" x14ac:dyDescent="0.3">
      <c r="B20" s="16" t="s">
        <v>102</v>
      </c>
      <c r="C20" s="18" t="s">
        <v>28</v>
      </c>
      <c r="D20" s="70">
        <f>IRR(D7:D11,0.2)</f>
        <v>0.11214465079862035</v>
      </c>
      <c r="E20" s="51"/>
    </row>
    <row r="21" spans="2:5" ht="15.75" customHeight="1" x14ac:dyDescent="0.3">
      <c r="B21" s="16"/>
      <c r="C21" s="18"/>
      <c r="D21" s="124"/>
      <c r="E21" s="51"/>
    </row>
    <row r="22" spans="2:5" ht="15.75" customHeight="1" x14ac:dyDescent="0.3">
      <c r="B22" s="16"/>
      <c r="C22" s="18" t="s">
        <v>120</v>
      </c>
      <c r="D22" s="124"/>
      <c r="E22" s="51"/>
    </row>
    <row r="23" spans="2:5" ht="15.75" customHeight="1" x14ac:dyDescent="0.3">
      <c r="B23" s="16"/>
      <c r="C23" s="18" t="s">
        <v>121</v>
      </c>
      <c r="D23" s="124"/>
      <c r="E23" s="51"/>
    </row>
    <row r="24" spans="2:5" ht="15.75" customHeight="1" x14ac:dyDescent="0.3">
      <c r="B24" s="16"/>
      <c r="C24" s="18"/>
      <c r="D24" s="119"/>
      <c r="E24" s="51"/>
    </row>
    <row r="25" spans="2:5" ht="15.75" customHeight="1" x14ac:dyDescent="0.3">
      <c r="B25" s="16" t="s">
        <v>103</v>
      </c>
      <c r="C25" s="141" t="str">
        <f>IF(D20&gt;D13,"Reject the project.","Accept the project.")</f>
        <v>Reject the project.</v>
      </c>
      <c r="D25" s="151"/>
      <c r="E25" s="51"/>
    </row>
    <row r="26" spans="2:5" ht="15.75" customHeight="1" x14ac:dyDescent="0.3">
      <c r="B26" s="16"/>
      <c r="C26" s="18"/>
      <c r="D26" s="141"/>
      <c r="E26" s="51"/>
    </row>
    <row r="27" spans="2:5" ht="15.75" customHeight="1" x14ac:dyDescent="0.3">
      <c r="B27" s="16" t="s">
        <v>118</v>
      </c>
      <c r="C27" s="141" t="str">
        <f>IF(D20&gt;D14,"Reject the project.","Accept the project.")</f>
        <v>Accept the project.</v>
      </c>
      <c r="D27" s="141"/>
      <c r="E27" s="51"/>
    </row>
    <row r="28" spans="2:5" ht="15.75" customHeight="1" x14ac:dyDescent="0.3">
      <c r="B28" s="16"/>
      <c r="C28" s="18"/>
      <c r="D28" s="141"/>
      <c r="E28" s="51"/>
    </row>
    <row r="29" spans="2:5" ht="15.75" customHeight="1" x14ac:dyDescent="0.3">
      <c r="B29" s="16" t="s">
        <v>119</v>
      </c>
      <c r="C29" s="18" t="str">
        <f>"NPV at "&amp;D13*100&amp;"%"</f>
        <v>NPV at 10%</v>
      </c>
      <c r="D29" s="111">
        <f>NPV(D13,D8:D11)+D7</f>
        <v>-199.59702206133261</v>
      </c>
      <c r="E29" s="51"/>
    </row>
    <row r="30" spans="2:5" ht="15.75" customHeight="1" x14ac:dyDescent="0.3">
      <c r="B30" s="16"/>
      <c r="C30" s="18"/>
      <c r="D30" s="150"/>
      <c r="E30" s="51"/>
    </row>
    <row r="31" spans="2:5" ht="15.75" customHeight="1" x14ac:dyDescent="0.3">
      <c r="B31" s="16"/>
      <c r="C31" s="18" t="str">
        <f>"NPV at "&amp;D14*100&amp;"%"</f>
        <v>NPV at 20%</v>
      </c>
      <c r="D31" s="111">
        <f>NPV(D14,D8:D11)+D7</f>
        <v>1237.0370370370374</v>
      </c>
      <c r="E31" s="51"/>
    </row>
    <row r="32" spans="2:5" ht="15.75" customHeight="1" x14ac:dyDescent="0.3">
      <c r="B32" s="16"/>
      <c r="C32" s="18"/>
      <c r="D32" s="120"/>
      <c r="E32" s="51"/>
    </row>
    <row r="33" spans="2:5" ht="15.75" customHeight="1" x14ac:dyDescent="0.3">
      <c r="B33" s="16" t="s">
        <v>122</v>
      </c>
      <c r="C33" s="18" t="s">
        <v>123</v>
      </c>
      <c r="D33" s="120"/>
      <c r="E33" s="51"/>
    </row>
    <row r="34" spans="2:5" ht="15.75" customHeight="1" x14ac:dyDescent="0.25">
      <c r="B34" s="16"/>
      <c r="C34" s="18" t="s">
        <v>124</v>
      </c>
      <c r="D34" s="18"/>
      <c r="E34" s="51"/>
    </row>
    <row r="35" spans="2:5" ht="15.75" customHeight="1" x14ac:dyDescent="0.25">
      <c r="B35" s="16"/>
      <c r="C35" s="18" t="s">
        <v>125</v>
      </c>
      <c r="D35" s="18"/>
      <c r="E35" s="51"/>
    </row>
    <row r="36" spans="2:5" s="1" customFormat="1" ht="15.75" customHeight="1" thickBot="1" x14ac:dyDescent="0.3">
      <c r="B36" s="19"/>
      <c r="C36" s="20"/>
      <c r="D36" s="20"/>
      <c r="E36" s="21"/>
    </row>
    <row r="37" spans="2:5" ht="15.75" customHeight="1" x14ac:dyDescent="0.25">
      <c r="B37" s="4"/>
      <c r="C37" s="4"/>
    </row>
    <row r="38" spans="2:5" ht="15.75" customHeight="1" x14ac:dyDescent="0.25">
      <c r="B38" s="4"/>
      <c r="C38" s="4"/>
    </row>
    <row r="39" spans="2:5" ht="15.75" customHeight="1" x14ac:dyDescent="0.25">
      <c r="B39" s="1"/>
      <c r="C39" s="1"/>
    </row>
    <row r="40" spans="2:5" ht="15.75" customHeight="1" x14ac:dyDescent="0.25">
      <c r="B40" s="1"/>
      <c r="C40" s="1"/>
    </row>
    <row r="41" spans="2:5" ht="15.75" customHeight="1" x14ac:dyDescent="0.25"/>
    <row r="42" spans="2:5" ht="15.75" customHeight="1" x14ac:dyDescent="0.25"/>
    <row r="43" spans="2:5" ht="15.75" customHeight="1" x14ac:dyDescent="0.25"/>
    <row r="44" spans="2:5" ht="15.75" customHeight="1" x14ac:dyDescent="0.25"/>
    <row r="45" spans="2:5" ht="15.75" customHeight="1" x14ac:dyDescent="0.25"/>
    <row r="46" spans="2:5" ht="15.75" customHeight="1" x14ac:dyDescent="0.25"/>
    <row r="47" spans="2:5" ht="15.75" customHeight="1" x14ac:dyDescent="0.25"/>
    <row r="48" spans="2: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sheetData>
  <phoneticPr fontId="0" type="noConversion"/>
  <pageMargins left="0.75" right="0.75" top="1" bottom="1" header="0.5" footer="0.5"/>
  <pageSetup orientation="portrait" horizont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211111121111111111"/>
  <dimension ref="B1:H39"/>
  <sheetViews>
    <sheetView tabSelected="1" topLeftCell="A7" workbookViewId="0">
      <selection activeCell="D24" sqref="D24"/>
    </sheetView>
  </sheetViews>
  <sheetFormatPr defaultRowHeight="13.2" x14ac:dyDescent="0.25"/>
  <cols>
    <col min="2" max="2" width="3.109375" customWidth="1"/>
    <col min="3" max="3" width="22.33203125" bestFit="1" customWidth="1"/>
    <col min="4" max="5" width="15.109375" customWidth="1"/>
    <col min="6" max="6" width="3.109375" customWidth="1"/>
  </cols>
  <sheetData>
    <row r="1" spans="2:7" s="1" customFormat="1" ht="17.399999999999999" x14ac:dyDescent="0.3">
      <c r="C1" s="139" t="s">
        <v>219</v>
      </c>
    </row>
    <row r="2" spans="2:7" s="1" customFormat="1" ht="15.75" customHeight="1" x14ac:dyDescent="0.25">
      <c r="C2" s="1" t="s">
        <v>34</v>
      </c>
    </row>
    <row r="3" spans="2:7" s="1" customFormat="1" ht="15.75" customHeight="1" x14ac:dyDescent="0.25"/>
    <row r="4" spans="2:7" s="1" customFormat="1" ht="15.75" customHeight="1" x14ac:dyDescent="0.3">
      <c r="C4" s="2" t="s">
        <v>0</v>
      </c>
    </row>
    <row r="5" spans="2:7" s="1" customFormat="1" ht="15.75" customHeight="1" thickBot="1" x14ac:dyDescent="0.35">
      <c r="C5" s="3"/>
      <c r="D5" s="4"/>
    </row>
    <row r="6" spans="2:7" s="1" customFormat="1" ht="15.75" customHeight="1" x14ac:dyDescent="0.3">
      <c r="B6" s="5"/>
      <c r="C6" s="6"/>
      <c r="D6" s="7"/>
      <c r="E6" s="7"/>
      <c r="F6" s="8"/>
    </row>
    <row r="7" spans="2:7" s="1" customFormat="1" ht="15.75" customHeight="1" x14ac:dyDescent="0.3">
      <c r="B7" s="9"/>
      <c r="C7" s="37" t="s">
        <v>27</v>
      </c>
      <c r="D7" s="44" t="s">
        <v>126</v>
      </c>
      <c r="E7" s="46" t="s">
        <v>127</v>
      </c>
      <c r="F7" s="11"/>
    </row>
    <row r="8" spans="2:7" s="1" customFormat="1" ht="15.75" customHeight="1" x14ac:dyDescent="0.25">
      <c r="B8" s="9"/>
      <c r="C8" s="10" t="s">
        <v>24</v>
      </c>
      <c r="D8" s="113">
        <v>-725000</v>
      </c>
      <c r="E8" s="115">
        <v>-1450000</v>
      </c>
      <c r="F8" s="11"/>
    </row>
    <row r="9" spans="2:7" s="1" customFormat="1" ht="15.75" customHeight="1" x14ac:dyDescent="0.25">
      <c r="B9" s="9"/>
      <c r="C9" s="10" t="s">
        <v>15</v>
      </c>
      <c r="D9" s="116">
        <v>270000</v>
      </c>
      <c r="E9" s="115">
        <v>820000</v>
      </c>
      <c r="F9" s="11"/>
      <c r="G9" s="23"/>
    </row>
    <row r="10" spans="2:7" s="1" customFormat="1" ht="15.75" customHeight="1" x14ac:dyDescent="0.25">
      <c r="B10" s="9"/>
      <c r="C10" s="10" t="s">
        <v>16</v>
      </c>
      <c r="D10" s="116">
        <v>420000</v>
      </c>
      <c r="E10" s="115">
        <v>650000</v>
      </c>
      <c r="F10" s="11"/>
      <c r="G10" s="23"/>
    </row>
    <row r="11" spans="2:7" s="1" customFormat="1" ht="15.75" customHeight="1" x14ac:dyDescent="0.25">
      <c r="B11" s="9"/>
      <c r="C11" s="10" t="s">
        <v>17</v>
      </c>
      <c r="D11" s="116">
        <v>380000</v>
      </c>
      <c r="E11" s="115">
        <v>540000</v>
      </c>
      <c r="F11" s="11"/>
      <c r="G11" s="23"/>
    </row>
    <row r="12" spans="2:7" s="1" customFormat="1" ht="15.75" customHeight="1" x14ac:dyDescent="0.25">
      <c r="B12" s="9"/>
      <c r="C12" s="10"/>
      <c r="D12" s="95"/>
      <c r="E12" s="117"/>
      <c r="F12" s="11"/>
      <c r="G12" s="23"/>
    </row>
    <row r="13" spans="2:7" s="1" customFormat="1" ht="15.75" customHeight="1" x14ac:dyDescent="0.25">
      <c r="B13" s="9"/>
      <c r="C13" s="10" t="s">
        <v>19</v>
      </c>
      <c r="D13" s="99">
        <v>0.14000000000000001</v>
      </c>
      <c r="E13" s="117"/>
      <c r="F13" s="11"/>
      <c r="G13" s="23"/>
    </row>
    <row r="14" spans="2:7" s="1" customFormat="1" ht="15.75" customHeight="1" thickBot="1" x14ac:dyDescent="0.3">
      <c r="B14" s="12"/>
      <c r="C14" s="38"/>
      <c r="D14" s="45"/>
      <c r="E14" s="38"/>
      <c r="F14" s="13"/>
      <c r="G14" s="23"/>
    </row>
    <row r="15" spans="2:7" ht="15.75" customHeight="1" x14ac:dyDescent="0.25">
      <c r="B15" s="25"/>
      <c r="C15" s="26"/>
      <c r="D15" s="26"/>
    </row>
    <row r="16" spans="2:7" ht="15.75" customHeight="1" x14ac:dyDescent="0.3">
      <c r="B16" s="25"/>
      <c r="C16" s="27" t="s">
        <v>1</v>
      </c>
      <c r="D16" s="26"/>
    </row>
    <row r="17" spans="2:8" ht="15.75" customHeight="1" thickBot="1" x14ac:dyDescent="0.3">
      <c r="B17" s="25"/>
      <c r="C17" s="26"/>
      <c r="D17" s="26"/>
    </row>
    <row r="18" spans="2:8" ht="15.75" customHeight="1" x14ac:dyDescent="0.25">
      <c r="B18" s="14"/>
      <c r="C18" s="28"/>
      <c r="D18" s="28"/>
      <c r="E18" s="48"/>
      <c r="F18" s="49"/>
    </row>
    <row r="19" spans="2:8" ht="15.75" customHeight="1" x14ac:dyDescent="0.3">
      <c r="B19" s="16" t="s">
        <v>102</v>
      </c>
      <c r="C19" s="18" t="s">
        <v>130</v>
      </c>
      <c r="D19" s="70">
        <f>IRR(D8:D11,0.01)</f>
        <v>0.20958544596290074</v>
      </c>
      <c r="E19" s="101"/>
      <c r="F19" s="51"/>
    </row>
    <row r="20" spans="2:8" ht="15.75" customHeight="1" x14ac:dyDescent="0.3">
      <c r="B20" s="16"/>
      <c r="C20" s="18" t="s">
        <v>131</v>
      </c>
      <c r="D20" s="70">
        <f>IRR(E8:E11,0.01)</f>
        <v>0.19868139136533225</v>
      </c>
      <c r="E20" s="101"/>
      <c r="F20" s="51"/>
    </row>
    <row r="21" spans="2:8" ht="15.75" customHeight="1" x14ac:dyDescent="0.3">
      <c r="B21" s="16"/>
      <c r="C21" s="18"/>
      <c r="D21" s="42"/>
      <c r="E21" s="124"/>
      <c r="F21" s="51"/>
    </row>
    <row r="22" spans="2:8" ht="15.75" customHeight="1" x14ac:dyDescent="0.3">
      <c r="B22" s="16" t="s">
        <v>103</v>
      </c>
      <c r="C22" s="18"/>
      <c r="D22" s="42" t="s">
        <v>128</v>
      </c>
      <c r="E22" s="124"/>
      <c r="F22" s="51"/>
    </row>
    <row r="23" spans="2:8" ht="15.75" customHeight="1" x14ac:dyDescent="0.3">
      <c r="B23" s="16"/>
      <c r="C23" s="18" t="s">
        <v>24</v>
      </c>
      <c r="D23" s="94">
        <f>IF($E$8&lt;$D$8,E8-D8,D8-E8)</f>
        <v>-725000</v>
      </c>
      <c r="E23" s="124"/>
      <c r="F23" s="51"/>
    </row>
    <row r="24" spans="2:8" ht="15.75" customHeight="1" x14ac:dyDescent="0.3">
      <c r="B24" s="16"/>
      <c r="C24" s="18" t="s">
        <v>15</v>
      </c>
      <c r="D24" s="94">
        <f>IF($E$8&lt;$D$8,E9-D9,D9-E9)</f>
        <v>550000</v>
      </c>
      <c r="E24" s="124"/>
      <c r="F24" s="51"/>
    </row>
    <row r="25" spans="2:8" ht="15.75" customHeight="1" x14ac:dyDescent="0.3">
      <c r="B25" s="16"/>
      <c r="C25" s="18" t="s">
        <v>16</v>
      </c>
      <c r="D25" s="94">
        <f>IF($E$8&lt;$D$8,E10-D10,D10-E10)</f>
        <v>230000</v>
      </c>
      <c r="E25" s="124"/>
      <c r="F25" s="51"/>
    </row>
    <row r="26" spans="2:8" ht="15.75" customHeight="1" x14ac:dyDescent="0.3">
      <c r="B26" s="16"/>
      <c r="C26" s="18" t="s">
        <v>17</v>
      </c>
      <c r="D26" s="94">
        <f>IF($E$8&lt;$D$8,E11-D11,D11-E11)</f>
        <v>160000</v>
      </c>
      <c r="E26" s="124"/>
      <c r="F26" s="51"/>
    </row>
    <row r="27" spans="2:8" ht="15.75" customHeight="1" x14ac:dyDescent="0.25">
      <c r="B27" s="16"/>
      <c r="C27" s="18"/>
      <c r="D27" s="42"/>
      <c r="E27" s="50"/>
      <c r="F27" s="51"/>
      <c r="H27" s="125"/>
    </row>
    <row r="28" spans="2:8" ht="15.75" customHeight="1" x14ac:dyDescent="0.3">
      <c r="B28" s="16"/>
      <c r="C28" s="18" t="s">
        <v>129</v>
      </c>
      <c r="D28" s="70">
        <f>IRR(D23:D26)</f>
        <v>0.18399183025548971</v>
      </c>
      <c r="E28" s="101"/>
      <c r="F28" s="51"/>
    </row>
    <row r="29" spans="2:8" ht="15.75" customHeight="1" x14ac:dyDescent="0.25">
      <c r="B29" s="16"/>
      <c r="C29" s="18"/>
      <c r="D29" s="42"/>
      <c r="E29" s="18"/>
      <c r="F29" s="51"/>
    </row>
    <row r="30" spans="2:8" ht="15.75" customHeight="1" x14ac:dyDescent="0.3">
      <c r="B30" s="16" t="s">
        <v>118</v>
      </c>
      <c r="C30" s="18" t="s">
        <v>132</v>
      </c>
      <c r="D30" s="134">
        <f>NPV(D13,D9:D11)+D8</f>
        <v>91507.643377449247</v>
      </c>
      <c r="E30" s="54"/>
      <c r="F30" s="51"/>
    </row>
    <row r="31" spans="2:8" ht="15.75" customHeight="1" x14ac:dyDescent="0.25">
      <c r="B31" s="16"/>
      <c r="C31" s="52"/>
      <c r="D31" s="123"/>
      <c r="E31" s="123"/>
      <c r="F31" s="51"/>
    </row>
    <row r="32" spans="2:8" ht="15.75" customHeight="1" x14ac:dyDescent="0.3">
      <c r="B32" s="16"/>
      <c r="C32" s="62" t="s">
        <v>133</v>
      </c>
      <c r="D32" s="134">
        <f>NPV(D13,E9:E11)+E8</f>
        <v>133936.75786881777</v>
      </c>
      <c r="E32" s="123"/>
      <c r="F32" s="51"/>
    </row>
    <row r="33" spans="2:6" s="1" customFormat="1" ht="15.75" customHeight="1" thickBot="1" x14ac:dyDescent="0.3">
      <c r="B33" s="19"/>
      <c r="C33" s="20"/>
      <c r="D33" s="20"/>
      <c r="E33" s="20"/>
      <c r="F33" s="21"/>
    </row>
    <row r="34" spans="2:6" ht="15.75" customHeight="1" x14ac:dyDescent="0.25">
      <c r="B34" s="4"/>
      <c r="C34" s="4"/>
      <c r="D34" s="4"/>
    </row>
    <row r="35" spans="2:6" ht="15.75" customHeight="1" x14ac:dyDescent="0.25">
      <c r="B35" s="4"/>
      <c r="C35" s="4"/>
      <c r="D35" s="4"/>
    </row>
    <row r="36" spans="2:6" ht="15.75" customHeight="1" x14ac:dyDescent="0.25">
      <c r="B36" s="1"/>
      <c r="C36" s="1"/>
      <c r="D36" s="1"/>
    </row>
    <row r="37" spans="2:6" ht="15.75" customHeight="1" x14ac:dyDescent="0.25">
      <c r="B37" s="1"/>
      <c r="C37" s="1"/>
      <c r="D37" s="1"/>
    </row>
    <row r="38" spans="2:6" ht="15.75" customHeight="1" x14ac:dyDescent="0.25"/>
    <row r="39" spans="2:6" ht="15.75" customHeight="1" x14ac:dyDescent="0.25"/>
  </sheetData>
  <phoneticPr fontId="0" type="noConversion"/>
  <pageMargins left="0.75" right="0.75" top="1" bottom="1" header="0.5" footer="0.5"/>
  <pageSetup orientation="portrait" horizont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211111121111111111111"/>
  <dimension ref="B1:H67"/>
  <sheetViews>
    <sheetView workbookViewId="0">
      <selection activeCell="C2" sqref="C2"/>
    </sheetView>
  </sheetViews>
  <sheetFormatPr defaultRowHeight="13.2" x14ac:dyDescent="0.25"/>
  <cols>
    <col min="2" max="2" width="3.109375" customWidth="1"/>
    <col min="3" max="3" width="26.109375" bestFit="1" customWidth="1"/>
    <col min="4" max="4" width="15.109375" customWidth="1"/>
    <col min="5" max="5" width="3.109375" customWidth="1"/>
    <col min="6" max="6" width="15.109375" customWidth="1"/>
    <col min="7" max="7" width="3.109375" customWidth="1"/>
  </cols>
  <sheetData>
    <row r="1" spans="2:8" s="1" customFormat="1" ht="17.399999999999999" x14ac:dyDescent="0.3">
      <c r="C1" s="139" t="s">
        <v>219</v>
      </c>
    </row>
    <row r="2" spans="2:8" s="1" customFormat="1" ht="15" x14ac:dyDescent="0.25">
      <c r="C2" s="1" t="s">
        <v>35</v>
      </c>
    </row>
    <row r="3" spans="2:8" s="1" customFormat="1" ht="15" x14ac:dyDescent="0.25"/>
    <row r="4" spans="2:8" s="1" customFormat="1" ht="15.6" x14ac:dyDescent="0.3">
      <c r="C4" s="2" t="s">
        <v>0</v>
      </c>
    </row>
    <row r="5" spans="2:8" s="1" customFormat="1" ht="16.2" thickBot="1" x14ac:dyDescent="0.35">
      <c r="C5" s="3"/>
      <c r="D5" s="4"/>
    </row>
    <row r="6" spans="2:8" s="1" customFormat="1" ht="15.6" x14ac:dyDescent="0.3">
      <c r="B6" s="5"/>
      <c r="C6" s="6"/>
      <c r="D6" s="7"/>
      <c r="E6" s="7"/>
      <c r="F6" s="7"/>
      <c r="G6" s="8"/>
    </row>
    <row r="7" spans="2:8" s="1" customFormat="1" ht="15.6" x14ac:dyDescent="0.3">
      <c r="B7" s="9"/>
      <c r="C7" s="37" t="s">
        <v>27</v>
      </c>
      <c r="D7" s="44" t="s">
        <v>43</v>
      </c>
      <c r="E7" s="10"/>
      <c r="F7" s="46" t="s">
        <v>44</v>
      </c>
      <c r="G7" s="11"/>
    </row>
    <row r="8" spans="2:8" s="1" customFormat="1" ht="15" x14ac:dyDescent="0.25">
      <c r="B8" s="9"/>
      <c r="C8" s="10" t="s">
        <v>24</v>
      </c>
      <c r="D8" s="113">
        <v>-45000</v>
      </c>
      <c r="E8" s="115"/>
      <c r="F8" s="115">
        <v>-19800</v>
      </c>
      <c r="G8" s="11"/>
    </row>
    <row r="9" spans="2:8" s="1" customFormat="1" ht="15" x14ac:dyDescent="0.25">
      <c r="B9" s="9"/>
      <c r="C9" s="10" t="s">
        <v>15</v>
      </c>
      <c r="D9" s="116">
        <v>23200</v>
      </c>
      <c r="E9" s="115"/>
      <c r="F9" s="115">
        <v>11700</v>
      </c>
      <c r="G9" s="11"/>
      <c r="H9" s="23"/>
    </row>
    <row r="10" spans="2:8" s="1" customFormat="1" ht="15" x14ac:dyDescent="0.25">
      <c r="B10" s="9"/>
      <c r="C10" s="10" t="s">
        <v>16</v>
      </c>
      <c r="D10" s="116">
        <v>23200</v>
      </c>
      <c r="E10" s="115"/>
      <c r="F10" s="115">
        <v>11700</v>
      </c>
      <c r="G10" s="11"/>
      <c r="H10" s="23"/>
    </row>
    <row r="11" spans="2:8" s="1" customFormat="1" ht="15" x14ac:dyDescent="0.25">
      <c r="B11" s="9"/>
      <c r="C11" s="10" t="s">
        <v>17</v>
      </c>
      <c r="D11" s="116">
        <v>23200</v>
      </c>
      <c r="E11" s="115"/>
      <c r="F11" s="115">
        <v>11700</v>
      </c>
      <c r="G11" s="11"/>
      <c r="H11" s="23"/>
    </row>
    <row r="12" spans="2:8" s="1" customFormat="1" ht="15" x14ac:dyDescent="0.25">
      <c r="B12" s="9"/>
      <c r="C12" s="10"/>
      <c r="D12" s="127"/>
      <c r="E12" s="126"/>
      <c r="F12" s="126"/>
      <c r="G12" s="11"/>
      <c r="H12" s="23"/>
    </row>
    <row r="13" spans="2:8" s="1" customFormat="1" ht="15" x14ac:dyDescent="0.25">
      <c r="B13" s="9"/>
      <c r="C13" s="10" t="s">
        <v>36</v>
      </c>
      <c r="D13" s="128"/>
      <c r="E13" s="126"/>
      <c r="F13" s="129">
        <v>0.1</v>
      </c>
      <c r="G13" s="11"/>
      <c r="H13" s="23"/>
    </row>
    <row r="14" spans="2:8" s="1" customFormat="1" ht="15.6" thickBot="1" x14ac:dyDescent="0.3">
      <c r="B14" s="12"/>
      <c r="C14" s="38"/>
      <c r="D14" s="45"/>
      <c r="E14" s="38"/>
      <c r="F14" s="38"/>
      <c r="G14" s="13"/>
      <c r="H14" s="23"/>
    </row>
    <row r="15" spans="2:8" ht="15" x14ac:dyDescent="0.25">
      <c r="B15" s="25"/>
      <c r="C15" s="26"/>
      <c r="D15" s="26"/>
      <c r="E15" s="25"/>
    </row>
    <row r="16" spans="2:8" ht="15.6" x14ac:dyDescent="0.3">
      <c r="B16" s="25"/>
      <c r="C16" s="27" t="s">
        <v>1</v>
      </c>
      <c r="D16" s="26"/>
      <c r="E16" s="25"/>
    </row>
    <row r="17" spans="2:7" ht="15.6" thickBot="1" x14ac:dyDescent="0.3">
      <c r="B17" s="25"/>
      <c r="C17" s="26"/>
      <c r="D17" s="26"/>
      <c r="E17" s="25"/>
    </row>
    <row r="18" spans="2:7" ht="15" x14ac:dyDescent="0.25">
      <c r="B18" s="14"/>
      <c r="C18" s="28"/>
      <c r="D18" s="28"/>
      <c r="E18" s="47"/>
      <c r="F18" s="48"/>
      <c r="G18" s="49"/>
    </row>
    <row r="19" spans="2:7" ht="15.6" x14ac:dyDescent="0.3">
      <c r="B19" s="16"/>
      <c r="C19" s="18" t="s">
        <v>45</v>
      </c>
      <c r="D19" s="64"/>
      <c r="E19" s="18"/>
      <c r="F19" s="73">
        <f>NPV(F13,D9:D11)/-D8</f>
        <v>1.2821103597963099</v>
      </c>
      <c r="G19" s="51"/>
    </row>
    <row r="20" spans="2:7" ht="15.6" x14ac:dyDescent="0.3">
      <c r="B20" s="16"/>
      <c r="C20" s="18" t="s">
        <v>46</v>
      </c>
      <c r="D20" s="64"/>
      <c r="E20" s="18"/>
      <c r="F20" s="73">
        <f>NPV(F13,F9:F11)/-F8</f>
        <v>1.4695034492179495</v>
      </c>
      <c r="G20" s="51"/>
    </row>
    <row r="21" spans="2:7" ht="15.6" x14ac:dyDescent="0.3">
      <c r="B21" s="16"/>
      <c r="C21" s="18" t="s">
        <v>88</v>
      </c>
      <c r="D21" s="64"/>
      <c r="E21" s="18"/>
      <c r="F21" s="75" t="str">
        <f>IF(F19&gt;F20,"Project I","Project II")</f>
        <v>Project II</v>
      </c>
      <c r="G21" s="51"/>
    </row>
    <row r="22" spans="2:7" ht="15" x14ac:dyDescent="0.25">
      <c r="B22" s="16"/>
      <c r="C22" s="18"/>
      <c r="D22" s="64"/>
      <c r="E22" s="18"/>
      <c r="F22" s="18"/>
      <c r="G22" s="51"/>
    </row>
    <row r="23" spans="2:7" ht="15" x14ac:dyDescent="0.25">
      <c r="B23" s="16"/>
      <c r="C23" s="18"/>
      <c r="D23" s="64"/>
      <c r="E23" s="18"/>
      <c r="F23" s="18"/>
      <c r="G23" s="51"/>
    </row>
    <row r="24" spans="2:7" ht="15.6" x14ac:dyDescent="0.3">
      <c r="B24" s="16"/>
      <c r="C24" s="18" t="s">
        <v>47</v>
      </c>
      <c r="D24" s="64"/>
      <c r="E24" s="18"/>
      <c r="F24" s="111">
        <f>D8+NPV(F13,D9:D11)</f>
        <v>12694.966190833948</v>
      </c>
      <c r="G24" s="51"/>
    </row>
    <row r="25" spans="2:7" ht="15.6" x14ac:dyDescent="0.3">
      <c r="B25" s="16"/>
      <c r="C25" s="18" t="s">
        <v>48</v>
      </c>
      <c r="D25" s="64"/>
      <c r="E25" s="18"/>
      <c r="F25" s="111">
        <f>F8+NPV(F13,F9:F11)</f>
        <v>9296.1682945153989</v>
      </c>
      <c r="G25" s="51"/>
    </row>
    <row r="26" spans="2:7" ht="15.6" x14ac:dyDescent="0.3">
      <c r="B26" s="16"/>
      <c r="C26" s="18" t="s">
        <v>89</v>
      </c>
      <c r="D26" s="64"/>
      <c r="E26" s="18"/>
      <c r="F26" s="75" t="str">
        <f>IF(F24&gt;F25,"Project I","Project II")</f>
        <v>Project I</v>
      </c>
      <c r="G26" s="51"/>
    </row>
    <row r="27" spans="2:7" ht="15" x14ac:dyDescent="0.25">
      <c r="B27" s="16"/>
      <c r="C27" s="18"/>
      <c r="D27" s="64"/>
      <c r="E27" s="18"/>
      <c r="F27" s="18"/>
      <c r="G27" s="51"/>
    </row>
    <row r="28" spans="2:7" ht="15" x14ac:dyDescent="0.25">
      <c r="B28" s="16"/>
      <c r="C28" s="18" t="s">
        <v>49</v>
      </c>
      <c r="D28" s="64"/>
      <c r="E28" s="18"/>
      <c r="F28" s="18"/>
      <c r="G28" s="51"/>
    </row>
    <row r="29" spans="2:7" ht="15" x14ac:dyDescent="0.25">
      <c r="B29" s="16"/>
      <c r="C29" s="18" t="s">
        <v>50</v>
      </c>
      <c r="D29" s="64"/>
      <c r="E29" s="18"/>
      <c r="F29" s="18"/>
      <c r="G29" s="51"/>
    </row>
    <row r="30" spans="2:7" ht="15" x14ac:dyDescent="0.25">
      <c r="B30" s="16"/>
      <c r="C30" s="18" t="s">
        <v>87</v>
      </c>
      <c r="D30" s="64"/>
      <c r="E30" s="18"/>
      <c r="F30" s="18"/>
      <c r="G30" s="51"/>
    </row>
    <row r="31" spans="2:7" s="1" customFormat="1" ht="15.75" customHeight="1" thickBot="1" x14ac:dyDescent="0.3">
      <c r="B31" s="19"/>
      <c r="C31" s="20"/>
      <c r="D31" s="20"/>
      <c r="E31" s="20"/>
      <c r="F31" s="20"/>
      <c r="G31" s="21"/>
    </row>
    <row r="32" spans="2:7" ht="15.75" customHeight="1" x14ac:dyDescent="0.25">
      <c r="B32" s="4"/>
      <c r="C32" s="4"/>
      <c r="D32" s="4"/>
      <c r="E32" s="4"/>
    </row>
    <row r="33" spans="2:5" ht="15.75" customHeight="1" x14ac:dyDescent="0.25">
      <c r="B33" s="4"/>
      <c r="C33" s="4"/>
      <c r="D33" s="4"/>
      <c r="E33" s="4"/>
    </row>
    <row r="34" spans="2:5" ht="15.75" customHeight="1" x14ac:dyDescent="0.25">
      <c r="B34" s="1"/>
      <c r="C34" s="1"/>
      <c r="D34" s="1"/>
      <c r="E34" s="1"/>
    </row>
    <row r="35" spans="2:5" ht="15.75" customHeight="1" x14ac:dyDescent="0.25">
      <c r="B35" s="1"/>
      <c r="C35" s="1"/>
      <c r="D35" s="1"/>
      <c r="E35" s="1"/>
    </row>
    <row r="36" spans="2:5" ht="15.75" customHeight="1" x14ac:dyDescent="0.25"/>
    <row r="37" spans="2:5" ht="15.75" customHeight="1" x14ac:dyDescent="0.25"/>
    <row r="38" spans="2:5" ht="15.75" customHeight="1" x14ac:dyDescent="0.25"/>
    <row r="39" spans="2:5" ht="15.75" customHeight="1" x14ac:dyDescent="0.25"/>
    <row r="40" spans="2:5" ht="15.75" customHeight="1" x14ac:dyDescent="0.25"/>
    <row r="41" spans="2:5" ht="15.75" customHeight="1" x14ac:dyDescent="0.25"/>
    <row r="42" spans="2:5" ht="15.75" customHeight="1" x14ac:dyDescent="0.25"/>
    <row r="43" spans="2:5" ht="15.75" customHeight="1" x14ac:dyDescent="0.25"/>
    <row r="44" spans="2:5" ht="15.75" customHeight="1" x14ac:dyDescent="0.25"/>
    <row r="45" spans="2:5" ht="15.75" customHeight="1" x14ac:dyDescent="0.25"/>
    <row r="46" spans="2:5" ht="15.75" customHeight="1" x14ac:dyDescent="0.25"/>
    <row r="47" spans="2:5" ht="15.75" customHeight="1" x14ac:dyDescent="0.25"/>
    <row r="48" spans="2: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sheetData>
  <phoneticPr fontId="0" type="noConversion"/>
  <pageMargins left="0.75" right="0.75" top="1" bottom="1" header="0.5" footer="0.5"/>
  <pageSetup orientation="portrait" horizont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12111111211111111111"/>
  <dimension ref="B1:H35"/>
  <sheetViews>
    <sheetView workbookViewId="0">
      <selection activeCell="C2" sqref="C2"/>
    </sheetView>
  </sheetViews>
  <sheetFormatPr defaultRowHeight="13.2" x14ac:dyDescent="0.25"/>
  <cols>
    <col min="2" max="2" width="3.109375" customWidth="1"/>
    <col min="3" max="3" width="22.33203125" bestFit="1" customWidth="1"/>
    <col min="4" max="4" width="18.109375" bestFit="1" customWidth="1"/>
    <col min="5" max="5" width="3.109375" customWidth="1"/>
    <col min="6" max="7" width="9.109375" customWidth="1"/>
  </cols>
  <sheetData>
    <row r="1" spans="2:8" s="1" customFormat="1" ht="17.399999999999999" x14ac:dyDescent="0.3">
      <c r="C1" s="139" t="s">
        <v>219</v>
      </c>
    </row>
    <row r="2" spans="2:8" s="1" customFormat="1" ht="15" x14ac:dyDescent="0.25">
      <c r="C2" s="1" t="s">
        <v>38</v>
      </c>
    </row>
    <row r="3" spans="2:8" s="1" customFormat="1" ht="15" x14ac:dyDescent="0.25"/>
    <row r="4" spans="2:8" s="1" customFormat="1" ht="15.6" x14ac:dyDescent="0.3">
      <c r="C4" s="2" t="s">
        <v>0</v>
      </c>
    </row>
    <row r="5" spans="2:8" s="1" customFormat="1" ht="16.2" thickBot="1" x14ac:dyDescent="0.35">
      <c r="C5" s="3"/>
      <c r="D5" s="4"/>
    </row>
    <row r="6" spans="2:8" s="1" customFormat="1" ht="15.6" x14ac:dyDescent="0.3">
      <c r="B6" s="5"/>
      <c r="C6" s="6"/>
      <c r="D6" s="7"/>
      <c r="E6" s="8"/>
      <c r="F6" s="25"/>
      <c r="G6" s="25"/>
    </row>
    <row r="7" spans="2:8" s="1" customFormat="1" ht="15.6" x14ac:dyDescent="0.3">
      <c r="B7" s="9"/>
      <c r="C7" s="37" t="s">
        <v>27</v>
      </c>
      <c r="D7" s="44"/>
      <c r="E7" s="11"/>
      <c r="F7" s="56"/>
      <c r="G7" s="25"/>
    </row>
    <row r="8" spans="2:8" s="1" customFormat="1" ht="15" x14ac:dyDescent="0.25">
      <c r="B8" s="9"/>
      <c r="C8" s="10" t="s">
        <v>24</v>
      </c>
      <c r="D8" s="121">
        <v>-65000000</v>
      </c>
      <c r="E8" s="11"/>
      <c r="F8" s="57"/>
      <c r="G8" s="25"/>
    </row>
    <row r="9" spans="2:8" s="1" customFormat="1" ht="15" x14ac:dyDescent="0.25">
      <c r="B9" s="9"/>
      <c r="C9" s="10" t="s">
        <v>15</v>
      </c>
      <c r="D9" s="122">
        <v>92000000</v>
      </c>
      <c r="E9" s="11"/>
      <c r="F9" s="57"/>
      <c r="G9" s="25"/>
      <c r="H9" s="23"/>
    </row>
    <row r="10" spans="2:8" s="1" customFormat="1" ht="15" x14ac:dyDescent="0.25">
      <c r="B10" s="9"/>
      <c r="C10" s="10" t="s">
        <v>16</v>
      </c>
      <c r="D10" s="122">
        <v>-11000000</v>
      </c>
      <c r="E10" s="11"/>
      <c r="F10" s="57"/>
      <c r="G10" s="25"/>
      <c r="H10" s="23"/>
    </row>
    <row r="11" spans="2:8" s="1" customFormat="1" ht="15" x14ac:dyDescent="0.25">
      <c r="B11" s="9"/>
      <c r="C11" s="10"/>
      <c r="D11" s="95"/>
      <c r="E11" s="11"/>
      <c r="F11" s="25"/>
      <c r="G11" s="25"/>
      <c r="H11" s="23"/>
    </row>
    <row r="12" spans="2:8" s="1" customFormat="1" ht="15" x14ac:dyDescent="0.25">
      <c r="B12" s="9"/>
      <c r="C12" s="10" t="s">
        <v>36</v>
      </c>
      <c r="D12" s="112">
        <v>0.1</v>
      </c>
      <c r="E12" s="11"/>
      <c r="F12" s="58"/>
      <c r="G12" s="25"/>
      <c r="H12" s="23"/>
    </row>
    <row r="13" spans="2:8" s="1" customFormat="1" ht="15.6" thickBot="1" x14ac:dyDescent="0.3">
      <c r="B13" s="12"/>
      <c r="C13" s="38"/>
      <c r="D13" s="45"/>
      <c r="E13" s="13"/>
      <c r="F13" s="25"/>
      <c r="G13" s="25"/>
      <c r="H13" s="23"/>
    </row>
    <row r="14" spans="2:8" ht="15" x14ac:dyDescent="0.25">
      <c r="B14" s="25"/>
      <c r="C14" s="26"/>
      <c r="D14" s="26"/>
      <c r="E14" s="25"/>
    </row>
    <row r="15" spans="2:8" ht="15.6" x14ac:dyDescent="0.3">
      <c r="B15" s="25"/>
      <c r="C15" s="27" t="s">
        <v>1</v>
      </c>
      <c r="D15" s="26"/>
      <c r="E15" s="25"/>
    </row>
    <row r="16" spans="2:8" ht="15.6" thickBot="1" x14ac:dyDescent="0.3">
      <c r="B16" s="25"/>
      <c r="C16" s="26"/>
      <c r="D16" s="26"/>
      <c r="E16" s="25"/>
    </row>
    <row r="17" spans="2:7" ht="15" x14ac:dyDescent="0.25">
      <c r="B17" s="14"/>
      <c r="C17" s="28"/>
      <c r="D17" s="28"/>
      <c r="E17" s="15"/>
      <c r="F17" s="59"/>
      <c r="G17" s="59"/>
    </row>
    <row r="18" spans="2:7" ht="15.6" x14ac:dyDescent="0.3">
      <c r="B18" s="16"/>
      <c r="C18" s="18" t="s">
        <v>40</v>
      </c>
      <c r="D18" s="71">
        <f>D8+(D9/(1+D12))+(D10/(POWER(1+D12,2)))</f>
        <v>9545454.5454545356</v>
      </c>
      <c r="E18" s="17"/>
      <c r="F18" s="59"/>
      <c r="G18" s="59"/>
    </row>
    <row r="19" spans="2:7" ht="15.6" x14ac:dyDescent="0.3">
      <c r="B19" s="16"/>
      <c r="C19" s="18" t="s">
        <v>86</v>
      </c>
      <c r="D19" s="76" t="str">
        <f>IF(D18&gt;0,"Accept","Reject")</f>
        <v>Accept</v>
      </c>
      <c r="E19" s="17"/>
      <c r="F19" s="59"/>
      <c r="G19" s="59"/>
    </row>
    <row r="20" spans="2:7" ht="15" x14ac:dyDescent="0.25">
      <c r="B20" s="16"/>
      <c r="C20" s="18"/>
      <c r="D20" s="42"/>
      <c r="E20" s="17"/>
      <c r="F20" s="59"/>
      <c r="G20" s="59"/>
    </row>
    <row r="21" spans="2:7" ht="15.6" x14ac:dyDescent="0.3">
      <c r="B21" s="16"/>
      <c r="C21" s="18" t="s">
        <v>28</v>
      </c>
      <c r="D21" s="70">
        <f>IRR(D8:D10,0.99)</f>
        <v>0.28353745452962764</v>
      </c>
      <c r="E21" s="17"/>
      <c r="F21" s="59"/>
      <c r="G21" s="59"/>
    </row>
    <row r="22" spans="2:7" ht="15.6" x14ac:dyDescent="0.3">
      <c r="B22" s="16"/>
      <c r="C22" s="18"/>
      <c r="D22" s="70">
        <f>IRR(D8:D10,-0.99)</f>
        <v>-0.8681528391450124</v>
      </c>
      <c r="E22" s="17"/>
      <c r="F22" s="59"/>
      <c r="G22" s="59"/>
    </row>
    <row r="23" spans="2:7" ht="15" x14ac:dyDescent="0.25">
      <c r="B23" s="16"/>
      <c r="C23" s="171"/>
      <c r="D23" s="171"/>
      <c r="E23" s="17"/>
      <c r="F23" s="25"/>
      <c r="G23" s="59"/>
    </row>
    <row r="24" spans="2:7" ht="15" customHeight="1" x14ac:dyDescent="0.25">
      <c r="B24" s="16"/>
      <c r="C24" s="265" t="s">
        <v>261</v>
      </c>
      <c r="D24" s="265"/>
      <c r="E24" s="17"/>
      <c r="F24" s="56"/>
      <c r="G24" s="59"/>
    </row>
    <row r="25" spans="2:7" ht="15" x14ac:dyDescent="0.25">
      <c r="B25" s="16"/>
      <c r="C25" s="265"/>
      <c r="D25" s="265"/>
      <c r="E25" s="61"/>
      <c r="F25" s="60"/>
      <c r="G25" s="59"/>
    </row>
    <row r="26" spans="2:7" ht="15" x14ac:dyDescent="0.25">
      <c r="B26" s="16"/>
      <c r="C26" s="265"/>
      <c r="D26" s="265"/>
      <c r="E26" s="61"/>
      <c r="F26" s="60"/>
      <c r="G26" s="59"/>
    </row>
    <row r="27" spans="2:7" ht="15" x14ac:dyDescent="0.25">
      <c r="B27" s="16"/>
      <c r="C27" s="265"/>
      <c r="D27" s="265"/>
      <c r="E27" s="61"/>
      <c r="F27" s="60"/>
      <c r="G27" s="59"/>
    </row>
    <row r="28" spans="2:7" ht="15" x14ac:dyDescent="0.25">
      <c r="B28" s="16"/>
      <c r="C28" s="265"/>
      <c r="D28" s="265"/>
      <c r="E28" s="61"/>
      <c r="F28" s="60"/>
      <c r="G28" s="59"/>
    </row>
    <row r="29" spans="2:7" ht="15" x14ac:dyDescent="0.25">
      <c r="B29" s="16"/>
      <c r="C29" s="265"/>
      <c r="D29" s="265"/>
      <c r="E29" s="61"/>
      <c r="F29" s="60"/>
      <c r="G29" s="59"/>
    </row>
    <row r="30" spans="2:7" ht="15" x14ac:dyDescent="0.25">
      <c r="B30" s="16"/>
      <c r="C30" s="265"/>
      <c r="D30" s="265"/>
      <c r="E30" s="61"/>
      <c r="F30" s="60"/>
      <c r="G30" s="59"/>
    </row>
    <row r="31" spans="2:7" s="1" customFormat="1" ht="15.6" thickBot="1" x14ac:dyDescent="0.3">
      <c r="B31" s="19"/>
      <c r="C31" s="20"/>
      <c r="D31" s="20"/>
      <c r="E31" s="21"/>
      <c r="F31" s="25"/>
      <c r="G31" s="25"/>
    </row>
    <row r="32" spans="2:7" ht="15" x14ac:dyDescent="0.25">
      <c r="B32" s="4"/>
      <c r="C32" s="4"/>
      <c r="D32" s="4"/>
      <c r="E32" s="4"/>
    </row>
    <row r="33" spans="2:5" ht="15" x14ac:dyDescent="0.25">
      <c r="B33" s="4"/>
      <c r="C33" s="4"/>
      <c r="D33" s="4"/>
      <c r="E33" s="4"/>
    </row>
    <row r="34" spans="2:5" ht="15" x14ac:dyDescent="0.25">
      <c r="B34" s="1"/>
      <c r="C34" s="1"/>
      <c r="D34" s="1"/>
      <c r="E34" s="1"/>
    </row>
    <row r="35" spans="2:5" ht="15" x14ac:dyDescent="0.25">
      <c r="B35" s="1"/>
      <c r="C35" s="1"/>
      <c r="D35" s="1"/>
      <c r="E35" s="1"/>
    </row>
  </sheetData>
  <mergeCells count="1">
    <mergeCell ref="C24:D30"/>
  </mergeCells>
  <phoneticPr fontId="0" type="noConversion"/>
  <pageMargins left="0.75" right="0.75" top="1" bottom="1" header="0.5" footer="0.5"/>
  <pageSetup orientation="portrait" horizont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2111111211111111111111"/>
  <dimension ref="B1:H753"/>
  <sheetViews>
    <sheetView workbookViewId="0">
      <selection activeCell="C2" sqref="C2"/>
    </sheetView>
  </sheetViews>
  <sheetFormatPr defaultRowHeight="13.2" x14ac:dyDescent="0.25"/>
  <cols>
    <col min="2" max="2" width="3.109375" customWidth="1"/>
    <col min="3" max="3" width="26.109375" bestFit="1" customWidth="1"/>
    <col min="4" max="4" width="16.33203125" bestFit="1" customWidth="1"/>
    <col min="5" max="5" width="3.109375" customWidth="1"/>
    <col min="6" max="6" width="15.109375" customWidth="1"/>
    <col min="7" max="7" width="3.109375" customWidth="1"/>
  </cols>
  <sheetData>
    <row r="1" spans="2:8" s="1" customFormat="1" ht="17.399999999999999" x14ac:dyDescent="0.3">
      <c r="C1" s="139" t="s">
        <v>219</v>
      </c>
    </row>
    <row r="2" spans="2:8" s="1" customFormat="1" ht="15.75" customHeight="1" x14ac:dyDescent="0.25">
      <c r="C2" s="1" t="s">
        <v>39</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7"/>
      <c r="F6" s="7"/>
      <c r="G6" s="8"/>
    </row>
    <row r="7" spans="2:8" s="1" customFormat="1" ht="15.75" customHeight="1" x14ac:dyDescent="0.3">
      <c r="B7" s="9"/>
      <c r="C7" s="37" t="s">
        <v>27</v>
      </c>
      <c r="D7" s="44" t="s">
        <v>134</v>
      </c>
      <c r="E7" s="10"/>
      <c r="F7" s="46" t="s">
        <v>230</v>
      </c>
      <c r="G7" s="11"/>
    </row>
    <row r="8" spans="2:8" s="1" customFormat="1" ht="15.75" customHeight="1" x14ac:dyDescent="0.25">
      <c r="B8" s="9"/>
      <c r="C8" s="10" t="s">
        <v>24</v>
      </c>
      <c r="D8" s="130">
        <v>-850</v>
      </c>
      <c r="E8" s="131"/>
      <c r="F8" s="131">
        <v>-1700</v>
      </c>
      <c r="G8" s="11"/>
    </row>
    <row r="9" spans="2:8" s="1" customFormat="1" ht="15.75" customHeight="1" x14ac:dyDescent="0.25">
      <c r="B9" s="9"/>
      <c r="C9" s="10" t="s">
        <v>15</v>
      </c>
      <c r="D9" s="132">
        <v>670</v>
      </c>
      <c r="E9" s="131"/>
      <c r="F9" s="131">
        <v>1300</v>
      </c>
      <c r="G9" s="11"/>
      <c r="H9" s="23"/>
    </row>
    <row r="10" spans="2:8" s="1" customFormat="1" ht="15.75" customHeight="1" x14ac:dyDescent="0.25">
      <c r="B10" s="9"/>
      <c r="C10" s="10" t="s">
        <v>16</v>
      </c>
      <c r="D10" s="132">
        <v>510</v>
      </c>
      <c r="E10" s="131"/>
      <c r="F10" s="131">
        <v>750</v>
      </c>
      <c r="G10" s="11"/>
      <c r="H10" s="23"/>
    </row>
    <row r="11" spans="2:8" s="1" customFormat="1" ht="15.75" customHeight="1" x14ac:dyDescent="0.25">
      <c r="B11" s="9"/>
      <c r="C11" s="10" t="s">
        <v>17</v>
      </c>
      <c r="D11" s="132">
        <v>90</v>
      </c>
      <c r="E11" s="131"/>
      <c r="F11" s="131">
        <v>350</v>
      </c>
      <c r="G11" s="11"/>
      <c r="H11" s="23"/>
    </row>
    <row r="12" spans="2:8" s="1" customFormat="1" ht="15.75" customHeight="1" x14ac:dyDescent="0.25">
      <c r="B12" s="9"/>
      <c r="C12" s="10"/>
      <c r="D12" s="95"/>
      <c r="E12" s="117"/>
      <c r="F12" s="117"/>
      <c r="G12" s="11"/>
      <c r="H12" s="23"/>
    </row>
    <row r="13" spans="2:8" s="1" customFormat="1" ht="15.75" customHeight="1" x14ac:dyDescent="0.25">
      <c r="B13" s="9"/>
      <c r="C13" s="10" t="s">
        <v>36</v>
      </c>
      <c r="D13" s="112"/>
      <c r="E13" s="117"/>
      <c r="F13" s="118">
        <v>0.1</v>
      </c>
      <c r="G13" s="11"/>
      <c r="H13" s="23"/>
    </row>
    <row r="14" spans="2:8" s="1" customFormat="1" ht="15.75" customHeight="1" thickBot="1" x14ac:dyDescent="0.3">
      <c r="B14" s="12"/>
      <c r="C14" s="38"/>
      <c r="D14" s="45"/>
      <c r="E14" s="38"/>
      <c r="F14" s="38"/>
      <c r="G14" s="13"/>
      <c r="H14" s="23"/>
    </row>
    <row r="15" spans="2:8" ht="15.75" customHeight="1" x14ac:dyDescent="0.25">
      <c r="B15" s="25"/>
      <c r="C15" s="26"/>
      <c r="D15" s="26"/>
      <c r="E15" s="25"/>
    </row>
    <row r="16" spans="2:8" ht="15.75" customHeight="1" x14ac:dyDescent="0.3">
      <c r="B16" s="25"/>
      <c r="C16" s="27" t="s">
        <v>1</v>
      </c>
      <c r="D16" s="26"/>
      <c r="E16" s="25"/>
    </row>
    <row r="17" spans="2:7" ht="15.75" customHeight="1" thickBot="1" x14ac:dyDescent="0.3">
      <c r="B17" s="25"/>
      <c r="C17" s="26"/>
      <c r="D17" s="26"/>
      <c r="E17" s="25"/>
    </row>
    <row r="18" spans="2:7" ht="15.75" customHeight="1" x14ac:dyDescent="0.25">
      <c r="B18" s="14"/>
      <c r="C18" s="28"/>
      <c r="D18" s="28"/>
      <c r="E18" s="47"/>
      <c r="F18" s="48"/>
      <c r="G18" s="49"/>
    </row>
    <row r="19" spans="2:7" ht="15.75" customHeight="1" x14ac:dyDescent="0.3">
      <c r="B19" s="133" t="s">
        <v>92</v>
      </c>
      <c r="C19" s="18" t="s">
        <v>135</v>
      </c>
      <c r="D19" s="64"/>
      <c r="E19" s="18"/>
      <c r="F19" s="74">
        <f>IF(-D8&gt;SUM(D9:D11),"Never",IF(-D8&gt;SUM(D9:D11),(3+(-D8-D9-D10-D11)/#REF!),IF(-D8&gt;(D9+D10),(2+(-D8-D9-D10)/D11),IF(-D8&gt;D9,(1+(-D8-D9)/D10),IF(-D8&lt;D9,(-D8/D9))))))</f>
        <v>1.3529411764705883</v>
      </c>
      <c r="G19" s="51"/>
    </row>
    <row r="20" spans="2:7" ht="15.75" customHeight="1" x14ac:dyDescent="0.3">
      <c r="B20" s="16"/>
      <c r="C20" s="18" t="s">
        <v>231</v>
      </c>
      <c r="D20" s="64"/>
      <c r="E20" s="18"/>
      <c r="F20" s="74">
        <f>IF(-F8&gt;SUM(F9:F11),"Never",IF(-F8&gt;SUM(F9:F11),(3+(-F8-F9-F10-F11)/#REF!),IF(-F8&gt;(F9+F10),(2+(-F8-F9-F10)/F11),IF(-F8&gt;F9,(1+(-F8-F9)/F10),IF(-F8&lt;F9,(-F8/F9))))))</f>
        <v>1.5333333333333332</v>
      </c>
      <c r="G20" s="51"/>
    </row>
    <row r="21" spans="2:7" ht="15.75" customHeight="1" x14ac:dyDescent="0.3">
      <c r="B21" s="16"/>
      <c r="C21" s="18" t="s">
        <v>91</v>
      </c>
      <c r="D21" s="64"/>
      <c r="E21" s="18"/>
      <c r="F21" s="75" t="str">
        <f>IF(F19&lt;F20,"Board game","DVD")</f>
        <v>Board game</v>
      </c>
      <c r="G21" s="51"/>
    </row>
    <row r="22" spans="2:7" ht="15.75" customHeight="1" x14ac:dyDescent="0.25">
      <c r="B22" s="16"/>
      <c r="C22" s="18" t="s">
        <v>90</v>
      </c>
      <c r="D22" s="64"/>
      <c r="E22" s="18"/>
      <c r="F22" s="18"/>
      <c r="G22" s="51"/>
    </row>
    <row r="23" spans="2:7" ht="15.75" customHeight="1" x14ac:dyDescent="0.25">
      <c r="B23" s="16"/>
      <c r="C23" s="18"/>
      <c r="D23" s="64"/>
      <c r="E23" s="18"/>
      <c r="F23" s="18"/>
      <c r="G23" s="51"/>
    </row>
    <row r="24" spans="2:7" ht="15.75" customHeight="1" x14ac:dyDescent="0.3">
      <c r="B24" s="133" t="s">
        <v>93</v>
      </c>
      <c r="C24" s="18" t="s">
        <v>136</v>
      </c>
      <c r="D24" s="64"/>
      <c r="E24" s="18"/>
      <c r="F24" s="134">
        <f>D8+NPV(F13,D9:D11)</f>
        <v>248.19684447783607</v>
      </c>
      <c r="G24" s="51"/>
    </row>
    <row r="25" spans="2:7" ht="15.75" customHeight="1" x14ac:dyDescent="0.3">
      <c r="B25" s="16"/>
      <c r="C25" s="18" t="s">
        <v>232</v>
      </c>
      <c r="D25" s="64"/>
      <c r="E25" s="18"/>
      <c r="F25" s="134">
        <f>F8+NPV(F13,F9:F11)</f>
        <v>364.61307287753561</v>
      </c>
      <c r="G25" s="51"/>
    </row>
    <row r="26" spans="2:7" ht="15.75" customHeight="1" x14ac:dyDescent="0.3">
      <c r="B26" s="16"/>
      <c r="C26" s="18" t="s">
        <v>96</v>
      </c>
      <c r="D26" s="64"/>
      <c r="E26" s="18"/>
      <c r="F26" s="75" t="str">
        <f>IF(F24&gt;F25,"Board game","DVD")</f>
        <v>DVD</v>
      </c>
      <c r="G26" s="51"/>
    </row>
    <row r="27" spans="2:7" ht="15.75" customHeight="1" x14ac:dyDescent="0.25">
      <c r="B27" s="16"/>
      <c r="C27" s="18" t="s">
        <v>95</v>
      </c>
      <c r="D27" s="64"/>
      <c r="E27" s="18"/>
      <c r="F27" s="54"/>
      <c r="G27" s="51"/>
    </row>
    <row r="28" spans="2:7" ht="15.75" customHeight="1" x14ac:dyDescent="0.25">
      <c r="B28" s="16"/>
      <c r="C28" s="18"/>
      <c r="D28" s="64"/>
      <c r="E28" s="18"/>
      <c r="F28" s="54"/>
      <c r="G28" s="51"/>
    </row>
    <row r="29" spans="2:7" ht="15.75" customHeight="1" x14ac:dyDescent="0.3">
      <c r="B29" s="133" t="s">
        <v>94</v>
      </c>
      <c r="C29" s="18" t="s">
        <v>137</v>
      </c>
      <c r="D29" s="64"/>
      <c r="E29" s="18"/>
      <c r="F29" s="77">
        <f>IRR(D8:D11,0.01)</f>
        <v>0.30858066461511857</v>
      </c>
      <c r="G29" s="51"/>
    </row>
    <row r="30" spans="2:7" ht="15.75" customHeight="1" x14ac:dyDescent="0.3">
      <c r="B30" s="16"/>
      <c r="C30" s="18" t="s">
        <v>233</v>
      </c>
      <c r="D30" s="64"/>
      <c r="E30" s="18"/>
      <c r="F30" s="77">
        <f>IRR(F8:F11,0.01)</f>
        <v>0.24960610083377799</v>
      </c>
      <c r="G30" s="51"/>
    </row>
    <row r="31" spans="2:7" ht="15.75" customHeight="1" x14ac:dyDescent="0.3">
      <c r="B31" s="16"/>
      <c r="C31" s="18" t="s">
        <v>99</v>
      </c>
      <c r="D31" s="64"/>
      <c r="E31" s="18"/>
      <c r="F31" s="75" t="str">
        <f>IF(F29&gt;F30,"Board game","DVD")</f>
        <v>Board game</v>
      </c>
      <c r="G31" s="51"/>
    </row>
    <row r="32" spans="2:7" ht="15.75" customHeight="1" x14ac:dyDescent="0.25">
      <c r="B32" s="16"/>
      <c r="C32" s="18" t="s">
        <v>98</v>
      </c>
      <c r="D32" s="64"/>
      <c r="E32" s="18"/>
      <c r="F32" s="18"/>
      <c r="G32" s="51"/>
    </row>
    <row r="33" spans="2:7" ht="15.75" customHeight="1" x14ac:dyDescent="0.25">
      <c r="B33" s="16"/>
      <c r="C33" s="18"/>
      <c r="D33" s="64"/>
      <c r="E33" s="18"/>
      <c r="F33" s="18"/>
      <c r="G33" s="51"/>
    </row>
    <row r="34" spans="2:7" ht="15.75" customHeight="1" x14ac:dyDescent="0.3">
      <c r="B34" s="133" t="s">
        <v>97</v>
      </c>
      <c r="C34" s="54" t="s">
        <v>2</v>
      </c>
      <c r="D34" s="64" t="s">
        <v>128</v>
      </c>
      <c r="E34" s="18"/>
      <c r="F34" s="153"/>
      <c r="G34" s="51"/>
    </row>
    <row r="35" spans="2:7" ht="15.75" customHeight="1" x14ac:dyDescent="0.25">
      <c r="B35" s="16"/>
      <c r="C35" s="54">
        <v>0</v>
      </c>
      <c r="D35" s="102">
        <f>IF($F$8&lt;$D$8,F8-D8,D8-F8)</f>
        <v>-850</v>
      </c>
      <c r="E35" s="18"/>
      <c r="F35" s="153"/>
      <c r="G35" s="51"/>
    </row>
    <row r="36" spans="2:7" ht="15.75" customHeight="1" x14ac:dyDescent="0.25">
      <c r="B36" s="16"/>
      <c r="C36" s="54">
        <v>1</v>
      </c>
      <c r="D36" s="102">
        <f>IF($F$8&lt;$D$8,F9-D9,D9-F9)</f>
        <v>630</v>
      </c>
      <c r="E36" s="18"/>
      <c r="F36" s="105"/>
      <c r="G36" s="51"/>
    </row>
    <row r="37" spans="2:7" ht="15.75" customHeight="1" x14ac:dyDescent="0.25">
      <c r="B37" s="16"/>
      <c r="C37" s="54">
        <v>2</v>
      </c>
      <c r="D37" s="102">
        <f>IF($F$8&lt;$D$8,F10-D10,D10-F10)</f>
        <v>240</v>
      </c>
      <c r="E37" s="18"/>
      <c r="F37" s="18"/>
      <c r="G37" s="51"/>
    </row>
    <row r="38" spans="2:7" ht="15.75" customHeight="1" x14ac:dyDescent="0.25">
      <c r="B38" s="16"/>
      <c r="C38" s="54">
        <v>3</v>
      </c>
      <c r="D38" s="102">
        <f>IF($F$8&lt;$D$8,F11-D11,D11-F11)</f>
        <v>260</v>
      </c>
      <c r="E38" s="18"/>
      <c r="F38" s="18"/>
      <c r="G38" s="51"/>
    </row>
    <row r="39" spans="2:7" ht="15.75" customHeight="1" x14ac:dyDescent="0.3">
      <c r="B39" s="133"/>
      <c r="C39" s="18"/>
      <c r="D39" s="64"/>
      <c r="E39" s="18"/>
      <c r="F39" s="18"/>
      <c r="G39" s="51"/>
    </row>
    <row r="40" spans="2:7" ht="15.75" customHeight="1" x14ac:dyDescent="0.3">
      <c r="B40" s="16"/>
      <c r="C40" s="18" t="s">
        <v>129</v>
      </c>
      <c r="D40" s="40">
        <f>IRR(D35:D38)</f>
        <v>0.19285216561527796</v>
      </c>
      <c r="E40" s="18"/>
      <c r="F40" s="105"/>
      <c r="G40" s="51"/>
    </row>
    <row r="41" spans="2:7" ht="15.75" customHeight="1" x14ac:dyDescent="0.3">
      <c r="B41" s="16"/>
      <c r="C41" s="18"/>
      <c r="D41" s="41"/>
      <c r="E41" s="18"/>
      <c r="F41" s="105"/>
      <c r="G41" s="51"/>
    </row>
    <row r="42" spans="2:7" ht="15.75" customHeight="1" x14ac:dyDescent="0.3">
      <c r="B42" s="16"/>
      <c r="C42" s="141" t="str">
        <f>IF(D40&gt;F13,"Accept the larger project.","Accept the smaller project.")</f>
        <v>Accept the larger project.</v>
      </c>
      <c r="D42" s="41"/>
      <c r="E42" s="18"/>
      <c r="F42" s="105"/>
      <c r="G42" s="51"/>
    </row>
    <row r="43" spans="2:7" s="1" customFormat="1" ht="15.75" customHeight="1" thickBot="1" x14ac:dyDescent="0.3">
      <c r="B43" s="19"/>
      <c r="C43" s="20"/>
      <c r="D43" s="20"/>
      <c r="E43" s="20"/>
      <c r="F43" s="20"/>
      <c r="G43" s="21"/>
    </row>
    <row r="44" spans="2:7" ht="15.75" customHeight="1" x14ac:dyDescent="0.25">
      <c r="B44" s="4"/>
      <c r="C44" s="4"/>
      <c r="D44" s="4"/>
      <c r="E44" s="4"/>
    </row>
    <row r="45" spans="2:7" ht="15.75" customHeight="1" x14ac:dyDescent="0.25">
      <c r="B45" s="4"/>
      <c r="C45" s="4"/>
      <c r="D45" s="4"/>
      <c r="E45" s="4"/>
    </row>
    <row r="46" spans="2:7" ht="15.75" customHeight="1" x14ac:dyDescent="0.25">
      <c r="B46" s="1"/>
      <c r="C46" s="1"/>
      <c r="D46" s="1"/>
      <c r="E46" s="1"/>
    </row>
    <row r="47" spans="2:7" ht="15.75" customHeight="1" x14ac:dyDescent="0.25">
      <c r="B47" s="1"/>
      <c r="C47" s="1"/>
      <c r="D47" s="1"/>
      <c r="E47" s="1"/>
    </row>
    <row r="48" spans="2: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sheetData>
  <phoneticPr fontId="0" type="noConversion"/>
  <pageMargins left="0.75" right="0.75" top="1" bottom="1" header="0.5" footer="0.5"/>
  <pageSetup orientation="portrait" horizont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I739"/>
  <sheetViews>
    <sheetView zoomScaleNormal="100" workbookViewId="0">
      <selection activeCell="C2" sqref="C2"/>
    </sheetView>
  </sheetViews>
  <sheetFormatPr defaultRowHeight="13.2" x14ac:dyDescent="0.25"/>
  <cols>
    <col min="2" max="2" width="3.109375" customWidth="1"/>
    <col min="3" max="3" width="26.109375" bestFit="1" customWidth="1"/>
    <col min="4" max="4" width="22.33203125" bestFit="1" customWidth="1"/>
    <col min="5" max="5" width="3.109375" customWidth="1"/>
    <col min="6" max="6" width="22.33203125" bestFit="1" customWidth="1"/>
    <col min="7" max="7" width="3.109375" customWidth="1"/>
    <col min="8" max="8" width="19" customWidth="1"/>
    <col min="9" max="9" width="3.109375" customWidth="1"/>
  </cols>
  <sheetData>
    <row r="1" spans="2:9" s="1" customFormat="1" ht="17.399999999999999" x14ac:dyDescent="0.3">
      <c r="C1" s="139" t="s">
        <v>219</v>
      </c>
    </row>
    <row r="2" spans="2:9" s="1" customFormat="1" ht="15.75" customHeight="1" x14ac:dyDescent="0.25">
      <c r="C2" s="1" t="s">
        <v>41</v>
      </c>
    </row>
    <row r="3" spans="2:9" s="1" customFormat="1" ht="15.75" customHeight="1" x14ac:dyDescent="0.25"/>
    <row r="4" spans="2:9" s="1" customFormat="1" ht="15.75" customHeight="1" x14ac:dyDescent="0.3">
      <c r="C4" s="2" t="s">
        <v>0</v>
      </c>
    </row>
    <row r="5" spans="2:9" s="1" customFormat="1" ht="15.75" customHeight="1" thickBot="1" x14ac:dyDescent="0.35">
      <c r="C5" s="3"/>
      <c r="D5" s="4"/>
    </row>
    <row r="6" spans="2:9" s="1" customFormat="1" ht="15.75" customHeight="1" x14ac:dyDescent="0.3">
      <c r="B6" s="5"/>
      <c r="C6" s="6"/>
      <c r="D6" s="7"/>
      <c r="E6" s="7"/>
      <c r="F6" s="7"/>
      <c r="G6" s="7"/>
      <c r="H6" s="7"/>
      <c r="I6" s="8"/>
    </row>
    <row r="7" spans="2:9" s="1" customFormat="1" ht="15.75" customHeight="1" x14ac:dyDescent="0.3">
      <c r="B7" s="9"/>
      <c r="C7" s="37" t="s">
        <v>27</v>
      </c>
      <c r="D7" s="44" t="s">
        <v>143</v>
      </c>
      <c r="E7" s="10"/>
      <c r="F7" s="46" t="s">
        <v>144</v>
      </c>
      <c r="G7" s="10"/>
      <c r="H7" s="46" t="s">
        <v>145</v>
      </c>
      <c r="I7" s="11"/>
    </row>
    <row r="8" spans="2:9" s="1" customFormat="1" ht="15.75" customHeight="1" x14ac:dyDescent="0.25">
      <c r="B8" s="9"/>
      <c r="C8" s="10" t="s">
        <v>24</v>
      </c>
      <c r="D8" s="130">
        <v>-18000000</v>
      </c>
      <c r="E8" s="131"/>
      <c r="F8" s="131">
        <v>-25000000</v>
      </c>
      <c r="G8" s="10"/>
      <c r="H8" s="114">
        <v>-43000000</v>
      </c>
      <c r="I8" s="11"/>
    </row>
    <row r="9" spans="2:9" s="1" customFormat="1" ht="15.75" customHeight="1" x14ac:dyDescent="0.25">
      <c r="B9" s="9"/>
      <c r="C9" s="10" t="s">
        <v>15</v>
      </c>
      <c r="D9" s="132">
        <v>23000000</v>
      </c>
      <c r="E9" s="131"/>
      <c r="F9" s="131">
        <v>21000000</v>
      </c>
      <c r="G9" s="10"/>
      <c r="H9" s="114">
        <v>39000000</v>
      </c>
      <c r="I9" s="11"/>
    </row>
    <row r="10" spans="2:9" s="1" customFormat="1" ht="15.75" customHeight="1" x14ac:dyDescent="0.25">
      <c r="B10" s="9"/>
      <c r="C10" s="10" t="s">
        <v>16</v>
      </c>
      <c r="D10" s="132">
        <v>16000000</v>
      </c>
      <c r="E10" s="131"/>
      <c r="F10" s="131">
        <v>51000000</v>
      </c>
      <c r="G10" s="10"/>
      <c r="H10" s="114">
        <v>66000000</v>
      </c>
      <c r="I10" s="11"/>
    </row>
    <row r="11" spans="2:9" s="1" customFormat="1" ht="15.75" customHeight="1" x14ac:dyDescent="0.25">
      <c r="B11" s="9"/>
      <c r="C11" s="10" t="s">
        <v>17</v>
      </c>
      <c r="D11" s="132">
        <v>6000000</v>
      </c>
      <c r="E11" s="131"/>
      <c r="F11" s="131">
        <v>41000000</v>
      </c>
      <c r="G11" s="10"/>
      <c r="H11" s="114">
        <v>42000000</v>
      </c>
      <c r="I11" s="11"/>
    </row>
    <row r="12" spans="2:9" s="1" customFormat="1" ht="15.75" customHeight="1" x14ac:dyDescent="0.25">
      <c r="B12" s="9"/>
      <c r="C12" s="10"/>
      <c r="D12" s="95"/>
      <c r="E12" s="117"/>
      <c r="F12" s="117"/>
      <c r="G12" s="10"/>
      <c r="H12" s="154"/>
      <c r="I12" s="11"/>
    </row>
    <row r="13" spans="2:9" s="1" customFormat="1" ht="15.75" customHeight="1" x14ac:dyDescent="0.25">
      <c r="B13" s="9"/>
      <c r="C13" s="10" t="s">
        <v>36</v>
      </c>
      <c r="D13" s="118">
        <v>0.1</v>
      </c>
      <c r="E13" s="117"/>
      <c r="F13" s="161"/>
      <c r="G13" s="10"/>
      <c r="H13" s="154"/>
      <c r="I13" s="11"/>
    </row>
    <row r="14" spans="2:9" s="1" customFormat="1" ht="15.75" customHeight="1" thickBot="1" x14ac:dyDescent="0.3">
      <c r="B14" s="12"/>
      <c r="C14" s="38"/>
      <c r="D14" s="45"/>
      <c r="E14" s="38"/>
      <c r="F14" s="38"/>
      <c r="G14" s="38"/>
      <c r="H14" s="155"/>
      <c r="I14" s="13"/>
    </row>
    <row r="15" spans="2:9" ht="15.75" customHeight="1" x14ac:dyDescent="0.25">
      <c r="B15" s="25"/>
      <c r="C15" s="26"/>
      <c r="D15" s="26"/>
      <c r="E15" s="25"/>
    </row>
    <row r="16" spans="2:9" ht="15.75" customHeight="1" x14ac:dyDescent="0.3">
      <c r="B16" s="25"/>
      <c r="C16" s="27" t="s">
        <v>1</v>
      </c>
      <c r="D16" s="26"/>
      <c r="E16" s="25"/>
    </row>
    <row r="17" spans="2:9" ht="15.75" customHeight="1" thickBot="1" x14ac:dyDescent="0.3">
      <c r="B17" s="25"/>
      <c r="C17" s="26"/>
      <c r="D17" s="26"/>
      <c r="E17" s="25"/>
    </row>
    <row r="18" spans="2:9" ht="15.75" customHeight="1" x14ac:dyDescent="0.25">
      <c r="B18" s="14"/>
      <c r="C18" s="28"/>
      <c r="D18" s="28"/>
      <c r="E18" s="47"/>
      <c r="F18" s="48"/>
      <c r="G18" s="48"/>
      <c r="H18" s="48"/>
      <c r="I18" s="49"/>
    </row>
    <row r="19" spans="2:9" ht="15.75" customHeight="1" x14ac:dyDescent="0.25">
      <c r="B19" s="16"/>
      <c r="C19" s="146"/>
      <c r="D19" s="52" t="str">
        <f>D7</f>
        <v>CDMA</v>
      </c>
      <c r="E19" s="54"/>
      <c r="F19" s="52" t="str">
        <f>F7</f>
        <v>G4</v>
      </c>
      <c r="G19" s="54"/>
      <c r="H19" s="52" t="str">
        <f>H7</f>
        <v>Wi-Fi</v>
      </c>
      <c r="I19" s="51"/>
    </row>
    <row r="20" spans="2:9" ht="15.75" customHeight="1" x14ac:dyDescent="0.3">
      <c r="B20" s="133" t="s">
        <v>92</v>
      </c>
      <c r="C20" s="18" t="s">
        <v>108</v>
      </c>
      <c r="D20" s="74">
        <f>NPV(D13,D9:D11)/-D8</f>
        <v>2.1466733450204525</v>
      </c>
      <c r="E20" s="18"/>
      <c r="F20" s="74">
        <f>NPV(D13,F9:F11)/-F8</f>
        <v>3.6817430503380915</v>
      </c>
      <c r="G20" s="50"/>
      <c r="H20" s="74">
        <f>NPV(D13,H9:H11)/-H8</f>
        <v>2.8268656194852615</v>
      </c>
      <c r="I20" s="51"/>
    </row>
    <row r="21" spans="2:9" ht="15.75" customHeight="1" x14ac:dyDescent="0.3">
      <c r="B21" s="133"/>
      <c r="C21" s="18" t="s">
        <v>146</v>
      </c>
      <c r="D21" s="156">
        <f>MAX(D20,F20,H20)</f>
        <v>3.6817430503380915</v>
      </c>
      <c r="E21" s="18"/>
      <c r="F21" s="157"/>
      <c r="G21" s="50"/>
      <c r="H21" s="157"/>
      <c r="I21" s="51"/>
    </row>
    <row r="22" spans="2:9" ht="15.75" customHeight="1" x14ac:dyDescent="0.3">
      <c r="B22" s="133"/>
      <c r="C22" s="18" t="s">
        <v>147</v>
      </c>
      <c r="D22" s="157"/>
      <c r="E22" s="18"/>
      <c r="F22" s="158" t="str">
        <f>IF(D20=D21,"CDMA",IF(D21=F20,"G4","Wi-Fi"))</f>
        <v>G4</v>
      </c>
      <c r="G22" s="50"/>
      <c r="H22" s="157"/>
      <c r="I22" s="51"/>
    </row>
    <row r="23" spans="2:9" ht="15.75" customHeight="1" x14ac:dyDescent="0.3">
      <c r="B23" s="133"/>
      <c r="C23" s="18" t="s">
        <v>148</v>
      </c>
      <c r="D23" s="157"/>
      <c r="E23" s="18"/>
      <c r="F23" s="157"/>
      <c r="G23" s="50"/>
      <c r="H23" s="157"/>
      <c r="I23" s="51"/>
    </row>
    <row r="24" spans="2:9" ht="15.75" customHeight="1" x14ac:dyDescent="0.25">
      <c r="B24" s="16"/>
      <c r="C24" s="18"/>
      <c r="D24" s="64"/>
      <c r="E24" s="18"/>
      <c r="F24" s="18"/>
      <c r="G24" s="50"/>
      <c r="H24" s="50"/>
      <c r="I24" s="51"/>
    </row>
    <row r="25" spans="2:9" ht="15.75" customHeight="1" x14ac:dyDescent="0.3">
      <c r="B25" s="133" t="s">
        <v>93</v>
      </c>
      <c r="C25" s="18" t="s">
        <v>37</v>
      </c>
      <c r="D25" s="111">
        <f>D8+NPV(D13,D9:D11)</f>
        <v>20640120.210368142</v>
      </c>
      <c r="E25" s="18"/>
      <c r="F25" s="111">
        <f>F8+NPV(D13,F9:F11)</f>
        <v>67043576.258452281</v>
      </c>
      <c r="G25" s="50"/>
      <c r="H25" s="111">
        <f>H8+NPV(D13,H9:H11)</f>
        <v>78555221.637866244</v>
      </c>
      <c r="I25" s="51"/>
    </row>
    <row r="26" spans="2:9" ht="15.75" customHeight="1" x14ac:dyDescent="0.3">
      <c r="B26" s="16"/>
      <c r="C26" s="18" t="s">
        <v>142</v>
      </c>
      <c r="D26" s="159">
        <f>MAX(D25,F25,H25)</f>
        <v>78555221.637866244</v>
      </c>
      <c r="E26" s="18"/>
      <c r="F26" s="160"/>
      <c r="G26" s="50"/>
      <c r="H26" s="50"/>
      <c r="I26" s="51"/>
    </row>
    <row r="27" spans="2:9" ht="15.75" customHeight="1" x14ac:dyDescent="0.3">
      <c r="B27" s="16"/>
      <c r="C27" s="18" t="s">
        <v>96</v>
      </c>
      <c r="D27" s="64"/>
      <c r="E27" s="18"/>
      <c r="F27" s="158" t="str">
        <f>IF(D25=D26,"Project CDMA",IF(D26=F25,"G4","Wi-Fi"))</f>
        <v>Wi-Fi</v>
      </c>
      <c r="G27" s="50"/>
      <c r="H27" s="50"/>
      <c r="I27" s="51"/>
    </row>
    <row r="28" spans="2:9" ht="15.75" customHeight="1" x14ac:dyDescent="0.25">
      <c r="B28" s="16"/>
      <c r="C28" s="18" t="s">
        <v>95</v>
      </c>
      <c r="D28" s="64"/>
      <c r="E28" s="18"/>
      <c r="F28" s="54"/>
      <c r="G28" s="50"/>
      <c r="H28" s="50"/>
      <c r="I28" s="51"/>
    </row>
    <row r="29" spans="2:9" s="1" customFormat="1" ht="15.75" customHeight="1" thickBot="1" x14ac:dyDescent="0.3">
      <c r="B29" s="19"/>
      <c r="C29" s="20"/>
      <c r="D29" s="20"/>
      <c r="E29" s="20"/>
      <c r="F29" s="20"/>
      <c r="G29" s="20"/>
      <c r="H29" s="20"/>
      <c r="I29" s="21"/>
    </row>
    <row r="30" spans="2:9" ht="15.75" customHeight="1" x14ac:dyDescent="0.25">
      <c r="B30" s="4"/>
      <c r="C30" s="4"/>
      <c r="D30" s="4"/>
      <c r="E30" s="4"/>
    </row>
    <row r="31" spans="2:9" ht="15.75" customHeight="1" x14ac:dyDescent="0.25">
      <c r="B31" s="4"/>
      <c r="C31" s="4"/>
      <c r="D31" s="187"/>
      <c r="E31" s="4"/>
      <c r="F31" s="238"/>
    </row>
    <row r="32" spans="2:9" ht="15.75" customHeight="1" x14ac:dyDescent="0.25">
      <c r="B32" s="1"/>
      <c r="C32" s="1"/>
      <c r="D32" s="195"/>
      <c r="E32" s="1"/>
      <c r="F32" s="238"/>
    </row>
    <row r="33" spans="2:5" ht="15.75" customHeight="1" x14ac:dyDescent="0.25">
      <c r="B33" s="1"/>
      <c r="C33" s="1"/>
      <c r="D33" s="1"/>
      <c r="E33" s="1"/>
    </row>
    <row r="34" spans="2:5" ht="15.75" customHeight="1" x14ac:dyDescent="0.25"/>
    <row r="35" spans="2:5" ht="15.75" customHeight="1" x14ac:dyDescent="0.25"/>
    <row r="36" spans="2:5" ht="15.75" customHeight="1" x14ac:dyDescent="0.25"/>
    <row r="37" spans="2:5" ht="15.75" customHeight="1" x14ac:dyDescent="0.25"/>
    <row r="38" spans="2:5" ht="15.75" customHeight="1" x14ac:dyDescent="0.25"/>
    <row r="39" spans="2:5" ht="15.75" customHeight="1" x14ac:dyDescent="0.25"/>
    <row r="40" spans="2:5" ht="15.75" customHeight="1" x14ac:dyDescent="0.25"/>
    <row r="41" spans="2:5" ht="15.75" customHeight="1" x14ac:dyDescent="0.25"/>
    <row r="42" spans="2:5" ht="15.75" customHeight="1" x14ac:dyDescent="0.25"/>
    <row r="43" spans="2:5" ht="15.75" customHeight="1" x14ac:dyDescent="0.25"/>
    <row r="44" spans="2:5" ht="15.75" customHeight="1" x14ac:dyDescent="0.25"/>
    <row r="45" spans="2:5" ht="15.75" customHeight="1" x14ac:dyDescent="0.25"/>
    <row r="46" spans="2:5" ht="15.75" customHeight="1" x14ac:dyDescent="0.25"/>
    <row r="47" spans="2:5" ht="15.75" customHeight="1" x14ac:dyDescent="0.25"/>
    <row r="48" spans="2: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sheetData>
  <phoneticPr fontId="0" type="noConversion"/>
  <pageMargins left="0.75" right="0.75" top="1" bottom="1" header="0.5" footer="0.5"/>
  <pageSetup scale="81" orientation="portrait" horizont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G744"/>
  <sheetViews>
    <sheetView workbookViewId="0">
      <selection activeCell="C2" sqref="C2"/>
    </sheetView>
  </sheetViews>
  <sheetFormatPr defaultRowHeight="13.2" x14ac:dyDescent="0.25"/>
  <cols>
    <col min="2" max="2" width="3.109375" customWidth="1"/>
    <col min="3" max="3" width="26.109375" bestFit="1" customWidth="1"/>
    <col min="4" max="4" width="16.33203125" bestFit="1" customWidth="1"/>
    <col min="5" max="5" width="3.109375" customWidth="1"/>
    <col min="6" max="6" width="15.109375" customWidth="1"/>
    <col min="7" max="7" width="3.109375" customWidth="1"/>
  </cols>
  <sheetData>
    <row r="1" spans="2:7" s="1" customFormat="1" ht="17.399999999999999" x14ac:dyDescent="0.3">
      <c r="C1" s="139" t="s">
        <v>219</v>
      </c>
    </row>
    <row r="2" spans="2:7" s="1" customFormat="1" ht="15.75" customHeight="1" x14ac:dyDescent="0.25">
      <c r="C2" s="1" t="s">
        <v>42</v>
      </c>
    </row>
    <row r="3" spans="2:7" s="1" customFormat="1" ht="15.75" customHeight="1" x14ac:dyDescent="0.25"/>
    <row r="4" spans="2:7" s="1" customFormat="1" ht="15.75" customHeight="1" x14ac:dyDescent="0.3">
      <c r="C4" s="2" t="s">
        <v>0</v>
      </c>
    </row>
    <row r="5" spans="2:7" s="1" customFormat="1" ht="15.75" customHeight="1" thickBot="1" x14ac:dyDescent="0.35">
      <c r="C5" s="3"/>
      <c r="D5" s="4"/>
    </row>
    <row r="6" spans="2:7" s="1" customFormat="1" ht="15.75" customHeight="1" x14ac:dyDescent="0.3">
      <c r="B6" s="5"/>
      <c r="C6" s="6"/>
      <c r="D6" s="7"/>
      <c r="E6" s="7"/>
      <c r="F6" s="7"/>
      <c r="G6" s="8"/>
    </row>
    <row r="7" spans="2:7" s="1" customFormat="1" ht="15.75" customHeight="1" x14ac:dyDescent="0.3">
      <c r="B7" s="9"/>
      <c r="C7" s="37" t="s">
        <v>27</v>
      </c>
      <c r="D7" s="44" t="s">
        <v>149</v>
      </c>
      <c r="E7" s="10"/>
      <c r="F7" s="46" t="s">
        <v>150</v>
      </c>
      <c r="G7" s="11"/>
    </row>
    <row r="8" spans="2:7" s="1" customFormat="1" ht="15.75" customHeight="1" x14ac:dyDescent="0.25">
      <c r="B8" s="9"/>
      <c r="C8" s="10" t="s">
        <v>24</v>
      </c>
      <c r="D8" s="130">
        <v>-575000</v>
      </c>
      <c r="E8" s="131"/>
      <c r="F8" s="131">
        <v>-980000</v>
      </c>
      <c r="G8" s="11"/>
    </row>
    <row r="9" spans="2:7" s="1" customFormat="1" ht="15.75" customHeight="1" x14ac:dyDescent="0.25">
      <c r="B9" s="9"/>
      <c r="C9" s="10" t="s">
        <v>15</v>
      </c>
      <c r="D9" s="132">
        <v>373000</v>
      </c>
      <c r="E9" s="131"/>
      <c r="F9" s="131">
        <v>395000</v>
      </c>
      <c r="G9" s="11"/>
    </row>
    <row r="10" spans="2:7" s="1" customFormat="1" ht="15.75" customHeight="1" x14ac:dyDescent="0.25">
      <c r="B10" s="9"/>
      <c r="C10" s="10" t="s">
        <v>16</v>
      </c>
      <c r="D10" s="132">
        <v>219000</v>
      </c>
      <c r="E10" s="131"/>
      <c r="F10" s="131">
        <v>477000</v>
      </c>
      <c r="G10" s="11"/>
    </row>
    <row r="11" spans="2:7" s="1" customFormat="1" ht="15.75" customHeight="1" x14ac:dyDescent="0.25">
      <c r="B11" s="9"/>
      <c r="C11" s="10" t="s">
        <v>17</v>
      </c>
      <c r="D11" s="132">
        <v>185000</v>
      </c>
      <c r="E11" s="131"/>
      <c r="F11" s="131">
        <v>339000</v>
      </c>
      <c r="G11" s="11"/>
    </row>
    <row r="12" spans="2:7" s="1" customFormat="1" ht="15.75" customHeight="1" x14ac:dyDescent="0.25">
      <c r="B12" s="9"/>
      <c r="C12" s="10"/>
      <c r="D12" s="95"/>
      <c r="E12" s="117"/>
      <c r="F12" s="114"/>
      <c r="G12" s="11"/>
    </row>
    <row r="13" spans="2:7" s="1" customFormat="1" ht="15.75" customHeight="1" x14ac:dyDescent="0.25">
      <c r="B13" s="9"/>
      <c r="C13" s="10" t="s">
        <v>36</v>
      </c>
      <c r="D13" s="112"/>
      <c r="E13" s="117"/>
      <c r="F13" s="118">
        <v>0.1</v>
      </c>
      <c r="G13" s="11"/>
    </row>
    <row r="14" spans="2:7" s="1" customFormat="1" ht="15.75" customHeight="1" thickBot="1" x14ac:dyDescent="0.3">
      <c r="B14" s="12"/>
      <c r="C14" s="38"/>
      <c r="D14" s="45"/>
      <c r="E14" s="38"/>
      <c r="F14" s="38"/>
      <c r="G14" s="13"/>
    </row>
    <row r="15" spans="2:7" ht="15.75" customHeight="1" x14ac:dyDescent="0.25">
      <c r="B15" s="25"/>
      <c r="C15" s="26"/>
      <c r="D15" s="26"/>
      <c r="E15" s="25"/>
    </row>
    <row r="16" spans="2:7" ht="15.75" customHeight="1" x14ac:dyDescent="0.3">
      <c r="B16" s="25"/>
      <c r="C16" s="27" t="s">
        <v>1</v>
      </c>
      <c r="D16" s="26"/>
      <c r="E16" s="25"/>
    </row>
    <row r="17" spans="2:7" ht="15.75" customHeight="1" thickBot="1" x14ac:dyDescent="0.3">
      <c r="B17" s="25"/>
      <c r="C17" s="26"/>
      <c r="D17" s="26"/>
      <c r="E17" s="25"/>
    </row>
    <row r="18" spans="2:7" ht="15.75" customHeight="1" x14ac:dyDescent="0.25">
      <c r="B18" s="14"/>
      <c r="C18" s="28"/>
      <c r="D18" s="28"/>
      <c r="E18" s="47"/>
      <c r="F18" s="48"/>
      <c r="G18" s="49"/>
    </row>
    <row r="19" spans="2:7" ht="15.75" customHeight="1" x14ac:dyDescent="0.25">
      <c r="B19" s="16"/>
      <c r="C19" s="146"/>
      <c r="D19" s="54" t="s">
        <v>149</v>
      </c>
      <c r="E19" s="54"/>
      <c r="F19" s="54" t="s">
        <v>150</v>
      </c>
      <c r="G19" s="51"/>
    </row>
    <row r="20" spans="2:7" ht="15.75" customHeight="1" x14ac:dyDescent="0.3">
      <c r="B20" s="133" t="s">
        <v>92</v>
      </c>
      <c r="C20" s="18" t="s">
        <v>139</v>
      </c>
      <c r="D20" s="74">
        <f>IF(-D8&gt;SUM(D9:D11),"Never",IF(-D8&gt;(D9+D10),(2+(-D8-D9-D10)/D11),IF(-D8&gt;D9,(1+(-D8-D9)/D10),IF(-D8&lt;=D9,(-D8/D9)))))</f>
        <v>1.9223744292237441</v>
      </c>
      <c r="E20" s="18"/>
      <c r="F20" s="74">
        <f>IF(-F8&gt;SUM(F9:F11),"Never",IF(-F8&gt;(F9+F10),(2+(-F8-F9-F10)/F11),IF(-F8&gt;F9,(1+(-F8-F9)/F10),IF(-F8&lt;=F9,(-F8/F9)))))</f>
        <v>2.3185840707964602</v>
      </c>
      <c r="G20" s="51"/>
    </row>
    <row r="21" spans="2:7" ht="15.75" customHeight="1" x14ac:dyDescent="0.3">
      <c r="B21" s="133"/>
      <c r="C21" s="18"/>
      <c r="D21" s="156"/>
      <c r="E21" s="18"/>
      <c r="F21" s="157"/>
      <c r="G21" s="51"/>
    </row>
    <row r="22" spans="2:7" ht="15.75" customHeight="1" x14ac:dyDescent="0.3">
      <c r="B22" s="133"/>
      <c r="C22" s="18" t="s">
        <v>140</v>
      </c>
      <c r="D22" s="157"/>
      <c r="E22" s="18"/>
      <c r="F22" s="158" t="str">
        <f>IF(D20&lt;F20,"AZM","AZF")</f>
        <v>AZM</v>
      </c>
      <c r="G22" s="51"/>
    </row>
    <row r="23" spans="2:7" ht="15.75" customHeight="1" x14ac:dyDescent="0.3">
      <c r="B23" s="133"/>
      <c r="C23" s="18" t="s">
        <v>141</v>
      </c>
      <c r="D23" s="157"/>
      <c r="E23" s="18"/>
      <c r="F23" s="157"/>
      <c r="G23" s="51"/>
    </row>
    <row r="24" spans="2:7" ht="15.75" customHeight="1" x14ac:dyDescent="0.25">
      <c r="B24" s="16"/>
      <c r="C24" s="18"/>
      <c r="D24" s="64"/>
      <c r="E24" s="18"/>
      <c r="F24" s="18"/>
      <c r="G24" s="51"/>
    </row>
    <row r="25" spans="2:7" ht="15.75" customHeight="1" x14ac:dyDescent="0.3">
      <c r="B25" s="133" t="s">
        <v>93</v>
      </c>
      <c r="C25" s="18" t="s">
        <v>72</v>
      </c>
      <c r="D25" s="111">
        <f>D8+NPV(F13,D9:D11)</f>
        <v>84075.882794890902</v>
      </c>
      <c r="E25" s="18"/>
      <c r="F25" s="111">
        <f>F8+NPV(F13,F9:F11)</f>
        <v>28001.502629601629</v>
      </c>
      <c r="G25" s="51"/>
    </row>
    <row r="26" spans="2:7" ht="15.75" customHeight="1" x14ac:dyDescent="0.3">
      <c r="B26" s="16"/>
      <c r="C26" s="18"/>
      <c r="D26" s="159"/>
      <c r="E26" s="18"/>
      <c r="F26" s="160"/>
      <c r="G26" s="51"/>
    </row>
    <row r="27" spans="2:7" ht="15.75" customHeight="1" x14ac:dyDescent="0.3">
      <c r="B27" s="16"/>
      <c r="C27" s="18" t="s">
        <v>96</v>
      </c>
      <c r="D27" s="64"/>
      <c r="E27" s="18"/>
      <c r="F27" s="158" t="str">
        <f>IF(D25&gt;F25,"AZM","AZF")</f>
        <v>AZM</v>
      </c>
      <c r="G27" s="51"/>
    </row>
    <row r="28" spans="2:7" ht="15.75" customHeight="1" x14ac:dyDescent="0.25">
      <c r="B28" s="16"/>
      <c r="C28" s="18" t="s">
        <v>95</v>
      </c>
      <c r="D28" s="64"/>
      <c r="E28" s="18"/>
      <c r="F28" s="54"/>
      <c r="G28" s="51"/>
    </row>
    <row r="29" spans="2:7" ht="15.75" customHeight="1" x14ac:dyDescent="0.25">
      <c r="B29" s="16"/>
      <c r="C29" s="18"/>
      <c r="D29" s="64"/>
      <c r="E29" s="18"/>
      <c r="F29" s="54"/>
      <c r="G29" s="51"/>
    </row>
    <row r="30" spans="2:7" ht="15.75" customHeight="1" x14ac:dyDescent="0.3">
      <c r="B30" s="133" t="s">
        <v>94</v>
      </c>
      <c r="C30" s="18" t="s">
        <v>28</v>
      </c>
      <c r="D30" s="70">
        <f>IRR(D8:D11)</f>
        <v>0.19361287790331572</v>
      </c>
      <c r="E30" s="18"/>
      <c r="F30" s="70">
        <f>IRR(F8:F11)</f>
        <v>0.11650198620109498</v>
      </c>
      <c r="G30" s="51"/>
    </row>
    <row r="31" spans="2:7" ht="15.75" customHeight="1" x14ac:dyDescent="0.3">
      <c r="B31" s="133"/>
      <c r="C31" s="18"/>
      <c r="D31" s="159"/>
      <c r="E31" s="18"/>
      <c r="F31" s="160"/>
      <c r="G31" s="51"/>
    </row>
    <row r="32" spans="2:7" ht="15.75" customHeight="1" x14ac:dyDescent="0.3">
      <c r="B32" s="133"/>
      <c r="C32" s="18" t="s">
        <v>151</v>
      </c>
      <c r="D32" s="64"/>
      <c r="E32" s="18"/>
      <c r="F32" s="158" t="str">
        <f>IF(D30&gt;F30,"AZM","AZF")</f>
        <v>AZM</v>
      </c>
      <c r="G32" s="51"/>
    </row>
    <row r="33" spans="2:7" ht="15.75" customHeight="1" x14ac:dyDescent="0.25">
      <c r="B33" s="16"/>
      <c r="C33" s="18" t="s">
        <v>270</v>
      </c>
      <c r="D33" s="64"/>
      <c r="E33" s="18"/>
      <c r="F33" s="54"/>
      <c r="G33" s="51"/>
    </row>
    <row r="34" spans="2:7" s="1" customFormat="1" ht="15.75" customHeight="1" thickBot="1" x14ac:dyDescent="0.3">
      <c r="B34" s="19"/>
      <c r="C34" s="20"/>
      <c r="D34" s="20"/>
      <c r="E34" s="20"/>
      <c r="F34" s="20"/>
      <c r="G34" s="21"/>
    </row>
    <row r="35" spans="2:7" ht="15.75" customHeight="1" x14ac:dyDescent="0.25">
      <c r="B35" s="4"/>
      <c r="C35" s="4"/>
      <c r="D35" s="4"/>
      <c r="E35" s="4"/>
    </row>
    <row r="36" spans="2:7" ht="15.75" customHeight="1" x14ac:dyDescent="0.25">
      <c r="B36" s="4"/>
      <c r="C36" s="4"/>
      <c r="D36" s="4"/>
      <c r="E36" s="4"/>
    </row>
    <row r="37" spans="2:7" ht="15.75" customHeight="1" x14ac:dyDescent="0.25">
      <c r="B37" s="1"/>
      <c r="C37" s="1"/>
      <c r="D37" s="1"/>
      <c r="E37" s="1"/>
    </row>
    <row r="38" spans="2:7" ht="15.75" customHeight="1" x14ac:dyDescent="0.25">
      <c r="B38" s="1"/>
      <c r="C38" s="1"/>
      <c r="D38" s="1"/>
      <c r="E38" s="1"/>
    </row>
    <row r="39" spans="2:7" ht="15.75" customHeight="1" x14ac:dyDescent="0.25"/>
    <row r="40" spans="2:7" ht="15.75" customHeight="1" x14ac:dyDescent="0.25"/>
    <row r="41" spans="2:7" ht="15.75" customHeight="1" x14ac:dyDescent="0.25"/>
    <row r="42" spans="2:7" ht="15.75" customHeight="1" x14ac:dyDescent="0.25"/>
    <row r="43" spans="2:7" ht="15.75" customHeight="1" x14ac:dyDescent="0.25"/>
    <row r="44" spans="2:7" ht="15.75" customHeight="1" x14ac:dyDescent="0.25"/>
    <row r="45" spans="2:7" ht="15.75" customHeight="1" x14ac:dyDescent="0.25"/>
    <row r="46" spans="2:7" ht="15.75" customHeight="1" x14ac:dyDescent="0.25"/>
    <row r="47" spans="2:7" ht="15.75" customHeight="1" x14ac:dyDescent="0.25"/>
    <row r="48" spans="2: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sheetData>
  <phoneticPr fontId="0" type="noConversion"/>
  <pageMargins left="0.75" right="0.75" top="1" bottom="1" header="0.5" footer="0.5"/>
  <pageSetup orientation="portrait" horizont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I737"/>
  <sheetViews>
    <sheetView zoomScaleNormal="100" workbookViewId="0">
      <selection activeCell="C2" sqref="C2"/>
    </sheetView>
  </sheetViews>
  <sheetFormatPr defaultRowHeight="13.2" x14ac:dyDescent="0.25"/>
  <cols>
    <col min="2" max="2" width="3.109375" customWidth="1"/>
    <col min="3" max="3" width="26.109375" bestFit="1" customWidth="1"/>
    <col min="4" max="4" width="18.88671875" bestFit="1" customWidth="1"/>
    <col min="5" max="5" width="3.109375" customWidth="1"/>
    <col min="6" max="6" width="18.88671875" bestFit="1" customWidth="1"/>
    <col min="7" max="7" width="3.109375" customWidth="1"/>
    <col min="8" max="8" width="19" customWidth="1"/>
    <col min="9" max="9" width="3.109375" customWidth="1"/>
  </cols>
  <sheetData>
    <row r="1" spans="2:9" s="1" customFormat="1" ht="17.399999999999999" x14ac:dyDescent="0.3">
      <c r="C1" s="139" t="s">
        <v>219</v>
      </c>
    </row>
    <row r="2" spans="2:9" s="1" customFormat="1" ht="15.75" customHeight="1" x14ac:dyDescent="0.25">
      <c r="C2" s="1" t="s">
        <v>51</v>
      </c>
    </row>
    <row r="3" spans="2:9" s="1" customFormat="1" ht="15.75" customHeight="1" x14ac:dyDescent="0.25"/>
    <row r="4" spans="2:9" s="1" customFormat="1" ht="15.75" customHeight="1" x14ac:dyDescent="0.3">
      <c r="C4" s="2" t="s">
        <v>0</v>
      </c>
    </row>
    <row r="5" spans="2:9" s="1" customFormat="1" ht="15.75" customHeight="1" thickBot="1" x14ac:dyDescent="0.35">
      <c r="C5" s="3"/>
      <c r="D5" s="4"/>
    </row>
    <row r="6" spans="2:9" s="1" customFormat="1" ht="15.75" customHeight="1" x14ac:dyDescent="0.3">
      <c r="B6" s="5"/>
      <c r="C6" s="6"/>
      <c r="D6" s="7"/>
      <c r="E6" s="7"/>
      <c r="F6" s="7"/>
      <c r="G6" s="7"/>
      <c r="H6" s="7"/>
      <c r="I6" s="8"/>
    </row>
    <row r="7" spans="2:9" s="1" customFormat="1" ht="15.75" customHeight="1" x14ac:dyDescent="0.3">
      <c r="B7" s="9"/>
      <c r="C7" s="37" t="s">
        <v>27</v>
      </c>
      <c r="D7" s="44" t="s">
        <v>82</v>
      </c>
      <c r="E7" s="10"/>
      <c r="F7" s="46" t="s">
        <v>83</v>
      </c>
      <c r="G7" s="10"/>
      <c r="H7" s="46" t="s">
        <v>152</v>
      </c>
      <c r="I7" s="11"/>
    </row>
    <row r="8" spans="2:9" s="1" customFormat="1" ht="15.75" customHeight="1" x14ac:dyDescent="0.25">
      <c r="B8" s="9"/>
      <c r="C8" s="10" t="s">
        <v>24</v>
      </c>
      <c r="D8" s="130">
        <v>-225000</v>
      </c>
      <c r="E8" s="131"/>
      <c r="F8" s="131">
        <v>-450000</v>
      </c>
      <c r="G8" s="10"/>
      <c r="H8" s="114">
        <v>-225000</v>
      </c>
      <c r="I8" s="11"/>
    </row>
    <row r="9" spans="2:9" s="1" customFormat="1" ht="15.75" customHeight="1" x14ac:dyDescent="0.25">
      <c r="B9" s="9"/>
      <c r="C9" s="10" t="s">
        <v>15</v>
      </c>
      <c r="D9" s="132">
        <v>165000</v>
      </c>
      <c r="E9" s="131"/>
      <c r="F9" s="131">
        <v>300000</v>
      </c>
      <c r="G9" s="10"/>
      <c r="H9" s="114">
        <v>180000</v>
      </c>
      <c r="I9" s="11"/>
    </row>
    <row r="10" spans="2:9" s="1" customFormat="1" ht="15.75" customHeight="1" x14ac:dyDescent="0.25">
      <c r="B10" s="9"/>
      <c r="C10" s="10" t="s">
        <v>16</v>
      </c>
      <c r="D10" s="132">
        <v>165000</v>
      </c>
      <c r="E10" s="131"/>
      <c r="F10" s="131">
        <v>300000</v>
      </c>
      <c r="G10" s="10"/>
      <c r="H10" s="114">
        <v>135000</v>
      </c>
      <c r="I10" s="11"/>
    </row>
    <row r="11" spans="2:9" s="1" customFormat="1" ht="15.75" customHeight="1" x14ac:dyDescent="0.25">
      <c r="B11" s="9"/>
      <c r="C11" s="10"/>
      <c r="D11" s="95"/>
      <c r="E11" s="117"/>
      <c r="F11" s="117"/>
      <c r="G11" s="10"/>
      <c r="H11" s="154"/>
      <c r="I11" s="11"/>
    </row>
    <row r="12" spans="2:9" s="1" customFormat="1" ht="15.75" customHeight="1" x14ac:dyDescent="0.25">
      <c r="B12" s="9"/>
      <c r="C12" s="10" t="s">
        <v>36</v>
      </c>
      <c r="D12" s="118">
        <v>0.12</v>
      </c>
      <c r="E12" s="117"/>
      <c r="F12" s="161"/>
      <c r="G12" s="10"/>
      <c r="H12" s="154"/>
      <c r="I12" s="11"/>
    </row>
    <row r="13" spans="2:9" s="1" customFormat="1" ht="15.75" customHeight="1" thickBot="1" x14ac:dyDescent="0.3">
      <c r="B13" s="12"/>
      <c r="C13" s="38"/>
      <c r="D13" s="45"/>
      <c r="E13" s="38"/>
      <c r="F13" s="38"/>
      <c r="G13" s="38"/>
      <c r="H13" s="155"/>
      <c r="I13" s="13"/>
    </row>
    <row r="14" spans="2:9" ht="15.75" customHeight="1" x14ac:dyDescent="0.25">
      <c r="B14" s="25"/>
      <c r="C14" s="26"/>
      <c r="D14" s="26"/>
      <c r="E14" s="25"/>
    </row>
    <row r="15" spans="2:9" ht="15.75" customHeight="1" x14ac:dyDescent="0.3">
      <c r="B15" s="25"/>
      <c r="C15" s="27" t="s">
        <v>1</v>
      </c>
      <c r="D15" s="26"/>
      <c r="E15" s="25"/>
    </row>
    <row r="16" spans="2:9" ht="15.75" customHeight="1" thickBot="1" x14ac:dyDescent="0.3">
      <c r="B16" s="25"/>
      <c r="C16" s="26"/>
      <c r="D16" s="26"/>
      <c r="E16" s="25"/>
    </row>
    <row r="17" spans="2:9" ht="15.75" customHeight="1" x14ac:dyDescent="0.25">
      <c r="B17" s="14"/>
      <c r="C17" s="28"/>
      <c r="D17" s="28"/>
      <c r="E17" s="47"/>
      <c r="F17" s="48"/>
      <c r="G17" s="48"/>
      <c r="H17" s="48"/>
      <c r="I17" s="49"/>
    </row>
    <row r="18" spans="2:9" ht="15.75" customHeight="1" x14ac:dyDescent="0.25">
      <c r="B18" s="16"/>
      <c r="C18" s="146"/>
      <c r="D18" s="52" t="str">
        <f>D7</f>
        <v>Project A</v>
      </c>
      <c r="E18" s="54"/>
      <c r="F18" s="54" t="str">
        <f>F7</f>
        <v>Project B</v>
      </c>
      <c r="G18" s="54"/>
      <c r="H18" s="54" t="str">
        <f>H7</f>
        <v>Project C</v>
      </c>
      <c r="I18" s="51"/>
    </row>
    <row r="19" spans="2:9" ht="15.75" customHeight="1" x14ac:dyDescent="0.3">
      <c r="B19" s="133" t="s">
        <v>92</v>
      </c>
      <c r="C19" s="18" t="s">
        <v>108</v>
      </c>
      <c r="D19" s="74">
        <f>NPV(D12,D9:D10)/-D8</f>
        <v>1.2393707482993195</v>
      </c>
      <c r="E19" s="18"/>
      <c r="F19" s="74">
        <f>NPV(D12,F9:F10)/-F8</f>
        <v>1.1267006802721087</v>
      </c>
      <c r="G19" s="50"/>
      <c r="H19" s="74">
        <f>NPV(D12,H9:H10)/-H8</f>
        <v>1.1926020408163263</v>
      </c>
      <c r="I19" s="51"/>
    </row>
    <row r="20" spans="2:9" ht="15.75" customHeight="1" x14ac:dyDescent="0.25">
      <c r="B20" s="16"/>
      <c r="C20" s="18"/>
      <c r="D20" s="64"/>
      <c r="E20" s="18"/>
      <c r="F20" s="18"/>
      <c r="G20" s="50"/>
      <c r="H20" s="50"/>
      <c r="I20" s="51"/>
    </row>
    <row r="21" spans="2:9" ht="15.75" customHeight="1" x14ac:dyDescent="0.3">
      <c r="B21" s="133" t="s">
        <v>93</v>
      </c>
      <c r="C21" s="18" t="s">
        <v>72</v>
      </c>
      <c r="D21" s="111">
        <f>D8+NPV(D12,D9:D10)</f>
        <v>53858.418367346865</v>
      </c>
      <c r="E21" s="18"/>
      <c r="F21" s="111">
        <f>F8+NPV(D12,F9:F10)</f>
        <v>57015.306122448936</v>
      </c>
      <c r="G21" s="50"/>
      <c r="H21" s="111">
        <f>H8+NPV(D12,H9:H10)</f>
        <v>43335.459183673433</v>
      </c>
      <c r="I21" s="51"/>
    </row>
    <row r="22" spans="2:9" ht="15.75" customHeight="1" x14ac:dyDescent="0.3">
      <c r="B22" s="133"/>
      <c r="C22" s="18"/>
      <c r="D22" s="150"/>
      <c r="E22" s="18"/>
      <c r="F22" s="150"/>
      <c r="G22" s="50"/>
      <c r="H22" s="150"/>
      <c r="I22" s="51"/>
    </row>
    <row r="23" spans="2:9" ht="15.75" customHeight="1" x14ac:dyDescent="0.3">
      <c r="B23" s="133" t="s">
        <v>94</v>
      </c>
      <c r="C23" s="18" t="s">
        <v>153</v>
      </c>
      <c r="D23" s="150"/>
      <c r="E23" s="18"/>
      <c r="F23" s="150"/>
      <c r="G23" s="50"/>
      <c r="H23" s="150"/>
      <c r="I23" s="51"/>
    </row>
    <row r="24" spans="2:9" ht="15.75" customHeight="1" x14ac:dyDescent="0.3">
      <c r="B24" s="133"/>
      <c r="C24" s="18" t="s">
        <v>82</v>
      </c>
      <c r="D24" s="162" t="str">
        <f>IF(D19&gt;1,"Accept","Reject")</f>
        <v>Accept</v>
      </c>
      <c r="E24" s="18"/>
      <c r="F24" s="150"/>
      <c r="G24" s="50"/>
      <c r="H24" s="150"/>
      <c r="I24" s="51"/>
    </row>
    <row r="25" spans="2:9" ht="15.75" customHeight="1" x14ac:dyDescent="0.3">
      <c r="B25" s="133"/>
      <c r="C25" s="18" t="s">
        <v>83</v>
      </c>
      <c r="D25" s="162" t="str">
        <f>IF(F19&gt;1,"Accept","Reject")</f>
        <v>Accept</v>
      </c>
      <c r="E25" s="18"/>
      <c r="F25" s="150"/>
      <c r="G25" s="50"/>
      <c r="H25" s="150"/>
      <c r="I25" s="51"/>
    </row>
    <row r="26" spans="2:9" ht="15.75" customHeight="1" x14ac:dyDescent="0.3">
      <c r="B26" s="133"/>
      <c r="C26" s="18" t="s">
        <v>152</v>
      </c>
      <c r="D26" s="162" t="str">
        <f>IF(H19&gt;1,"Accept","Reject")</f>
        <v>Accept</v>
      </c>
      <c r="E26" s="18"/>
      <c r="F26" s="150"/>
      <c r="G26" s="50"/>
      <c r="H26" s="150"/>
      <c r="I26" s="51"/>
    </row>
    <row r="27" spans="2:9" s="1" customFormat="1" ht="15.75" customHeight="1" thickBot="1" x14ac:dyDescent="0.3">
      <c r="B27" s="19"/>
      <c r="C27" s="20"/>
      <c r="D27" s="20"/>
      <c r="E27" s="20"/>
      <c r="F27" s="20"/>
      <c r="G27" s="20"/>
      <c r="H27" s="20"/>
      <c r="I27" s="21"/>
    </row>
    <row r="28" spans="2:9" ht="15.75" customHeight="1" x14ac:dyDescent="0.25">
      <c r="B28" s="4"/>
      <c r="C28" s="4"/>
      <c r="D28" s="4"/>
      <c r="E28" s="4"/>
    </row>
    <row r="29" spans="2:9" ht="15.75" customHeight="1" x14ac:dyDescent="0.25">
      <c r="B29" s="4"/>
      <c r="C29" s="4"/>
      <c r="D29" s="4"/>
      <c r="E29" s="4"/>
    </row>
    <row r="30" spans="2:9" ht="15.75" customHeight="1" x14ac:dyDescent="0.25">
      <c r="B30" s="1"/>
      <c r="C30" s="1"/>
      <c r="D30" s="1"/>
      <c r="E30" s="1"/>
    </row>
    <row r="31" spans="2:9" ht="15.75" customHeight="1" x14ac:dyDescent="0.25">
      <c r="B31" s="1"/>
      <c r="C31" s="1"/>
      <c r="D31" s="1"/>
      <c r="E31" s="1"/>
    </row>
    <row r="32" spans="2:9"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sheetData>
  <phoneticPr fontId="0" type="noConversion"/>
  <pageMargins left="0.75" right="0.75" top="1" bottom="1" header="0.5" footer="0.5"/>
  <pageSetup scale="87" orientation="portrait" horizont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H753"/>
  <sheetViews>
    <sheetView workbookViewId="0">
      <selection activeCell="C2" sqref="C2"/>
    </sheetView>
  </sheetViews>
  <sheetFormatPr defaultRowHeight="13.2" x14ac:dyDescent="0.25"/>
  <cols>
    <col min="2" max="2" width="3.109375" customWidth="1"/>
    <col min="3" max="3" width="26.109375" bestFit="1" customWidth="1"/>
    <col min="4" max="4" width="16.33203125" bestFit="1" customWidth="1"/>
    <col min="5" max="5" width="3.109375" customWidth="1"/>
    <col min="6" max="6" width="18.33203125" bestFit="1" customWidth="1"/>
    <col min="7" max="7" width="3.109375" customWidth="1"/>
  </cols>
  <sheetData>
    <row r="1" spans="2:8" s="1" customFormat="1" ht="17.399999999999999" x14ac:dyDescent="0.3">
      <c r="C1" s="139" t="s">
        <v>219</v>
      </c>
    </row>
    <row r="2" spans="2:8" s="1" customFormat="1" ht="15.75" customHeight="1" x14ac:dyDescent="0.25">
      <c r="C2" s="1" t="s">
        <v>52</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7"/>
      <c r="F6" s="7"/>
      <c r="G6" s="8"/>
    </row>
    <row r="7" spans="2:8" s="1" customFormat="1" ht="15.75" customHeight="1" x14ac:dyDescent="0.3">
      <c r="B7" s="9"/>
      <c r="C7" s="37" t="s">
        <v>27</v>
      </c>
      <c r="D7" s="44" t="s">
        <v>154</v>
      </c>
      <c r="E7" s="10"/>
      <c r="F7" s="46" t="s">
        <v>155</v>
      </c>
      <c r="G7" s="11"/>
    </row>
    <row r="8" spans="2:8" s="1" customFormat="1" ht="15.75" customHeight="1" x14ac:dyDescent="0.25">
      <c r="B8" s="9"/>
      <c r="C8" s="10" t="s">
        <v>24</v>
      </c>
      <c r="D8" s="130">
        <v>-1500000</v>
      </c>
      <c r="E8" s="131"/>
      <c r="F8" s="131">
        <v>-650000</v>
      </c>
      <c r="G8" s="11"/>
    </row>
    <row r="9" spans="2:8" s="1" customFormat="1" ht="15.75" customHeight="1" x14ac:dyDescent="0.25">
      <c r="B9" s="9"/>
      <c r="C9" s="10" t="s">
        <v>15</v>
      </c>
      <c r="D9" s="132">
        <v>900000</v>
      </c>
      <c r="E9" s="131"/>
      <c r="F9" s="131">
        <v>345000</v>
      </c>
      <c r="G9" s="11"/>
      <c r="H9" s="23"/>
    </row>
    <row r="10" spans="2:8" s="1" customFormat="1" ht="15.75" customHeight="1" x14ac:dyDescent="0.25">
      <c r="B10" s="9"/>
      <c r="C10" s="10" t="s">
        <v>16</v>
      </c>
      <c r="D10" s="132">
        <v>700000</v>
      </c>
      <c r="E10" s="131"/>
      <c r="F10" s="131">
        <v>570000</v>
      </c>
      <c r="G10" s="11"/>
      <c r="H10" s="23"/>
    </row>
    <row r="11" spans="2:8" s="1" customFormat="1" ht="15.75" customHeight="1" x14ac:dyDescent="0.25">
      <c r="B11" s="9"/>
      <c r="C11" s="10" t="s">
        <v>17</v>
      </c>
      <c r="D11" s="132">
        <v>725000</v>
      </c>
      <c r="E11" s="131"/>
      <c r="F11" s="131">
        <v>360000</v>
      </c>
      <c r="G11" s="11"/>
      <c r="H11" s="23"/>
    </row>
    <row r="12" spans="2:8" s="1" customFormat="1" ht="15.75" customHeight="1" x14ac:dyDescent="0.25">
      <c r="B12" s="9"/>
      <c r="C12" s="10"/>
      <c r="D12" s="95"/>
      <c r="E12" s="117"/>
      <c r="F12" s="117"/>
      <c r="G12" s="11"/>
      <c r="H12" s="23"/>
    </row>
    <row r="13" spans="2:8" s="1" customFormat="1" ht="15.75" customHeight="1" x14ac:dyDescent="0.25">
      <c r="B13" s="9"/>
      <c r="C13" s="10" t="s">
        <v>36</v>
      </c>
      <c r="D13" s="112"/>
      <c r="E13" s="117"/>
      <c r="F13" s="118">
        <v>0.08</v>
      </c>
      <c r="G13" s="11"/>
      <c r="H13" s="23"/>
    </row>
    <row r="14" spans="2:8" s="1" customFormat="1" ht="15.75" customHeight="1" thickBot="1" x14ac:dyDescent="0.3">
      <c r="B14" s="12"/>
      <c r="C14" s="38"/>
      <c r="D14" s="45"/>
      <c r="E14" s="38"/>
      <c r="F14" s="38"/>
      <c r="G14" s="13"/>
      <c r="H14" s="23"/>
    </row>
    <row r="15" spans="2:8" ht="15.75" customHeight="1" x14ac:dyDescent="0.25">
      <c r="B15" s="25"/>
      <c r="C15" s="26"/>
      <c r="D15" s="26"/>
      <c r="E15" s="25"/>
    </row>
    <row r="16" spans="2:8" ht="15.75" customHeight="1" x14ac:dyDescent="0.3">
      <c r="B16" s="25"/>
      <c r="C16" s="27" t="s">
        <v>1</v>
      </c>
      <c r="D16" s="26"/>
      <c r="E16" s="25"/>
    </row>
    <row r="17" spans="2:7" ht="15.75" customHeight="1" thickBot="1" x14ac:dyDescent="0.3">
      <c r="B17" s="25"/>
      <c r="C17" s="26"/>
      <c r="D17" s="26"/>
      <c r="E17" s="25"/>
    </row>
    <row r="18" spans="2:7" ht="15.75" customHeight="1" x14ac:dyDescent="0.25">
      <c r="B18" s="14"/>
      <c r="C18" s="28"/>
      <c r="D18" s="28"/>
      <c r="E18" s="47"/>
      <c r="F18" s="48"/>
      <c r="G18" s="49"/>
    </row>
    <row r="19" spans="2:7" ht="15.75" customHeight="1" x14ac:dyDescent="0.3">
      <c r="B19" s="133" t="s">
        <v>92</v>
      </c>
      <c r="C19" s="18" t="s">
        <v>156</v>
      </c>
      <c r="D19" s="64"/>
      <c r="E19" s="18"/>
      <c r="F19" s="74">
        <f>IF(-D8&gt;SUM(D9:D11),"Never",IF(-D8&gt;(D9+D10),(2+(-D8-D9-D10)/D11),IF(-D8&gt;D9,(1+(-D8-D9)/D10),IF(-D8&lt;=D9,(-D8/D9)))))</f>
        <v>1.8571428571428572</v>
      </c>
      <c r="G19" s="51"/>
    </row>
    <row r="20" spans="2:7" ht="15.75" customHeight="1" x14ac:dyDescent="0.3">
      <c r="B20" s="16"/>
      <c r="C20" s="18" t="s">
        <v>159</v>
      </c>
      <c r="D20" s="64"/>
      <c r="E20" s="18"/>
      <c r="F20" s="74">
        <f>IF(-F8&gt;SUM(F9:F11),"Never",IF(-F8&gt;(F9+F10),(2+(-F8-F9-F10)/F11),IF(-F8&gt;F9,(1+(-F8-F9)/F10),IF(-F8&lt;=F9,(-F8/F9)))))</f>
        <v>1.5350877192982457</v>
      </c>
      <c r="G20" s="51"/>
    </row>
    <row r="21" spans="2:7" ht="15.75" customHeight="1" x14ac:dyDescent="0.3">
      <c r="B21" s="16"/>
      <c r="C21" s="18" t="s">
        <v>91</v>
      </c>
      <c r="D21" s="64"/>
      <c r="E21" s="18"/>
      <c r="F21" s="75" t="str">
        <f>IF(F19&lt;F20,"Dry Prepeg","Solvent Prepeg")</f>
        <v>Solvent Prepeg</v>
      </c>
      <c r="G21" s="51"/>
    </row>
    <row r="22" spans="2:7" ht="15.75" customHeight="1" x14ac:dyDescent="0.25">
      <c r="B22" s="16"/>
      <c r="C22" s="18" t="s">
        <v>90</v>
      </c>
      <c r="D22" s="64"/>
      <c r="E22" s="18"/>
      <c r="F22" s="18"/>
      <c r="G22" s="51"/>
    </row>
    <row r="23" spans="2:7" ht="15.75" customHeight="1" x14ac:dyDescent="0.25">
      <c r="B23" s="16"/>
      <c r="C23" s="18"/>
      <c r="D23" s="64"/>
      <c r="E23" s="18"/>
      <c r="F23" s="18"/>
      <c r="G23" s="51"/>
    </row>
    <row r="24" spans="2:7" ht="15.75" customHeight="1" x14ac:dyDescent="0.3">
      <c r="B24" s="133" t="s">
        <v>93</v>
      </c>
      <c r="C24" s="18" t="s">
        <v>157</v>
      </c>
      <c r="D24" s="64"/>
      <c r="E24" s="18"/>
      <c r="F24" s="134">
        <f>D8+NPV(F13,D9:D11)</f>
        <v>508998.88228420424</v>
      </c>
      <c r="G24" s="51"/>
    </row>
    <row r="25" spans="2:7" ht="15.75" customHeight="1" x14ac:dyDescent="0.3">
      <c r="B25" s="16"/>
      <c r="C25" s="18" t="s">
        <v>160</v>
      </c>
      <c r="D25" s="64"/>
      <c r="E25" s="18"/>
      <c r="F25" s="134">
        <f>F8+NPV(F13,F9:F11)</f>
        <v>443907.17878372199</v>
      </c>
      <c r="G25" s="51"/>
    </row>
    <row r="26" spans="2:7" ht="15.75" customHeight="1" x14ac:dyDescent="0.3">
      <c r="B26" s="16"/>
      <c r="C26" s="18" t="s">
        <v>96</v>
      </c>
      <c r="D26" s="64"/>
      <c r="E26" s="18"/>
      <c r="F26" s="75" t="str">
        <f>IF(F24&gt;F25,"Dry Prepeg","Solvent Prepeg")</f>
        <v>Dry Prepeg</v>
      </c>
      <c r="G26" s="51"/>
    </row>
    <row r="27" spans="2:7" ht="15.75" customHeight="1" x14ac:dyDescent="0.25">
      <c r="B27" s="16"/>
      <c r="C27" s="18" t="s">
        <v>95</v>
      </c>
      <c r="D27" s="64"/>
      <c r="E27" s="18"/>
      <c r="F27" s="54"/>
      <c r="G27" s="51"/>
    </row>
    <row r="28" spans="2:7" ht="15.75" customHeight="1" x14ac:dyDescent="0.25">
      <c r="B28" s="16"/>
      <c r="C28" s="18"/>
      <c r="D28" s="64"/>
      <c r="E28" s="18"/>
      <c r="F28" s="54"/>
      <c r="G28" s="51"/>
    </row>
    <row r="29" spans="2:7" ht="15.75" customHeight="1" x14ac:dyDescent="0.3">
      <c r="B29" s="133" t="s">
        <v>94</v>
      </c>
      <c r="C29" s="18" t="s">
        <v>158</v>
      </c>
      <c r="D29" s="64"/>
      <c r="E29" s="18"/>
      <c r="F29" s="77">
        <f>IRR(D8:D11,0.01)</f>
        <v>0.26836674721785725</v>
      </c>
      <c r="G29" s="51"/>
    </row>
    <row r="30" spans="2:7" ht="15.75" customHeight="1" x14ac:dyDescent="0.3">
      <c r="B30" s="16"/>
      <c r="C30" s="18" t="s">
        <v>161</v>
      </c>
      <c r="D30" s="64"/>
      <c r="E30" s="18"/>
      <c r="F30" s="77">
        <f>IRR(F8:F11,0.01)</f>
        <v>0.42164313886685711</v>
      </c>
      <c r="G30" s="51"/>
    </row>
    <row r="31" spans="2:7" ht="15.75" customHeight="1" x14ac:dyDescent="0.3">
      <c r="B31" s="16"/>
      <c r="C31" s="18" t="s">
        <v>99</v>
      </c>
      <c r="D31" s="64"/>
      <c r="E31" s="18"/>
      <c r="F31" s="75" t="str">
        <f>IF(F29&gt;F30,"Dry Prepeg","Solvent Prepeg")</f>
        <v>Solvent Prepeg</v>
      </c>
      <c r="G31" s="51"/>
    </row>
    <row r="32" spans="2:7" ht="15.75" customHeight="1" x14ac:dyDescent="0.25">
      <c r="B32" s="16"/>
      <c r="C32" s="18" t="s">
        <v>98</v>
      </c>
      <c r="D32" s="64"/>
      <c r="E32" s="18"/>
      <c r="F32" s="18"/>
      <c r="G32" s="51"/>
    </row>
    <row r="33" spans="2:7" ht="15.75" customHeight="1" x14ac:dyDescent="0.25">
      <c r="B33" s="16"/>
      <c r="C33" s="18"/>
      <c r="D33" s="64"/>
      <c r="E33" s="18"/>
      <c r="F33" s="18"/>
      <c r="G33" s="51"/>
    </row>
    <row r="34" spans="2:7" ht="15.75" customHeight="1" x14ac:dyDescent="0.3">
      <c r="B34" s="133" t="s">
        <v>97</v>
      </c>
      <c r="C34" s="54" t="s">
        <v>2</v>
      </c>
      <c r="D34" s="64" t="s">
        <v>128</v>
      </c>
      <c r="E34" s="18"/>
      <c r="F34" s="153"/>
      <c r="G34" s="51"/>
    </row>
    <row r="35" spans="2:7" ht="15.75" customHeight="1" x14ac:dyDescent="0.25">
      <c r="B35" s="16"/>
      <c r="C35" s="54">
        <v>0</v>
      </c>
      <c r="D35" s="188">
        <f>IF(F8&lt;D8,F8-D8,D8-F8)</f>
        <v>-850000</v>
      </c>
      <c r="E35" s="18"/>
      <c r="F35" s="153"/>
      <c r="G35" s="51"/>
    </row>
    <row r="36" spans="2:7" ht="15.75" customHeight="1" x14ac:dyDescent="0.25">
      <c r="B36" s="16"/>
      <c r="C36" s="54">
        <v>1</v>
      </c>
      <c r="D36" s="188">
        <f>IF($F$8&lt;$D$8,F9-D9,D9-F9)</f>
        <v>555000</v>
      </c>
      <c r="E36" s="18"/>
      <c r="F36" s="105"/>
      <c r="G36" s="51"/>
    </row>
    <row r="37" spans="2:7" ht="15.75" customHeight="1" x14ac:dyDescent="0.25">
      <c r="B37" s="16"/>
      <c r="C37" s="54">
        <v>2</v>
      </c>
      <c r="D37" s="188">
        <f>IF($F$8&lt;$D$8,F10-D10,D10-F10)</f>
        <v>130000</v>
      </c>
      <c r="E37" s="18"/>
      <c r="F37" s="18"/>
      <c r="G37" s="51"/>
    </row>
    <row r="38" spans="2:7" ht="15.75" customHeight="1" x14ac:dyDescent="0.25">
      <c r="B38" s="16"/>
      <c r="C38" s="54">
        <v>3</v>
      </c>
      <c r="D38" s="188">
        <f>IF($F$8&lt;$D$8,F11-D11,D11-F11)</f>
        <v>365000</v>
      </c>
      <c r="E38" s="18"/>
      <c r="F38" s="18"/>
      <c r="G38" s="51"/>
    </row>
    <row r="39" spans="2:7" ht="15.75" customHeight="1" x14ac:dyDescent="0.3">
      <c r="B39" s="133"/>
      <c r="C39" s="18"/>
      <c r="D39" s="64"/>
      <c r="E39" s="18"/>
      <c r="F39" s="18"/>
      <c r="G39" s="51"/>
    </row>
    <row r="40" spans="2:7" ht="15.75" customHeight="1" x14ac:dyDescent="0.3">
      <c r="B40" s="16"/>
      <c r="C40" s="18" t="s">
        <v>129</v>
      </c>
      <c r="D40" s="40">
        <f>IRR(D35:D38)</f>
        <v>0.12684469408869026</v>
      </c>
      <c r="E40" s="18"/>
      <c r="F40" s="105"/>
      <c r="G40" s="51"/>
    </row>
    <row r="41" spans="2:7" ht="15.75" customHeight="1" x14ac:dyDescent="0.3">
      <c r="B41" s="16"/>
      <c r="C41" s="18"/>
      <c r="D41" s="41"/>
      <c r="E41" s="18"/>
      <c r="F41" s="105"/>
      <c r="G41" s="51"/>
    </row>
    <row r="42" spans="2:7" ht="15.75" customHeight="1" x14ac:dyDescent="0.3">
      <c r="B42" s="16"/>
      <c r="C42" s="141" t="str">
        <f>IF(D40&gt;F13,"Accept the larger project.","Accept the smaller project.")</f>
        <v>Accept the larger project.</v>
      </c>
      <c r="D42" s="41"/>
      <c r="E42" s="18"/>
      <c r="F42" s="105"/>
      <c r="G42" s="51"/>
    </row>
    <row r="43" spans="2:7" s="1" customFormat="1" ht="15.75" customHeight="1" thickBot="1" x14ac:dyDescent="0.3">
      <c r="B43" s="19"/>
      <c r="C43" s="20"/>
      <c r="D43" s="20"/>
      <c r="E43" s="20"/>
      <c r="F43" s="20"/>
      <c r="G43" s="21"/>
    </row>
    <row r="44" spans="2:7" ht="15.75" customHeight="1" x14ac:dyDescent="0.25">
      <c r="B44" s="4"/>
      <c r="C44" s="4"/>
      <c r="D44" s="4"/>
      <c r="E44" s="4"/>
    </row>
    <row r="45" spans="2:7" ht="15.75" customHeight="1" x14ac:dyDescent="0.25">
      <c r="B45" s="4"/>
      <c r="C45" s="4"/>
      <c r="D45" s="4"/>
      <c r="E45" s="4"/>
    </row>
    <row r="46" spans="2:7" ht="15.75" customHeight="1" x14ac:dyDescent="0.25">
      <c r="B46" s="1"/>
      <c r="C46" s="1"/>
      <c r="D46" s="1"/>
      <c r="E46" s="1"/>
    </row>
    <row r="47" spans="2:7" ht="15.75" customHeight="1" x14ac:dyDescent="0.25">
      <c r="B47" s="1"/>
      <c r="C47" s="1"/>
      <c r="D47" s="1"/>
      <c r="E47" s="1"/>
    </row>
    <row r="48" spans="2:7"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sheetData>
  <phoneticPr fontId="0" type="noConversion"/>
  <pageMargins left="0.75" right="0.75" top="1" bottom="1" header="0.5" footer="0.5"/>
  <pageSetup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21111111">
    <pageSetUpPr fitToPage="1"/>
  </sheetPr>
  <dimension ref="B1:I49"/>
  <sheetViews>
    <sheetView workbookViewId="0">
      <selection activeCell="C2" sqref="C2"/>
    </sheetView>
  </sheetViews>
  <sheetFormatPr defaultRowHeight="13.2" x14ac:dyDescent="0.25"/>
  <cols>
    <col min="2" max="2" width="3.109375" customWidth="1"/>
    <col min="3" max="3" width="15" customWidth="1"/>
    <col min="4" max="4" width="17.5546875" customWidth="1"/>
    <col min="5" max="5" width="18.6640625" customWidth="1"/>
    <col min="6" max="6" width="3.109375" customWidth="1"/>
    <col min="7" max="8" width="9.109375" customWidth="1"/>
  </cols>
  <sheetData>
    <row r="1" spans="2:9" s="1" customFormat="1" ht="17.399999999999999" x14ac:dyDescent="0.3">
      <c r="C1" s="139" t="s">
        <v>219</v>
      </c>
    </row>
    <row r="2" spans="2:9" s="1" customFormat="1" ht="15.75" customHeight="1" x14ac:dyDescent="0.25">
      <c r="C2" s="1" t="s">
        <v>4</v>
      </c>
    </row>
    <row r="3" spans="2:9" s="1" customFormat="1" ht="15.75" customHeight="1" x14ac:dyDescent="0.25"/>
    <row r="4" spans="2:9" s="1" customFormat="1" ht="15.75" customHeight="1" x14ac:dyDescent="0.3">
      <c r="C4" s="2" t="s">
        <v>0</v>
      </c>
    </row>
    <row r="5" spans="2:9" s="1" customFormat="1" ht="15.75" customHeight="1" thickBot="1" x14ac:dyDescent="0.35">
      <c r="C5" s="3"/>
      <c r="D5" s="4"/>
      <c r="E5" s="4"/>
    </row>
    <row r="6" spans="2:9" s="1" customFormat="1" ht="15.75" customHeight="1" x14ac:dyDescent="0.3">
      <c r="B6" s="5"/>
      <c r="C6" s="6"/>
      <c r="D6" s="7"/>
      <c r="E6" s="7"/>
      <c r="F6" s="8"/>
    </row>
    <row r="7" spans="2:9" s="1" customFormat="1" ht="15.75" customHeight="1" x14ac:dyDescent="0.25">
      <c r="B7" s="9"/>
      <c r="C7" s="46" t="s">
        <v>2</v>
      </c>
      <c r="D7" s="32" t="s">
        <v>6</v>
      </c>
      <c r="E7" s="30" t="s">
        <v>7</v>
      </c>
      <c r="F7" s="11"/>
    </row>
    <row r="8" spans="2:9" s="1" customFormat="1" ht="15.75" customHeight="1" x14ac:dyDescent="0.25">
      <c r="B8" s="9"/>
      <c r="C8" s="46">
        <v>0</v>
      </c>
      <c r="D8" s="92">
        <v>-15000</v>
      </c>
      <c r="E8" s="92">
        <v>-19000</v>
      </c>
      <c r="F8" s="11"/>
    </row>
    <row r="9" spans="2:9" s="1" customFormat="1" ht="15.75" customHeight="1" x14ac:dyDescent="0.25">
      <c r="B9" s="9"/>
      <c r="C9" s="46">
        <v>1</v>
      </c>
      <c r="D9" s="93">
        <v>10400</v>
      </c>
      <c r="E9" s="93">
        <v>12700</v>
      </c>
      <c r="F9" s="11"/>
    </row>
    <row r="10" spans="2:9" s="1" customFormat="1" ht="15.75" customHeight="1" x14ac:dyDescent="0.25">
      <c r="B10" s="9"/>
      <c r="C10" s="46">
        <v>2</v>
      </c>
      <c r="D10" s="93">
        <v>5900</v>
      </c>
      <c r="E10" s="93">
        <v>6100</v>
      </c>
      <c r="F10" s="11"/>
    </row>
    <row r="11" spans="2:9" s="1" customFormat="1" ht="15.75" customHeight="1" x14ac:dyDescent="0.25">
      <c r="B11" s="9"/>
      <c r="C11" s="46">
        <v>3</v>
      </c>
      <c r="D11" s="93">
        <v>2100</v>
      </c>
      <c r="E11" s="93">
        <v>5300</v>
      </c>
      <c r="F11" s="11"/>
      <c r="H11" s="249"/>
      <c r="I11" s="23"/>
    </row>
    <row r="12" spans="2:9" s="1" customFormat="1" ht="15.75" customHeight="1" x14ac:dyDescent="0.25">
      <c r="B12" s="9"/>
      <c r="C12" s="46"/>
      <c r="D12" s="93"/>
      <c r="E12" s="93"/>
      <c r="F12" s="11"/>
      <c r="I12" s="23"/>
    </row>
    <row r="13" spans="2:9" s="1" customFormat="1" ht="15.75" customHeight="1" x14ac:dyDescent="0.25">
      <c r="B13" s="9"/>
      <c r="C13" s="103" t="s">
        <v>81</v>
      </c>
      <c r="D13" s="93"/>
      <c r="E13" s="93">
        <v>2</v>
      </c>
      <c r="F13" s="11"/>
      <c r="I13" s="23"/>
    </row>
    <row r="14" spans="2:9" s="1" customFormat="1" ht="15.75" customHeight="1" x14ac:dyDescent="0.25">
      <c r="B14" s="9"/>
      <c r="C14" s="103" t="s">
        <v>19</v>
      </c>
      <c r="D14" s="93"/>
      <c r="E14" s="99">
        <v>0.15</v>
      </c>
      <c r="F14" s="11"/>
      <c r="I14" s="23"/>
    </row>
    <row r="15" spans="2:9" ht="15.75" customHeight="1" thickBot="1" x14ac:dyDescent="0.3">
      <c r="B15" s="12"/>
      <c r="C15" s="24"/>
      <c r="D15" s="24"/>
      <c r="E15" s="24"/>
      <c r="F15" s="13"/>
    </row>
    <row r="16" spans="2:9" ht="15.75" customHeight="1" x14ac:dyDescent="0.25">
      <c r="B16" s="25"/>
      <c r="C16" s="26"/>
      <c r="D16" s="26"/>
      <c r="E16" s="26"/>
      <c r="F16" s="25"/>
    </row>
    <row r="17" spans="2:6" ht="15.75" customHeight="1" x14ac:dyDescent="0.3">
      <c r="B17" s="25"/>
      <c r="C17" s="27" t="s">
        <v>1</v>
      </c>
      <c r="D17" s="26"/>
      <c r="E17" s="26"/>
      <c r="F17" s="25"/>
    </row>
    <row r="18" spans="2:6" ht="15.75" customHeight="1" thickBot="1" x14ac:dyDescent="0.3">
      <c r="B18" s="25"/>
      <c r="C18" s="26"/>
      <c r="D18" s="26"/>
      <c r="E18" s="26"/>
      <c r="F18" s="25"/>
    </row>
    <row r="19" spans="2:6" ht="15.75" customHeight="1" x14ac:dyDescent="0.25">
      <c r="B19" s="14"/>
      <c r="C19" s="47"/>
      <c r="D19" s="47"/>
      <c r="E19" s="47"/>
      <c r="F19" s="49"/>
    </row>
    <row r="20" spans="2:6" ht="15.75" customHeight="1" x14ac:dyDescent="0.3">
      <c r="B20" s="16" t="s">
        <v>102</v>
      </c>
      <c r="C20" s="18" t="s">
        <v>79</v>
      </c>
      <c r="D20" s="31"/>
      <c r="E20" s="78">
        <f>IF(-D8&gt;SUM(D9:D11),"Never",IF(-D8&gt;D9+D10,(2+(-D8-D9-D10)/D11),IF(-D8&gt;D9,(1+(-D8-D9)/D10),IF(-D8&lt;D9,D8/D9))))</f>
        <v>1.7796610169491527</v>
      </c>
      <c r="F20" s="51"/>
    </row>
    <row r="21" spans="2:6" ht="15.75" customHeight="1" x14ac:dyDescent="0.3">
      <c r="B21" s="16"/>
      <c r="C21" s="18" t="s">
        <v>82</v>
      </c>
      <c r="D21" s="31"/>
      <c r="E21" s="104" t="str">
        <f>IF(E20&lt;=E13,"Accept","Reject")</f>
        <v>Accept</v>
      </c>
      <c r="F21" s="51"/>
    </row>
    <row r="22" spans="2:6" ht="15.75" customHeight="1" x14ac:dyDescent="0.3">
      <c r="B22" s="16"/>
      <c r="C22" s="18"/>
      <c r="D22" s="31"/>
      <c r="E22" s="31"/>
      <c r="F22" s="51"/>
    </row>
    <row r="23" spans="2:6" ht="15.75" customHeight="1" x14ac:dyDescent="0.3">
      <c r="B23" s="16"/>
      <c r="C23" s="18" t="s">
        <v>80</v>
      </c>
      <c r="D23" s="31"/>
      <c r="E23" s="78">
        <f>IF(-E8&gt;SUM(E9:E11),"Never",IF(-E8&gt;E9+E10,(2+(-E8-E9-E10)/E11),IF(-E8&gt;E9,(1+(-E8-E9)/E10),IF(-E8&lt;E9,E8/E9))))</f>
        <v>2.0377358490566038</v>
      </c>
      <c r="F23" s="51"/>
    </row>
    <row r="24" spans="2:6" ht="15.75" customHeight="1" x14ac:dyDescent="0.3">
      <c r="B24" s="16"/>
      <c r="C24" s="18" t="s">
        <v>83</v>
      </c>
      <c r="D24" s="31"/>
      <c r="E24" s="104" t="str">
        <f>IF(E23&lt;=E13,"Accept","Reject")</f>
        <v>Reject</v>
      </c>
      <c r="F24" s="51"/>
    </row>
    <row r="25" spans="2:6" ht="15.75" customHeight="1" x14ac:dyDescent="0.3">
      <c r="B25" s="16"/>
      <c r="C25" s="18"/>
      <c r="D25" s="31"/>
      <c r="E25" s="140"/>
      <c r="F25" s="51"/>
    </row>
    <row r="26" spans="2:6" ht="15.75" customHeight="1" x14ac:dyDescent="0.3">
      <c r="B26" s="16" t="s">
        <v>103</v>
      </c>
      <c r="C26" s="18" t="s">
        <v>104</v>
      </c>
      <c r="D26" s="31"/>
      <c r="E26" s="134">
        <f>NPV(E14,D9:D11)+D8</f>
        <v>-114.49001397221764</v>
      </c>
      <c r="F26" s="51"/>
    </row>
    <row r="27" spans="2:6" ht="15.75" customHeight="1" x14ac:dyDescent="0.3">
      <c r="B27" s="16"/>
      <c r="C27" s="18" t="s">
        <v>82</v>
      </c>
      <c r="D27" s="31"/>
      <c r="E27" s="104" t="str">
        <f>IF(E26&gt;=0,"Accept","Reject")</f>
        <v>Reject</v>
      </c>
      <c r="F27" s="51"/>
    </row>
    <row r="28" spans="2:6" ht="15.75" customHeight="1" x14ac:dyDescent="0.3">
      <c r="B28" s="16"/>
      <c r="C28" s="18"/>
      <c r="D28" s="31"/>
      <c r="E28" s="140"/>
      <c r="F28" s="51"/>
    </row>
    <row r="29" spans="2:6" ht="15.75" customHeight="1" x14ac:dyDescent="0.3">
      <c r="B29" s="16"/>
      <c r="C29" s="18" t="s">
        <v>105</v>
      </c>
      <c r="D29" s="31"/>
      <c r="E29" s="134">
        <f>NPV(E14,E9:E11)+E8</f>
        <v>140.79066326950124</v>
      </c>
      <c r="F29" s="51"/>
    </row>
    <row r="30" spans="2:6" ht="15.75" customHeight="1" x14ac:dyDescent="0.3">
      <c r="B30" s="16"/>
      <c r="C30" s="18" t="s">
        <v>83</v>
      </c>
      <c r="D30" s="31"/>
      <c r="E30" s="104" t="str">
        <f>IF(E29&gt;=0,"Accept","Reject")</f>
        <v>Accept</v>
      </c>
      <c r="F30" s="51"/>
    </row>
    <row r="31" spans="2:6" ht="15.75" customHeight="1" x14ac:dyDescent="0.3">
      <c r="B31" s="16"/>
      <c r="C31" s="18"/>
      <c r="D31" s="31"/>
      <c r="E31" s="140"/>
      <c r="F31" s="51"/>
    </row>
    <row r="32" spans="2:6" ht="15.75" customHeight="1" x14ac:dyDescent="0.3">
      <c r="B32" s="16"/>
      <c r="C32" s="141" t="str">
        <f>IF(E29&gt;E26,"Accept Project B because it has a greater NPV.","Accept Project A because it has a greater NPV.")</f>
        <v>Accept Project B because it has a greater NPV.</v>
      </c>
      <c r="D32" s="31"/>
      <c r="E32" s="140"/>
      <c r="F32" s="51"/>
    </row>
    <row r="33" spans="2:6" ht="15.75" customHeight="1" thickBot="1" x14ac:dyDescent="0.3">
      <c r="B33" s="19"/>
      <c r="C33" s="20"/>
      <c r="D33" s="20"/>
      <c r="E33" s="20"/>
      <c r="F33" s="68"/>
    </row>
    <row r="34" spans="2:6" ht="15.75" customHeight="1" x14ac:dyDescent="0.25">
      <c r="B34" s="4"/>
      <c r="C34" s="4"/>
      <c r="D34" s="4"/>
      <c r="E34" s="4"/>
      <c r="F34" s="4"/>
    </row>
    <row r="35" spans="2:6" ht="15.75" customHeight="1" x14ac:dyDescent="0.25">
      <c r="B35" s="4"/>
      <c r="C35" s="4"/>
      <c r="D35" s="4"/>
      <c r="E35" s="4"/>
      <c r="F35" s="4"/>
    </row>
    <row r="36" spans="2:6" ht="15.75" customHeight="1" x14ac:dyDescent="0.25">
      <c r="B36" s="1"/>
      <c r="C36" s="1"/>
      <c r="D36" s="1"/>
      <c r="E36" s="1"/>
      <c r="F36" s="1"/>
    </row>
    <row r="37" spans="2:6" ht="15.75" customHeight="1" x14ac:dyDescent="0.25">
      <c r="B37" s="1"/>
      <c r="C37" s="1"/>
      <c r="D37" s="1"/>
      <c r="E37" s="1"/>
      <c r="F37" s="1"/>
    </row>
    <row r="38" spans="2:6" ht="15.75" customHeight="1" x14ac:dyDescent="0.25"/>
    <row r="39" spans="2:6" ht="15.75" customHeight="1" x14ac:dyDescent="0.25"/>
    <row r="40" spans="2:6" ht="15.75" customHeight="1" x14ac:dyDescent="0.25"/>
    <row r="41" spans="2:6" ht="15.75" customHeight="1" x14ac:dyDescent="0.25"/>
    <row r="42" spans="2:6" ht="15.75" customHeight="1" x14ac:dyDescent="0.25"/>
    <row r="43" spans="2:6" ht="15.75" customHeight="1" x14ac:dyDescent="0.25"/>
    <row r="44" spans="2:6" ht="15.75" customHeight="1" x14ac:dyDescent="0.25"/>
    <row r="45" spans="2:6" ht="15.75" customHeight="1" x14ac:dyDescent="0.25"/>
    <row r="46" spans="2:6" ht="15.75" customHeight="1" x14ac:dyDescent="0.25"/>
    <row r="47" spans="2:6" ht="15.75" customHeight="1" x14ac:dyDescent="0.25"/>
    <row r="48" spans="2:6" ht="15.75" customHeight="1" x14ac:dyDescent="0.25"/>
    <row r="49" ht="15.75" customHeight="1" x14ac:dyDescent="0.25"/>
  </sheetData>
  <phoneticPr fontId="0" type="noConversion"/>
  <pageMargins left="0.75" right="0.75" top="1" bottom="1" header="0.5" footer="0.5"/>
  <pageSetup scale="87" orientation="landscape" horizontalDpi="3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H748"/>
  <sheetViews>
    <sheetView zoomScaleNormal="100" workbookViewId="0">
      <selection activeCell="C2" sqref="C2"/>
    </sheetView>
  </sheetViews>
  <sheetFormatPr defaultRowHeight="13.2" x14ac:dyDescent="0.25"/>
  <cols>
    <col min="2" max="2" width="3.109375" customWidth="1"/>
    <col min="3" max="3" width="26.109375" bestFit="1" customWidth="1"/>
    <col min="4" max="4" width="16.33203125" bestFit="1" customWidth="1"/>
    <col min="5" max="5" width="18.33203125" bestFit="1" customWidth="1"/>
    <col min="6" max="6" width="3.109375" customWidth="1"/>
    <col min="8" max="8" width="9.109375" customWidth="1"/>
  </cols>
  <sheetData>
    <row r="1" spans="2:8" s="1" customFormat="1" ht="17.399999999999999" x14ac:dyDescent="0.3">
      <c r="C1" s="139" t="s">
        <v>219</v>
      </c>
    </row>
    <row r="2" spans="2:8" s="1" customFormat="1" ht="15.75" customHeight="1" x14ac:dyDescent="0.25">
      <c r="C2" s="1" t="s">
        <v>53</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7"/>
      <c r="F6" s="8"/>
    </row>
    <row r="7" spans="2:8" s="1" customFormat="1" ht="15.75" customHeight="1" x14ac:dyDescent="0.3">
      <c r="B7" s="9"/>
      <c r="C7" s="37" t="s">
        <v>27</v>
      </c>
      <c r="D7" s="44" t="s">
        <v>162</v>
      </c>
      <c r="E7" s="46" t="s">
        <v>163</v>
      </c>
      <c r="F7" s="11"/>
    </row>
    <row r="8" spans="2:8" s="1" customFormat="1" ht="15.75" customHeight="1" x14ac:dyDescent="0.25">
      <c r="B8" s="9"/>
      <c r="C8" s="10" t="s">
        <v>24</v>
      </c>
      <c r="D8" s="130">
        <v>-735000</v>
      </c>
      <c r="E8" s="131">
        <v>-460000</v>
      </c>
      <c r="F8" s="11"/>
      <c r="H8" s="236"/>
    </row>
    <row r="9" spans="2:8" s="1" customFormat="1" ht="15.75" customHeight="1" x14ac:dyDescent="0.25">
      <c r="B9" s="9"/>
      <c r="C9" s="10" t="s">
        <v>15</v>
      </c>
      <c r="D9" s="132">
        <v>239000</v>
      </c>
      <c r="E9" s="131">
        <v>130000</v>
      </c>
      <c r="F9" s="11"/>
      <c r="G9" s="23"/>
      <c r="H9" s="236"/>
    </row>
    <row r="10" spans="2:8" s="1" customFormat="1" ht="15.75" customHeight="1" x14ac:dyDescent="0.25">
      <c r="B10" s="9"/>
      <c r="C10" s="10" t="s">
        <v>16</v>
      </c>
      <c r="D10" s="252">
        <f>D9</f>
        <v>239000</v>
      </c>
      <c r="E10" s="251">
        <f>E9*1.1</f>
        <v>143000</v>
      </c>
      <c r="F10" s="11"/>
      <c r="G10" s="23"/>
      <c r="H10" s="236"/>
    </row>
    <row r="11" spans="2:8" s="1" customFormat="1" ht="15.75" customHeight="1" x14ac:dyDescent="0.25">
      <c r="B11" s="9"/>
      <c r="C11" s="10" t="s">
        <v>17</v>
      </c>
      <c r="D11" s="252">
        <f>D9</f>
        <v>239000</v>
      </c>
      <c r="E11" s="251">
        <f>E10*1.1</f>
        <v>157300</v>
      </c>
      <c r="F11" s="11"/>
      <c r="G11" s="23"/>
      <c r="H11" s="236"/>
    </row>
    <row r="12" spans="2:8" s="1" customFormat="1" ht="15.75" customHeight="1" x14ac:dyDescent="0.25">
      <c r="B12" s="9"/>
      <c r="C12" s="10" t="s">
        <v>18</v>
      </c>
      <c r="D12" s="252">
        <f>D9</f>
        <v>239000</v>
      </c>
      <c r="E12" s="251">
        <f>E11*1.1</f>
        <v>173030</v>
      </c>
      <c r="F12" s="11"/>
      <c r="G12" s="23"/>
      <c r="H12" s="236"/>
    </row>
    <row r="13" spans="2:8" s="1" customFormat="1" ht="15.75" customHeight="1" x14ac:dyDescent="0.25">
      <c r="B13" s="9"/>
      <c r="C13" s="10" t="s">
        <v>138</v>
      </c>
      <c r="D13" s="252">
        <f>D9</f>
        <v>239000</v>
      </c>
      <c r="E13" s="251">
        <f>E12*1.1</f>
        <v>190333.00000000003</v>
      </c>
      <c r="F13" s="11"/>
      <c r="G13" s="23"/>
      <c r="H13" s="236"/>
    </row>
    <row r="14" spans="2:8" s="1" customFormat="1" ht="15.75" customHeight="1" x14ac:dyDescent="0.25">
      <c r="B14" s="9"/>
      <c r="C14" s="10"/>
      <c r="D14" s="95"/>
      <c r="E14" s="117"/>
      <c r="F14" s="11"/>
      <c r="G14" s="23"/>
    </row>
    <row r="15" spans="2:8" s="1" customFormat="1" ht="15.75" customHeight="1" x14ac:dyDescent="0.25">
      <c r="B15" s="9"/>
      <c r="C15" s="10" t="s">
        <v>36</v>
      </c>
      <c r="D15" s="112"/>
      <c r="E15" s="118">
        <v>0.15</v>
      </c>
      <c r="F15" s="11"/>
      <c r="G15" s="23"/>
    </row>
    <row r="16" spans="2:8" s="1" customFormat="1" ht="15.75" customHeight="1" thickBot="1" x14ac:dyDescent="0.3">
      <c r="B16" s="12"/>
      <c r="C16" s="38"/>
      <c r="D16" s="45"/>
      <c r="E16" s="38"/>
      <c r="F16" s="13"/>
      <c r="G16" s="23"/>
    </row>
    <row r="17" spans="2:6" ht="15.75" customHeight="1" x14ac:dyDescent="0.25">
      <c r="B17" s="25"/>
      <c r="C17" s="26"/>
      <c r="D17" s="26"/>
    </row>
    <row r="18" spans="2:6" ht="15.75" customHeight="1" x14ac:dyDescent="0.3">
      <c r="B18" s="25"/>
      <c r="C18" s="27" t="s">
        <v>1</v>
      </c>
      <c r="D18" s="26"/>
      <c r="E18" s="238"/>
    </row>
    <row r="19" spans="2:6" ht="15.75" customHeight="1" thickBot="1" x14ac:dyDescent="0.3">
      <c r="B19" s="25"/>
      <c r="C19" s="26"/>
      <c r="D19" s="26"/>
    </row>
    <row r="20" spans="2:6" ht="15.75" customHeight="1" x14ac:dyDescent="0.25">
      <c r="B20" s="14"/>
      <c r="C20" s="28"/>
      <c r="D20" s="28"/>
      <c r="E20" s="48"/>
      <c r="F20" s="49"/>
    </row>
    <row r="21" spans="2:6" ht="15.75" customHeight="1" x14ac:dyDescent="0.3">
      <c r="B21" s="16" t="s">
        <v>92</v>
      </c>
      <c r="C21" s="18" t="s">
        <v>224</v>
      </c>
      <c r="D21" s="64"/>
      <c r="E21" s="240">
        <f>IF(-D8&gt;SUM(D9:D13),"Never",IF(-D8&gt;(D9+D10+D11+D12),(4+(-D8-D9-D10-D11-D12)/D13),IF(-D8&gt;(D9+D10+D11),(3+(-D8-D9-D10-D11)/D12),IF(-D8&gt;D9+D10,(2+(-D8-D9-D10)/D11),IF(-D8&gt;D9,(1+(-D8-D9)/D10),IF(-D8&lt;=D9,(-D8/D9)))))))</f>
        <v>3.0753138075313808</v>
      </c>
      <c r="F21" s="51"/>
    </row>
    <row r="22" spans="2:6" ht="15.75" customHeight="1" x14ac:dyDescent="0.3">
      <c r="B22" s="16"/>
      <c r="C22" s="18" t="s">
        <v>225</v>
      </c>
      <c r="D22" s="64"/>
      <c r="E22" s="239">
        <f>IF(-E8&gt;SUM(E9:E13),"Never",IF(-E8&gt;(E9+E10+E11+E12),(4+(-E8-E9-E10-E11-E12)/E13),IF(-E8&gt;(E9+E10+E11),(3+(-E8-E9-E10-E11)/E12),IF(-E8&gt;E9+E10,(2+(-E8-E9-E10)/E11),IF(-E8&gt;E9,(1+(-E8-E9)/E10),IF(-E8&lt;=E9,(-E8/E9)))))))</f>
        <v>3.1716465352828989</v>
      </c>
      <c r="F22" s="51"/>
    </row>
    <row r="23" spans="2:6" ht="15.75" customHeight="1" x14ac:dyDescent="0.3">
      <c r="B23" s="16"/>
      <c r="C23" s="18" t="s">
        <v>226</v>
      </c>
      <c r="D23" s="64"/>
      <c r="E23" s="75" t="str">
        <f>IF(E21&gt;E22,"NX-20","NP-30")</f>
        <v>NP-30</v>
      </c>
      <c r="F23" s="51"/>
    </row>
    <row r="24" spans="2:6" ht="15.75" customHeight="1" x14ac:dyDescent="0.25">
      <c r="B24" s="16"/>
      <c r="C24" s="146"/>
      <c r="D24" s="146"/>
      <c r="E24" s="50"/>
      <c r="F24" s="51"/>
    </row>
    <row r="25" spans="2:6" ht="15.75" customHeight="1" x14ac:dyDescent="0.3">
      <c r="B25" s="133" t="s">
        <v>93</v>
      </c>
      <c r="C25" s="18" t="s">
        <v>165</v>
      </c>
      <c r="D25" s="64"/>
      <c r="E25" s="77">
        <f>IRR(D8:D13,0.01)</f>
        <v>0.18742230956642936</v>
      </c>
      <c r="F25" s="51"/>
    </row>
    <row r="26" spans="2:6" ht="15.75" customHeight="1" x14ac:dyDescent="0.3">
      <c r="B26" s="16"/>
      <c r="C26" s="18" t="s">
        <v>167</v>
      </c>
      <c r="D26" s="64"/>
      <c r="E26" s="77">
        <f>IRR(E8:E13,0.01)</f>
        <v>0.19871062586434274</v>
      </c>
      <c r="F26" s="51"/>
    </row>
    <row r="27" spans="2:6" ht="15.75" customHeight="1" x14ac:dyDescent="0.3">
      <c r="B27" s="16"/>
      <c r="C27" s="18" t="s">
        <v>99</v>
      </c>
      <c r="D27" s="64"/>
      <c r="E27" s="75" t="str">
        <f>IF(E25&gt;E26,"NP-30","NX-20")</f>
        <v>NX-20</v>
      </c>
      <c r="F27" s="51"/>
    </row>
    <row r="28" spans="2:6" ht="15.75" customHeight="1" x14ac:dyDescent="0.25">
      <c r="B28" s="16"/>
      <c r="C28" s="146"/>
      <c r="D28" s="146"/>
      <c r="E28" s="50"/>
      <c r="F28" s="51"/>
    </row>
    <row r="29" spans="2:6" ht="15.75" customHeight="1" x14ac:dyDescent="0.3">
      <c r="B29" s="133" t="s">
        <v>94</v>
      </c>
      <c r="C29" s="18" t="s">
        <v>168</v>
      </c>
      <c r="D29" s="64"/>
      <c r="E29" s="163">
        <f>NPV(E15,D9:D13)/-D8</f>
        <v>1.0900205012581294</v>
      </c>
      <c r="F29" s="51"/>
    </row>
    <row r="30" spans="2:6" ht="15.75" customHeight="1" x14ac:dyDescent="0.3">
      <c r="B30" s="16"/>
      <c r="C30" s="18" t="s">
        <v>169</v>
      </c>
      <c r="D30" s="64"/>
      <c r="E30" s="163">
        <f>NPV(E15,E9:E13)/-E8</f>
        <v>1.1264324558485954</v>
      </c>
      <c r="F30" s="51"/>
    </row>
    <row r="31" spans="2:6" ht="15.75" customHeight="1" x14ac:dyDescent="0.3">
      <c r="B31" s="16"/>
      <c r="C31" s="18" t="s">
        <v>170</v>
      </c>
      <c r="D31" s="64"/>
      <c r="E31" s="75" t="str">
        <f>IF(E29&gt;E30,"NP-30","NX-20")</f>
        <v>NX-20</v>
      </c>
      <c r="F31" s="51"/>
    </row>
    <row r="32" spans="2:6" ht="15.75" customHeight="1" x14ac:dyDescent="0.25">
      <c r="B32" s="16"/>
      <c r="C32" s="18" t="s">
        <v>171</v>
      </c>
      <c r="D32" s="64"/>
      <c r="E32" s="18"/>
      <c r="F32" s="51"/>
    </row>
    <row r="33" spans="2:6" ht="15.75" customHeight="1" x14ac:dyDescent="0.25">
      <c r="B33" s="16"/>
      <c r="C33" s="146"/>
      <c r="D33" s="146"/>
      <c r="E33" s="50"/>
      <c r="F33" s="51"/>
    </row>
    <row r="34" spans="2:6" ht="15.75" customHeight="1" x14ac:dyDescent="0.3">
      <c r="B34" s="133" t="s">
        <v>97</v>
      </c>
      <c r="C34" s="18" t="s">
        <v>164</v>
      </c>
      <c r="D34" s="64"/>
      <c r="E34" s="134">
        <f>D8+NPV(E15,D9:D13)</f>
        <v>66165.068424725207</v>
      </c>
      <c r="F34" s="51"/>
    </row>
    <row r="35" spans="2:6" ht="15.75" customHeight="1" x14ac:dyDescent="0.3">
      <c r="B35" s="16"/>
      <c r="C35" s="18" t="s">
        <v>166</v>
      </c>
      <c r="D35" s="64"/>
      <c r="E35" s="134">
        <f>E8+NPV(E15,E9:E13)</f>
        <v>58158.929690353863</v>
      </c>
      <c r="F35" s="51"/>
    </row>
    <row r="36" spans="2:6" ht="15.75" customHeight="1" x14ac:dyDescent="0.3">
      <c r="B36" s="16"/>
      <c r="C36" s="18" t="s">
        <v>96</v>
      </c>
      <c r="D36" s="64"/>
      <c r="E36" s="75" t="str">
        <f>IF(E34&gt;E35,"NP-30","NX-20")</f>
        <v>NP-30</v>
      </c>
      <c r="F36" s="51"/>
    </row>
    <row r="37" spans="2:6" ht="15.75" customHeight="1" x14ac:dyDescent="0.25">
      <c r="B37" s="16"/>
      <c r="C37" s="18" t="s">
        <v>95</v>
      </c>
      <c r="D37" s="64"/>
      <c r="E37" s="54"/>
      <c r="F37" s="51"/>
    </row>
    <row r="38" spans="2:6" s="1" customFormat="1" ht="15.75" customHeight="1" thickBot="1" x14ac:dyDescent="0.3">
      <c r="B38" s="19"/>
      <c r="C38" s="20"/>
      <c r="D38" s="20"/>
      <c r="E38" s="20"/>
      <c r="F38" s="21"/>
    </row>
    <row r="39" spans="2:6" ht="15.75" customHeight="1" x14ac:dyDescent="0.25">
      <c r="B39" s="4"/>
      <c r="C39" s="4"/>
      <c r="D39" s="4"/>
    </row>
    <row r="40" spans="2:6" ht="15.75" customHeight="1" x14ac:dyDescent="0.25">
      <c r="B40" s="4"/>
      <c r="C40" s="4"/>
      <c r="D40" s="4"/>
    </row>
    <row r="41" spans="2:6" ht="15.75" customHeight="1" x14ac:dyDescent="0.25">
      <c r="B41" s="1"/>
      <c r="C41" s="1"/>
      <c r="D41" s="1"/>
    </row>
    <row r="42" spans="2:6" ht="15.75" customHeight="1" x14ac:dyDescent="0.25">
      <c r="B42" s="1"/>
      <c r="C42" s="1"/>
      <c r="D42" s="1"/>
    </row>
    <row r="43" spans="2:6" ht="15.75" customHeight="1" x14ac:dyDescent="0.25"/>
    <row r="44" spans="2:6" ht="15.75" customHeight="1" x14ac:dyDescent="0.25"/>
    <row r="45" spans="2:6" ht="15.75" customHeight="1" x14ac:dyDescent="0.25"/>
    <row r="46" spans="2:6" ht="15.75" customHeight="1" x14ac:dyDescent="0.25"/>
    <row r="47" spans="2:6" ht="15.75" customHeight="1" x14ac:dyDescent="0.25"/>
    <row r="48" spans="2: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sheetData>
  <phoneticPr fontId="0" type="noConversion"/>
  <pageMargins left="0.75" right="0.75" top="1" bottom="1" header="0.5" footer="0.5"/>
  <pageSetup scale="90" orientation="portrait" horizontalDpi="300"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H76"/>
  <sheetViews>
    <sheetView topLeftCell="A34" workbookViewId="0">
      <selection activeCell="D51" sqref="D51"/>
    </sheetView>
  </sheetViews>
  <sheetFormatPr defaultColWidth="9.109375" defaultRowHeight="13.2" x14ac:dyDescent="0.25"/>
  <cols>
    <col min="1" max="1" width="9.109375" style="218"/>
    <col min="2" max="2" width="3.109375" style="218" customWidth="1"/>
    <col min="3" max="3" width="26.109375" style="218" bestFit="1" customWidth="1"/>
    <col min="4" max="4" width="15.109375" style="218" customWidth="1"/>
    <col min="5" max="5" width="3.109375" style="218" customWidth="1"/>
    <col min="6" max="8" width="9.109375" style="218" customWidth="1"/>
    <col min="9" max="16384" width="9.109375" style="218"/>
  </cols>
  <sheetData>
    <row r="1" spans="2:8" s="196" customFormat="1" ht="17.399999999999999" x14ac:dyDescent="0.3">
      <c r="C1" s="197" t="s">
        <v>219</v>
      </c>
    </row>
    <row r="2" spans="2:8" s="196" customFormat="1" ht="15.75" customHeight="1" x14ac:dyDescent="0.25">
      <c r="C2" s="196" t="s">
        <v>54</v>
      </c>
    </row>
    <row r="3" spans="2:8" s="196" customFormat="1" ht="15.75" customHeight="1" x14ac:dyDescent="0.25"/>
    <row r="4" spans="2:8" s="196" customFormat="1" ht="15.75" customHeight="1" x14ac:dyDescent="0.3">
      <c r="C4" s="198" t="s">
        <v>0</v>
      </c>
    </row>
    <row r="5" spans="2:8" s="196" customFormat="1" ht="15.75" customHeight="1" thickBot="1" x14ac:dyDescent="0.35">
      <c r="C5" s="199"/>
      <c r="D5" s="200"/>
    </row>
    <row r="6" spans="2:8" s="196" customFormat="1" ht="15.75" customHeight="1" x14ac:dyDescent="0.3">
      <c r="B6" s="201"/>
      <c r="C6" s="202"/>
      <c r="D6" s="203"/>
      <c r="E6" s="204"/>
      <c r="F6" s="205"/>
      <c r="G6" s="205"/>
    </row>
    <row r="7" spans="2:8" s="196" customFormat="1" ht="15.75" customHeight="1" x14ac:dyDescent="0.3">
      <c r="B7" s="206"/>
      <c r="C7" s="207" t="s">
        <v>27</v>
      </c>
      <c r="D7" s="44"/>
      <c r="E7" s="208"/>
      <c r="F7" s="209"/>
      <c r="G7" s="205"/>
    </row>
    <row r="8" spans="2:8" s="196" customFormat="1" ht="15.75" customHeight="1" x14ac:dyDescent="0.25">
      <c r="B8" s="206"/>
      <c r="C8" s="210" t="s">
        <v>24</v>
      </c>
      <c r="D8" s="253">
        <v>-47000</v>
      </c>
      <c r="E8" s="208"/>
      <c r="F8" s="211"/>
      <c r="G8" s="205"/>
      <c r="H8" s="254"/>
    </row>
    <row r="9" spans="2:8" s="196" customFormat="1" ht="15.75" customHeight="1" x14ac:dyDescent="0.25">
      <c r="B9" s="206"/>
      <c r="C9" s="210" t="s">
        <v>15</v>
      </c>
      <c r="D9" s="255">
        <v>16900</v>
      </c>
      <c r="E9" s="208"/>
      <c r="F9" s="211"/>
      <c r="G9" s="205"/>
      <c r="H9" s="254"/>
    </row>
    <row r="10" spans="2:8" s="196" customFormat="1" ht="15.75" customHeight="1" x14ac:dyDescent="0.25">
      <c r="B10" s="206"/>
      <c r="C10" s="210" t="s">
        <v>16</v>
      </c>
      <c r="D10" s="255">
        <v>20300</v>
      </c>
      <c r="E10" s="208"/>
      <c r="F10" s="211"/>
      <c r="G10" s="205"/>
      <c r="H10" s="254"/>
    </row>
    <row r="11" spans="2:8" s="196" customFormat="1" ht="15.75" customHeight="1" x14ac:dyDescent="0.25">
      <c r="B11" s="206"/>
      <c r="C11" s="210" t="s">
        <v>17</v>
      </c>
      <c r="D11" s="255">
        <v>25800</v>
      </c>
      <c r="E11" s="208"/>
      <c r="F11" s="211"/>
      <c r="G11" s="205"/>
      <c r="H11" s="254"/>
    </row>
    <row r="12" spans="2:8" s="196" customFormat="1" ht="15.75" customHeight="1" x14ac:dyDescent="0.25">
      <c r="B12" s="206"/>
      <c r="C12" s="210" t="s">
        <v>18</v>
      </c>
      <c r="D12" s="255">
        <v>19600</v>
      </c>
      <c r="E12" s="208"/>
      <c r="F12" s="211"/>
      <c r="G12" s="205"/>
      <c r="H12" s="254"/>
    </row>
    <row r="13" spans="2:8" s="196" customFormat="1" ht="15.75" customHeight="1" x14ac:dyDescent="0.25">
      <c r="B13" s="206"/>
      <c r="C13" s="210" t="s">
        <v>138</v>
      </c>
      <c r="D13" s="255">
        <v>-9500</v>
      </c>
      <c r="E13" s="208"/>
      <c r="F13" s="211"/>
      <c r="G13" s="205"/>
      <c r="H13" s="254"/>
    </row>
    <row r="14" spans="2:8" s="196" customFormat="1" ht="15.75" customHeight="1" x14ac:dyDescent="0.25">
      <c r="B14" s="206"/>
      <c r="C14" s="210"/>
      <c r="D14" s="95"/>
      <c r="E14" s="208"/>
      <c r="F14" s="205"/>
      <c r="G14" s="205"/>
      <c r="H14" s="212"/>
    </row>
    <row r="15" spans="2:8" s="196" customFormat="1" ht="15.75" customHeight="1" x14ac:dyDescent="0.25">
      <c r="B15" s="206"/>
      <c r="C15" s="210" t="s">
        <v>19</v>
      </c>
      <c r="D15" s="112">
        <v>0.1</v>
      </c>
      <c r="E15" s="208"/>
      <c r="F15" s="213"/>
      <c r="G15" s="205"/>
      <c r="H15" s="212"/>
    </row>
    <row r="16" spans="2:8" s="196" customFormat="1" ht="15.75" customHeight="1" thickBot="1" x14ac:dyDescent="0.3">
      <c r="B16" s="214"/>
      <c r="C16" s="215"/>
      <c r="D16" s="45"/>
      <c r="E16" s="216"/>
      <c r="F16" s="205"/>
      <c r="G16" s="205"/>
      <c r="H16" s="212"/>
    </row>
    <row r="17" spans="2:7" ht="15.75" customHeight="1" x14ac:dyDescent="0.25">
      <c r="B17" s="205"/>
      <c r="C17" s="217"/>
      <c r="D17" s="217"/>
      <c r="E17" s="205"/>
    </row>
    <row r="18" spans="2:7" ht="15.75" customHeight="1" x14ac:dyDescent="0.3">
      <c r="B18" s="205"/>
      <c r="C18" s="219" t="s">
        <v>1</v>
      </c>
      <c r="D18" s="217"/>
      <c r="E18" s="205"/>
    </row>
    <row r="19" spans="2:7" ht="15.75" customHeight="1" thickBot="1" x14ac:dyDescent="0.3">
      <c r="B19" s="205"/>
      <c r="C19" s="217"/>
      <c r="D19" s="217"/>
      <c r="E19" s="205"/>
    </row>
    <row r="20" spans="2:7" ht="15.75" customHeight="1" x14ac:dyDescent="0.25">
      <c r="B20" s="220"/>
      <c r="C20" s="221"/>
      <c r="D20" s="221"/>
      <c r="E20" s="222"/>
      <c r="F20" s="223"/>
      <c r="G20" s="223"/>
    </row>
    <row r="21" spans="2:7" ht="15.75" customHeight="1" x14ac:dyDescent="0.3">
      <c r="B21" s="224"/>
      <c r="C21" s="256" t="s">
        <v>246</v>
      </c>
      <c r="D21" s="257"/>
      <c r="E21" s="227"/>
      <c r="F21" s="223"/>
      <c r="G21" s="223"/>
    </row>
    <row r="22" spans="2:7" ht="15.75" customHeight="1" x14ac:dyDescent="0.25">
      <c r="B22" s="224"/>
      <c r="C22" s="225" t="s">
        <v>2</v>
      </c>
      <c r="D22" s="226" t="s">
        <v>221</v>
      </c>
      <c r="E22" s="227"/>
      <c r="F22" s="223"/>
      <c r="G22" s="223"/>
    </row>
    <row r="23" spans="2:7" ht="15.75" customHeight="1" x14ac:dyDescent="0.25">
      <c r="B23" s="224"/>
      <c r="C23" s="228">
        <v>0</v>
      </c>
      <c r="D23" s="229">
        <f>IF(D8&lt;=0,D8,0)+IF(D9&lt;=0,PV(D15,1,0,-D9),0)+IF(D10&lt;=0,PV(D15,2,0,-D10),0)+IF(D11&lt;=0,PV(D15,3,0,-D11),0)+IF(D12&lt;=0,PV(D15,4,0,-D12),0)+IF(D13&lt;=0,PV(D15,5,0,-D13),0)</f>
        <v>-52898.752569061973</v>
      </c>
      <c r="E23" s="227"/>
      <c r="F23" s="223"/>
      <c r="G23" s="223"/>
    </row>
    <row r="24" spans="2:7" ht="15.75" customHeight="1" x14ac:dyDescent="0.25">
      <c r="B24" s="224"/>
      <c r="C24" s="228">
        <v>1</v>
      </c>
      <c r="D24" s="229">
        <f>IF(D9&gt;0,D9,0)</f>
        <v>16900</v>
      </c>
      <c r="E24" s="227"/>
      <c r="F24" s="223"/>
      <c r="G24" s="223"/>
    </row>
    <row r="25" spans="2:7" ht="15.75" customHeight="1" x14ac:dyDescent="0.25">
      <c r="B25" s="224"/>
      <c r="C25" s="228">
        <v>2</v>
      </c>
      <c r="D25" s="229">
        <f>IF(D10&gt;0,D10,0)</f>
        <v>20300</v>
      </c>
      <c r="E25" s="227"/>
      <c r="F25" s="223"/>
      <c r="G25" s="223"/>
    </row>
    <row r="26" spans="2:7" ht="15.75" customHeight="1" x14ac:dyDescent="0.25">
      <c r="B26" s="224"/>
      <c r="C26" s="228">
        <v>3</v>
      </c>
      <c r="D26" s="229">
        <f>IF(D11&gt;0,D11,0)</f>
        <v>25800</v>
      </c>
      <c r="E26" s="227"/>
      <c r="F26" s="223"/>
      <c r="G26" s="223"/>
    </row>
    <row r="27" spans="2:7" ht="15.75" customHeight="1" x14ac:dyDescent="0.25">
      <c r="B27" s="224"/>
      <c r="C27" s="228">
        <v>4</v>
      </c>
      <c r="D27" s="229">
        <f>IF(D12&gt;0,D12,0)</f>
        <v>19600</v>
      </c>
      <c r="E27" s="227"/>
      <c r="F27" s="223"/>
      <c r="G27" s="223"/>
    </row>
    <row r="28" spans="2:7" ht="15.75" customHeight="1" x14ac:dyDescent="0.25">
      <c r="B28" s="224"/>
      <c r="C28" s="228">
        <v>5</v>
      </c>
      <c r="D28" s="229">
        <f>IF(D13&gt;0,D13,0)</f>
        <v>0</v>
      </c>
      <c r="E28" s="227"/>
      <c r="F28" s="223"/>
      <c r="G28" s="223"/>
    </row>
    <row r="29" spans="2:7" ht="15.75" customHeight="1" x14ac:dyDescent="0.25">
      <c r="B29" s="224"/>
      <c r="C29" s="230"/>
      <c r="D29" s="230"/>
      <c r="E29" s="227"/>
      <c r="F29" s="223"/>
      <c r="G29" s="223"/>
    </row>
    <row r="30" spans="2:7" ht="15.75" customHeight="1" x14ac:dyDescent="0.3">
      <c r="B30" s="224"/>
      <c r="C30" s="230" t="s">
        <v>247</v>
      </c>
      <c r="D30" s="40">
        <f>IRR(D23:D28)</f>
        <v>0.19679282050603808</v>
      </c>
      <c r="E30" s="227"/>
      <c r="F30" s="223"/>
      <c r="G30" s="223"/>
    </row>
    <row r="31" spans="2:7" ht="15.75" customHeight="1" x14ac:dyDescent="0.3">
      <c r="B31" s="224"/>
      <c r="C31" s="230"/>
      <c r="D31" s="41"/>
      <c r="E31" s="227"/>
      <c r="F31" s="223"/>
      <c r="G31" s="223"/>
    </row>
    <row r="32" spans="2:7" ht="15.75" customHeight="1" x14ac:dyDescent="0.3">
      <c r="B32" s="224"/>
      <c r="C32" s="256" t="s">
        <v>248</v>
      </c>
      <c r="D32" s="257"/>
      <c r="E32" s="227"/>
      <c r="F32" s="223"/>
      <c r="G32" s="223"/>
    </row>
    <row r="33" spans="2:7" ht="15.75" customHeight="1" x14ac:dyDescent="0.25">
      <c r="B33" s="224"/>
      <c r="C33" s="225" t="s">
        <v>2</v>
      </c>
      <c r="D33" s="226" t="s">
        <v>221</v>
      </c>
      <c r="E33" s="227"/>
      <c r="F33" s="223"/>
      <c r="G33" s="223"/>
    </row>
    <row r="34" spans="2:7" ht="15.75" customHeight="1" x14ac:dyDescent="0.25">
      <c r="B34" s="224"/>
      <c r="C34" s="228">
        <v>0</v>
      </c>
      <c r="D34" s="229">
        <f>D8</f>
        <v>-47000</v>
      </c>
      <c r="E34" s="227"/>
      <c r="F34" s="223"/>
      <c r="G34" s="223"/>
    </row>
    <row r="35" spans="2:7" ht="15.75" customHeight="1" x14ac:dyDescent="0.25">
      <c r="B35" s="224"/>
      <c r="C35" s="228">
        <v>1</v>
      </c>
      <c r="D35" s="229">
        <v>0</v>
      </c>
      <c r="E35" s="227"/>
      <c r="F35" s="223"/>
      <c r="G35" s="223"/>
    </row>
    <row r="36" spans="2:7" ht="15.75" customHeight="1" x14ac:dyDescent="0.25">
      <c r="B36" s="224"/>
      <c r="C36" s="228">
        <v>2</v>
      </c>
      <c r="D36" s="229">
        <v>0</v>
      </c>
      <c r="E36" s="227"/>
      <c r="F36" s="223"/>
      <c r="G36" s="223"/>
    </row>
    <row r="37" spans="2:7" ht="15.75" customHeight="1" x14ac:dyDescent="0.25">
      <c r="B37" s="224"/>
      <c r="C37" s="228">
        <v>3</v>
      </c>
      <c r="D37" s="229">
        <v>0</v>
      </c>
      <c r="E37" s="227"/>
      <c r="F37" s="223"/>
      <c r="G37" s="223"/>
    </row>
    <row r="38" spans="2:7" ht="15.75" customHeight="1" x14ac:dyDescent="0.25">
      <c r="B38" s="224"/>
      <c r="C38" s="228">
        <v>4</v>
      </c>
      <c r="D38" s="229">
        <v>0</v>
      </c>
      <c r="E38" s="227"/>
      <c r="F38" s="223"/>
      <c r="G38" s="223"/>
    </row>
    <row r="39" spans="2:7" ht="15.75" customHeight="1" x14ac:dyDescent="0.25">
      <c r="B39" s="224"/>
      <c r="C39" s="228">
        <v>5</v>
      </c>
      <c r="D39" s="229">
        <f>FV(D15,4,0,-D9)+FV(D15,3,0,-D10)+FV(D15,2,0,-D11)+FV(D15,1,0,-D12)+D13</f>
        <v>95040.590000000011</v>
      </c>
      <c r="E39" s="227"/>
      <c r="F39" s="223"/>
      <c r="G39" s="223"/>
    </row>
    <row r="40" spans="2:7" ht="15.75" customHeight="1" x14ac:dyDescent="0.25">
      <c r="B40" s="224"/>
      <c r="C40" s="230"/>
      <c r="D40" s="230"/>
      <c r="E40" s="227"/>
      <c r="F40" s="223"/>
      <c r="G40" s="223"/>
    </row>
    <row r="41" spans="2:7" ht="15.75" customHeight="1" x14ac:dyDescent="0.3">
      <c r="B41" s="224"/>
      <c r="C41" s="230" t="s">
        <v>247</v>
      </c>
      <c r="D41" s="40">
        <f>IRR(D34:D39)</f>
        <v>0.15123041023430317</v>
      </c>
      <c r="E41" s="227"/>
      <c r="F41" s="223"/>
      <c r="G41" s="223"/>
    </row>
    <row r="42" spans="2:7" ht="15.75" customHeight="1" x14ac:dyDescent="0.3">
      <c r="B42" s="224"/>
      <c r="C42" s="230"/>
      <c r="D42" s="41"/>
      <c r="E42" s="227"/>
      <c r="F42" s="223"/>
      <c r="G42" s="223"/>
    </row>
    <row r="43" spans="2:7" ht="15.75" customHeight="1" x14ac:dyDescent="0.3">
      <c r="B43" s="224"/>
      <c r="C43" s="256" t="s">
        <v>249</v>
      </c>
      <c r="D43" s="257"/>
      <c r="E43" s="227"/>
      <c r="F43" s="223"/>
      <c r="G43" s="223"/>
    </row>
    <row r="44" spans="2:7" ht="15.75" customHeight="1" x14ac:dyDescent="0.25">
      <c r="B44" s="224"/>
      <c r="C44" s="225" t="s">
        <v>2</v>
      </c>
      <c r="D44" s="226" t="s">
        <v>221</v>
      </c>
      <c r="E44" s="227"/>
      <c r="F44" s="223"/>
      <c r="G44" s="223"/>
    </row>
    <row r="45" spans="2:7" ht="15.75" customHeight="1" x14ac:dyDescent="0.25">
      <c r="B45" s="224"/>
      <c r="C45" s="228">
        <v>0</v>
      </c>
      <c r="D45" s="229">
        <f>IF(D8&lt;=0,D8,0)+IF(D9&lt;=0,PV(D15,1,0,-D9),0)+IF(D10&lt;=0,PV(D15,2,0,-D10),0)+IF(D11&lt;=0,PV(D15,3,0,-D11),0)+IF(D12&lt;=0,PV(D15,4,0,-D12),0)+IF(D13&lt;=0,PV(D15,5,0,-D13),0)</f>
        <v>-52898.752569061973</v>
      </c>
      <c r="E45" s="227"/>
      <c r="F45" s="223"/>
      <c r="G45" s="223"/>
    </row>
    <row r="46" spans="2:7" ht="15.75" customHeight="1" x14ac:dyDescent="0.25">
      <c r="B46" s="224"/>
      <c r="C46" s="228">
        <v>1</v>
      </c>
      <c r="D46" s="229">
        <v>0</v>
      </c>
      <c r="E46" s="227"/>
      <c r="F46" s="223"/>
      <c r="G46" s="223"/>
    </row>
    <row r="47" spans="2:7" ht="15.75" customHeight="1" x14ac:dyDescent="0.25">
      <c r="B47" s="224"/>
      <c r="C47" s="228">
        <v>2</v>
      </c>
      <c r="D47" s="229">
        <v>0</v>
      </c>
      <c r="E47" s="227"/>
      <c r="F47" s="223"/>
      <c r="G47" s="223"/>
    </row>
    <row r="48" spans="2:7" ht="15.75" customHeight="1" x14ac:dyDescent="0.25">
      <c r="B48" s="224"/>
      <c r="C48" s="228">
        <v>3</v>
      </c>
      <c r="D48" s="229">
        <v>0</v>
      </c>
      <c r="E48" s="227"/>
      <c r="F48" s="223"/>
      <c r="G48" s="223"/>
    </row>
    <row r="49" spans="2:7" ht="15.75" customHeight="1" x14ac:dyDescent="0.25">
      <c r="B49" s="224"/>
      <c r="C49" s="228">
        <v>4</v>
      </c>
      <c r="D49" s="229">
        <v>0</v>
      </c>
      <c r="E49" s="227"/>
      <c r="F49" s="223"/>
      <c r="G49" s="223"/>
    </row>
    <row r="50" spans="2:7" ht="15.75" customHeight="1" x14ac:dyDescent="0.25">
      <c r="B50" s="224"/>
      <c r="C50" s="228">
        <v>5</v>
      </c>
      <c r="D50" s="229">
        <f>IF(D8&gt;=FV(D15,5,0,-D8),0)+IF(D9&gt;=0,FV(D15,4,0,-D9),0)+IF(D10&gt;=0,FV(D15,3,0,-D10),0)+IF(D11&gt;=0,FV(D15,2,0,-D11),0)+IF(D12&gt;=0,FV(D15,1,0,-D12),0)+IF(D13&gt;=0,D13,0)</f>
        <v>104540.59000000001</v>
      </c>
      <c r="E50" s="227"/>
      <c r="F50" s="223"/>
      <c r="G50" s="223"/>
    </row>
    <row r="51" spans="2:7" ht="15.75" customHeight="1" x14ac:dyDescent="0.25">
      <c r="B51" s="224"/>
      <c r="C51" s="230"/>
      <c r="D51" s="230"/>
      <c r="E51" s="227"/>
      <c r="F51" s="223"/>
      <c r="G51" s="223"/>
    </row>
    <row r="52" spans="2:7" ht="15.75" customHeight="1" x14ac:dyDescent="0.3">
      <c r="B52" s="224"/>
      <c r="C52" s="230" t="s">
        <v>247</v>
      </c>
      <c r="D52" s="40">
        <f>IRR(D45:D50)</f>
        <v>0.14595589541545539</v>
      </c>
      <c r="E52" s="227"/>
      <c r="F52" s="223"/>
      <c r="G52" s="223"/>
    </row>
    <row r="53" spans="2:7" s="196" customFormat="1" ht="15.75" customHeight="1" thickBot="1" x14ac:dyDescent="0.3">
      <c r="B53" s="232"/>
      <c r="C53" s="233"/>
      <c r="D53" s="233"/>
      <c r="E53" s="234"/>
      <c r="F53" s="205"/>
      <c r="G53" s="205"/>
    </row>
    <row r="54" spans="2:7" ht="15.75" customHeight="1" x14ac:dyDescent="0.25">
      <c r="B54" s="200"/>
      <c r="C54" s="200"/>
      <c r="D54" s="200"/>
      <c r="E54" s="200"/>
    </row>
    <row r="55" spans="2:7" ht="15.75" customHeight="1" x14ac:dyDescent="0.25">
      <c r="B55" s="200"/>
      <c r="C55" s="200"/>
      <c r="D55" s="200"/>
      <c r="E55" s="200"/>
    </row>
    <row r="56" spans="2:7" ht="15.75" customHeight="1" x14ac:dyDescent="0.25">
      <c r="B56" s="196"/>
      <c r="C56" s="196"/>
      <c r="D56" s="196"/>
      <c r="E56" s="196"/>
    </row>
    <row r="57" spans="2:7" ht="15.75" customHeight="1" x14ac:dyDescent="0.25">
      <c r="B57" s="196"/>
      <c r="C57" s="196"/>
      <c r="D57" s="196"/>
      <c r="E57" s="196"/>
    </row>
    <row r="58" spans="2:7" ht="15.75" customHeight="1" x14ac:dyDescent="0.25"/>
    <row r="59" spans="2:7" ht="15.75" customHeight="1" x14ac:dyDescent="0.25"/>
    <row r="60" spans="2:7" ht="15.75" customHeight="1" x14ac:dyDescent="0.25"/>
    <row r="61" spans="2:7" ht="15.75" customHeight="1" x14ac:dyDescent="0.25"/>
    <row r="62" spans="2:7" ht="15.75" customHeight="1" x14ac:dyDescent="0.25"/>
    <row r="63" spans="2:7" ht="15.75" customHeight="1" x14ac:dyDescent="0.25"/>
    <row r="64" spans="2: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sheetData>
  <phoneticPr fontId="33" type="noConversion"/>
  <pageMargins left="0.75" right="0.75" top="1" bottom="1" header="0.5" footer="0.5"/>
  <pageSetup orientation="portrait" horizont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H77"/>
  <sheetViews>
    <sheetView workbookViewId="0">
      <selection activeCell="C1" sqref="C1"/>
    </sheetView>
  </sheetViews>
  <sheetFormatPr defaultColWidth="9.109375" defaultRowHeight="13.2" x14ac:dyDescent="0.25"/>
  <cols>
    <col min="1" max="1" width="9.109375" style="218"/>
    <col min="2" max="2" width="3.109375" style="218" customWidth="1"/>
    <col min="3" max="3" width="26.109375" style="218" bestFit="1" customWidth="1"/>
    <col min="4" max="4" width="15.109375" style="218" customWidth="1"/>
    <col min="5" max="5" width="3.109375" style="218" customWidth="1"/>
    <col min="6" max="7" width="9.109375" style="218" customWidth="1"/>
    <col min="8" max="16384" width="9.109375" style="218"/>
  </cols>
  <sheetData>
    <row r="1" spans="2:8" s="196" customFormat="1" ht="17.399999999999999" x14ac:dyDescent="0.3">
      <c r="C1" s="197" t="s">
        <v>219</v>
      </c>
    </row>
    <row r="2" spans="2:8" s="196" customFormat="1" ht="15.75" customHeight="1" x14ac:dyDescent="0.25">
      <c r="C2" s="196" t="s">
        <v>61</v>
      </c>
    </row>
    <row r="3" spans="2:8" s="196" customFormat="1" ht="15.75" customHeight="1" x14ac:dyDescent="0.25"/>
    <row r="4" spans="2:8" s="196" customFormat="1" ht="15.75" customHeight="1" x14ac:dyDescent="0.3">
      <c r="C4" s="198" t="s">
        <v>0</v>
      </c>
    </row>
    <row r="5" spans="2:8" s="196" customFormat="1" ht="15.75" customHeight="1" thickBot="1" x14ac:dyDescent="0.35">
      <c r="C5" s="199"/>
      <c r="D5" s="200"/>
    </row>
    <row r="6" spans="2:8" s="196" customFormat="1" ht="15.75" customHeight="1" x14ac:dyDescent="0.3">
      <c r="B6" s="201"/>
      <c r="C6" s="202"/>
      <c r="D6" s="203"/>
      <c r="E6" s="204"/>
      <c r="F6" s="205"/>
      <c r="G6" s="205"/>
    </row>
    <row r="7" spans="2:8" s="196" customFormat="1" ht="15.75" customHeight="1" x14ac:dyDescent="0.3">
      <c r="B7" s="206"/>
      <c r="C7" s="207" t="s">
        <v>27</v>
      </c>
      <c r="D7" s="44"/>
      <c r="E7" s="208"/>
      <c r="F7" s="209"/>
      <c r="G7" s="205"/>
    </row>
    <row r="8" spans="2:8" s="196" customFormat="1" ht="15.75" customHeight="1" x14ac:dyDescent="0.25">
      <c r="B8" s="206"/>
      <c r="C8" s="210" t="s">
        <v>24</v>
      </c>
      <c r="D8" s="258">
        <f>'#20'!D8</f>
        <v>-47000</v>
      </c>
      <c r="E8" s="208"/>
      <c r="F8" s="211"/>
      <c r="G8" s="205"/>
    </row>
    <row r="9" spans="2:8" s="196" customFormat="1" ht="15.75" customHeight="1" x14ac:dyDescent="0.25">
      <c r="B9" s="206"/>
      <c r="C9" s="210" t="s">
        <v>15</v>
      </c>
      <c r="D9" s="258">
        <f>'#20'!D9</f>
        <v>16900</v>
      </c>
      <c r="E9" s="208"/>
      <c r="F9" s="211"/>
      <c r="G9" s="205"/>
      <c r="H9" s="212"/>
    </row>
    <row r="10" spans="2:8" s="196" customFormat="1" ht="15.75" customHeight="1" x14ac:dyDescent="0.25">
      <c r="B10" s="206"/>
      <c r="C10" s="210" t="s">
        <v>16</v>
      </c>
      <c r="D10" s="258">
        <f>'#20'!D10</f>
        <v>20300</v>
      </c>
      <c r="E10" s="208"/>
      <c r="F10" s="211"/>
      <c r="G10" s="205"/>
      <c r="H10" s="212"/>
    </row>
    <row r="11" spans="2:8" s="196" customFormat="1" ht="15.75" customHeight="1" x14ac:dyDescent="0.25">
      <c r="B11" s="206"/>
      <c r="C11" s="210" t="s">
        <v>17</v>
      </c>
      <c r="D11" s="258">
        <f>'#20'!D11</f>
        <v>25800</v>
      </c>
      <c r="E11" s="208"/>
      <c r="F11" s="211"/>
      <c r="G11" s="205"/>
      <c r="H11" s="212"/>
    </row>
    <row r="12" spans="2:8" s="196" customFormat="1" ht="15.75" customHeight="1" x14ac:dyDescent="0.25">
      <c r="B12" s="206"/>
      <c r="C12" s="210" t="s">
        <v>18</v>
      </c>
      <c r="D12" s="258">
        <f>'#20'!D12</f>
        <v>19600</v>
      </c>
      <c r="E12" s="208"/>
      <c r="F12" s="211"/>
      <c r="G12" s="205"/>
      <c r="H12" s="212"/>
    </row>
    <row r="13" spans="2:8" s="196" customFormat="1" ht="15.75" customHeight="1" x14ac:dyDescent="0.25">
      <c r="B13" s="206"/>
      <c r="C13" s="210" t="s">
        <v>138</v>
      </c>
      <c r="D13" s="258">
        <f>'#20'!D13</f>
        <v>-9500</v>
      </c>
      <c r="E13" s="208"/>
      <c r="F13" s="211"/>
      <c r="G13" s="205"/>
      <c r="H13" s="212"/>
    </row>
    <row r="14" spans="2:8" s="196" customFormat="1" ht="15.75" customHeight="1" x14ac:dyDescent="0.25">
      <c r="B14" s="206"/>
      <c r="C14" s="210"/>
      <c r="D14" s="95"/>
      <c r="E14" s="208"/>
      <c r="F14" s="205"/>
      <c r="G14" s="205"/>
      <c r="H14" s="212"/>
    </row>
    <row r="15" spans="2:8" s="196" customFormat="1" ht="15.75" customHeight="1" x14ac:dyDescent="0.25">
      <c r="B15" s="206"/>
      <c r="C15" s="210" t="s">
        <v>19</v>
      </c>
      <c r="D15" s="112">
        <v>0.11</v>
      </c>
      <c r="E15" s="208"/>
      <c r="F15" s="213"/>
      <c r="G15" s="205"/>
      <c r="H15" s="212"/>
    </row>
    <row r="16" spans="2:8" s="196" customFormat="1" ht="15.75" customHeight="1" x14ac:dyDescent="0.25">
      <c r="B16" s="206"/>
      <c r="C16" s="210" t="s">
        <v>220</v>
      </c>
      <c r="D16" s="112">
        <v>0.08</v>
      </c>
      <c r="E16" s="208"/>
      <c r="F16" s="213"/>
      <c r="G16" s="205"/>
      <c r="H16" s="212"/>
    </row>
    <row r="17" spans="2:8" s="196" customFormat="1" ht="15.75" customHeight="1" thickBot="1" x14ac:dyDescent="0.3">
      <c r="B17" s="214"/>
      <c r="C17" s="215"/>
      <c r="D17" s="45"/>
      <c r="E17" s="216"/>
      <c r="F17" s="205"/>
      <c r="G17" s="205"/>
      <c r="H17" s="212"/>
    </row>
    <row r="18" spans="2:8" ht="15.75" customHeight="1" x14ac:dyDescent="0.25">
      <c r="B18" s="205"/>
      <c r="C18" s="217"/>
      <c r="D18" s="217"/>
      <c r="E18" s="205"/>
    </row>
    <row r="19" spans="2:8" ht="15.75" customHeight="1" x14ac:dyDescent="0.3">
      <c r="B19" s="205"/>
      <c r="C19" s="219" t="s">
        <v>1</v>
      </c>
      <c r="D19" s="217"/>
      <c r="E19" s="205"/>
    </row>
    <row r="20" spans="2:8" ht="15.75" customHeight="1" thickBot="1" x14ac:dyDescent="0.3">
      <c r="B20" s="205"/>
      <c r="C20" s="217"/>
      <c r="D20" s="217"/>
      <c r="E20" s="205"/>
    </row>
    <row r="21" spans="2:8" ht="15.75" customHeight="1" x14ac:dyDescent="0.25">
      <c r="B21" s="220"/>
      <c r="C21" s="221"/>
      <c r="D21" s="221"/>
      <c r="E21" s="222"/>
      <c r="F21" s="223"/>
      <c r="G21" s="223"/>
    </row>
    <row r="22" spans="2:8" ht="15.75" customHeight="1" x14ac:dyDescent="0.3">
      <c r="B22" s="224"/>
      <c r="C22" s="256" t="s">
        <v>246</v>
      </c>
      <c r="D22" s="257"/>
      <c r="E22" s="227"/>
      <c r="F22" s="223"/>
      <c r="G22" s="223"/>
    </row>
    <row r="23" spans="2:8" ht="15.75" customHeight="1" x14ac:dyDescent="0.25">
      <c r="B23" s="224"/>
      <c r="C23" s="225" t="s">
        <v>2</v>
      </c>
      <c r="D23" s="226" t="s">
        <v>221</v>
      </c>
      <c r="E23" s="227"/>
      <c r="F23" s="223"/>
      <c r="G23" s="223"/>
    </row>
    <row r="24" spans="2:8" ht="15.75" customHeight="1" x14ac:dyDescent="0.25">
      <c r="B24" s="224"/>
      <c r="C24" s="228">
        <v>0</v>
      </c>
      <c r="D24" s="229">
        <f>IF(D8&lt;=0,D8,0)+IF(D9&lt;=0,PV(D15,1,0,-D9),0)+IF(D10&lt;=0,PV(D15,2,0,-D10),0)+IF(D11&lt;=0,PV(D15,3,0,-D11),0)+IF(D12&lt;=0,PV(D15,4,0,-D12),0)+IF(D13&lt;=0,PV(D15,5,0,-D13),0)</f>
        <v>-52637.787616556307</v>
      </c>
      <c r="E24" s="227"/>
      <c r="F24" s="223"/>
      <c r="G24" s="223"/>
    </row>
    <row r="25" spans="2:8" ht="15.75" customHeight="1" x14ac:dyDescent="0.25">
      <c r="B25" s="224"/>
      <c r="C25" s="228">
        <v>1</v>
      </c>
      <c r="D25" s="229">
        <f>IF(D9&gt;0,D9,0)</f>
        <v>16900</v>
      </c>
      <c r="E25" s="227"/>
      <c r="F25" s="223"/>
      <c r="G25" s="223"/>
    </row>
    <row r="26" spans="2:8" ht="15.75" customHeight="1" x14ac:dyDescent="0.25">
      <c r="B26" s="224"/>
      <c r="C26" s="228">
        <v>2</v>
      </c>
      <c r="D26" s="229">
        <f>IF(D10&gt;0,D10,0)</f>
        <v>20300</v>
      </c>
      <c r="E26" s="227"/>
      <c r="F26" s="223"/>
      <c r="G26" s="223"/>
    </row>
    <row r="27" spans="2:8" ht="15.75" customHeight="1" x14ac:dyDescent="0.25">
      <c r="B27" s="224"/>
      <c r="C27" s="228">
        <v>3</v>
      </c>
      <c r="D27" s="229">
        <f>IF(D11&gt;0,D11,0)</f>
        <v>25800</v>
      </c>
      <c r="E27" s="227"/>
      <c r="F27" s="223"/>
      <c r="G27" s="223"/>
    </row>
    <row r="28" spans="2:8" ht="15.75" customHeight="1" x14ac:dyDescent="0.25">
      <c r="B28" s="224"/>
      <c r="C28" s="228">
        <v>4</v>
      </c>
      <c r="D28" s="229">
        <f>IF(D12&gt;0,D12,0)</f>
        <v>19600</v>
      </c>
      <c r="E28" s="227"/>
      <c r="F28" s="223"/>
      <c r="G28" s="223"/>
    </row>
    <row r="29" spans="2:8" ht="15.75" customHeight="1" x14ac:dyDescent="0.25">
      <c r="B29" s="224"/>
      <c r="C29" s="228">
        <v>5</v>
      </c>
      <c r="D29" s="229">
        <f>IF(D13&gt;0,D13,0)</f>
        <v>0</v>
      </c>
      <c r="E29" s="227"/>
      <c r="F29" s="223"/>
      <c r="G29" s="223"/>
    </row>
    <row r="30" spans="2:8" ht="15.75" customHeight="1" x14ac:dyDescent="0.25">
      <c r="B30" s="224"/>
      <c r="C30" s="230"/>
      <c r="D30" s="230"/>
      <c r="E30" s="227"/>
      <c r="F30" s="223"/>
      <c r="G30" s="223"/>
    </row>
    <row r="31" spans="2:8" ht="15.75" customHeight="1" x14ac:dyDescent="0.3">
      <c r="B31" s="224"/>
      <c r="C31" s="230" t="s">
        <v>247</v>
      </c>
      <c r="D31" s="40">
        <f>IRR(D24:D29)</f>
        <v>0.19928476967374587</v>
      </c>
      <c r="E31" s="227"/>
      <c r="F31" s="223"/>
      <c r="G31" s="223"/>
    </row>
    <row r="32" spans="2:8" ht="15.75" customHeight="1" x14ac:dyDescent="0.3">
      <c r="B32" s="224"/>
      <c r="C32" s="230"/>
      <c r="D32" s="41"/>
      <c r="E32" s="227"/>
      <c r="F32" s="223"/>
      <c r="G32" s="223"/>
    </row>
    <row r="33" spans="2:7" ht="15.75" customHeight="1" x14ac:dyDescent="0.3">
      <c r="B33" s="224"/>
      <c r="C33" s="256" t="s">
        <v>248</v>
      </c>
      <c r="D33" s="257"/>
      <c r="E33" s="227"/>
      <c r="F33" s="223"/>
      <c r="G33" s="223"/>
    </row>
    <row r="34" spans="2:7" ht="15.75" customHeight="1" x14ac:dyDescent="0.25">
      <c r="B34" s="224"/>
      <c r="C34" s="225" t="s">
        <v>2</v>
      </c>
      <c r="D34" s="226" t="s">
        <v>221</v>
      </c>
      <c r="E34" s="227"/>
      <c r="F34" s="223"/>
      <c r="G34" s="223"/>
    </row>
    <row r="35" spans="2:7" ht="15.75" customHeight="1" x14ac:dyDescent="0.25">
      <c r="B35" s="224"/>
      <c r="C35" s="228">
        <v>0</v>
      </c>
      <c r="D35" s="229">
        <f>D8</f>
        <v>-47000</v>
      </c>
      <c r="E35" s="227"/>
      <c r="F35" s="223"/>
      <c r="G35" s="223"/>
    </row>
    <row r="36" spans="2:7" ht="15.75" customHeight="1" x14ac:dyDescent="0.25">
      <c r="B36" s="224"/>
      <c r="C36" s="228">
        <v>1</v>
      </c>
      <c r="D36" s="229">
        <v>0</v>
      </c>
      <c r="E36" s="227"/>
      <c r="F36" s="223"/>
      <c r="G36" s="223"/>
    </row>
    <row r="37" spans="2:7" ht="15.75" customHeight="1" x14ac:dyDescent="0.25">
      <c r="B37" s="224"/>
      <c r="C37" s="228">
        <v>2</v>
      </c>
      <c r="D37" s="229">
        <v>0</v>
      </c>
      <c r="E37" s="227"/>
      <c r="F37" s="223"/>
      <c r="G37" s="223"/>
    </row>
    <row r="38" spans="2:7" ht="15.75" customHeight="1" x14ac:dyDescent="0.25">
      <c r="B38" s="224"/>
      <c r="C38" s="228">
        <v>3</v>
      </c>
      <c r="D38" s="229">
        <v>0</v>
      </c>
      <c r="E38" s="227"/>
      <c r="F38" s="223"/>
      <c r="G38" s="223"/>
    </row>
    <row r="39" spans="2:7" ht="15.75" customHeight="1" x14ac:dyDescent="0.25">
      <c r="B39" s="224"/>
      <c r="C39" s="228">
        <v>4</v>
      </c>
      <c r="D39" s="229">
        <v>0</v>
      </c>
      <c r="E39" s="227"/>
      <c r="F39" s="223"/>
      <c r="G39" s="223"/>
    </row>
    <row r="40" spans="2:7" ht="15.75" customHeight="1" x14ac:dyDescent="0.25">
      <c r="B40" s="224"/>
      <c r="C40" s="228">
        <v>5</v>
      </c>
      <c r="D40" s="229">
        <f>FV(D16,4,0,-D9)+FV(D16,3,0,-D10)+FV(D16,2,0,-D11)+FV(D16,1,0,-D12)+D13</f>
        <v>90325.537024000019</v>
      </c>
      <c r="E40" s="227"/>
      <c r="F40" s="223"/>
      <c r="G40" s="223"/>
    </row>
    <row r="41" spans="2:7" ht="15.75" customHeight="1" x14ac:dyDescent="0.25">
      <c r="B41" s="224"/>
      <c r="C41" s="230"/>
      <c r="D41" s="230"/>
      <c r="E41" s="227"/>
      <c r="F41" s="223"/>
      <c r="G41" s="223"/>
    </row>
    <row r="42" spans="2:7" ht="15.75" customHeight="1" x14ac:dyDescent="0.3">
      <c r="B42" s="224"/>
      <c r="C42" s="230" t="s">
        <v>247</v>
      </c>
      <c r="D42" s="40">
        <f>IRR(D35:D40)</f>
        <v>0.13957401800000446</v>
      </c>
      <c r="E42" s="227"/>
      <c r="F42" s="223"/>
      <c r="G42" s="223"/>
    </row>
    <row r="43" spans="2:7" ht="15.75" customHeight="1" x14ac:dyDescent="0.3">
      <c r="B43" s="224"/>
      <c r="C43" s="230"/>
      <c r="D43" s="41"/>
      <c r="E43" s="227"/>
      <c r="F43" s="223"/>
      <c r="G43" s="223"/>
    </row>
    <row r="44" spans="2:7" ht="15.75" customHeight="1" x14ac:dyDescent="0.3">
      <c r="B44" s="224"/>
      <c r="C44" s="256" t="s">
        <v>249</v>
      </c>
      <c r="D44" s="257"/>
      <c r="E44" s="227"/>
      <c r="F44" s="223"/>
      <c r="G44" s="223"/>
    </row>
    <row r="45" spans="2:7" ht="15.75" customHeight="1" x14ac:dyDescent="0.25">
      <c r="B45" s="224"/>
      <c r="C45" s="225" t="s">
        <v>2</v>
      </c>
      <c r="D45" s="226" t="s">
        <v>221</v>
      </c>
      <c r="E45" s="227"/>
      <c r="F45" s="223"/>
      <c r="G45" s="223"/>
    </row>
    <row r="46" spans="2:7" ht="15.75" customHeight="1" x14ac:dyDescent="0.25">
      <c r="B46" s="224"/>
      <c r="C46" s="228">
        <v>0</v>
      </c>
      <c r="D46" s="229">
        <f>IF(D8&lt;=0,D8,0)+IF(D9&lt;=0,PV(D15,1,0,-D9),0)+IF(D10&lt;=0,PV(D15,2,0,-D10),0)+IF(D11&lt;=0,PV(D15,3,0,-D11),0)+IF(D12&lt;=0,PV(D15,4,0,-D12),0)+IF(D13&lt;=0,PV(D15,5,0,-D13),0)</f>
        <v>-52637.787616556307</v>
      </c>
      <c r="E46" s="227"/>
      <c r="F46" s="223"/>
      <c r="G46" s="223"/>
    </row>
    <row r="47" spans="2:7" ht="15.75" customHeight="1" x14ac:dyDescent="0.25">
      <c r="B47" s="224"/>
      <c r="C47" s="228">
        <v>1</v>
      </c>
      <c r="D47" s="229">
        <v>0</v>
      </c>
      <c r="E47" s="227"/>
      <c r="F47" s="223"/>
      <c r="G47" s="223"/>
    </row>
    <row r="48" spans="2:7" ht="15.75" customHeight="1" x14ac:dyDescent="0.25">
      <c r="B48" s="224"/>
      <c r="C48" s="228">
        <v>2</v>
      </c>
      <c r="D48" s="229">
        <v>0</v>
      </c>
      <c r="E48" s="227"/>
      <c r="F48" s="223"/>
      <c r="G48" s="223"/>
    </row>
    <row r="49" spans="2:7" ht="15.75" customHeight="1" x14ac:dyDescent="0.25">
      <c r="B49" s="224"/>
      <c r="C49" s="228">
        <v>3</v>
      </c>
      <c r="D49" s="229">
        <v>0</v>
      </c>
      <c r="E49" s="227"/>
      <c r="F49" s="223"/>
      <c r="G49" s="223"/>
    </row>
    <row r="50" spans="2:7" ht="15.75" customHeight="1" x14ac:dyDescent="0.25">
      <c r="B50" s="224"/>
      <c r="C50" s="228">
        <v>4</v>
      </c>
      <c r="D50" s="229">
        <v>0</v>
      </c>
      <c r="E50" s="227"/>
      <c r="F50" s="223"/>
      <c r="G50" s="223"/>
    </row>
    <row r="51" spans="2:7" ht="15.75" customHeight="1" x14ac:dyDescent="0.25">
      <c r="B51" s="224"/>
      <c r="C51" s="228">
        <v>5</v>
      </c>
      <c r="D51" s="229">
        <f>IF(D8&gt;=FV(D16,5,0,-D8),0)+IF(D9&gt;=0,FV(D16,4,0,-D9),0)+IF(D10&gt;=0,FV(D16,3,0,-D10),0)+IF(D11&gt;=0,FV(D16,2,0,-D11),0)+IF(D12&gt;=0,FV(D16,1,0,-D12),0)+IF(D13&gt;=0,D13,0)</f>
        <v>99825.537024000019</v>
      </c>
      <c r="E51" s="227"/>
      <c r="F51" s="223"/>
      <c r="G51" s="223"/>
    </row>
    <row r="52" spans="2:7" ht="15.75" customHeight="1" x14ac:dyDescent="0.25">
      <c r="B52" s="224"/>
      <c r="C52" s="230"/>
      <c r="D52" s="230"/>
      <c r="E52" s="227"/>
      <c r="F52" s="223"/>
      <c r="G52" s="223"/>
    </row>
    <row r="53" spans="2:7" ht="15.75" customHeight="1" x14ac:dyDescent="0.3">
      <c r="B53" s="224"/>
      <c r="C53" s="230" t="s">
        <v>247</v>
      </c>
      <c r="D53" s="40">
        <f>IRR(D46:D51)</f>
        <v>0.13655067845223612</v>
      </c>
      <c r="E53" s="227"/>
      <c r="F53" s="223"/>
      <c r="G53" s="223"/>
    </row>
    <row r="54" spans="2:7" s="196" customFormat="1" ht="15.75" customHeight="1" thickBot="1" x14ac:dyDescent="0.3">
      <c r="B54" s="232"/>
      <c r="C54" s="233"/>
      <c r="D54" s="233"/>
      <c r="E54" s="234"/>
      <c r="F54" s="205"/>
      <c r="G54" s="205"/>
    </row>
    <row r="55" spans="2:7" ht="15.75" customHeight="1" x14ac:dyDescent="0.25">
      <c r="B55" s="200"/>
      <c r="C55" s="200"/>
      <c r="D55" s="200"/>
      <c r="E55" s="200"/>
    </row>
    <row r="56" spans="2:7" ht="15.75" customHeight="1" x14ac:dyDescent="0.25">
      <c r="B56" s="200"/>
      <c r="C56" s="200"/>
      <c r="D56" s="200"/>
      <c r="E56" s="200"/>
    </row>
    <row r="57" spans="2:7" ht="15.75" customHeight="1" x14ac:dyDescent="0.25">
      <c r="B57" s="196"/>
      <c r="C57" s="196"/>
      <c r="D57" s="196"/>
      <c r="E57" s="196"/>
    </row>
    <row r="58" spans="2:7" ht="15.75" customHeight="1" x14ac:dyDescent="0.25">
      <c r="B58" s="196"/>
      <c r="C58" s="196"/>
      <c r="D58" s="196"/>
      <c r="E58" s="196"/>
    </row>
    <row r="59" spans="2:7" ht="15.75" customHeight="1" x14ac:dyDescent="0.25"/>
    <row r="60" spans="2:7" ht="15.75" customHeight="1" x14ac:dyDescent="0.25"/>
    <row r="61" spans="2:7" ht="15.75" customHeight="1" x14ac:dyDescent="0.25"/>
    <row r="62" spans="2:7" ht="15.75" customHeight="1" x14ac:dyDescent="0.25"/>
    <row r="63" spans="2:7" ht="15.75" customHeight="1" x14ac:dyDescent="0.25"/>
    <row r="64" spans="2: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sheetData>
  <phoneticPr fontId="33" type="noConversion"/>
  <pageMargins left="0.75" right="0.75" top="1" bottom="1" header="0.5" footer="0.5"/>
  <pageSetup orientation="portrait" horizont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I734"/>
  <sheetViews>
    <sheetView zoomScaleNormal="100" workbookViewId="0">
      <selection activeCell="C2" sqref="C2"/>
    </sheetView>
  </sheetViews>
  <sheetFormatPr defaultRowHeight="13.2" x14ac:dyDescent="0.25"/>
  <cols>
    <col min="2" max="2" width="3.109375" customWidth="1"/>
    <col min="3" max="3" width="26.109375" bestFit="1" customWidth="1"/>
    <col min="4" max="4" width="16.33203125" bestFit="1" customWidth="1"/>
    <col min="5" max="5" width="3.109375" customWidth="1"/>
    <col min="9" max="9" width="14.33203125" bestFit="1" customWidth="1"/>
    <col min="10" max="10" width="9.6640625" bestFit="1" customWidth="1"/>
  </cols>
  <sheetData>
    <row r="1" spans="2:9" s="1" customFormat="1" ht="17.399999999999999" x14ac:dyDescent="0.3">
      <c r="C1" s="139" t="s">
        <v>219</v>
      </c>
    </row>
    <row r="2" spans="2:9" s="1" customFormat="1" ht="15.75" customHeight="1" x14ac:dyDescent="0.25">
      <c r="C2" s="1" t="s">
        <v>67</v>
      </c>
    </row>
    <row r="3" spans="2:9" s="1" customFormat="1" ht="15.75" customHeight="1" x14ac:dyDescent="0.25"/>
    <row r="4" spans="2:9" s="1" customFormat="1" ht="15.75" customHeight="1" x14ac:dyDescent="0.3">
      <c r="C4" s="2" t="s">
        <v>0</v>
      </c>
    </row>
    <row r="5" spans="2:9" s="1" customFormat="1" ht="15.75" customHeight="1" thickBot="1" x14ac:dyDescent="0.35">
      <c r="C5" s="3"/>
      <c r="D5" s="4"/>
    </row>
    <row r="6" spans="2:9" s="1" customFormat="1" ht="15.75" customHeight="1" x14ac:dyDescent="0.3">
      <c r="B6" s="5"/>
      <c r="C6" s="6"/>
      <c r="D6" s="7"/>
      <c r="E6" s="8"/>
    </row>
    <row r="7" spans="2:9" s="1" customFormat="1" ht="15.75" customHeight="1" x14ac:dyDescent="0.3">
      <c r="B7" s="9"/>
      <c r="C7" s="37" t="s">
        <v>27</v>
      </c>
      <c r="D7" s="44"/>
      <c r="E7" s="11"/>
    </row>
    <row r="8" spans="2:9" s="1" customFormat="1" ht="15.75" customHeight="1" x14ac:dyDescent="0.25">
      <c r="B8" s="9"/>
      <c r="C8" s="10" t="s">
        <v>24</v>
      </c>
      <c r="D8" s="130">
        <v>-75000</v>
      </c>
      <c r="E8" s="11"/>
    </row>
    <row r="9" spans="2:9" s="1" customFormat="1" ht="15.75" customHeight="1" x14ac:dyDescent="0.25">
      <c r="B9" s="9"/>
      <c r="C9" s="10" t="s">
        <v>15</v>
      </c>
      <c r="D9" s="132">
        <v>155000</v>
      </c>
      <c r="E9" s="11"/>
      <c r="I9" s="246"/>
    </row>
    <row r="10" spans="2:9" s="1" customFormat="1" ht="15.75" customHeight="1" x14ac:dyDescent="0.25">
      <c r="B10" s="9"/>
      <c r="C10" s="10" t="s">
        <v>16</v>
      </c>
      <c r="D10" s="132">
        <v>-65000</v>
      </c>
      <c r="E10" s="11"/>
      <c r="I10" s="246"/>
    </row>
    <row r="11" spans="2:9" s="1" customFormat="1" ht="15.75" customHeight="1" x14ac:dyDescent="0.25">
      <c r="B11" s="9"/>
      <c r="C11" s="10"/>
      <c r="D11" s="95"/>
      <c r="E11" s="11"/>
    </row>
    <row r="12" spans="2:9" s="1" customFormat="1" ht="15.75" customHeight="1" x14ac:dyDescent="0.25">
      <c r="B12" s="9"/>
      <c r="C12" s="10" t="s">
        <v>19</v>
      </c>
      <c r="D12" s="244">
        <v>-0.16129032347239414</v>
      </c>
      <c r="E12" s="11"/>
    </row>
    <row r="13" spans="2:9" s="1" customFormat="1" ht="15.75" customHeight="1" thickBot="1" x14ac:dyDescent="0.3">
      <c r="B13" s="12"/>
      <c r="C13" s="38"/>
      <c r="D13" s="45"/>
      <c r="E13" s="13"/>
      <c r="I13" s="237"/>
    </row>
    <row r="14" spans="2:9" ht="15.75" customHeight="1" x14ac:dyDescent="0.25">
      <c r="B14" s="25"/>
      <c r="C14" s="26"/>
      <c r="D14" s="26"/>
      <c r="I14" s="237"/>
    </row>
    <row r="15" spans="2:9" ht="15.75" customHeight="1" x14ac:dyDescent="0.3">
      <c r="B15" s="25"/>
      <c r="C15" s="27" t="s">
        <v>1</v>
      </c>
      <c r="D15" s="26"/>
      <c r="I15" s="237"/>
    </row>
    <row r="16" spans="2:9" ht="15.75" customHeight="1" thickBot="1" x14ac:dyDescent="0.3">
      <c r="B16" s="25"/>
      <c r="C16" s="26"/>
      <c r="D16" s="26"/>
      <c r="I16" s="237"/>
    </row>
    <row r="17" spans="2:9" ht="15.75" customHeight="1" x14ac:dyDescent="0.25">
      <c r="B17" s="14"/>
      <c r="C17" s="28"/>
      <c r="D17" s="28"/>
      <c r="E17" s="49"/>
      <c r="I17" s="237"/>
    </row>
    <row r="18" spans="2:9" ht="15.75" customHeight="1" x14ac:dyDescent="0.3">
      <c r="B18" s="16"/>
      <c r="C18" s="18" t="s">
        <v>28</v>
      </c>
      <c r="D18" s="241">
        <f>IRR(D8:D10)</f>
        <v>0.48178746823579055</v>
      </c>
      <c r="E18" s="51"/>
      <c r="I18" s="237"/>
    </row>
    <row r="19" spans="2:9" ht="15.75" customHeight="1" x14ac:dyDescent="0.3">
      <c r="B19" s="133"/>
      <c r="C19" s="18" t="s">
        <v>28</v>
      </c>
      <c r="D19" s="242">
        <f>IRR(D8:D10,-0.99)</f>
        <v>-0.41512080156912379</v>
      </c>
      <c r="E19" s="51"/>
      <c r="I19" s="237"/>
    </row>
    <row r="20" spans="2:9" ht="15.75" customHeight="1" x14ac:dyDescent="0.3">
      <c r="B20" s="133"/>
      <c r="C20" s="18"/>
      <c r="D20" s="235"/>
      <c r="E20" s="51"/>
      <c r="I20" s="237"/>
    </row>
    <row r="21" spans="2:9" ht="15.75" customHeight="1" x14ac:dyDescent="0.3">
      <c r="B21" s="133"/>
      <c r="C21" s="18" t="s">
        <v>40</v>
      </c>
      <c r="D21" s="243">
        <f>NPV(D12,D9:D10)+D8</f>
        <v>17403.846153846156</v>
      </c>
      <c r="E21" s="51"/>
      <c r="I21" s="237"/>
    </row>
    <row r="22" spans="2:9" ht="15.75" customHeight="1" x14ac:dyDescent="0.3">
      <c r="B22" s="133"/>
      <c r="C22" s="18"/>
      <c r="D22" s="243"/>
      <c r="E22" s="51"/>
      <c r="I22" s="237"/>
    </row>
    <row r="23" spans="2:9" ht="15.75" customHeight="1" x14ac:dyDescent="0.3">
      <c r="B23" s="133"/>
      <c r="C23" s="18" t="s">
        <v>229</v>
      </c>
      <c r="D23" s="243">
        <f>((D9*2)*(1+D12)^-3)+((D10*6)*(1+D12)^-4)</f>
        <v>-262722.17964597815</v>
      </c>
      <c r="E23" s="51"/>
      <c r="I23" s="237"/>
    </row>
    <row r="24" spans="2:9" s="1" customFormat="1" ht="15.75" customHeight="1" thickBot="1" x14ac:dyDescent="0.3">
      <c r="B24" s="19"/>
      <c r="C24" s="20"/>
      <c r="D24" s="20"/>
      <c r="E24" s="21"/>
      <c r="H24"/>
      <c r="I24" s="237"/>
    </row>
    <row r="25" spans="2:9" ht="15.75" customHeight="1" x14ac:dyDescent="0.25">
      <c r="B25" s="4"/>
      <c r="C25" s="4"/>
      <c r="D25" s="4"/>
      <c r="I25" s="237"/>
    </row>
    <row r="26" spans="2:9" ht="15.75" customHeight="1" x14ac:dyDescent="0.25">
      <c r="B26" s="4"/>
      <c r="C26" s="4"/>
      <c r="D26" s="4"/>
      <c r="I26" s="237"/>
    </row>
    <row r="27" spans="2:9" ht="15.75" customHeight="1" x14ac:dyDescent="0.25">
      <c r="B27" s="1"/>
      <c r="C27" s="1"/>
      <c r="D27" s="1"/>
      <c r="I27" s="237"/>
    </row>
    <row r="28" spans="2:9" ht="15.75" customHeight="1" x14ac:dyDescent="0.25">
      <c r="B28" s="1"/>
      <c r="C28" s="1"/>
      <c r="D28" s="1"/>
      <c r="I28" s="237"/>
    </row>
    <row r="29" spans="2:9" ht="15.75" customHeight="1" x14ac:dyDescent="0.25">
      <c r="I29" s="237"/>
    </row>
    <row r="30" spans="2:9" ht="15.75" customHeight="1" x14ac:dyDescent="0.25">
      <c r="I30" s="237"/>
    </row>
    <row r="31" spans="2:9" ht="15.75" customHeight="1" x14ac:dyDescent="0.25">
      <c r="I31" s="237"/>
    </row>
    <row r="32" spans="2:9" ht="15.75" customHeight="1" x14ac:dyDescent="0.25">
      <c r="I32" s="237"/>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sheetData>
  <phoneticPr fontId="0" type="noConversion"/>
  <pageMargins left="0.75" right="0.75" top="1" bottom="1" header="0.5" footer="0.5"/>
  <pageSetup scale="87" orientation="portrait" horizont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25"/>
  <sheetViews>
    <sheetView showGridLines="0" workbookViewId="0"/>
  </sheetViews>
  <sheetFormatPr defaultRowHeight="13.2" x14ac:dyDescent="0.25"/>
  <cols>
    <col min="1" max="1" width="2.33203125" customWidth="1"/>
    <col min="2" max="2" width="4.5546875" customWidth="1"/>
    <col min="3" max="3" width="10.88671875" bestFit="1" customWidth="1"/>
    <col min="4" max="4" width="14.33203125" bestFit="1" customWidth="1"/>
    <col min="5" max="5" width="11.44140625" bestFit="1" customWidth="1"/>
    <col min="6" max="6" width="7.44140625" customWidth="1"/>
  </cols>
  <sheetData>
    <row r="1" spans="1:5" x14ac:dyDescent="0.25">
      <c r="A1" s="178" t="s">
        <v>250</v>
      </c>
    </row>
    <row r="2" spans="1:5" x14ac:dyDescent="0.25">
      <c r="A2" s="178" t="s">
        <v>251</v>
      </c>
    </row>
    <row r="3" spans="1:5" x14ac:dyDescent="0.25">
      <c r="A3" s="178" t="s">
        <v>252</v>
      </c>
    </row>
    <row r="4" spans="1:5" x14ac:dyDescent="0.25">
      <c r="A4" s="178" t="s">
        <v>253</v>
      </c>
    </row>
    <row r="5" spans="1:5" x14ac:dyDescent="0.25">
      <c r="A5" s="178" t="s">
        <v>234</v>
      </c>
    </row>
    <row r="6" spans="1:5" x14ac:dyDescent="0.25">
      <c r="A6" s="178"/>
      <c r="B6" t="s">
        <v>235</v>
      </c>
    </row>
    <row r="7" spans="1:5" x14ac:dyDescent="0.25">
      <c r="A7" s="178"/>
      <c r="B7" t="s">
        <v>254</v>
      </c>
    </row>
    <row r="8" spans="1:5" x14ac:dyDescent="0.25">
      <c r="A8" s="178"/>
      <c r="B8" t="s">
        <v>255</v>
      </c>
    </row>
    <row r="9" spans="1:5" x14ac:dyDescent="0.25">
      <c r="A9" s="178" t="s">
        <v>236</v>
      </c>
    </row>
    <row r="10" spans="1:5" x14ac:dyDescent="0.25">
      <c r="B10" t="s">
        <v>237</v>
      </c>
    </row>
    <row r="11" spans="1:5" x14ac:dyDescent="0.25">
      <c r="B11" t="s">
        <v>238</v>
      </c>
    </row>
    <row r="12" spans="1:5" x14ac:dyDescent="0.25">
      <c r="B12" t="s">
        <v>239</v>
      </c>
    </row>
    <row r="14" spans="1:5" ht="13.8" thickBot="1" x14ac:dyDescent="0.3">
      <c r="A14" t="s">
        <v>256</v>
      </c>
    </row>
    <row r="15" spans="1:5" ht="13.8" thickBot="1" x14ac:dyDescent="0.3">
      <c r="B15" s="259" t="s">
        <v>188</v>
      </c>
      <c r="C15" s="259" t="s">
        <v>189</v>
      </c>
      <c r="D15" s="259" t="s">
        <v>190</v>
      </c>
      <c r="E15" s="259" t="s">
        <v>191</v>
      </c>
    </row>
    <row r="16" spans="1:5" ht="13.8" thickBot="1" x14ac:dyDescent="0.3">
      <c r="B16" s="179" t="s">
        <v>227</v>
      </c>
      <c r="C16" s="179" t="s">
        <v>40</v>
      </c>
      <c r="D16" s="245">
        <v>12190.0826</v>
      </c>
      <c r="E16" s="245">
        <v>17403.8462</v>
      </c>
    </row>
    <row r="19" spans="1:7" ht="13.8" thickBot="1" x14ac:dyDescent="0.3">
      <c r="A19" t="s">
        <v>240</v>
      </c>
    </row>
    <row r="20" spans="1:7" ht="13.8" thickBot="1" x14ac:dyDescent="0.3">
      <c r="B20" s="259" t="s">
        <v>188</v>
      </c>
      <c r="C20" s="259" t="s">
        <v>189</v>
      </c>
      <c r="D20" s="259" t="s">
        <v>190</v>
      </c>
      <c r="E20" s="259" t="s">
        <v>191</v>
      </c>
      <c r="F20" s="259" t="s">
        <v>241</v>
      </c>
    </row>
    <row r="21" spans="1:7" ht="13.8" thickBot="1" x14ac:dyDescent="0.3">
      <c r="B21" s="179" t="s">
        <v>228</v>
      </c>
      <c r="C21" s="263" t="s">
        <v>19</v>
      </c>
      <c r="D21" s="181">
        <v>0.1</v>
      </c>
      <c r="E21" s="181">
        <v>-0.16129032347239414</v>
      </c>
      <c r="F21" s="179" t="s">
        <v>242</v>
      </c>
    </row>
    <row r="24" spans="1:7" ht="13.8" thickBot="1" x14ac:dyDescent="0.3">
      <c r="A24" t="s">
        <v>192</v>
      </c>
    </row>
    <row r="25" spans="1:7" ht="13.8" thickBot="1" x14ac:dyDescent="0.3">
      <c r="B25" s="260" t="s">
        <v>193</v>
      </c>
      <c r="C25" s="260"/>
      <c r="D25" s="260"/>
      <c r="E25" s="260"/>
      <c r="F25" s="260"/>
      <c r="G25" s="260"/>
    </row>
  </sheetData>
  <phoneticPr fontId="33"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1211111121111112"/>
  <dimension ref="B1:H43"/>
  <sheetViews>
    <sheetView workbookViewId="0">
      <selection activeCell="C2" sqref="C2"/>
    </sheetView>
  </sheetViews>
  <sheetFormatPr defaultRowHeight="13.2" x14ac:dyDescent="0.25"/>
  <cols>
    <col min="2" max="2" width="3.109375" customWidth="1"/>
    <col min="3" max="3" width="22.33203125" bestFit="1" customWidth="1"/>
    <col min="4" max="4" width="16.33203125" bestFit="1" customWidth="1"/>
    <col min="5" max="5" width="3.109375" customWidth="1"/>
    <col min="6" max="6" width="16.33203125" bestFit="1" customWidth="1"/>
    <col min="7" max="7" width="3.109375" customWidth="1"/>
  </cols>
  <sheetData>
    <row r="1" spans="2:8" s="1" customFormat="1" ht="17.399999999999999" x14ac:dyDescent="0.3">
      <c r="C1" s="139" t="s">
        <v>219</v>
      </c>
    </row>
    <row r="2" spans="2:8" s="1" customFormat="1" ht="15.75" customHeight="1" x14ac:dyDescent="0.25">
      <c r="C2" s="1" t="s">
        <v>68</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8"/>
    </row>
    <row r="7" spans="2:8" s="1" customFormat="1" ht="15.75" customHeight="1" x14ac:dyDescent="0.25">
      <c r="B7" s="9"/>
      <c r="C7" s="10" t="s">
        <v>63</v>
      </c>
      <c r="D7" s="95">
        <v>6</v>
      </c>
      <c r="E7" s="11"/>
      <c r="H7" s="23"/>
    </row>
    <row r="8" spans="2:8" s="1" customFormat="1" ht="15.75" customHeight="1" x14ac:dyDescent="0.25">
      <c r="B8" s="9"/>
      <c r="C8" s="10" t="s">
        <v>62</v>
      </c>
      <c r="D8" s="92">
        <v>573000</v>
      </c>
      <c r="E8" s="11"/>
    </row>
    <row r="9" spans="2:8" s="1" customFormat="1" ht="15.75" customHeight="1" x14ac:dyDescent="0.25">
      <c r="B9" s="9"/>
      <c r="C9" s="10" t="s">
        <v>26</v>
      </c>
      <c r="D9" s="109">
        <v>0.11</v>
      </c>
      <c r="E9" s="11"/>
    </row>
    <row r="10" spans="2:8" ht="15.75" customHeight="1" thickBot="1" x14ac:dyDescent="0.3">
      <c r="B10" s="12"/>
      <c r="C10" s="38"/>
      <c r="D10" s="24" t="s">
        <v>11</v>
      </c>
      <c r="E10" s="13"/>
    </row>
    <row r="11" spans="2:8" ht="15.75" customHeight="1" x14ac:dyDescent="0.25">
      <c r="B11" s="25"/>
      <c r="C11" s="26"/>
      <c r="D11" s="26"/>
      <c r="E11" s="25"/>
    </row>
    <row r="12" spans="2:8" ht="15.75" customHeight="1" x14ac:dyDescent="0.3">
      <c r="B12" s="25"/>
      <c r="C12" s="27" t="s">
        <v>1</v>
      </c>
      <c r="D12" s="26"/>
      <c r="E12" s="25"/>
    </row>
    <row r="13" spans="2:8" ht="15.75" customHeight="1" thickBot="1" x14ac:dyDescent="0.3">
      <c r="B13" s="25"/>
      <c r="C13" s="26"/>
      <c r="D13" s="26"/>
      <c r="E13" s="25"/>
    </row>
    <row r="14" spans="2:8" ht="15.75" customHeight="1" x14ac:dyDescent="0.25">
      <c r="B14" s="14"/>
      <c r="C14" s="28"/>
      <c r="D14" s="28"/>
      <c r="E14" s="47"/>
      <c r="F14" s="48"/>
      <c r="G14" s="49"/>
    </row>
    <row r="15" spans="2:8" ht="15.75" customHeight="1" x14ac:dyDescent="0.25">
      <c r="B15" s="16"/>
      <c r="C15" s="18" t="s">
        <v>64</v>
      </c>
      <c r="D15" s="42"/>
      <c r="E15" s="18"/>
      <c r="F15" s="50"/>
      <c r="G15" s="51"/>
    </row>
    <row r="16" spans="2:8" ht="15.75" customHeight="1" x14ac:dyDescent="0.25">
      <c r="B16" s="16"/>
      <c r="C16" s="18" t="s">
        <v>262</v>
      </c>
      <c r="D16" s="42"/>
      <c r="E16" s="18"/>
      <c r="F16" s="50"/>
      <c r="G16" s="51"/>
    </row>
    <row r="17" spans="2:7" ht="15.75" customHeight="1" x14ac:dyDescent="0.3">
      <c r="B17" s="16"/>
      <c r="C17" s="18" t="s">
        <v>65</v>
      </c>
      <c r="D17" s="264">
        <f>-D8+PV(D9,D7,,-D8)</f>
        <v>-266650.80092112243</v>
      </c>
      <c r="E17" s="18"/>
      <c r="F17" s="101"/>
      <c r="G17" s="51"/>
    </row>
    <row r="18" spans="2:7" ht="15.75" customHeight="1" x14ac:dyDescent="0.25">
      <c r="B18" s="16"/>
      <c r="C18" s="18" t="s">
        <v>66</v>
      </c>
      <c r="D18" s="39"/>
      <c r="E18" s="18"/>
      <c r="F18" s="50"/>
      <c r="G18" s="51"/>
    </row>
    <row r="19" spans="2:7" ht="15.75" customHeight="1" x14ac:dyDescent="0.25">
      <c r="B19" s="16"/>
      <c r="C19" s="18" t="s">
        <v>263</v>
      </c>
      <c r="D19" s="42"/>
      <c r="E19" s="18"/>
      <c r="F19" s="50"/>
      <c r="G19" s="51"/>
    </row>
    <row r="20" spans="2:7" ht="15.75" customHeight="1" thickBot="1" x14ac:dyDescent="0.3">
      <c r="B20" s="19"/>
      <c r="C20" s="20"/>
      <c r="D20" s="20"/>
      <c r="E20" s="20"/>
      <c r="F20" s="67"/>
      <c r="G20" s="68"/>
    </row>
    <row r="21" spans="2:7" ht="15.75" customHeight="1" x14ac:dyDescent="0.25">
      <c r="B21" s="4"/>
      <c r="C21" s="4"/>
      <c r="D21" s="4"/>
      <c r="E21" s="4"/>
    </row>
    <row r="22" spans="2:7" ht="15.75" customHeight="1" x14ac:dyDescent="0.25">
      <c r="B22" s="4"/>
      <c r="C22" s="4"/>
      <c r="D22" s="4"/>
      <c r="E22" s="4"/>
    </row>
    <row r="23" spans="2:7" ht="15.75" customHeight="1" x14ac:dyDescent="0.25">
      <c r="B23" s="1"/>
      <c r="C23" s="1"/>
      <c r="D23" s="1"/>
      <c r="E23" s="1"/>
    </row>
    <row r="24" spans="2:7" ht="15.75" customHeight="1" x14ac:dyDescent="0.25">
      <c r="B24" s="1"/>
      <c r="C24" s="1"/>
      <c r="D24" s="1"/>
      <c r="E24" s="1"/>
    </row>
    <row r="25" spans="2:7" ht="15.75" customHeight="1" x14ac:dyDescent="0.25"/>
    <row r="26" spans="2:7" ht="15.75" customHeight="1" x14ac:dyDescent="0.25"/>
    <row r="27" spans="2:7" ht="15.75" customHeight="1" x14ac:dyDescent="0.25"/>
    <row r="28" spans="2:7" ht="15.75" customHeight="1" x14ac:dyDescent="0.25"/>
    <row r="29" spans="2:7" ht="15.75" customHeight="1" x14ac:dyDescent="0.25"/>
    <row r="30" spans="2:7" ht="15.75" customHeight="1" x14ac:dyDescent="0.25"/>
    <row r="31" spans="2:7" ht="15.75" customHeight="1" x14ac:dyDescent="0.25"/>
    <row r="32" spans="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sheetData>
  <phoneticPr fontId="0" type="noConversion"/>
  <pageMargins left="0.75" right="0.75" top="1" bottom="1" header="0.5" footer="0.5"/>
  <pageSetup orientation="portrait" horizont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2111111211111121"/>
  <dimension ref="B1:H43"/>
  <sheetViews>
    <sheetView workbookViewId="0">
      <selection activeCell="C2" sqref="C2"/>
    </sheetView>
  </sheetViews>
  <sheetFormatPr defaultRowHeight="13.2" x14ac:dyDescent="0.25"/>
  <cols>
    <col min="2" max="2" width="3.109375" customWidth="1"/>
    <col min="3" max="3" width="22.33203125" bestFit="1" customWidth="1"/>
    <col min="4" max="4" width="15.109375" customWidth="1"/>
    <col min="5" max="5" width="3.109375" customWidth="1"/>
    <col min="6" max="6" width="11.44140625" customWidth="1"/>
    <col min="7" max="7" width="3.109375" customWidth="1"/>
    <col min="8" max="8" width="11.6640625" bestFit="1" customWidth="1"/>
  </cols>
  <sheetData>
    <row r="1" spans="2:8" s="1" customFormat="1" ht="17.399999999999999" x14ac:dyDescent="0.3">
      <c r="C1" s="139" t="s">
        <v>219</v>
      </c>
    </row>
    <row r="2" spans="2:8" s="1" customFormat="1" ht="15.75" customHeight="1" x14ac:dyDescent="0.25">
      <c r="C2" s="1" t="s">
        <v>116</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8"/>
    </row>
    <row r="7" spans="2:8" s="1" customFormat="1" ht="15.75" customHeight="1" x14ac:dyDescent="0.3">
      <c r="B7" s="9"/>
      <c r="C7" s="37" t="s">
        <v>27</v>
      </c>
      <c r="D7" s="43"/>
      <c r="E7" s="11"/>
    </row>
    <row r="8" spans="2:8" s="1" customFormat="1" ht="15.75" customHeight="1" x14ac:dyDescent="0.25">
      <c r="B8" s="9"/>
      <c r="C8" s="10" t="s">
        <v>24</v>
      </c>
      <c r="D8" s="92">
        <v>-6048</v>
      </c>
      <c r="E8" s="11"/>
      <c r="H8" s="246"/>
    </row>
    <row r="9" spans="2:8" s="1" customFormat="1" ht="15.75" customHeight="1" x14ac:dyDescent="0.25">
      <c r="B9" s="9"/>
      <c r="C9" s="10" t="s">
        <v>15</v>
      </c>
      <c r="D9" s="92">
        <v>34344</v>
      </c>
      <c r="E9" s="11"/>
      <c r="H9" s="246"/>
    </row>
    <row r="10" spans="2:8" s="1" customFormat="1" ht="15.75" customHeight="1" x14ac:dyDescent="0.25">
      <c r="B10" s="9"/>
      <c r="C10" s="10" t="s">
        <v>16</v>
      </c>
      <c r="D10" s="92">
        <v>-72840</v>
      </c>
      <c r="E10" s="11"/>
      <c r="H10" s="246"/>
    </row>
    <row r="11" spans="2:8" s="1" customFormat="1" ht="15.75" customHeight="1" x14ac:dyDescent="0.25">
      <c r="B11" s="9"/>
      <c r="C11" s="10" t="s">
        <v>17</v>
      </c>
      <c r="D11" s="92">
        <v>68400</v>
      </c>
      <c r="E11" s="11"/>
      <c r="H11" s="246"/>
    </row>
    <row r="12" spans="2:8" s="1" customFormat="1" ht="15.75" customHeight="1" x14ac:dyDescent="0.25">
      <c r="B12" s="9"/>
      <c r="C12" s="10" t="s">
        <v>18</v>
      </c>
      <c r="D12" s="100">
        <v>-24000</v>
      </c>
      <c r="E12" s="11"/>
      <c r="H12" s="246"/>
    </row>
    <row r="13" spans="2:8" ht="15.75" customHeight="1" thickBot="1" x14ac:dyDescent="0.3">
      <c r="B13" s="12"/>
      <c r="C13" s="38"/>
      <c r="D13" s="24" t="s">
        <v>11</v>
      </c>
      <c r="E13" s="13"/>
    </row>
    <row r="14" spans="2:8" ht="15.75" customHeight="1" x14ac:dyDescent="0.25">
      <c r="B14" s="25"/>
      <c r="C14" s="26"/>
      <c r="D14" s="26"/>
      <c r="E14" s="25"/>
    </row>
    <row r="15" spans="2:8" ht="15.75" customHeight="1" x14ac:dyDescent="0.3">
      <c r="B15" s="25"/>
      <c r="C15" s="27" t="s">
        <v>1</v>
      </c>
      <c r="D15" s="26"/>
      <c r="E15" s="25"/>
    </row>
    <row r="16" spans="2:8" ht="15.75" customHeight="1" thickBot="1" x14ac:dyDescent="0.3">
      <c r="B16" s="25"/>
      <c r="C16" s="26"/>
      <c r="D16" s="26"/>
      <c r="E16" s="25"/>
    </row>
    <row r="17" spans="2:7" ht="15.75" customHeight="1" x14ac:dyDescent="0.25">
      <c r="B17" s="14"/>
      <c r="C17" s="28"/>
      <c r="D17" s="28"/>
      <c r="E17" s="47"/>
      <c r="F17" s="48"/>
      <c r="G17" s="49"/>
    </row>
    <row r="18" spans="2:7" ht="15.75" customHeight="1" x14ac:dyDescent="0.25">
      <c r="B18" s="16"/>
      <c r="C18" s="18" t="s">
        <v>222</v>
      </c>
      <c r="D18" s="42"/>
      <c r="E18" s="18"/>
      <c r="F18" s="50"/>
      <c r="G18" s="51"/>
    </row>
    <row r="19" spans="2:7" ht="15.75" customHeight="1" x14ac:dyDescent="0.3">
      <c r="B19" s="16"/>
      <c r="C19" s="18"/>
      <c r="D19" s="70">
        <f>IRR(D8:D12,0.24)</f>
        <v>0.24999999999248379</v>
      </c>
      <c r="E19" s="18"/>
      <c r="F19" s="50"/>
      <c r="G19" s="51"/>
    </row>
    <row r="20" spans="2:7" ht="15.75" customHeight="1" x14ac:dyDescent="0.3">
      <c r="B20" s="16"/>
      <c r="C20" s="18"/>
      <c r="D20" s="70">
        <f>IRR(D8:D12,0.3)</f>
        <v>0.33333333333393256</v>
      </c>
      <c r="E20" s="18"/>
      <c r="F20" s="50"/>
      <c r="G20" s="51"/>
    </row>
    <row r="21" spans="2:7" ht="15.75" customHeight="1" x14ac:dyDescent="0.3">
      <c r="B21" s="16"/>
      <c r="C21" s="18"/>
      <c r="D21" s="70">
        <f>IRR(D8:D12,0.4)</f>
        <v>0.42857142857113595</v>
      </c>
      <c r="E21" s="18"/>
      <c r="F21" s="50"/>
      <c r="G21" s="51"/>
    </row>
    <row r="22" spans="2:7" ht="15.75" customHeight="1" x14ac:dyDescent="0.3">
      <c r="B22" s="16"/>
      <c r="C22" s="18"/>
      <c r="D22" s="70">
        <f>IRR(D8:D12,0.6)</f>
        <v>0.66666666666674779</v>
      </c>
      <c r="E22" s="18"/>
      <c r="F22" s="50"/>
      <c r="G22" s="51"/>
    </row>
    <row r="23" spans="2:7" ht="15.75" customHeight="1" thickBot="1" x14ac:dyDescent="0.3">
      <c r="B23" s="19"/>
      <c r="C23" s="20"/>
      <c r="D23" s="20"/>
      <c r="E23" s="20"/>
      <c r="F23" s="67"/>
      <c r="G23" s="68"/>
    </row>
    <row r="24" spans="2:7" ht="15.75" customHeight="1" x14ac:dyDescent="0.25">
      <c r="B24" s="4"/>
      <c r="C24" s="4"/>
      <c r="D24" s="4"/>
      <c r="E24" s="4"/>
    </row>
    <row r="25" spans="2:7" ht="15.75" customHeight="1" x14ac:dyDescent="0.25">
      <c r="B25" s="4"/>
      <c r="C25" s="4"/>
      <c r="D25" s="4"/>
      <c r="E25" s="4"/>
    </row>
    <row r="26" spans="2:7" ht="15.75" customHeight="1" x14ac:dyDescent="0.25">
      <c r="B26" s="1"/>
      <c r="C26" s="1"/>
      <c r="D26" s="1"/>
      <c r="E26" s="1"/>
    </row>
    <row r="27" spans="2:7" ht="15.75" customHeight="1" x14ac:dyDescent="0.25">
      <c r="B27" s="1"/>
      <c r="C27" s="1"/>
      <c r="D27" s="1"/>
      <c r="E27" s="1"/>
    </row>
    <row r="28" spans="2:7" ht="15.75" customHeight="1" x14ac:dyDescent="0.25"/>
    <row r="29" spans="2:7" ht="15.75" customHeight="1" x14ac:dyDescent="0.25"/>
    <row r="30" spans="2:7" ht="15.75" customHeight="1" x14ac:dyDescent="0.25"/>
    <row r="31" spans="2:7" ht="15.75" customHeight="1" x14ac:dyDescent="0.25"/>
    <row r="32" spans="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sheetData>
  <phoneticPr fontId="0" type="noConversion"/>
  <pageMargins left="0.75" right="0.75" top="1" bottom="1" header="0.5" footer="0.5"/>
  <pageSetup orientation="portrait" horizont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21111112111111211"/>
  <dimension ref="B1:G56"/>
  <sheetViews>
    <sheetView workbookViewId="0">
      <selection activeCell="C2" sqref="C2"/>
    </sheetView>
  </sheetViews>
  <sheetFormatPr defaultRowHeight="13.2" x14ac:dyDescent="0.25"/>
  <cols>
    <col min="2" max="2" width="3.109375" customWidth="1"/>
    <col min="3" max="3" width="26.109375" customWidth="1"/>
    <col min="4" max="4" width="17.5546875" bestFit="1" customWidth="1"/>
    <col min="5" max="5" width="3.109375" customWidth="1"/>
    <col min="6" max="7" width="9.109375" customWidth="1"/>
  </cols>
  <sheetData>
    <row r="1" spans="2:7" s="1" customFormat="1" ht="17.399999999999999" x14ac:dyDescent="0.3">
      <c r="C1" s="139" t="s">
        <v>219</v>
      </c>
    </row>
    <row r="2" spans="2:7" s="1" customFormat="1" ht="15.75" customHeight="1" x14ac:dyDescent="0.25">
      <c r="C2" s="1" t="s">
        <v>117</v>
      </c>
    </row>
    <row r="3" spans="2:7" s="1" customFormat="1" ht="15.75" customHeight="1" x14ac:dyDescent="0.25"/>
    <row r="4" spans="2:7" s="1" customFormat="1" ht="15.75" customHeight="1" x14ac:dyDescent="0.3">
      <c r="C4" s="2" t="s">
        <v>0</v>
      </c>
    </row>
    <row r="5" spans="2:7" s="1" customFormat="1" ht="15.75" customHeight="1" thickBot="1" x14ac:dyDescent="0.35">
      <c r="C5" s="3"/>
      <c r="D5" s="4"/>
    </row>
    <row r="6" spans="2:7" s="1" customFormat="1" ht="15.75" customHeight="1" x14ac:dyDescent="0.3">
      <c r="B6" s="5"/>
      <c r="C6" s="6"/>
      <c r="D6" s="7"/>
      <c r="E6" s="8"/>
    </row>
    <row r="7" spans="2:7" s="1" customFormat="1" ht="15.75" customHeight="1" x14ac:dyDescent="0.25">
      <c r="B7" s="9"/>
      <c r="C7" s="10" t="s">
        <v>264</v>
      </c>
      <c r="D7" s="92">
        <v>415000</v>
      </c>
      <c r="E7" s="11"/>
    </row>
    <row r="8" spans="2:7" s="1" customFormat="1" ht="15.75" customHeight="1" x14ac:dyDescent="0.25">
      <c r="B8" s="9"/>
      <c r="C8" s="10" t="s">
        <v>70</v>
      </c>
      <c r="D8" s="248">
        <v>3.7999999999999999E-2</v>
      </c>
      <c r="E8" s="11"/>
    </row>
    <row r="9" spans="2:7" s="1" customFormat="1" ht="15.75" customHeight="1" x14ac:dyDescent="0.25">
      <c r="B9" s="9"/>
      <c r="C9" s="10" t="s">
        <v>69</v>
      </c>
      <c r="D9" s="92">
        <v>4700000</v>
      </c>
      <c r="E9" s="11"/>
    </row>
    <row r="10" spans="2:7" s="1" customFormat="1" ht="15.75" customHeight="1" x14ac:dyDescent="0.25">
      <c r="B10" s="9"/>
      <c r="C10" s="10" t="s">
        <v>36</v>
      </c>
      <c r="D10" s="109">
        <v>0.11</v>
      </c>
      <c r="E10" s="11"/>
    </row>
    <row r="11" spans="2:7" ht="15.75" customHeight="1" thickBot="1" x14ac:dyDescent="0.3">
      <c r="B11" s="12"/>
      <c r="C11" s="38"/>
      <c r="D11" s="24" t="s">
        <v>11</v>
      </c>
      <c r="E11" s="13"/>
    </row>
    <row r="12" spans="2:7" ht="15.75" customHeight="1" x14ac:dyDescent="0.25">
      <c r="B12" s="25"/>
      <c r="C12" s="26"/>
      <c r="D12" s="26"/>
      <c r="E12" s="25"/>
    </row>
    <row r="13" spans="2:7" ht="15.75" customHeight="1" x14ac:dyDescent="0.3">
      <c r="B13" s="25"/>
      <c r="C13" s="27" t="s">
        <v>1</v>
      </c>
      <c r="D13" s="26"/>
      <c r="E13" s="25"/>
    </row>
    <row r="14" spans="2:7" ht="15.75" customHeight="1" thickBot="1" x14ac:dyDescent="0.3">
      <c r="B14" s="25"/>
      <c r="C14" s="26"/>
      <c r="D14" s="26"/>
      <c r="E14" s="25"/>
    </row>
    <row r="15" spans="2:7" ht="15.75" customHeight="1" x14ac:dyDescent="0.25">
      <c r="B15" s="14"/>
      <c r="C15" s="28"/>
      <c r="D15" s="28"/>
      <c r="E15" s="15"/>
      <c r="F15" s="59"/>
      <c r="G15" s="59"/>
    </row>
    <row r="16" spans="2:7" ht="15.75" customHeight="1" x14ac:dyDescent="0.25">
      <c r="B16" s="16"/>
      <c r="C16" s="18" t="s">
        <v>71</v>
      </c>
      <c r="D16" s="102">
        <f>D7/(D10-D8)</f>
        <v>5763888.8888888881</v>
      </c>
      <c r="E16" s="17"/>
      <c r="F16" s="59"/>
      <c r="G16" s="59"/>
    </row>
    <row r="17" spans="2:7" ht="15.75" customHeight="1" x14ac:dyDescent="0.25">
      <c r="B17" s="16"/>
      <c r="C17" s="18"/>
      <c r="D17" s="138"/>
      <c r="E17" s="17"/>
      <c r="F17" s="59"/>
      <c r="G17" s="59"/>
    </row>
    <row r="18" spans="2:7" ht="15.75" customHeight="1" x14ac:dyDescent="0.3">
      <c r="B18" s="16"/>
      <c r="C18" s="18" t="s">
        <v>72</v>
      </c>
      <c r="D18" s="111">
        <f>-D9+D16</f>
        <v>1063888.8888888881</v>
      </c>
      <c r="E18" s="17"/>
      <c r="F18" s="59"/>
      <c r="G18" s="59"/>
    </row>
    <row r="19" spans="2:7" ht="15.75" customHeight="1" x14ac:dyDescent="0.3">
      <c r="B19" s="16"/>
      <c r="C19" s="18"/>
      <c r="D19" s="72"/>
      <c r="E19" s="17"/>
      <c r="F19" s="59"/>
      <c r="G19" s="59"/>
    </row>
    <row r="20" spans="2:7" ht="15.75" customHeight="1" x14ac:dyDescent="0.3">
      <c r="B20" s="16"/>
      <c r="C20" s="18" t="s">
        <v>86</v>
      </c>
      <c r="D20" s="76" t="str">
        <f>IF(D18&gt;0,"Accept","Reject")</f>
        <v>Accept</v>
      </c>
      <c r="E20" s="17"/>
      <c r="F20" s="69"/>
      <c r="G20" s="59"/>
    </row>
    <row r="21" spans="2:7" ht="15.75" customHeight="1" x14ac:dyDescent="0.25">
      <c r="B21" s="16"/>
      <c r="C21" s="18"/>
      <c r="D21" s="39"/>
      <c r="E21" s="17"/>
      <c r="F21" s="59"/>
      <c r="G21" s="59"/>
    </row>
    <row r="22" spans="2:7" ht="15.75" customHeight="1" x14ac:dyDescent="0.3">
      <c r="B22" s="16"/>
      <c r="C22" s="18" t="s">
        <v>100</v>
      </c>
      <c r="D22" s="70">
        <f>D10-(D7/D9)</f>
        <v>2.1702127659574466E-2</v>
      </c>
      <c r="E22" s="17"/>
      <c r="F22" s="59"/>
      <c r="G22" s="59"/>
    </row>
    <row r="23" spans="2:7" ht="15.75" customHeight="1" thickBot="1" x14ac:dyDescent="0.3">
      <c r="B23" s="19"/>
      <c r="C23" s="20"/>
      <c r="D23" s="20"/>
      <c r="E23" s="21"/>
      <c r="F23" s="59"/>
      <c r="G23" s="59"/>
    </row>
    <row r="24" spans="2:7" ht="15.75" customHeight="1" x14ac:dyDescent="0.25">
      <c r="B24" s="4"/>
      <c r="C24" s="4"/>
      <c r="D24" s="4"/>
      <c r="E24" s="4"/>
    </row>
    <row r="25" spans="2:7" ht="15.75" customHeight="1" x14ac:dyDescent="0.25">
      <c r="B25" s="4"/>
      <c r="C25" s="4"/>
      <c r="D25" s="4"/>
      <c r="E25" s="4"/>
    </row>
    <row r="26" spans="2:7" ht="15.75" customHeight="1" x14ac:dyDescent="0.25">
      <c r="B26" s="1"/>
      <c r="C26" s="1"/>
      <c r="D26" s="1"/>
      <c r="E26" s="1"/>
    </row>
    <row r="27" spans="2:7" ht="15.75" customHeight="1" x14ac:dyDescent="0.25">
      <c r="B27" s="1"/>
      <c r="C27" s="1"/>
      <c r="D27" s="1"/>
      <c r="E27" s="1"/>
    </row>
    <row r="28" spans="2:7" ht="15.75" customHeight="1" x14ac:dyDescent="0.25"/>
    <row r="29" spans="2:7" ht="15.75" customHeight="1" x14ac:dyDescent="0.25"/>
    <row r="30" spans="2:7" ht="15.75" customHeight="1" x14ac:dyDescent="0.25"/>
    <row r="31" spans="2:7" ht="15.75" customHeight="1" x14ac:dyDescent="0.25"/>
    <row r="32" spans="2:7"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sheetData>
  <phoneticPr fontId="0" type="noConversion"/>
  <pageMargins left="0.75" right="0.75" top="1" bottom="1" header="0.5" footer="0.5"/>
  <pageSetup orientation="portrait" horizont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H38"/>
  <sheetViews>
    <sheetView workbookViewId="0">
      <selection activeCell="C2" sqref="C2"/>
    </sheetView>
  </sheetViews>
  <sheetFormatPr defaultRowHeight="13.2" x14ac:dyDescent="0.25"/>
  <cols>
    <col min="2" max="2" width="3.109375" customWidth="1"/>
    <col min="3" max="3" width="22.33203125" bestFit="1" customWidth="1"/>
    <col min="4" max="4" width="18.109375" bestFit="1" customWidth="1"/>
    <col min="5" max="5" width="3.109375" customWidth="1"/>
    <col min="6" max="7" width="9.109375" customWidth="1"/>
  </cols>
  <sheetData>
    <row r="1" spans="2:8" s="1" customFormat="1" ht="17.399999999999999" x14ac:dyDescent="0.3">
      <c r="C1" s="139" t="s">
        <v>219</v>
      </c>
    </row>
    <row r="2" spans="2:8" s="1" customFormat="1" ht="15" x14ac:dyDescent="0.25">
      <c r="C2" s="1" t="s">
        <v>172</v>
      </c>
    </row>
    <row r="3" spans="2:8" s="1" customFormat="1" ht="15" x14ac:dyDescent="0.25"/>
    <row r="4" spans="2:8" s="1" customFormat="1" ht="15.6" x14ac:dyDescent="0.3">
      <c r="C4" s="2" t="s">
        <v>0</v>
      </c>
    </row>
    <row r="5" spans="2:8" s="1" customFormat="1" ht="16.2" thickBot="1" x14ac:dyDescent="0.35">
      <c r="C5" s="3"/>
      <c r="D5" s="4"/>
    </row>
    <row r="6" spans="2:8" s="1" customFormat="1" ht="15.6" x14ac:dyDescent="0.3">
      <c r="B6" s="5"/>
      <c r="C6" s="6"/>
      <c r="D6" s="7"/>
      <c r="E6" s="8"/>
      <c r="F6" s="25"/>
      <c r="G6" s="25"/>
    </row>
    <row r="7" spans="2:8" s="1" customFormat="1" ht="15" x14ac:dyDescent="0.25">
      <c r="B7" s="9"/>
      <c r="C7" s="10" t="s">
        <v>69</v>
      </c>
      <c r="D7" s="121">
        <v>3400000</v>
      </c>
      <c r="E7" s="11"/>
      <c r="F7" s="57"/>
      <c r="G7" s="25"/>
    </row>
    <row r="8" spans="2:8" s="1" customFormat="1" ht="15" x14ac:dyDescent="0.25">
      <c r="B8" s="9"/>
      <c r="C8" s="10" t="s">
        <v>173</v>
      </c>
      <c r="D8" s="122">
        <v>575000</v>
      </c>
      <c r="E8" s="11"/>
      <c r="F8" s="57"/>
      <c r="G8" s="25"/>
      <c r="H8" s="23"/>
    </row>
    <row r="9" spans="2:8" s="1" customFormat="1" ht="15" x14ac:dyDescent="0.25">
      <c r="B9" s="9"/>
      <c r="C9" s="10" t="s">
        <v>174</v>
      </c>
      <c r="D9" s="99">
        <v>0.08</v>
      </c>
      <c r="E9" s="11"/>
      <c r="F9" s="25"/>
      <c r="G9" s="25"/>
      <c r="H9" s="23"/>
    </row>
    <row r="10" spans="2:8" s="1" customFormat="1" ht="15" x14ac:dyDescent="0.25">
      <c r="B10" s="9"/>
      <c r="C10" s="10" t="s">
        <v>175</v>
      </c>
      <c r="D10" s="142">
        <v>450000</v>
      </c>
      <c r="E10" s="11"/>
      <c r="F10" s="25"/>
      <c r="G10" s="25"/>
      <c r="H10" s="23"/>
    </row>
    <row r="11" spans="2:8" s="1" customFormat="1" ht="15" x14ac:dyDescent="0.25">
      <c r="B11" s="9"/>
      <c r="C11" s="10" t="s">
        <v>36</v>
      </c>
      <c r="D11" s="112">
        <v>0.13</v>
      </c>
      <c r="E11" s="11"/>
      <c r="F11" s="58"/>
      <c r="G11" s="25"/>
      <c r="H11" s="23"/>
    </row>
    <row r="12" spans="2:8" s="1" customFormat="1" ht="15.6" thickBot="1" x14ac:dyDescent="0.3">
      <c r="B12" s="12"/>
      <c r="C12" s="38"/>
      <c r="D12" s="45"/>
      <c r="E12" s="13"/>
      <c r="F12" s="25"/>
      <c r="G12" s="25"/>
      <c r="H12" s="23"/>
    </row>
    <row r="13" spans="2:8" ht="15" x14ac:dyDescent="0.25">
      <c r="B13" s="25"/>
      <c r="C13" s="26"/>
      <c r="D13" s="26"/>
      <c r="E13" s="25"/>
    </row>
    <row r="14" spans="2:8" ht="15.6" x14ac:dyDescent="0.3">
      <c r="B14" s="25"/>
      <c r="C14" s="27" t="s">
        <v>1</v>
      </c>
      <c r="D14" s="26"/>
      <c r="E14" s="25"/>
    </row>
    <row r="15" spans="2:8" ht="15.6" thickBot="1" x14ac:dyDescent="0.3">
      <c r="B15" s="25"/>
      <c r="C15" s="26"/>
      <c r="D15" s="26"/>
      <c r="E15" s="25"/>
    </row>
    <row r="16" spans="2:8" ht="15" x14ac:dyDescent="0.25">
      <c r="B16" s="14"/>
      <c r="C16" s="28"/>
      <c r="D16" s="28"/>
      <c r="E16" s="15"/>
      <c r="F16" s="59"/>
      <c r="G16" s="59"/>
    </row>
    <row r="17" spans="2:7" ht="15" x14ac:dyDescent="0.25">
      <c r="B17" s="16"/>
      <c r="C17" s="54" t="s">
        <v>2</v>
      </c>
      <c r="D17" s="53" t="s">
        <v>3</v>
      </c>
      <c r="E17" s="17"/>
      <c r="F17" s="59"/>
      <c r="G17" s="59"/>
    </row>
    <row r="18" spans="2:7" ht="15" x14ac:dyDescent="0.25">
      <c r="B18" s="16"/>
      <c r="C18" s="166">
        <v>0</v>
      </c>
      <c r="D18" s="167">
        <f>-D7</f>
        <v>-3400000</v>
      </c>
      <c r="E18" s="17"/>
      <c r="F18" s="59"/>
      <c r="G18" s="59"/>
    </row>
    <row r="19" spans="2:7" ht="15" x14ac:dyDescent="0.25">
      <c r="B19" s="16"/>
      <c r="C19" s="166">
        <v>1</v>
      </c>
      <c r="D19" s="94">
        <f>D8</f>
        <v>575000</v>
      </c>
      <c r="E19" s="17"/>
      <c r="F19" s="59"/>
      <c r="G19" s="59"/>
    </row>
    <row r="20" spans="2:7" ht="15" x14ac:dyDescent="0.25">
      <c r="B20" s="16"/>
      <c r="C20" s="166">
        <v>2</v>
      </c>
      <c r="D20" s="94">
        <f>D19*(1+$D$9)</f>
        <v>621000</v>
      </c>
      <c r="E20" s="17"/>
      <c r="F20" s="59"/>
      <c r="G20" s="59"/>
    </row>
    <row r="21" spans="2:7" ht="15" x14ac:dyDescent="0.25">
      <c r="B21" s="16"/>
      <c r="C21" s="166">
        <v>3</v>
      </c>
      <c r="D21" s="94">
        <f t="shared" ref="D21:D28" si="0">D20*(1+$D$9)</f>
        <v>670680</v>
      </c>
      <c r="E21" s="17"/>
      <c r="F21" s="59"/>
      <c r="G21" s="59"/>
    </row>
    <row r="22" spans="2:7" ht="15" x14ac:dyDescent="0.25">
      <c r="B22" s="16"/>
      <c r="C22" s="166">
        <v>4</v>
      </c>
      <c r="D22" s="94">
        <f t="shared" si="0"/>
        <v>724334.4</v>
      </c>
      <c r="E22" s="17"/>
      <c r="F22" s="25"/>
      <c r="G22" s="59"/>
    </row>
    <row r="23" spans="2:7" ht="15" x14ac:dyDescent="0.25">
      <c r="B23" s="16"/>
      <c r="C23" s="166">
        <v>5</v>
      </c>
      <c r="D23" s="94">
        <f t="shared" si="0"/>
        <v>782281.15200000012</v>
      </c>
      <c r="E23" s="17"/>
      <c r="F23" s="56"/>
      <c r="G23" s="59"/>
    </row>
    <row r="24" spans="2:7" ht="15" x14ac:dyDescent="0.25">
      <c r="B24" s="16"/>
      <c r="C24" s="166">
        <v>6</v>
      </c>
      <c r="D24" s="94">
        <f t="shared" si="0"/>
        <v>844863.64416000014</v>
      </c>
      <c r="E24" s="61"/>
      <c r="F24" s="60"/>
      <c r="G24" s="59"/>
    </row>
    <row r="25" spans="2:7" ht="15" x14ac:dyDescent="0.25">
      <c r="B25" s="16"/>
      <c r="C25" s="166">
        <v>7</v>
      </c>
      <c r="D25" s="94">
        <f t="shared" si="0"/>
        <v>912452.73569280026</v>
      </c>
      <c r="E25" s="61"/>
      <c r="F25" s="60"/>
      <c r="G25" s="59"/>
    </row>
    <row r="26" spans="2:7" ht="15" x14ac:dyDescent="0.25">
      <c r="B26" s="16"/>
      <c r="C26" s="166">
        <v>8</v>
      </c>
      <c r="D26" s="94">
        <f t="shared" si="0"/>
        <v>985448.95454822434</v>
      </c>
      <c r="E26" s="61"/>
      <c r="F26" s="60"/>
      <c r="G26" s="59"/>
    </row>
    <row r="27" spans="2:7" ht="15" x14ac:dyDescent="0.25">
      <c r="B27" s="16"/>
      <c r="C27" s="166">
        <v>9</v>
      </c>
      <c r="D27" s="94">
        <f t="shared" si="0"/>
        <v>1064284.8709120823</v>
      </c>
      <c r="E27" s="61"/>
      <c r="F27" s="60"/>
      <c r="G27" s="59"/>
    </row>
    <row r="28" spans="2:7" ht="15" x14ac:dyDescent="0.25">
      <c r="B28" s="16"/>
      <c r="C28" s="166">
        <v>10</v>
      </c>
      <c r="D28" s="94">
        <f t="shared" si="0"/>
        <v>1149427.6605850488</v>
      </c>
      <c r="E28" s="61"/>
      <c r="F28" s="60"/>
      <c r="G28" s="59"/>
    </row>
    <row r="29" spans="2:7" ht="15" x14ac:dyDescent="0.25">
      <c r="B29" s="16"/>
      <c r="C29" s="166">
        <v>11</v>
      </c>
      <c r="D29" s="94">
        <f>D28*(1+$D$9)-D10</f>
        <v>791381.87343185279</v>
      </c>
      <c r="E29" s="61"/>
      <c r="F29" s="60"/>
      <c r="G29" s="59"/>
    </row>
    <row r="30" spans="2:7" ht="15" x14ac:dyDescent="0.25">
      <c r="B30" s="16"/>
      <c r="C30" s="166"/>
      <c r="D30" s="164"/>
      <c r="E30" s="61"/>
      <c r="F30" s="60"/>
      <c r="G30" s="59"/>
    </row>
    <row r="31" spans="2:7" ht="15.6" x14ac:dyDescent="0.3">
      <c r="B31" s="133" t="s">
        <v>92</v>
      </c>
      <c r="C31" s="168" t="s">
        <v>28</v>
      </c>
      <c r="D31" s="110">
        <f>IRR(D18:D29)</f>
        <v>0.1873195145829738</v>
      </c>
      <c r="E31" s="61"/>
      <c r="F31" s="60"/>
      <c r="G31" s="59"/>
    </row>
    <row r="32" spans="2:7" ht="15.6" x14ac:dyDescent="0.3">
      <c r="B32" s="133"/>
      <c r="C32" s="168"/>
      <c r="D32" s="164"/>
      <c r="E32" s="61"/>
      <c r="F32" s="60"/>
      <c r="G32" s="59"/>
    </row>
    <row r="33" spans="2:7" ht="15.6" x14ac:dyDescent="0.3">
      <c r="B33" s="133" t="s">
        <v>93</v>
      </c>
      <c r="C33" s="62" t="s">
        <v>86</v>
      </c>
      <c r="D33" s="134" t="str">
        <f>IF(D31&gt;D11,"Accept","Reject")</f>
        <v>Accept</v>
      </c>
      <c r="E33" s="61"/>
      <c r="F33" s="60"/>
      <c r="G33" s="59"/>
    </row>
    <row r="34" spans="2:7" s="1" customFormat="1" ht="15.6" thickBot="1" x14ac:dyDescent="0.3">
      <c r="B34" s="19"/>
      <c r="C34" s="20"/>
      <c r="D34" s="20"/>
      <c r="E34" s="21"/>
      <c r="F34" s="25"/>
      <c r="G34" s="25"/>
    </row>
    <row r="35" spans="2:7" ht="15" x14ac:dyDescent="0.25">
      <c r="B35" s="4"/>
      <c r="C35" s="4"/>
      <c r="D35" s="4"/>
      <c r="E35" s="4"/>
    </row>
    <row r="36" spans="2:7" ht="15" x14ac:dyDescent="0.25">
      <c r="B36" s="4"/>
      <c r="C36" s="4"/>
      <c r="D36" s="4"/>
      <c r="E36" s="4"/>
    </row>
    <row r="37" spans="2:7" ht="15" x14ac:dyDescent="0.25">
      <c r="B37" s="1"/>
      <c r="C37" s="1"/>
      <c r="D37" s="1"/>
      <c r="E37" s="1"/>
    </row>
    <row r="38" spans="2:7" ht="15" x14ac:dyDescent="0.25">
      <c r="B38" s="1"/>
      <c r="C38" s="1"/>
      <c r="D38" s="1"/>
      <c r="E38" s="1"/>
    </row>
  </sheetData>
  <phoneticPr fontId="0" type="noConversion"/>
  <pageMargins left="0.75" right="0.75" top="1" bottom="1" header="0.5" footer="0.5"/>
  <pageSetup orientation="portrait" horizont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H54"/>
  <sheetViews>
    <sheetView workbookViewId="0">
      <selection activeCell="C2" sqref="C2"/>
    </sheetView>
  </sheetViews>
  <sheetFormatPr defaultColWidth="9.109375" defaultRowHeight="13.2" x14ac:dyDescent="0.25"/>
  <cols>
    <col min="1" max="1" width="9.109375" style="218"/>
    <col min="2" max="2" width="3.109375" style="218" customWidth="1"/>
    <col min="3" max="3" width="26.109375" style="218" bestFit="1" customWidth="1"/>
    <col min="4" max="4" width="16.33203125" style="218" bestFit="1" customWidth="1"/>
    <col min="5" max="5" width="3.109375" style="218" customWidth="1"/>
    <col min="6" max="7" width="9.109375" style="218" customWidth="1"/>
    <col min="8" max="16384" width="9.109375" style="218"/>
  </cols>
  <sheetData>
    <row r="1" spans="2:8" s="196" customFormat="1" ht="17.399999999999999" x14ac:dyDescent="0.3">
      <c r="C1" s="197" t="s">
        <v>219</v>
      </c>
    </row>
    <row r="2" spans="2:8" s="196" customFormat="1" ht="15.75" customHeight="1" x14ac:dyDescent="0.25">
      <c r="C2" s="196" t="s">
        <v>183</v>
      </c>
    </row>
    <row r="3" spans="2:8" s="196" customFormat="1" ht="15.75" customHeight="1" x14ac:dyDescent="0.25"/>
    <row r="4" spans="2:8" s="196" customFormat="1" ht="15.75" customHeight="1" x14ac:dyDescent="0.3">
      <c r="C4" s="198" t="s">
        <v>0</v>
      </c>
    </row>
    <row r="5" spans="2:8" s="196" customFormat="1" ht="15.75" customHeight="1" thickBot="1" x14ac:dyDescent="0.35">
      <c r="C5" s="199"/>
      <c r="D5" s="200"/>
    </row>
    <row r="6" spans="2:8" s="196" customFormat="1" ht="15.75" customHeight="1" x14ac:dyDescent="0.3">
      <c r="B6" s="201"/>
      <c r="C6" s="202"/>
      <c r="D6" s="203"/>
      <c r="E6" s="204"/>
      <c r="F6" s="205"/>
      <c r="G6" s="205"/>
    </row>
    <row r="7" spans="2:8" s="196" customFormat="1" ht="15.75" customHeight="1" x14ac:dyDescent="0.3">
      <c r="B7" s="206"/>
      <c r="C7" s="207" t="s">
        <v>27</v>
      </c>
      <c r="D7" s="44"/>
      <c r="E7" s="208"/>
      <c r="F7" s="209"/>
      <c r="G7" s="205"/>
    </row>
    <row r="8" spans="2:8" s="196" customFormat="1" ht="15.75" customHeight="1" x14ac:dyDescent="0.25">
      <c r="B8" s="206"/>
      <c r="C8" s="210" t="s">
        <v>24</v>
      </c>
      <c r="D8" s="113">
        <v>-945000</v>
      </c>
      <c r="E8" s="208"/>
      <c r="F8" s="211"/>
      <c r="G8" s="205"/>
    </row>
    <row r="9" spans="2:8" s="196" customFormat="1" ht="15.75" customHeight="1" x14ac:dyDescent="0.25">
      <c r="B9" s="206"/>
      <c r="C9" s="210" t="s">
        <v>15</v>
      </c>
      <c r="D9" s="116">
        <v>295000</v>
      </c>
      <c r="E9" s="208"/>
      <c r="F9" s="211"/>
      <c r="G9" s="205"/>
      <c r="H9" s="212"/>
    </row>
    <row r="10" spans="2:8" s="196" customFormat="1" ht="15.75" customHeight="1" x14ac:dyDescent="0.25">
      <c r="B10" s="206"/>
      <c r="C10" s="210" t="s">
        <v>16</v>
      </c>
      <c r="D10" s="116">
        <v>325000</v>
      </c>
      <c r="E10" s="208"/>
      <c r="F10" s="211"/>
      <c r="G10" s="205"/>
      <c r="H10" s="212"/>
    </row>
    <row r="11" spans="2:8" s="196" customFormat="1" ht="15.75" customHeight="1" x14ac:dyDescent="0.25">
      <c r="B11" s="206"/>
      <c r="C11" s="210" t="s">
        <v>17</v>
      </c>
      <c r="D11" s="116">
        <v>413000</v>
      </c>
      <c r="E11" s="208"/>
      <c r="F11" s="211"/>
      <c r="G11" s="205"/>
      <c r="H11" s="212"/>
    </row>
    <row r="12" spans="2:8" s="196" customFormat="1" ht="15.75" customHeight="1" x14ac:dyDescent="0.25">
      <c r="B12" s="206"/>
      <c r="C12" s="210" t="s">
        <v>18</v>
      </c>
      <c r="D12" s="116">
        <v>240000</v>
      </c>
      <c r="E12" s="208"/>
      <c r="F12" s="211"/>
      <c r="G12" s="205"/>
      <c r="H12" s="212"/>
    </row>
    <row r="13" spans="2:8" s="196" customFormat="1" ht="15.75" customHeight="1" x14ac:dyDescent="0.25">
      <c r="B13" s="206"/>
      <c r="C13" s="210"/>
      <c r="D13" s="95"/>
      <c r="E13" s="208"/>
      <c r="F13" s="205"/>
      <c r="G13" s="205"/>
      <c r="H13" s="212"/>
    </row>
    <row r="14" spans="2:8" s="196" customFormat="1" ht="15.75" customHeight="1" x14ac:dyDescent="0.25">
      <c r="B14" s="206"/>
      <c r="C14" s="210" t="s">
        <v>220</v>
      </c>
      <c r="D14" s="112">
        <v>0.04</v>
      </c>
      <c r="E14" s="208"/>
      <c r="F14" s="213"/>
      <c r="G14" s="205"/>
      <c r="H14" s="212"/>
    </row>
    <row r="15" spans="2:8" s="196" customFormat="1" ht="15.75" customHeight="1" x14ac:dyDescent="0.25">
      <c r="B15" s="206"/>
      <c r="C15" s="210" t="s">
        <v>36</v>
      </c>
      <c r="D15" s="112">
        <v>0.11</v>
      </c>
      <c r="E15" s="208"/>
      <c r="F15" s="213"/>
      <c r="G15" s="205"/>
      <c r="H15" s="212"/>
    </row>
    <row r="16" spans="2:8" s="196" customFormat="1" ht="15.75" customHeight="1" thickBot="1" x14ac:dyDescent="0.3">
      <c r="B16" s="214"/>
      <c r="C16" s="215"/>
      <c r="D16" s="45"/>
      <c r="E16" s="216"/>
      <c r="F16" s="205"/>
      <c r="G16" s="205"/>
      <c r="H16" s="212"/>
    </row>
    <row r="17" spans="2:7" ht="15.75" customHeight="1" x14ac:dyDescent="0.25">
      <c r="B17" s="205"/>
      <c r="C17" s="217"/>
      <c r="D17" s="217"/>
      <c r="E17" s="205"/>
    </row>
    <row r="18" spans="2:7" ht="15.75" customHeight="1" x14ac:dyDescent="0.3">
      <c r="B18" s="205"/>
      <c r="C18" s="219" t="s">
        <v>1</v>
      </c>
      <c r="D18" s="217"/>
      <c r="E18" s="205"/>
    </row>
    <row r="19" spans="2:7" ht="15.75" customHeight="1" thickBot="1" x14ac:dyDescent="0.3">
      <c r="B19" s="205"/>
      <c r="C19" s="217"/>
      <c r="D19" s="217"/>
      <c r="E19" s="205"/>
    </row>
    <row r="20" spans="2:7" ht="15.75" customHeight="1" x14ac:dyDescent="0.25">
      <c r="B20" s="220"/>
      <c r="C20" s="221"/>
      <c r="D20" s="221"/>
      <c r="E20" s="222"/>
      <c r="F20" s="223"/>
      <c r="G20" s="223"/>
    </row>
    <row r="21" spans="2:7" ht="15.75" customHeight="1" x14ac:dyDescent="0.25">
      <c r="B21" s="224"/>
      <c r="C21" s="225" t="s">
        <v>2</v>
      </c>
      <c r="D21" s="226" t="s">
        <v>221</v>
      </c>
      <c r="E21" s="227"/>
      <c r="F21" s="223"/>
      <c r="G21" s="223"/>
    </row>
    <row r="22" spans="2:7" ht="15.75" customHeight="1" x14ac:dyDescent="0.25">
      <c r="B22" s="224"/>
      <c r="C22" s="228">
        <v>0</v>
      </c>
      <c r="D22" s="229">
        <f>D8</f>
        <v>-945000</v>
      </c>
      <c r="E22" s="227"/>
      <c r="F22" s="223"/>
      <c r="G22" s="223"/>
    </row>
    <row r="23" spans="2:7" ht="15.75" customHeight="1" x14ac:dyDescent="0.25">
      <c r="B23" s="224"/>
      <c r="C23" s="228">
        <v>1</v>
      </c>
      <c r="D23" s="229">
        <v>0</v>
      </c>
      <c r="E23" s="227"/>
      <c r="F23" s="223"/>
      <c r="G23" s="223"/>
    </row>
    <row r="24" spans="2:7" ht="15.75" customHeight="1" x14ac:dyDescent="0.25">
      <c r="B24" s="224"/>
      <c r="C24" s="228">
        <v>2</v>
      </c>
      <c r="D24" s="229">
        <f>D9*(1+$D$14)</f>
        <v>306800</v>
      </c>
      <c r="E24" s="227"/>
      <c r="F24" s="223"/>
      <c r="G24" s="223"/>
    </row>
    <row r="25" spans="2:7" ht="15.75" customHeight="1" x14ac:dyDescent="0.25">
      <c r="B25" s="224"/>
      <c r="C25" s="228">
        <v>3</v>
      </c>
      <c r="D25" s="229">
        <f>D10*(1+$D$14)</f>
        <v>338000</v>
      </c>
      <c r="E25" s="227"/>
      <c r="F25" s="223"/>
      <c r="G25" s="223"/>
    </row>
    <row r="26" spans="2:7" ht="15.75" customHeight="1" x14ac:dyDescent="0.25">
      <c r="B26" s="224"/>
      <c r="C26" s="228">
        <v>4</v>
      </c>
      <c r="D26" s="229">
        <f>D11*(1+$D$14)</f>
        <v>429520</v>
      </c>
      <c r="E26" s="227"/>
      <c r="F26" s="223"/>
      <c r="G26" s="223"/>
    </row>
    <row r="27" spans="2:7" ht="15.75" customHeight="1" x14ac:dyDescent="0.25">
      <c r="B27" s="224"/>
      <c r="C27" s="228">
        <v>5</v>
      </c>
      <c r="D27" s="229">
        <f>D12*(1+$D$14)</f>
        <v>249600</v>
      </c>
      <c r="E27" s="227"/>
      <c r="F27" s="223"/>
      <c r="G27" s="223"/>
    </row>
    <row r="28" spans="2:7" ht="15.75" customHeight="1" x14ac:dyDescent="0.25">
      <c r="B28" s="224"/>
      <c r="C28" s="230"/>
      <c r="D28" s="230"/>
      <c r="E28" s="227"/>
      <c r="F28" s="223"/>
      <c r="G28" s="223"/>
    </row>
    <row r="29" spans="2:7" ht="15.75" customHeight="1" x14ac:dyDescent="0.3">
      <c r="B29" s="224"/>
      <c r="C29" s="230" t="s">
        <v>40</v>
      </c>
      <c r="D29" s="231">
        <f>D22+PV(D15,1,,-D23)+PV(D15,2,,-D24)+PV(D15,3,,-D25)+PV(D15,4,,-D26)+PV(D15,5,,-D27)</f>
        <v>-17787.97110282621</v>
      </c>
      <c r="E29" s="227"/>
      <c r="F29" s="223"/>
      <c r="G29" s="223"/>
    </row>
    <row r="30" spans="2:7" ht="15.75" customHeight="1" x14ac:dyDescent="0.3">
      <c r="B30" s="224"/>
      <c r="C30" s="230" t="s">
        <v>28</v>
      </c>
      <c r="D30" s="40">
        <f>IRR(D22:D27)</f>
        <v>0.10373852078156287</v>
      </c>
      <c r="E30" s="227"/>
      <c r="F30" s="223"/>
      <c r="G30" s="223"/>
    </row>
    <row r="31" spans="2:7" s="196" customFormat="1" ht="15.75" customHeight="1" thickBot="1" x14ac:dyDescent="0.3">
      <c r="B31" s="232"/>
      <c r="C31" s="233"/>
      <c r="D31" s="233"/>
      <c r="E31" s="234"/>
      <c r="F31" s="205"/>
      <c r="G31" s="205"/>
    </row>
    <row r="32" spans="2:7" ht="15.75" customHeight="1" x14ac:dyDescent="0.25">
      <c r="B32" s="200"/>
      <c r="C32" s="200"/>
      <c r="D32" s="200"/>
      <c r="E32" s="200"/>
    </row>
    <row r="33" spans="2:5" ht="15.75" customHeight="1" x14ac:dyDescent="0.25">
      <c r="B33" s="200"/>
      <c r="C33" s="200"/>
      <c r="D33" s="200"/>
      <c r="E33" s="200"/>
    </row>
    <row r="34" spans="2:5" ht="15.75" customHeight="1" x14ac:dyDescent="0.25">
      <c r="B34" s="196"/>
      <c r="C34" s="196"/>
      <c r="D34" s="196"/>
      <c r="E34" s="196"/>
    </row>
    <row r="35" spans="2:5" ht="15.75" customHeight="1" x14ac:dyDescent="0.25">
      <c r="B35" s="196"/>
      <c r="C35" s="196"/>
      <c r="D35" s="196"/>
      <c r="E35" s="196"/>
    </row>
    <row r="36" spans="2:5" ht="15.75" customHeight="1" x14ac:dyDescent="0.25"/>
    <row r="37" spans="2:5" ht="15.75" customHeight="1" x14ac:dyDescent="0.25"/>
    <row r="38" spans="2:5" ht="15.75" customHeight="1" x14ac:dyDescent="0.25"/>
    <row r="39" spans="2:5" ht="15.75" customHeight="1" x14ac:dyDescent="0.25"/>
    <row r="40" spans="2:5" ht="15.75" customHeight="1" x14ac:dyDescent="0.25"/>
    <row r="41" spans="2:5" ht="15.75" customHeight="1" x14ac:dyDescent="0.25"/>
    <row r="42" spans="2:5" ht="15.75" customHeight="1" x14ac:dyDescent="0.25"/>
    <row r="43" spans="2:5" ht="15.75" customHeight="1" x14ac:dyDescent="0.25"/>
    <row r="44" spans="2:5" ht="15.75" customHeight="1" x14ac:dyDescent="0.25"/>
    <row r="45" spans="2:5" ht="15.75" customHeight="1" x14ac:dyDescent="0.25"/>
    <row r="46" spans="2:5" ht="15.75" customHeight="1" x14ac:dyDescent="0.25"/>
    <row r="47" spans="2:5" ht="15.75" customHeight="1" x14ac:dyDescent="0.25"/>
    <row r="48" spans="2:5"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sheetData>
  <phoneticPr fontId="33" type="noConversion"/>
  <pageMargins left="0.75" right="0.75" top="1" bottom="1" header="0.5" footer="0.5"/>
  <pageSetup orientation="portrait" horizont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21111112"/>
  <dimension ref="B1:H50"/>
  <sheetViews>
    <sheetView workbookViewId="0">
      <selection activeCell="C2" sqref="C2"/>
    </sheetView>
  </sheetViews>
  <sheetFormatPr defaultRowHeight="13.2" x14ac:dyDescent="0.25"/>
  <cols>
    <col min="2" max="2" width="3.109375" customWidth="1"/>
    <col min="3" max="3" width="20.109375" bestFit="1" customWidth="1"/>
    <col min="4" max="4" width="12" customWidth="1"/>
    <col min="5" max="5" width="3.109375" customWidth="1"/>
  </cols>
  <sheetData>
    <row r="1" spans="2:8" s="1" customFormat="1" ht="17.399999999999999" x14ac:dyDescent="0.3">
      <c r="C1" s="139" t="s">
        <v>219</v>
      </c>
    </row>
    <row r="2" spans="2:8" s="1" customFormat="1" ht="15.75" customHeight="1" x14ac:dyDescent="0.25">
      <c r="C2" s="1" t="s">
        <v>5</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8"/>
    </row>
    <row r="7" spans="2:8" s="1" customFormat="1" ht="15.75" customHeight="1" x14ac:dyDescent="0.25">
      <c r="B7" s="9"/>
      <c r="C7" s="22" t="s">
        <v>8</v>
      </c>
      <c r="D7" s="191">
        <v>640</v>
      </c>
      <c r="E7" s="11"/>
    </row>
    <row r="8" spans="2:8" s="1" customFormat="1" ht="15.75" customHeight="1" x14ac:dyDescent="0.25">
      <c r="B8" s="9"/>
      <c r="C8" s="10" t="s">
        <v>9</v>
      </c>
      <c r="D8" s="95">
        <v>8</v>
      </c>
      <c r="E8" s="11"/>
    </row>
    <row r="9" spans="2:8" s="1" customFormat="1" ht="15.75" customHeight="1" x14ac:dyDescent="0.25">
      <c r="B9" s="9"/>
      <c r="C9" s="10" t="s">
        <v>10</v>
      </c>
      <c r="D9" s="192">
        <v>2700</v>
      </c>
      <c r="E9" s="11"/>
      <c r="H9" s="23"/>
    </row>
    <row r="10" spans="2:8" s="1" customFormat="1" ht="15.75" customHeight="1" x14ac:dyDescent="0.25">
      <c r="B10" s="9"/>
      <c r="C10" s="10" t="s">
        <v>10</v>
      </c>
      <c r="D10" s="192">
        <v>3900</v>
      </c>
      <c r="E10" s="11"/>
      <c r="H10" s="23"/>
    </row>
    <row r="11" spans="2:8" s="1" customFormat="1" ht="15.75" customHeight="1" x14ac:dyDescent="0.25">
      <c r="B11" s="9"/>
      <c r="C11" s="10" t="s">
        <v>10</v>
      </c>
      <c r="D11" s="192">
        <v>6800</v>
      </c>
      <c r="E11" s="11"/>
      <c r="H11" s="23"/>
    </row>
    <row r="12" spans="2:8" ht="15.75" customHeight="1" thickBot="1" x14ac:dyDescent="0.3">
      <c r="B12" s="12"/>
      <c r="C12" s="24"/>
      <c r="D12" s="24" t="s">
        <v>11</v>
      </c>
      <c r="E12" s="13"/>
    </row>
    <row r="13" spans="2:8" ht="15.75" customHeight="1" x14ac:dyDescent="0.25">
      <c r="B13" s="25"/>
      <c r="C13" s="26"/>
      <c r="D13" s="26"/>
      <c r="E13" s="25"/>
    </row>
    <row r="14" spans="2:8" ht="15.75" customHeight="1" x14ac:dyDescent="0.3">
      <c r="B14" s="25"/>
      <c r="C14" s="27" t="s">
        <v>1</v>
      </c>
      <c r="D14" s="26"/>
      <c r="E14" s="25"/>
    </row>
    <row r="15" spans="2:8" ht="15.75" customHeight="1" thickBot="1" x14ac:dyDescent="0.3">
      <c r="B15" s="25"/>
      <c r="C15" s="26"/>
      <c r="D15" s="26"/>
      <c r="E15" s="25"/>
    </row>
    <row r="16" spans="2:8" ht="15.75" customHeight="1" x14ac:dyDescent="0.25">
      <c r="B16" s="14"/>
      <c r="C16" s="28"/>
      <c r="D16" s="28"/>
      <c r="E16" s="15"/>
    </row>
    <row r="17" spans="2:5" ht="15.75" customHeight="1" x14ac:dyDescent="0.25">
      <c r="B17" s="16"/>
      <c r="C17" s="18" t="str">
        <f>"Initial cost = $"&amp;D9</f>
        <v>Initial cost = $2700</v>
      </c>
      <c r="D17" s="146"/>
      <c r="E17" s="17"/>
    </row>
    <row r="18" spans="2:5" ht="15.75" customHeight="1" x14ac:dyDescent="0.3">
      <c r="B18" s="16"/>
      <c r="C18" s="18" t="s">
        <v>223</v>
      </c>
      <c r="D18" s="29">
        <f>IF(D9/$D$7&lt;$D$8,D9/$D$7,"Never")</f>
        <v>4.21875</v>
      </c>
      <c r="E18" s="17"/>
    </row>
    <row r="19" spans="2:5" ht="15.75" customHeight="1" x14ac:dyDescent="0.3">
      <c r="B19" s="16"/>
      <c r="C19" s="18"/>
      <c r="D19" s="31"/>
      <c r="E19" s="17"/>
    </row>
    <row r="20" spans="2:5" ht="15.75" customHeight="1" x14ac:dyDescent="0.25">
      <c r="B20" s="16"/>
      <c r="C20" s="18" t="str">
        <f>"Initial cost = $"&amp;D10</f>
        <v>Initial cost = $3900</v>
      </c>
      <c r="D20" s="146"/>
      <c r="E20" s="17"/>
    </row>
    <row r="21" spans="2:5" ht="15.75" customHeight="1" x14ac:dyDescent="0.3">
      <c r="B21" s="16"/>
      <c r="C21" s="18" t="s">
        <v>223</v>
      </c>
      <c r="D21" s="29">
        <f>IF(D10/$D$7&lt;$D$8,D10/$D$7,"Never")</f>
        <v>6.09375</v>
      </c>
      <c r="E21" s="17"/>
    </row>
    <row r="22" spans="2:5" ht="15.75" customHeight="1" x14ac:dyDescent="0.3">
      <c r="B22" s="16"/>
      <c r="C22" s="18"/>
      <c r="D22" s="31"/>
      <c r="E22" s="17"/>
    </row>
    <row r="23" spans="2:5" ht="15.75" customHeight="1" x14ac:dyDescent="0.25">
      <c r="B23" s="16"/>
      <c r="C23" s="18" t="str">
        <f>"Initial cost = $"&amp;D11</f>
        <v>Initial cost = $6800</v>
      </c>
      <c r="D23" s="146"/>
      <c r="E23" s="17"/>
    </row>
    <row r="24" spans="2:5" ht="15.75" customHeight="1" x14ac:dyDescent="0.3">
      <c r="B24" s="16"/>
      <c r="C24" s="18" t="s">
        <v>223</v>
      </c>
      <c r="D24" s="29" t="str">
        <f>IF(D11/$D$7&lt;$D$8,D11/$D$7,"Never")</f>
        <v>Never</v>
      </c>
      <c r="E24" s="17"/>
    </row>
    <row r="25" spans="2:5" ht="15.75" customHeight="1" thickBot="1" x14ac:dyDescent="0.3">
      <c r="B25" s="19"/>
      <c r="C25" s="20"/>
      <c r="D25" s="20"/>
      <c r="E25" s="21"/>
    </row>
    <row r="26" spans="2:5" ht="15.75" customHeight="1" x14ac:dyDescent="0.25">
      <c r="B26" s="4"/>
      <c r="C26" s="4"/>
      <c r="D26" s="4"/>
      <c r="E26" s="4"/>
    </row>
    <row r="27" spans="2:5" ht="15.75" customHeight="1" x14ac:dyDescent="0.25">
      <c r="B27" s="4"/>
      <c r="C27" s="4"/>
      <c r="D27" s="4"/>
      <c r="E27" s="4"/>
    </row>
    <row r="28" spans="2:5" ht="15.75" customHeight="1" x14ac:dyDescent="0.25">
      <c r="B28" s="1"/>
      <c r="C28" s="1"/>
      <c r="D28" s="1"/>
      <c r="E28" s="1"/>
    </row>
    <row r="29" spans="2:5" ht="15.75" customHeight="1" x14ac:dyDescent="0.25">
      <c r="B29" s="1"/>
      <c r="C29" s="1"/>
      <c r="D29" s="1"/>
      <c r="E29" s="1"/>
    </row>
    <row r="30" spans="2:5" ht="15.75" customHeight="1" x14ac:dyDescent="0.25"/>
    <row r="31" spans="2:5" ht="15.75" customHeight="1" x14ac:dyDescent="0.25"/>
    <row r="32" spans="2:5"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sheetData>
  <phoneticPr fontId="0" type="noConversion"/>
  <pageMargins left="0.75" right="0.75" top="1" bottom="1" header="0.5" footer="0.5"/>
  <pageSetup orientation="portrait" horizontalDpi="300"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H51"/>
  <sheetViews>
    <sheetView workbookViewId="0">
      <selection activeCell="C2" sqref="C2"/>
    </sheetView>
  </sheetViews>
  <sheetFormatPr defaultRowHeight="13.2" x14ac:dyDescent="0.25"/>
  <cols>
    <col min="2" max="2" width="3.109375" customWidth="1"/>
    <col min="3" max="3" width="25.88671875" bestFit="1" customWidth="1"/>
    <col min="4" max="4" width="19.6640625" customWidth="1"/>
    <col min="5" max="5" width="3.109375" customWidth="1"/>
    <col min="6" max="7" width="9.109375" customWidth="1"/>
  </cols>
  <sheetData>
    <row r="1" spans="2:8" s="1" customFormat="1" ht="17.399999999999999" x14ac:dyDescent="0.3">
      <c r="C1" s="139" t="s">
        <v>219</v>
      </c>
    </row>
    <row r="2" spans="2:8" s="1" customFormat="1" ht="15" x14ac:dyDescent="0.25">
      <c r="C2" s="1" t="s">
        <v>203</v>
      </c>
    </row>
    <row r="3" spans="2:8" s="1" customFormat="1" ht="15" x14ac:dyDescent="0.25"/>
    <row r="4" spans="2:8" s="1" customFormat="1" ht="15.6" x14ac:dyDescent="0.3">
      <c r="C4" s="2" t="s">
        <v>0</v>
      </c>
    </row>
    <row r="5" spans="2:8" s="1" customFormat="1" ht="16.2" thickBot="1" x14ac:dyDescent="0.35">
      <c r="C5" s="3"/>
      <c r="D5" s="4"/>
    </row>
    <row r="6" spans="2:8" s="1" customFormat="1" ht="15.6" x14ac:dyDescent="0.3">
      <c r="B6" s="5"/>
      <c r="C6" s="6"/>
      <c r="D6" s="7"/>
      <c r="E6" s="8"/>
      <c r="F6" s="25"/>
      <c r="G6" s="25"/>
    </row>
    <row r="7" spans="2:8" s="1" customFormat="1" ht="15.6" x14ac:dyDescent="0.3">
      <c r="B7" s="9"/>
      <c r="C7" s="37" t="s">
        <v>176</v>
      </c>
      <c r="D7" s="121"/>
      <c r="E7" s="11"/>
      <c r="F7" s="57"/>
      <c r="G7" s="25"/>
    </row>
    <row r="8" spans="2:8" s="1" customFormat="1" ht="15" x14ac:dyDescent="0.25">
      <c r="B8" s="9"/>
      <c r="C8" s="10" t="s">
        <v>177</v>
      </c>
      <c r="D8" s="122">
        <v>11600</v>
      </c>
      <c r="E8" s="11"/>
      <c r="F8" s="57"/>
      <c r="G8" s="25"/>
      <c r="H8" s="23"/>
    </row>
    <row r="9" spans="2:8" s="1" customFormat="1" ht="15" x14ac:dyDescent="0.25">
      <c r="B9" s="9"/>
      <c r="C9" s="10" t="s">
        <v>180</v>
      </c>
      <c r="D9" s="170">
        <v>3</v>
      </c>
      <c r="E9" s="11"/>
      <c r="F9" s="25"/>
      <c r="G9" s="25"/>
      <c r="H9" s="23"/>
    </row>
    <row r="10" spans="2:8" s="1" customFormat="1" ht="15" x14ac:dyDescent="0.25">
      <c r="B10" s="9"/>
      <c r="C10" s="10" t="s">
        <v>178</v>
      </c>
      <c r="D10" s="99">
        <v>0.04</v>
      </c>
      <c r="E10" s="11"/>
      <c r="F10" s="25"/>
      <c r="G10" s="25"/>
      <c r="H10" s="23"/>
    </row>
    <row r="11" spans="2:8" s="1" customFormat="1" ht="15" x14ac:dyDescent="0.25">
      <c r="B11" s="9"/>
      <c r="C11" s="10"/>
      <c r="D11" s="112"/>
      <c r="E11" s="11"/>
      <c r="F11" s="58"/>
      <c r="G11" s="25"/>
      <c r="H11" s="23"/>
    </row>
    <row r="12" spans="2:8" s="1" customFormat="1" ht="15.6" x14ac:dyDescent="0.3">
      <c r="B12" s="9"/>
      <c r="C12" s="37" t="s">
        <v>179</v>
      </c>
      <c r="D12" s="112"/>
      <c r="E12" s="11"/>
      <c r="F12" s="58"/>
      <c r="G12" s="25"/>
      <c r="H12" s="23"/>
    </row>
    <row r="13" spans="2:8" s="1" customFormat="1" ht="15" x14ac:dyDescent="0.25">
      <c r="B13" s="9"/>
      <c r="C13" s="10" t="s">
        <v>177</v>
      </c>
      <c r="D13" s="100">
        <v>-13000</v>
      </c>
      <c r="E13" s="11"/>
      <c r="F13" s="58"/>
      <c r="G13" s="25"/>
      <c r="H13" s="23"/>
    </row>
    <row r="14" spans="2:8" s="1" customFormat="1" ht="15" x14ac:dyDescent="0.25">
      <c r="B14" s="9"/>
      <c r="C14" s="10" t="s">
        <v>180</v>
      </c>
      <c r="D14" s="93">
        <v>2</v>
      </c>
      <c r="E14" s="11"/>
      <c r="F14" s="58"/>
      <c r="G14" s="25"/>
      <c r="H14" s="23"/>
    </row>
    <row r="15" spans="2:8" s="1" customFormat="1" ht="15" x14ac:dyDescent="0.25">
      <c r="B15" s="9"/>
      <c r="C15" s="10"/>
      <c r="D15" s="112"/>
      <c r="E15" s="11"/>
      <c r="F15" s="58"/>
      <c r="G15" s="25"/>
      <c r="H15" s="23"/>
    </row>
    <row r="16" spans="2:8" s="1" customFormat="1" ht="15" x14ac:dyDescent="0.25">
      <c r="B16" s="9"/>
      <c r="C16" s="10" t="s">
        <v>19</v>
      </c>
      <c r="D16" s="180">
        <v>0.12</v>
      </c>
      <c r="E16" s="11"/>
      <c r="F16" s="58"/>
      <c r="G16" s="25"/>
      <c r="H16" s="23"/>
    </row>
    <row r="17" spans="2:8" s="1" customFormat="1" ht="15.6" thickBot="1" x14ac:dyDescent="0.3">
      <c r="B17" s="12"/>
      <c r="C17" s="38"/>
      <c r="D17" s="45"/>
      <c r="E17" s="13"/>
      <c r="F17" s="25"/>
      <c r="G17" s="25"/>
      <c r="H17" s="23"/>
    </row>
    <row r="18" spans="2:8" ht="15" x14ac:dyDescent="0.25">
      <c r="B18" s="25"/>
      <c r="C18" s="26"/>
      <c r="D18" s="26"/>
      <c r="E18" s="25"/>
    </row>
    <row r="19" spans="2:8" ht="15.6" x14ac:dyDescent="0.3">
      <c r="B19" s="25"/>
      <c r="C19" s="27" t="s">
        <v>1</v>
      </c>
      <c r="D19" s="26"/>
      <c r="E19" s="25"/>
    </row>
    <row r="20" spans="2:8" ht="15.6" thickBot="1" x14ac:dyDescent="0.3">
      <c r="B20" s="25"/>
      <c r="C20" s="26"/>
      <c r="D20" s="26"/>
      <c r="E20" s="25"/>
    </row>
    <row r="21" spans="2:8" ht="15" x14ac:dyDescent="0.25">
      <c r="B21" s="14"/>
      <c r="C21" s="28"/>
      <c r="D21" s="28"/>
      <c r="E21" s="15"/>
      <c r="F21" s="59"/>
      <c r="G21" s="59"/>
    </row>
    <row r="22" spans="2:8" ht="15.6" x14ac:dyDescent="0.3">
      <c r="B22" s="133" t="s">
        <v>92</v>
      </c>
      <c r="C22" s="171" t="s">
        <v>181</v>
      </c>
      <c r="D22" s="134">
        <f>(D8/(D16-D10))/((1+D16)^(D9-1))</f>
        <v>115593.11224489796</v>
      </c>
      <c r="E22" s="17"/>
      <c r="F22" s="59"/>
      <c r="G22" s="59"/>
    </row>
    <row r="23" spans="2:8" ht="15.6" x14ac:dyDescent="0.3">
      <c r="B23" s="16"/>
      <c r="C23" s="172"/>
      <c r="D23" s="152"/>
      <c r="E23" s="17"/>
      <c r="F23" s="59"/>
      <c r="G23" s="59"/>
    </row>
    <row r="24" spans="2:8" ht="15.6" x14ac:dyDescent="0.3">
      <c r="B24" s="16"/>
      <c r="C24" s="172" t="s">
        <v>182</v>
      </c>
      <c r="D24" s="134">
        <f>(D13/D16)/((1+D16)^(D14-1))</f>
        <v>-96726.190476190473</v>
      </c>
      <c r="E24" s="17"/>
      <c r="F24" s="59"/>
      <c r="G24" s="59"/>
    </row>
    <row r="25" spans="2:8" ht="15" x14ac:dyDescent="0.25">
      <c r="B25" s="16"/>
      <c r="C25" s="172"/>
      <c r="D25" s="167"/>
      <c r="E25" s="17"/>
      <c r="F25" s="59"/>
      <c r="G25" s="59"/>
    </row>
    <row r="26" spans="2:8" ht="15.6" x14ac:dyDescent="0.3">
      <c r="B26" s="133" t="s">
        <v>93</v>
      </c>
      <c r="C26" s="172" t="s">
        <v>40</v>
      </c>
      <c r="D26" s="177">
        <f>D22+D24</f>
        <v>18866.921768707485</v>
      </c>
      <c r="E26" s="17"/>
      <c r="F26" s="59"/>
      <c r="G26" s="59"/>
    </row>
    <row r="27" spans="2:8" ht="15" x14ac:dyDescent="0.25">
      <c r="B27" s="16"/>
      <c r="C27" s="172"/>
      <c r="D27" s="167"/>
      <c r="E27" s="17"/>
      <c r="F27" s="25"/>
      <c r="G27" s="59"/>
    </row>
    <row r="28" spans="2:8" ht="15" x14ac:dyDescent="0.25">
      <c r="B28" s="16"/>
      <c r="C28" s="172" t="s">
        <v>184</v>
      </c>
      <c r="D28" s="167"/>
      <c r="E28" s="17"/>
      <c r="F28" s="56"/>
      <c r="G28" s="59"/>
    </row>
    <row r="29" spans="2:8" ht="15" x14ac:dyDescent="0.25">
      <c r="B29" s="16"/>
      <c r="C29" s="172" t="s">
        <v>185</v>
      </c>
      <c r="D29" s="167"/>
      <c r="E29" s="61"/>
      <c r="F29" s="60"/>
      <c r="G29" s="59"/>
    </row>
    <row r="30" spans="2:8" ht="15" x14ac:dyDescent="0.25">
      <c r="B30" s="16"/>
      <c r="C30" s="172" t="s">
        <v>186</v>
      </c>
      <c r="D30" s="167"/>
      <c r="E30" s="61"/>
      <c r="F30" s="60"/>
      <c r="G30" s="59"/>
    </row>
    <row r="31" spans="2:8" ht="15.6" x14ac:dyDescent="0.3">
      <c r="B31" s="16"/>
      <c r="C31" s="172" t="s">
        <v>187</v>
      </c>
      <c r="D31" s="110">
        <v>0.16900000000000001</v>
      </c>
      <c r="E31" s="61"/>
      <c r="F31" s="60"/>
      <c r="G31" s="59"/>
    </row>
    <row r="32" spans="2:8" ht="15" x14ac:dyDescent="0.25">
      <c r="B32" s="16"/>
      <c r="C32" s="172"/>
      <c r="D32" s="167"/>
      <c r="E32" s="61"/>
      <c r="F32" s="60"/>
      <c r="G32" s="59"/>
    </row>
    <row r="33" spans="2:7" ht="15.6" x14ac:dyDescent="0.3">
      <c r="B33" s="133" t="s">
        <v>94</v>
      </c>
      <c r="C33" s="172" t="s">
        <v>194</v>
      </c>
      <c r="D33" s="167"/>
      <c r="E33" s="61"/>
      <c r="F33" s="60"/>
      <c r="G33" s="59"/>
    </row>
    <row r="34" spans="2:7" ht="15" x14ac:dyDescent="0.25">
      <c r="B34" s="16"/>
      <c r="C34" s="172" t="s">
        <v>195</v>
      </c>
      <c r="D34" s="165"/>
      <c r="E34" s="61"/>
      <c r="F34" s="60"/>
      <c r="G34" s="59"/>
    </row>
    <row r="35" spans="2:7" ht="15.6" x14ac:dyDescent="0.3">
      <c r="B35" s="133"/>
      <c r="C35" s="172" t="s">
        <v>265</v>
      </c>
      <c r="D35" s="169"/>
      <c r="E35" s="61"/>
      <c r="F35" s="60"/>
      <c r="G35" s="59"/>
    </row>
    <row r="36" spans="2:7" ht="15.6" x14ac:dyDescent="0.3">
      <c r="B36" s="133"/>
      <c r="C36" s="172" t="s">
        <v>266</v>
      </c>
      <c r="D36" s="165"/>
      <c r="E36" s="61"/>
      <c r="F36" s="60"/>
      <c r="G36" s="59"/>
    </row>
    <row r="37" spans="2:7" ht="15.6" x14ac:dyDescent="0.3">
      <c r="B37" s="133"/>
      <c r="C37" s="173" t="s">
        <v>196</v>
      </c>
      <c r="D37" s="152"/>
      <c r="E37" s="61"/>
      <c r="F37" s="60"/>
      <c r="G37" s="59"/>
    </row>
    <row r="38" spans="2:7" ht="15.6" x14ac:dyDescent="0.3">
      <c r="B38" s="133"/>
      <c r="C38" s="173" t="s">
        <v>267</v>
      </c>
      <c r="D38" s="152"/>
      <c r="E38" s="61"/>
      <c r="F38" s="60"/>
      <c r="G38" s="59"/>
    </row>
    <row r="39" spans="2:7" ht="15.6" x14ac:dyDescent="0.3">
      <c r="B39" s="133"/>
      <c r="C39" s="173" t="s">
        <v>197</v>
      </c>
      <c r="D39" s="152"/>
      <c r="E39" s="61"/>
      <c r="F39" s="60"/>
      <c r="G39" s="59"/>
    </row>
    <row r="40" spans="2:7" ht="15.6" x14ac:dyDescent="0.3">
      <c r="B40" s="133"/>
      <c r="C40" s="173" t="s">
        <v>268</v>
      </c>
      <c r="D40" s="152"/>
      <c r="E40" s="61"/>
      <c r="F40" s="60"/>
      <c r="G40" s="59"/>
    </row>
    <row r="41" spans="2:7" ht="15.6" x14ac:dyDescent="0.3">
      <c r="B41" s="133"/>
      <c r="C41" s="173" t="s">
        <v>198</v>
      </c>
      <c r="D41" s="152"/>
      <c r="E41" s="61"/>
      <c r="F41" s="60"/>
      <c r="G41" s="59"/>
    </row>
    <row r="42" spans="2:7" ht="15.6" x14ac:dyDescent="0.3">
      <c r="B42" s="133"/>
      <c r="C42" s="173" t="s">
        <v>199</v>
      </c>
      <c r="D42" s="152"/>
      <c r="E42" s="61"/>
      <c r="F42" s="60"/>
      <c r="G42" s="59"/>
    </row>
    <row r="43" spans="2:7" ht="15.6" x14ac:dyDescent="0.3">
      <c r="B43" s="133"/>
      <c r="C43" s="173" t="s">
        <v>269</v>
      </c>
      <c r="D43" s="152"/>
      <c r="E43" s="61"/>
      <c r="F43" s="60"/>
      <c r="G43" s="59"/>
    </row>
    <row r="44" spans="2:7" ht="15.6" x14ac:dyDescent="0.3">
      <c r="B44" s="133"/>
      <c r="C44" s="173" t="s">
        <v>200</v>
      </c>
      <c r="D44" s="152"/>
      <c r="E44" s="61"/>
      <c r="F44" s="60"/>
      <c r="G44" s="59"/>
    </row>
    <row r="45" spans="2:7" ht="15.6" x14ac:dyDescent="0.3">
      <c r="B45" s="133"/>
      <c r="C45" s="173" t="s">
        <v>201</v>
      </c>
      <c r="D45" s="152"/>
      <c r="E45" s="61"/>
      <c r="F45" s="60"/>
      <c r="G45" s="59"/>
    </row>
    <row r="46" spans="2:7" ht="15.6" x14ac:dyDescent="0.3">
      <c r="B46" s="133"/>
      <c r="C46" s="173" t="s">
        <v>202</v>
      </c>
      <c r="D46" s="152"/>
      <c r="E46" s="61"/>
      <c r="F46" s="60"/>
      <c r="G46" s="59"/>
    </row>
    <row r="47" spans="2:7" s="1" customFormat="1" ht="15.6" thickBot="1" x14ac:dyDescent="0.3">
      <c r="B47" s="19"/>
      <c r="C47" s="174"/>
      <c r="D47" s="20"/>
      <c r="E47" s="21"/>
      <c r="F47" s="25"/>
      <c r="G47" s="25"/>
    </row>
    <row r="48" spans="2:7" ht="15" x14ac:dyDescent="0.25">
      <c r="B48" s="4"/>
      <c r="C48" s="175"/>
      <c r="D48" s="4"/>
      <c r="E48" s="4"/>
    </row>
    <row r="49" spans="2:5" ht="15" x14ac:dyDescent="0.25">
      <c r="B49" s="4"/>
      <c r="C49" s="175"/>
      <c r="D49" s="4"/>
      <c r="E49" s="4"/>
    </row>
    <row r="50" spans="2:5" ht="15" x14ac:dyDescent="0.25">
      <c r="B50" s="1"/>
      <c r="C50" s="176"/>
      <c r="D50" s="1"/>
      <c r="E50" s="1"/>
    </row>
    <row r="51" spans="2:5" ht="15" x14ac:dyDescent="0.25">
      <c r="B51" s="1"/>
      <c r="C51" s="176"/>
      <c r="D51" s="1"/>
      <c r="E51" s="1"/>
    </row>
  </sheetData>
  <phoneticPr fontId="0" type="noConversion"/>
  <pageMargins left="0.75" right="0.75" top="1" bottom="1" header="0.5" footer="0.5"/>
  <pageSetup orientation="portrait" horizont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H739"/>
  <sheetViews>
    <sheetView topLeftCell="A7" workbookViewId="0">
      <selection activeCell="D27" sqref="D27"/>
    </sheetView>
  </sheetViews>
  <sheetFormatPr defaultRowHeight="13.2" x14ac:dyDescent="0.25"/>
  <cols>
    <col min="2" max="2" width="3.109375" customWidth="1"/>
    <col min="3" max="3" width="28.109375" customWidth="1"/>
    <col min="4" max="4" width="16.33203125" bestFit="1" customWidth="1"/>
    <col min="5" max="5" width="18.33203125" bestFit="1" customWidth="1"/>
    <col min="6" max="6" width="3.109375" customWidth="1"/>
    <col min="8" max="8" width="9.109375" customWidth="1"/>
  </cols>
  <sheetData>
    <row r="1" spans="2:8" s="1" customFormat="1" ht="17.399999999999999" x14ac:dyDescent="0.3">
      <c r="C1" s="139" t="s">
        <v>219</v>
      </c>
    </row>
    <row r="2" spans="2:8" s="1" customFormat="1" ht="15.75" customHeight="1" x14ac:dyDescent="0.25">
      <c r="C2" s="1" t="s">
        <v>245</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7"/>
      <c r="F6" s="8"/>
    </row>
    <row r="7" spans="2:8" s="1" customFormat="1" ht="15.75" customHeight="1" x14ac:dyDescent="0.3">
      <c r="B7" s="9"/>
      <c r="C7" s="37" t="s">
        <v>27</v>
      </c>
      <c r="D7" s="44" t="s">
        <v>204</v>
      </c>
      <c r="E7" s="46" t="s">
        <v>205</v>
      </c>
      <c r="F7" s="11"/>
    </row>
    <row r="8" spans="2:8" s="1" customFormat="1" ht="15.75" customHeight="1" x14ac:dyDescent="0.4">
      <c r="B8" s="9"/>
      <c r="C8" s="10" t="s">
        <v>24</v>
      </c>
      <c r="D8" s="130">
        <v>-1200</v>
      </c>
      <c r="E8" s="182" t="s">
        <v>206</v>
      </c>
      <c r="F8" s="11"/>
      <c r="H8" s="236"/>
    </row>
    <row r="9" spans="2:8" s="1" customFormat="1" ht="15.75" customHeight="1" x14ac:dyDescent="0.25">
      <c r="B9" s="9"/>
      <c r="C9" s="10" t="s">
        <v>15</v>
      </c>
      <c r="D9" s="132">
        <v>160</v>
      </c>
      <c r="E9" s="131">
        <v>400</v>
      </c>
      <c r="F9" s="11"/>
      <c r="G9" s="23"/>
      <c r="H9" s="236"/>
    </row>
    <row r="10" spans="2:8" s="1" customFormat="1" ht="15.75" customHeight="1" x14ac:dyDescent="0.25">
      <c r="B10" s="9"/>
      <c r="C10" s="10" t="s">
        <v>16</v>
      </c>
      <c r="D10" s="132">
        <v>960</v>
      </c>
      <c r="E10" s="131">
        <v>1200</v>
      </c>
      <c r="F10" s="11"/>
      <c r="G10" s="23"/>
      <c r="H10" s="236"/>
    </row>
    <row r="11" spans="2:8" s="1" customFormat="1" ht="15.75" customHeight="1" x14ac:dyDescent="0.25">
      <c r="B11" s="9"/>
      <c r="C11" s="10" t="s">
        <v>17</v>
      </c>
      <c r="D11" s="132">
        <v>1200</v>
      </c>
      <c r="E11" s="131">
        <v>1600</v>
      </c>
      <c r="F11" s="11"/>
      <c r="G11" s="23"/>
      <c r="H11" s="236"/>
    </row>
    <row r="12" spans="2:8" s="1" customFormat="1" ht="15.75" customHeight="1" x14ac:dyDescent="0.25">
      <c r="B12" s="9"/>
      <c r="C12" s="10"/>
      <c r="D12" s="95"/>
      <c r="E12" s="117"/>
      <c r="F12" s="11"/>
      <c r="G12" s="23"/>
    </row>
    <row r="13" spans="2:8" s="1" customFormat="1" ht="15.75" customHeight="1" x14ac:dyDescent="0.25">
      <c r="B13" s="9"/>
      <c r="C13" s="10" t="s">
        <v>36</v>
      </c>
      <c r="D13" s="112"/>
      <c r="E13" s="118">
        <v>0.12</v>
      </c>
      <c r="F13" s="11"/>
      <c r="G13" s="23"/>
    </row>
    <row r="14" spans="2:8" s="1" customFormat="1" ht="15.75" customHeight="1" thickBot="1" x14ac:dyDescent="0.3">
      <c r="B14" s="12"/>
      <c r="C14" s="38"/>
      <c r="D14" s="45"/>
      <c r="E14" s="38"/>
      <c r="F14" s="13"/>
      <c r="G14" s="23"/>
    </row>
    <row r="15" spans="2:8" ht="15.75" customHeight="1" x14ac:dyDescent="0.25">
      <c r="B15" s="25"/>
      <c r="C15" s="26"/>
      <c r="D15" s="26"/>
    </row>
    <row r="16" spans="2:8" ht="15.75" customHeight="1" x14ac:dyDescent="0.3">
      <c r="B16" s="25"/>
      <c r="C16" s="27" t="s">
        <v>1</v>
      </c>
      <c r="D16" s="26"/>
    </row>
    <row r="17" spans="2:6" ht="15.75" customHeight="1" thickBot="1" x14ac:dyDescent="0.3">
      <c r="B17" s="25"/>
      <c r="C17" s="26"/>
      <c r="D17" s="26"/>
    </row>
    <row r="18" spans="2:6" ht="15.75" customHeight="1" x14ac:dyDescent="0.25">
      <c r="B18" s="14"/>
      <c r="C18" s="28"/>
      <c r="D18" s="28"/>
      <c r="E18" s="48"/>
      <c r="F18" s="49"/>
    </row>
    <row r="19" spans="2:6" ht="15.75" customHeight="1" x14ac:dyDescent="0.3">
      <c r="B19" s="16"/>
      <c r="C19" s="143" t="s">
        <v>207</v>
      </c>
      <c r="D19" s="183"/>
      <c r="E19" s="143"/>
      <c r="F19" s="51"/>
    </row>
    <row r="20" spans="2:6" ht="15.75" customHeight="1" x14ac:dyDescent="0.3">
      <c r="B20" s="133"/>
      <c r="C20" s="54" t="s">
        <v>2</v>
      </c>
      <c r="D20" s="64" t="s">
        <v>128</v>
      </c>
      <c r="E20" s="153"/>
      <c r="F20" s="51"/>
    </row>
    <row r="21" spans="2:6" ht="15.75" customHeight="1" x14ac:dyDescent="0.4">
      <c r="B21" s="16"/>
      <c r="C21" s="54">
        <v>0</v>
      </c>
      <c r="D21" s="102">
        <f>-D8</f>
        <v>1200</v>
      </c>
      <c r="E21" s="184" t="s">
        <v>209</v>
      </c>
      <c r="F21" s="51"/>
    </row>
    <row r="22" spans="2:6" ht="15.75" customHeight="1" x14ac:dyDescent="0.25">
      <c r="B22" s="16"/>
      <c r="C22" s="54">
        <v>1</v>
      </c>
      <c r="D22" s="102">
        <f>E9-D9</f>
        <v>240</v>
      </c>
      <c r="E22" s="105"/>
      <c r="F22" s="51"/>
    </row>
    <row r="23" spans="2:6" ht="15.75" customHeight="1" x14ac:dyDescent="0.25">
      <c r="B23" s="16"/>
      <c r="C23" s="54">
        <v>2</v>
      </c>
      <c r="D23" s="102">
        <f>E10-D10</f>
        <v>240</v>
      </c>
      <c r="E23" s="18"/>
      <c r="F23" s="51"/>
    </row>
    <row r="24" spans="2:6" ht="15.75" customHeight="1" x14ac:dyDescent="0.25">
      <c r="B24" s="16"/>
      <c r="C24" s="54">
        <v>3</v>
      </c>
      <c r="D24" s="102">
        <f>E11-D11</f>
        <v>400</v>
      </c>
      <c r="E24" s="18"/>
      <c r="F24" s="51"/>
    </row>
    <row r="25" spans="2:6" ht="15.75" customHeight="1" x14ac:dyDescent="0.3">
      <c r="B25" s="133"/>
      <c r="C25" s="18"/>
      <c r="D25" s="64"/>
      <c r="E25" s="18"/>
      <c r="F25" s="51"/>
    </row>
    <row r="26" spans="2:6" ht="15.75" customHeight="1" x14ac:dyDescent="0.25">
      <c r="B26" s="16"/>
      <c r="C26" s="18" t="s">
        <v>208</v>
      </c>
      <c r="D26" s="185">
        <f>NPV(E13,D22:D24)+D21</f>
        <v>1890.3243440233236</v>
      </c>
      <c r="E26" s="105"/>
      <c r="F26" s="51"/>
    </row>
    <row r="27" spans="2:6" ht="15.75" customHeight="1" x14ac:dyDescent="0.3">
      <c r="B27" s="16"/>
      <c r="C27" s="141"/>
      <c r="D27" s="41"/>
      <c r="E27" s="105"/>
      <c r="F27" s="51"/>
    </row>
    <row r="28" spans="2:6" ht="15.75" customHeight="1" x14ac:dyDescent="0.4">
      <c r="B28" s="16"/>
      <c r="C28" s="18" t="s">
        <v>214</v>
      </c>
      <c r="D28" s="111">
        <f>-D26</f>
        <v>-1890.3243440233236</v>
      </c>
      <c r="E28" s="186"/>
      <c r="F28" s="51"/>
    </row>
    <row r="29" spans="2:6" s="1" customFormat="1" ht="15.75" customHeight="1" thickBot="1" x14ac:dyDescent="0.3">
      <c r="B29" s="19"/>
      <c r="C29" s="20"/>
      <c r="D29" s="20"/>
      <c r="E29" s="20"/>
      <c r="F29" s="21"/>
    </row>
    <row r="30" spans="2:6" ht="15.75" customHeight="1" x14ac:dyDescent="0.25">
      <c r="B30" s="4"/>
      <c r="C30" s="4"/>
      <c r="D30" s="4"/>
    </row>
    <row r="31" spans="2:6" ht="15.75" customHeight="1" x14ac:dyDescent="0.25">
      <c r="B31" s="4"/>
      <c r="C31" s="4"/>
      <c r="D31" s="4"/>
    </row>
    <row r="32" spans="2:6" ht="15.75" customHeight="1" x14ac:dyDescent="0.25">
      <c r="B32" s="1"/>
      <c r="C32" s="1"/>
      <c r="D32" s="1"/>
    </row>
    <row r="33" spans="2:4" ht="15.75" customHeight="1" x14ac:dyDescent="0.25">
      <c r="B33" s="1"/>
      <c r="C33" s="1"/>
      <c r="D33" s="1"/>
    </row>
    <row r="34" spans="2:4" ht="15.75" customHeight="1" x14ac:dyDescent="0.25"/>
    <row r="35" spans="2:4" ht="15.75" customHeight="1" x14ac:dyDescent="0.25"/>
    <row r="36" spans="2:4" ht="15.75" customHeight="1" x14ac:dyDescent="0.25"/>
    <row r="37" spans="2:4" ht="15.75" customHeight="1" x14ac:dyDescent="0.25"/>
    <row r="38" spans="2:4" ht="15.75" customHeight="1" x14ac:dyDescent="0.25"/>
    <row r="39" spans="2:4" ht="15.75" customHeight="1" x14ac:dyDescent="0.25"/>
    <row r="40" spans="2:4" ht="15.75" customHeight="1" x14ac:dyDescent="0.25"/>
    <row r="41" spans="2:4" ht="15.75" customHeight="1" x14ac:dyDescent="0.25"/>
    <row r="42" spans="2:4" ht="15.75" customHeight="1" x14ac:dyDescent="0.25"/>
    <row r="43" spans="2:4" ht="15.75" customHeight="1" x14ac:dyDescent="0.25"/>
    <row r="44" spans="2:4" ht="15.75" customHeight="1" x14ac:dyDescent="0.25"/>
    <row r="45" spans="2:4" ht="15.75" customHeight="1" x14ac:dyDescent="0.25"/>
    <row r="46" spans="2:4" ht="15.75" customHeight="1" x14ac:dyDescent="0.25"/>
    <row r="47" spans="2:4" ht="15.75" customHeight="1" x14ac:dyDescent="0.25"/>
    <row r="48" spans="2:4"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sheetData>
  <phoneticPr fontId="0" type="noConversion"/>
  <pageMargins left="0.75" right="0.75" top="1" bottom="1" header="0.5" footer="0.5"/>
  <pageSetup orientation="portrait" horizont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H25"/>
  <sheetViews>
    <sheetView workbookViewId="0">
      <selection activeCell="D18" sqref="D18"/>
    </sheetView>
  </sheetViews>
  <sheetFormatPr defaultRowHeight="13.2" x14ac:dyDescent="0.25"/>
  <cols>
    <col min="2" max="2" width="3.109375" customWidth="1"/>
    <col min="3" max="3" width="22.33203125" bestFit="1" customWidth="1"/>
    <col min="4" max="4" width="18.109375" bestFit="1" customWidth="1"/>
    <col min="5" max="5" width="3.109375" customWidth="1"/>
    <col min="6" max="7" width="9.109375" customWidth="1"/>
  </cols>
  <sheetData>
    <row r="1" spans="2:8" s="1" customFormat="1" ht="17.399999999999999" x14ac:dyDescent="0.3">
      <c r="C1" s="139" t="s">
        <v>219</v>
      </c>
    </row>
    <row r="2" spans="2:8" s="1" customFormat="1" ht="15" x14ac:dyDescent="0.25">
      <c r="C2" s="1" t="s">
        <v>244</v>
      </c>
    </row>
    <row r="3" spans="2:8" s="1" customFormat="1" ht="15" x14ac:dyDescent="0.25"/>
    <row r="4" spans="2:8" s="1" customFormat="1" ht="15.6" x14ac:dyDescent="0.3">
      <c r="C4" s="2" t="s">
        <v>0</v>
      </c>
    </row>
    <row r="5" spans="2:8" s="1" customFormat="1" ht="16.2" thickBot="1" x14ac:dyDescent="0.35">
      <c r="C5" s="3"/>
      <c r="D5" s="4"/>
    </row>
    <row r="6" spans="2:8" s="1" customFormat="1" ht="15.6" x14ac:dyDescent="0.3">
      <c r="B6" s="5"/>
      <c r="C6" s="6"/>
      <c r="D6" s="7"/>
      <c r="E6" s="8"/>
      <c r="F6" s="25"/>
      <c r="G6" s="25"/>
    </row>
    <row r="7" spans="2:8" s="1" customFormat="1" ht="15.6" x14ac:dyDescent="0.3">
      <c r="B7" s="9"/>
      <c r="C7" s="37" t="s">
        <v>27</v>
      </c>
      <c r="D7" s="44"/>
      <c r="E7" s="11"/>
      <c r="F7" s="56"/>
      <c r="G7" s="25"/>
    </row>
    <row r="8" spans="2:8" s="1" customFormat="1" ht="15" x14ac:dyDescent="0.25">
      <c r="B8" s="9"/>
      <c r="C8" s="10" t="s">
        <v>24</v>
      </c>
      <c r="D8" s="121">
        <v>20000</v>
      </c>
      <c r="E8" s="11"/>
      <c r="F8" s="57"/>
      <c r="G8" s="25"/>
    </row>
    <row r="9" spans="2:8" s="1" customFormat="1" ht="15" x14ac:dyDescent="0.25">
      <c r="B9" s="9"/>
      <c r="C9" s="10" t="s">
        <v>15</v>
      </c>
      <c r="D9" s="122">
        <v>-26000</v>
      </c>
      <c r="E9" s="11"/>
      <c r="F9" s="57"/>
      <c r="G9" s="25"/>
      <c r="H9" s="23"/>
    </row>
    <row r="10" spans="2:8" s="1" customFormat="1" ht="15" x14ac:dyDescent="0.25">
      <c r="B10" s="9"/>
      <c r="C10" s="10" t="s">
        <v>16</v>
      </c>
      <c r="D10" s="122">
        <v>13000</v>
      </c>
      <c r="E10" s="11"/>
      <c r="F10" s="57"/>
      <c r="G10" s="25"/>
      <c r="H10" s="23"/>
    </row>
    <row r="11" spans="2:8" s="1" customFormat="1" ht="15.6" thickBot="1" x14ac:dyDescent="0.3">
      <c r="B11" s="12"/>
      <c r="C11" s="38"/>
      <c r="D11" s="45"/>
      <c r="E11" s="13"/>
      <c r="F11" s="25"/>
      <c r="G11" s="25"/>
      <c r="H11" s="23"/>
    </row>
    <row r="12" spans="2:8" ht="15" x14ac:dyDescent="0.25">
      <c r="B12" s="25"/>
      <c r="C12" s="26"/>
      <c r="D12" s="26"/>
      <c r="E12" s="25"/>
    </row>
    <row r="13" spans="2:8" ht="15.6" x14ac:dyDescent="0.3">
      <c r="B13" s="25"/>
      <c r="C13" s="27" t="s">
        <v>1</v>
      </c>
      <c r="D13" s="26"/>
      <c r="E13" s="25"/>
    </row>
    <row r="14" spans="2:8" ht="15.6" thickBot="1" x14ac:dyDescent="0.3">
      <c r="B14" s="25"/>
      <c r="C14" s="26"/>
      <c r="D14" s="26"/>
      <c r="E14" s="25"/>
    </row>
    <row r="15" spans="2:8" ht="15" x14ac:dyDescent="0.25">
      <c r="B15" s="14"/>
      <c r="C15" s="28"/>
      <c r="D15" s="28"/>
      <c r="E15" s="15"/>
      <c r="F15" s="59"/>
      <c r="G15" s="59"/>
    </row>
    <row r="16" spans="2:8" ht="15.6" x14ac:dyDescent="0.3">
      <c r="B16" s="16"/>
      <c r="C16" s="18" t="s">
        <v>28</v>
      </c>
      <c r="D16" s="70" t="e">
        <f>IRR(D8:D10,0.99)</f>
        <v>#NUM!</v>
      </c>
      <c r="E16" s="17"/>
      <c r="F16" s="59"/>
      <c r="G16" s="59"/>
    </row>
    <row r="17" spans="2:7" ht="15" x14ac:dyDescent="0.25">
      <c r="B17" s="16"/>
      <c r="C17" s="18"/>
      <c r="D17" s="42"/>
      <c r="E17" s="17"/>
      <c r="F17" s="25"/>
      <c r="G17" s="59"/>
    </row>
    <row r="18" spans="2:7" ht="15" x14ac:dyDescent="0.25">
      <c r="B18" s="16"/>
      <c r="C18" s="18" t="s">
        <v>113</v>
      </c>
      <c r="D18" s="53"/>
      <c r="E18" s="17"/>
      <c r="F18" s="56"/>
      <c r="G18" s="59"/>
    </row>
    <row r="19" spans="2:7" ht="15" x14ac:dyDescent="0.25">
      <c r="B19" s="16"/>
      <c r="C19" s="62" t="s">
        <v>114</v>
      </c>
      <c r="D19" s="55"/>
      <c r="E19" s="61"/>
      <c r="F19" s="60"/>
      <c r="G19" s="59"/>
    </row>
    <row r="20" spans="2:7" ht="15" x14ac:dyDescent="0.25">
      <c r="B20" s="16"/>
      <c r="C20" s="62" t="s">
        <v>115</v>
      </c>
      <c r="D20" s="63"/>
      <c r="E20" s="61"/>
      <c r="F20" s="60"/>
      <c r="G20" s="59"/>
    </row>
    <row r="21" spans="2:7" s="1" customFormat="1" ht="15.6" thickBot="1" x14ac:dyDescent="0.3">
      <c r="B21" s="19"/>
      <c r="C21" s="20"/>
      <c r="D21" s="20"/>
      <c r="E21" s="21"/>
      <c r="F21" s="25"/>
      <c r="G21" s="25"/>
    </row>
    <row r="22" spans="2:7" ht="15" x14ac:dyDescent="0.25">
      <c r="B22" s="4"/>
      <c r="C22" s="4"/>
      <c r="D22" s="4"/>
      <c r="E22" s="4"/>
    </row>
    <row r="23" spans="2:7" ht="15" x14ac:dyDescent="0.25">
      <c r="B23" s="4"/>
      <c r="C23" s="4"/>
      <c r="D23" s="4"/>
      <c r="E23" s="4"/>
    </row>
    <row r="24" spans="2:7" ht="15" x14ac:dyDescent="0.25">
      <c r="B24" s="1"/>
      <c r="C24" s="1"/>
      <c r="D24" s="1"/>
      <c r="E24" s="1"/>
    </row>
    <row r="25" spans="2:7" ht="15" x14ac:dyDescent="0.25">
      <c r="B25" s="1"/>
      <c r="C25" s="1"/>
      <c r="D25" s="1"/>
      <c r="E25" s="1"/>
    </row>
  </sheetData>
  <phoneticPr fontId="0" type="noConversion"/>
  <pageMargins left="0.75" right="0.75" top="1" bottom="1" header="0.5" footer="0.5"/>
  <pageSetup orientation="portrait" horizont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211111121"/>
  <dimension ref="B1:H41"/>
  <sheetViews>
    <sheetView workbookViewId="0">
      <selection activeCell="D25" sqref="D25"/>
    </sheetView>
  </sheetViews>
  <sheetFormatPr defaultRowHeight="13.2" x14ac:dyDescent="0.25"/>
  <cols>
    <col min="2" max="2" width="3.109375" customWidth="1"/>
    <col min="3" max="3" width="18.88671875" bestFit="1" customWidth="1"/>
    <col min="4" max="4" width="15.109375" customWidth="1"/>
    <col min="5" max="5" width="3.109375" customWidth="1"/>
    <col min="6" max="7" width="9.109375" customWidth="1"/>
  </cols>
  <sheetData>
    <row r="1" spans="2:8" s="1" customFormat="1" ht="17.399999999999999" x14ac:dyDescent="0.3">
      <c r="C1" s="139" t="s">
        <v>219</v>
      </c>
    </row>
    <row r="2" spans="2:8" s="1" customFormat="1" ht="15.75" customHeight="1" x14ac:dyDescent="0.25">
      <c r="C2" s="1" t="s">
        <v>13</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8"/>
    </row>
    <row r="7" spans="2:8" s="1" customFormat="1" ht="15.75" customHeight="1" x14ac:dyDescent="0.3">
      <c r="B7" s="9"/>
      <c r="C7" s="34" t="s">
        <v>14</v>
      </c>
      <c r="D7" s="33"/>
      <c r="E7" s="11"/>
    </row>
    <row r="8" spans="2:8" s="1" customFormat="1" ht="15.75" customHeight="1" x14ac:dyDescent="0.25">
      <c r="B8" s="9"/>
      <c r="C8" s="10" t="s">
        <v>15</v>
      </c>
      <c r="D8" s="100">
        <v>5000</v>
      </c>
      <c r="E8" s="11"/>
    </row>
    <row r="9" spans="2:8" s="1" customFormat="1" ht="15.75" customHeight="1" x14ac:dyDescent="0.25">
      <c r="B9" s="9"/>
      <c r="C9" s="10" t="s">
        <v>16</v>
      </c>
      <c r="D9" s="98">
        <v>5500</v>
      </c>
      <c r="E9" s="11"/>
    </row>
    <row r="10" spans="2:8" s="1" customFormat="1" ht="15.75" customHeight="1" x14ac:dyDescent="0.25">
      <c r="B10" s="9"/>
      <c r="C10" s="10" t="s">
        <v>17</v>
      </c>
      <c r="D10" s="98">
        <v>6000</v>
      </c>
      <c r="E10" s="11"/>
    </row>
    <row r="11" spans="2:8" s="1" customFormat="1" ht="15.75" customHeight="1" x14ac:dyDescent="0.25">
      <c r="B11" s="9"/>
      <c r="C11" s="10" t="s">
        <v>18</v>
      </c>
      <c r="D11" s="98">
        <v>7000</v>
      </c>
      <c r="E11" s="11"/>
    </row>
    <row r="12" spans="2:8" s="1" customFormat="1" ht="15.75" customHeight="1" x14ac:dyDescent="0.25">
      <c r="B12" s="9"/>
      <c r="C12" s="10"/>
      <c r="D12" s="98"/>
      <c r="E12" s="11"/>
    </row>
    <row r="13" spans="2:8" s="1" customFormat="1" ht="15.75" customHeight="1" x14ac:dyDescent="0.25">
      <c r="B13" s="9"/>
      <c r="C13" s="10" t="s">
        <v>19</v>
      </c>
      <c r="D13" s="99">
        <v>0.11</v>
      </c>
      <c r="E13" s="11"/>
      <c r="H13" s="23"/>
    </row>
    <row r="14" spans="2:8" s="1" customFormat="1" ht="15.75" customHeight="1" x14ac:dyDescent="0.25">
      <c r="B14" s="9"/>
      <c r="C14" s="10"/>
      <c r="D14" s="99"/>
      <c r="E14" s="11"/>
      <c r="H14" s="23"/>
    </row>
    <row r="15" spans="2:8" s="1" customFormat="1" ht="15.75" customHeight="1" x14ac:dyDescent="0.25">
      <c r="B15" s="9"/>
      <c r="C15" s="10" t="s">
        <v>10</v>
      </c>
      <c r="D15" s="92">
        <v>16000</v>
      </c>
      <c r="E15" s="11"/>
      <c r="H15" s="23"/>
    </row>
    <row r="16" spans="2:8" ht="15.75" customHeight="1" thickBot="1" x14ac:dyDescent="0.3">
      <c r="B16" s="12"/>
      <c r="C16" s="24"/>
      <c r="D16" s="24" t="s">
        <v>11</v>
      </c>
      <c r="E16" s="13"/>
    </row>
    <row r="17" spans="2:5" ht="15.75" customHeight="1" x14ac:dyDescent="0.25">
      <c r="B17" s="25"/>
      <c r="C17" s="26"/>
      <c r="D17" s="26"/>
      <c r="E17" s="25"/>
    </row>
    <row r="18" spans="2:5" ht="15.75" customHeight="1" x14ac:dyDescent="0.3">
      <c r="B18" s="25"/>
      <c r="C18" s="27" t="s">
        <v>1</v>
      </c>
      <c r="D18" s="26"/>
      <c r="E18" s="25"/>
    </row>
    <row r="19" spans="2:5" ht="15.75" customHeight="1" thickBot="1" x14ac:dyDescent="0.3">
      <c r="B19" s="25"/>
      <c r="C19" s="26"/>
      <c r="D19" s="26"/>
      <c r="E19" s="25"/>
    </row>
    <row r="20" spans="2:5" ht="15.75" customHeight="1" x14ac:dyDescent="0.25">
      <c r="B20" s="14"/>
      <c r="C20" s="28"/>
      <c r="D20" s="28"/>
      <c r="E20" s="15"/>
    </row>
    <row r="21" spans="2:5" ht="15.75" customHeight="1" x14ac:dyDescent="0.3">
      <c r="B21" s="16"/>
      <c r="C21" s="35" t="s">
        <v>20</v>
      </c>
      <c r="D21" s="18"/>
      <c r="E21" s="17"/>
    </row>
    <row r="22" spans="2:5" ht="15.75" customHeight="1" x14ac:dyDescent="0.25">
      <c r="B22" s="16"/>
      <c r="C22" s="18" t="s">
        <v>15</v>
      </c>
      <c r="D22" s="96">
        <f>D8/(1+D13)</f>
        <v>4504.5045045045044</v>
      </c>
      <c r="E22" s="17"/>
    </row>
    <row r="23" spans="2:5" ht="15.75" customHeight="1" x14ac:dyDescent="0.25">
      <c r="B23" s="16"/>
      <c r="C23" s="18" t="s">
        <v>16</v>
      </c>
      <c r="D23" s="97">
        <f>D9/(1+D13)^2</f>
        <v>4463.9233828423012</v>
      </c>
      <c r="E23" s="17"/>
    </row>
    <row r="24" spans="2:5" ht="15.75" customHeight="1" x14ac:dyDescent="0.25">
      <c r="B24" s="16"/>
      <c r="C24" s="18" t="s">
        <v>17</v>
      </c>
      <c r="D24" s="97">
        <f>D10/(1+D13)^3</f>
        <v>4387.1482878057013</v>
      </c>
      <c r="E24" s="17"/>
    </row>
    <row r="25" spans="2:5" ht="15.75" customHeight="1" x14ac:dyDescent="0.25">
      <c r="B25" s="16"/>
      <c r="C25" s="18" t="s">
        <v>18</v>
      </c>
      <c r="D25" s="97">
        <f>D11/(1+D13)^4</f>
        <v>4611.1168190150011</v>
      </c>
      <c r="E25" s="17"/>
    </row>
    <row r="26" spans="2:5" ht="15.75" customHeight="1" x14ac:dyDescent="0.25">
      <c r="B26" s="16"/>
      <c r="C26" s="18"/>
      <c r="D26" s="18"/>
      <c r="E26" s="17"/>
    </row>
    <row r="27" spans="2:5" ht="15.75" customHeight="1" x14ac:dyDescent="0.3">
      <c r="B27" s="16"/>
      <c r="C27" s="18" t="s">
        <v>84</v>
      </c>
      <c r="D27" s="36">
        <f>IF(D15&gt;D22+D23+D24+D25,"Never",IF(D15&gt;D22+D23+D24,(3+(D15-D22-D23-D24)/D25),IF(D15&gt;D22+D23,(2+(D15-D22-D23)/D24),IF(D15&gt;D22,(1+(D15-D22)/D23),IF(D15&lt;D22,D15/D22,0)))))</f>
        <v>3.5734887942857148</v>
      </c>
      <c r="E27" s="17"/>
    </row>
    <row r="28" spans="2:5" ht="15.75" customHeight="1" thickBot="1" x14ac:dyDescent="0.3">
      <c r="B28" s="19"/>
      <c r="C28" s="20"/>
      <c r="D28" s="20"/>
      <c r="E28" s="21"/>
    </row>
    <row r="29" spans="2:5" ht="15.75" customHeight="1" x14ac:dyDescent="0.25">
      <c r="B29" s="4"/>
      <c r="C29" s="4"/>
      <c r="D29" s="4"/>
      <c r="E29" s="4"/>
    </row>
    <row r="30" spans="2:5" ht="15.75" customHeight="1" x14ac:dyDescent="0.25">
      <c r="B30" s="4"/>
      <c r="C30" s="4"/>
      <c r="D30" s="4"/>
      <c r="E30" s="4"/>
    </row>
    <row r="31" spans="2:5" ht="15.75" customHeight="1" x14ac:dyDescent="0.25">
      <c r="B31" s="1"/>
      <c r="C31" s="1"/>
      <c r="D31" s="1"/>
      <c r="E31" s="1"/>
    </row>
    <row r="32" spans="2:5" ht="15.75" customHeight="1" x14ac:dyDescent="0.25">
      <c r="B32" s="1"/>
      <c r="C32" s="1"/>
      <c r="D32" s="1"/>
      <c r="E32" s="1"/>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sheetData>
  <phoneticPr fontId="0" type="noConversion"/>
  <pageMargins left="0.75" right="0.75" top="1" bottom="1" header="0.5" footer="0.5"/>
  <pageSetup orientation="portrait" horizont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12111111211"/>
  <dimension ref="B1:H41"/>
  <sheetViews>
    <sheetView workbookViewId="0">
      <selection activeCell="C2" sqref="C2"/>
    </sheetView>
  </sheetViews>
  <sheetFormatPr defaultRowHeight="13.2" x14ac:dyDescent="0.25"/>
  <cols>
    <col min="2" max="2" width="3.109375" customWidth="1"/>
    <col min="3" max="3" width="20.109375" bestFit="1" customWidth="1"/>
    <col min="4" max="4" width="15.109375" customWidth="1"/>
    <col min="5" max="5" width="3.109375" customWidth="1"/>
    <col min="6" max="7" width="9.109375" customWidth="1"/>
  </cols>
  <sheetData>
    <row r="1" spans="2:8" s="1" customFormat="1" ht="17.399999999999999" x14ac:dyDescent="0.3">
      <c r="C1" s="139" t="s">
        <v>219</v>
      </c>
    </row>
    <row r="2" spans="2:8" s="1" customFormat="1" ht="15.75" customHeight="1" x14ac:dyDescent="0.25">
      <c r="C2" s="1" t="s">
        <v>12</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8"/>
    </row>
    <row r="7" spans="2:8" s="1" customFormat="1" ht="15.75" customHeight="1" x14ac:dyDescent="0.25">
      <c r="B7" s="9"/>
      <c r="C7" s="10" t="s">
        <v>10</v>
      </c>
      <c r="D7" s="92">
        <v>15100</v>
      </c>
      <c r="E7" s="11"/>
      <c r="H7" s="23"/>
    </row>
    <row r="8" spans="2:8" s="1" customFormat="1" ht="15.75" customHeight="1" x14ac:dyDescent="0.25">
      <c r="B8" s="9"/>
      <c r="C8" s="10" t="s">
        <v>22</v>
      </c>
      <c r="D8" s="92">
        <v>3900</v>
      </c>
      <c r="E8" s="11"/>
    </row>
    <row r="9" spans="2:8" s="1" customFormat="1" ht="15.75" customHeight="1" x14ac:dyDescent="0.25">
      <c r="B9" s="9"/>
      <c r="C9" s="10" t="s">
        <v>9</v>
      </c>
      <c r="D9" s="98">
        <v>6</v>
      </c>
      <c r="E9" s="11"/>
      <c r="H9" s="23"/>
    </row>
    <row r="10" spans="2:8" s="1" customFormat="1" ht="15.75" customHeight="1" x14ac:dyDescent="0.25">
      <c r="B10" s="9"/>
      <c r="C10" s="10" t="s">
        <v>19</v>
      </c>
      <c r="D10" s="99">
        <v>0</v>
      </c>
      <c r="E10" s="11"/>
      <c r="H10" s="23"/>
    </row>
    <row r="11" spans="2:8" ht="15.75" customHeight="1" thickBot="1" x14ac:dyDescent="0.3">
      <c r="B11" s="12"/>
      <c r="C11" s="24"/>
      <c r="D11" s="24" t="s">
        <v>11</v>
      </c>
      <c r="E11" s="13"/>
    </row>
    <row r="12" spans="2:8" ht="15.75" customHeight="1" x14ac:dyDescent="0.25">
      <c r="B12" s="25"/>
      <c r="C12" s="26"/>
      <c r="D12" s="26"/>
      <c r="E12" s="25"/>
    </row>
    <row r="13" spans="2:8" ht="15.75" customHeight="1" x14ac:dyDescent="0.3">
      <c r="B13" s="25"/>
      <c r="C13" s="27" t="s">
        <v>1</v>
      </c>
      <c r="D13" s="26"/>
      <c r="E13" s="25"/>
    </row>
    <row r="14" spans="2:8" ht="15.75" customHeight="1" thickBot="1" x14ac:dyDescent="0.3">
      <c r="B14" s="25"/>
      <c r="C14" s="26"/>
      <c r="D14" s="26"/>
      <c r="E14" s="25"/>
    </row>
    <row r="15" spans="2:8" ht="15.75" customHeight="1" x14ac:dyDescent="0.25">
      <c r="B15" s="14"/>
      <c r="C15" s="28"/>
      <c r="D15" s="28"/>
      <c r="E15" s="15"/>
    </row>
    <row r="16" spans="2:8" ht="30" x14ac:dyDescent="0.25">
      <c r="B16" s="16"/>
      <c r="C16" s="107" t="s">
        <v>2</v>
      </c>
      <c r="D16" s="106" t="s">
        <v>85</v>
      </c>
      <c r="E16" s="17"/>
    </row>
    <row r="17" spans="2:6" ht="15.75" customHeight="1" x14ac:dyDescent="0.25">
      <c r="B17" s="16"/>
      <c r="C17" s="18">
        <v>0</v>
      </c>
      <c r="D17" s="102">
        <f>-D7</f>
        <v>-15100</v>
      </c>
      <c r="E17" s="17"/>
    </row>
    <row r="18" spans="2:6" ht="15.75" customHeight="1" x14ac:dyDescent="0.25">
      <c r="B18" s="16"/>
      <c r="C18" s="18">
        <v>1</v>
      </c>
      <c r="D18" s="108">
        <f>-PV(D10,C18,0,D8)</f>
        <v>3900</v>
      </c>
      <c r="E18" s="17"/>
      <c r="F18" s="193"/>
    </row>
    <row r="19" spans="2:6" ht="15.75" customHeight="1" x14ac:dyDescent="0.25">
      <c r="B19" s="16"/>
      <c r="C19" s="18">
        <v>2</v>
      </c>
      <c r="D19" s="108">
        <f>PV(D10,C19,0,-D8)</f>
        <v>3900</v>
      </c>
      <c r="E19" s="17"/>
      <c r="F19" s="193"/>
    </row>
    <row r="20" spans="2:6" ht="15.75" customHeight="1" x14ac:dyDescent="0.25">
      <c r="B20" s="16"/>
      <c r="C20" s="18">
        <v>3</v>
      </c>
      <c r="D20" s="108">
        <f>PV(D10,C20,0,-D8)</f>
        <v>3900</v>
      </c>
      <c r="E20" s="17"/>
      <c r="F20" s="193"/>
    </row>
    <row r="21" spans="2:6" ht="15.75" customHeight="1" x14ac:dyDescent="0.25">
      <c r="B21" s="16"/>
      <c r="C21" s="18">
        <v>4</v>
      </c>
      <c r="D21" s="108">
        <f>PV(D10,C21,0,-D8)</f>
        <v>3900</v>
      </c>
      <c r="E21" s="17"/>
      <c r="F21" s="193"/>
    </row>
    <row r="22" spans="2:6" ht="15.75" customHeight="1" x14ac:dyDescent="0.25">
      <c r="B22" s="16"/>
      <c r="C22" s="18">
        <v>5</v>
      </c>
      <c r="D22" s="108">
        <f>PV(D10,C22,0,-D8)</f>
        <v>3900</v>
      </c>
      <c r="E22" s="17"/>
      <c r="F22" s="193"/>
    </row>
    <row r="23" spans="2:6" ht="15.75" customHeight="1" x14ac:dyDescent="0.25">
      <c r="B23" s="16"/>
      <c r="C23" s="18">
        <v>6</v>
      </c>
      <c r="D23" s="108">
        <f>PV(D10,C23,0,-D8)</f>
        <v>3900</v>
      </c>
      <c r="E23" s="17"/>
      <c r="F23" s="193"/>
    </row>
    <row r="24" spans="2:6" ht="15.75" customHeight="1" x14ac:dyDescent="0.25">
      <c r="B24" s="16"/>
      <c r="C24" s="18"/>
      <c r="D24" s="18"/>
      <c r="E24" s="17"/>
    </row>
    <row r="25" spans="2:6" ht="15.75" customHeight="1" x14ac:dyDescent="0.3">
      <c r="B25" s="16"/>
      <c r="C25" s="18" t="s">
        <v>78</v>
      </c>
      <c r="D25" s="29">
        <f>IF(-D17&gt;(D18+D19+D20+D21+D22+D23),"Never",IF(-D17&gt;(D18+D19+D20+D21+D22),(5+(-D17-D18-D19-D20-D21-D22)/D23),IF(-D17&gt;(D18+D19+D20+D21),(4+(-D17-D18-D19-D20-D21)/D22),IF(-D17&gt;(D18+D19+D20),(3+(-D17-D18-D19-D20)/D21),IF(-D17&gt;(D18+D19),(2+(-D17-D18-D19)/D20),IF(-D17&gt;D18,(1+(-D17-D18)/D19),IF(-D17&lt;D18,-D17/D18," ")))))))</f>
        <v>3.8717948717948718</v>
      </c>
      <c r="E25" s="17"/>
    </row>
    <row r="26" spans="2:6" ht="15.75" customHeight="1" thickBot="1" x14ac:dyDescent="0.3">
      <c r="B26" s="19"/>
      <c r="C26" s="20"/>
      <c r="D26" s="20"/>
      <c r="E26" s="21"/>
    </row>
    <row r="27" spans="2:6" ht="15.75" customHeight="1" x14ac:dyDescent="0.25">
      <c r="B27" s="4"/>
      <c r="C27" s="4"/>
      <c r="D27" s="4"/>
      <c r="E27" s="4"/>
    </row>
    <row r="28" spans="2:6" ht="15.75" customHeight="1" x14ac:dyDescent="0.25">
      <c r="B28" s="4"/>
      <c r="C28" s="4"/>
      <c r="D28" s="250"/>
      <c r="E28" s="4"/>
    </row>
    <row r="29" spans="2:6" ht="15.75" customHeight="1" x14ac:dyDescent="0.25">
      <c r="B29" s="1"/>
      <c r="C29" s="1"/>
      <c r="D29" s="1"/>
      <c r="E29" s="1"/>
    </row>
    <row r="30" spans="2:6" ht="15.75" customHeight="1" x14ac:dyDescent="0.25">
      <c r="B30" s="1"/>
      <c r="C30" s="1"/>
      <c r="D30" s="1"/>
      <c r="E30" s="1"/>
    </row>
    <row r="31" spans="2:6" ht="15.75" customHeight="1" x14ac:dyDescent="0.25"/>
    <row r="32" spans="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sheetData>
  <phoneticPr fontId="0" type="noConversion"/>
  <pageMargins left="0.75" right="0.75" top="1" bottom="1" header="0.5" footer="0.5"/>
  <pageSetup orientation="portrait" horizont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211111121111"/>
  <dimension ref="B1:H30"/>
  <sheetViews>
    <sheetView workbookViewId="0">
      <selection activeCell="C2" sqref="C2"/>
    </sheetView>
  </sheetViews>
  <sheetFormatPr defaultRowHeight="13.2" x14ac:dyDescent="0.25"/>
  <cols>
    <col min="2" max="2" width="3.109375" customWidth="1"/>
    <col min="3" max="3" width="22.33203125" bestFit="1" customWidth="1"/>
    <col min="4" max="4" width="15.109375" customWidth="1"/>
    <col min="5" max="5" width="3.109375" customWidth="1"/>
    <col min="6" max="7" width="9.109375" customWidth="1"/>
  </cols>
  <sheetData>
    <row r="1" spans="2:8" s="1" customFormat="1" ht="17.399999999999999" x14ac:dyDescent="0.3">
      <c r="C1" s="139" t="s">
        <v>219</v>
      </c>
    </row>
    <row r="2" spans="2:8" s="1" customFormat="1" ht="15.75" customHeight="1" x14ac:dyDescent="0.25">
      <c r="C2" s="1" t="s">
        <v>21</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8"/>
    </row>
    <row r="7" spans="2:8" s="1" customFormat="1" ht="15.75" customHeight="1" x14ac:dyDescent="0.25">
      <c r="B7" s="9"/>
      <c r="C7" s="10" t="s">
        <v>26</v>
      </c>
      <c r="D7" s="109">
        <v>0.09</v>
      </c>
      <c r="E7" s="11"/>
    </row>
    <row r="8" spans="2:8" s="1" customFormat="1" ht="15.75" customHeight="1" x14ac:dyDescent="0.3">
      <c r="B8" s="9"/>
      <c r="C8" s="37" t="s">
        <v>27</v>
      </c>
      <c r="D8" s="98"/>
      <c r="E8" s="11"/>
      <c r="H8" s="23"/>
    </row>
    <row r="9" spans="2:8" s="1" customFormat="1" ht="15.75" customHeight="1" x14ac:dyDescent="0.25">
      <c r="B9" s="9"/>
      <c r="C9" s="10" t="s">
        <v>24</v>
      </c>
      <c r="D9" s="100">
        <v>-27000</v>
      </c>
      <c r="E9" s="11"/>
      <c r="H9" s="23"/>
    </row>
    <row r="10" spans="2:8" s="1" customFormat="1" ht="15.75" customHeight="1" x14ac:dyDescent="0.25">
      <c r="B10" s="9"/>
      <c r="C10" s="10" t="s">
        <v>15</v>
      </c>
      <c r="D10" s="100">
        <v>13100</v>
      </c>
      <c r="E10" s="11"/>
      <c r="H10" s="23"/>
    </row>
    <row r="11" spans="2:8" s="1" customFormat="1" ht="15.75" customHeight="1" x14ac:dyDescent="0.25">
      <c r="B11" s="9"/>
      <c r="C11" s="10" t="s">
        <v>16</v>
      </c>
      <c r="D11" s="100">
        <v>17200</v>
      </c>
      <c r="E11" s="11"/>
      <c r="H11" s="23"/>
    </row>
    <row r="12" spans="2:8" s="1" customFormat="1" ht="15.75" customHeight="1" x14ac:dyDescent="0.25">
      <c r="B12" s="9"/>
      <c r="C12" s="10" t="s">
        <v>17</v>
      </c>
      <c r="D12" s="100">
        <v>8400</v>
      </c>
      <c r="E12" s="11"/>
      <c r="H12" s="23"/>
    </row>
    <row r="13" spans="2:8" ht="15.75" customHeight="1" thickBot="1" x14ac:dyDescent="0.3">
      <c r="B13" s="12"/>
      <c r="C13" s="38"/>
      <c r="D13" s="24" t="s">
        <v>11</v>
      </c>
      <c r="E13" s="13"/>
    </row>
    <row r="14" spans="2:8" ht="15.75" customHeight="1" x14ac:dyDescent="0.25">
      <c r="B14" s="25"/>
      <c r="C14" s="26"/>
      <c r="D14" s="26"/>
      <c r="E14" s="25"/>
    </row>
    <row r="15" spans="2:8" ht="15.75" customHeight="1" x14ac:dyDescent="0.3">
      <c r="B15" s="25"/>
      <c r="C15" s="27" t="s">
        <v>1</v>
      </c>
      <c r="D15" s="26"/>
      <c r="E15" s="25"/>
    </row>
    <row r="16" spans="2:8" ht="15.75" customHeight="1" thickBot="1" x14ac:dyDescent="0.3">
      <c r="B16" s="25"/>
      <c r="C16" s="26"/>
      <c r="D16" s="26"/>
      <c r="E16" s="25"/>
    </row>
    <row r="17" spans="2:5" ht="15.75" customHeight="1" x14ac:dyDescent="0.25">
      <c r="B17" s="14"/>
      <c r="C17" s="28"/>
      <c r="D17" s="28"/>
      <c r="E17" s="15"/>
    </row>
    <row r="18" spans="2:5" ht="15.75" customHeight="1" x14ac:dyDescent="0.3">
      <c r="B18" s="16"/>
      <c r="C18" s="18" t="s">
        <v>28</v>
      </c>
      <c r="D18" s="70">
        <f>IRR(D9:D12,0.1)</f>
        <v>0.21795206366878528</v>
      </c>
      <c r="E18" s="17"/>
    </row>
    <row r="19" spans="2:5" ht="15.75" customHeight="1" x14ac:dyDescent="0.25">
      <c r="B19" s="16"/>
      <c r="C19" s="18"/>
      <c r="D19" s="39"/>
      <c r="E19" s="17"/>
    </row>
    <row r="20" spans="2:5" ht="15.75" customHeight="1" x14ac:dyDescent="0.3">
      <c r="B20" s="16"/>
      <c r="C20" s="18" t="s">
        <v>86</v>
      </c>
      <c r="D20" s="110" t="str">
        <f>IF(D18&gt;D7,"Accept","Reject")</f>
        <v>Accept</v>
      </c>
      <c r="E20" s="17"/>
    </row>
    <row r="21" spans="2:5" ht="15.75" customHeight="1" thickBot="1" x14ac:dyDescent="0.3">
      <c r="B21" s="19"/>
      <c r="C21" s="20"/>
      <c r="D21" s="20"/>
      <c r="E21" s="21"/>
    </row>
    <row r="22" spans="2:5" ht="15.75" customHeight="1" x14ac:dyDescent="0.25">
      <c r="B22" s="4"/>
      <c r="C22" s="4"/>
      <c r="D22" s="4"/>
      <c r="E22" s="4"/>
    </row>
    <row r="23" spans="2:5" ht="15.75" customHeight="1" x14ac:dyDescent="0.25">
      <c r="B23" s="4"/>
      <c r="C23" s="4"/>
      <c r="D23" s="4"/>
      <c r="E23" s="4"/>
    </row>
    <row r="24" spans="2:5" ht="15.75" customHeight="1" x14ac:dyDescent="0.25">
      <c r="B24" s="1"/>
      <c r="C24" s="1"/>
      <c r="D24" s="1"/>
      <c r="E24" s="1"/>
    </row>
    <row r="25" spans="2:5" ht="15.75" customHeight="1" x14ac:dyDescent="0.25">
      <c r="B25" s="1"/>
      <c r="C25" s="1"/>
      <c r="D25" s="1"/>
      <c r="E25" s="1"/>
    </row>
    <row r="26" spans="2:5" ht="15.75" customHeight="1" x14ac:dyDescent="0.25"/>
    <row r="27" spans="2:5" ht="15.75" customHeight="1" x14ac:dyDescent="0.25"/>
    <row r="28" spans="2:5" ht="15.75" customHeight="1" x14ac:dyDescent="0.25"/>
    <row r="29" spans="2:5" ht="15.75" customHeight="1" x14ac:dyDescent="0.25"/>
    <row r="30" spans="2:5" ht="15.75" customHeight="1" x14ac:dyDescent="0.25"/>
  </sheetData>
  <phoneticPr fontId="0" type="noConversion"/>
  <pageMargins left="0.75" right="0.75" top="1" bottom="1" header="0.5" footer="0.5"/>
  <pageSetup orientation="portrait" horizont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29"/>
  <sheetViews>
    <sheetView workbookViewId="0">
      <selection activeCell="C2" sqref="C2"/>
    </sheetView>
  </sheetViews>
  <sheetFormatPr defaultRowHeight="13.2" x14ac:dyDescent="0.25"/>
  <cols>
    <col min="2" max="2" width="3.109375" customWidth="1"/>
    <col min="3" max="3" width="22.33203125" bestFit="1" customWidth="1"/>
    <col min="4" max="5" width="15.109375" customWidth="1"/>
    <col min="6" max="6" width="3.109375" customWidth="1"/>
    <col min="7" max="8" width="9.109375" customWidth="1"/>
  </cols>
  <sheetData>
    <row r="1" spans="2:9" s="1" customFormat="1" ht="17.399999999999999" x14ac:dyDescent="0.3">
      <c r="C1" s="139" t="s">
        <v>219</v>
      </c>
      <c r="D1" s="139"/>
    </row>
    <row r="2" spans="2:9" s="1" customFormat="1" ht="15.75" customHeight="1" x14ac:dyDescent="0.25">
      <c r="C2" s="1" t="s">
        <v>23</v>
      </c>
    </row>
    <row r="3" spans="2:9" s="1" customFormat="1" ht="15.75" customHeight="1" x14ac:dyDescent="0.25"/>
    <row r="4" spans="2:9" s="1" customFormat="1" ht="15.75" customHeight="1" x14ac:dyDescent="0.3">
      <c r="C4" s="2" t="s">
        <v>0</v>
      </c>
      <c r="D4" s="2"/>
    </row>
    <row r="5" spans="2:9" s="1" customFormat="1" ht="15.75" customHeight="1" thickBot="1" x14ac:dyDescent="0.35">
      <c r="C5" s="3"/>
      <c r="D5" s="3"/>
      <c r="E5" s="4"/>
    </row>
    <row r="6" spans="2:9" s="1" customFormat="1" ht="15.75" customHeight="1" x14ac:dyDescent="0.3">
      <c r="B6" s="5"/>
      <c r="C6" s="6"/>
      <c r="D6" s="6"/>
      <c r="E6" s="7"/>
      <c r="F6" s="8"/>
    </row>
    <row r="7" spans="2:9" s="1" customFormat="1" ht="15.75" customHeight="1" x14ac:dyDescent="0.3">
      <c r="B7" s="9"/>
      <c r="C7" s="37" t="s">
        <v>27</v>
      </c>
      <c r="D7" s="144" t="s">
        <v>82</v>
      </c>
      <c r="E7" s="145" t="s">
        <v>83</v>
      </c>
      <c r="F7" s="11"/>
      <c r="I7" s="23"/>
    </row>
    <row r="8" spans="2:9" s="1" customFormat="1" ht="15.75" customHeight="1" x14ac:dyDescent="0.25">
      <c r="B8" s="9"/>
      <c r="C8" s="10" t="s">
        <v>24</v>
      </c>
      <c r="D8" s="114">
        <v>-7300</v>
      </c>
      <c r="E8" s="100">
        <v>-4390</v>
      </c>
      <c r="F8" s="11"/>
      <c r="I8" s="23"/>
    </row>
    <row r="9" spans="2:9" s="1" customFormat="1" ht="15.75" customHeight="1" x14ac:dyDescent="0.25">
      <c r="B9" s="9"/>
      <c r="C9" s="10" t="s">
        <v>15</v>
      </c>
      <c r="D9" s="114">
        <v>3940</v>
      </c>
      <c r="E9" s="100">
        <v>2170</v>
      </c>
      <c r="F9" s="11"/>
      <c r="I9" s="23"/>
    </row>
    <row r="10" spans="2:9" s="1" customFormat="1" ht="15.75" customHeight="1" x14ac:dyDescent="0.25">
      <c r="B10" s="9"/>
      <c r="C10" s="10" t="s">
        <v>16</v>
      </c>
      <c r="D10" s="114">
        <v>3450</v>
      </c>
      <c r="E10" s="100">
        <v>2210</v>
      </c>
      <c r="F10" s="11"/>
      <c r="I10" s="23"/>
    </row>
    <row r="11" spans="2:9" s="1" customFormat="1" ht="15.75" customHeight="1" x14ac:dyDescent="0.25">
      <c r="B11" s="9"/>
      <c r="C11" s="10" t="s">
        <v>17</v>
      </c>
      <c r="D11" s="114">
        <v>2480</v>
      </c>
      <c r="E11" s="100">
        <v>1730</v>
      </c>
      <c r="F11" s="11"/>
      <c r="I11" s="23"/>
    </row>
    <row r="12" spans="2:9" ht="15.75" customHeight="1" thickBot="1" x14ac:dyDescent="0.3">
      <c r="B12" s="12"/>
      <c r="C12" s="38"/>
      <c r="D12" s="38"/>
      <c r="E12" s="24" t="s">
        <v>11</v>
      </c>
      <c r="F12" s="13"/>
    </row>
    <row r="13" spans="2:9" ht="15.75" customHeight="1" x14ac:dyDescent="0.25">
      <c r="B13" s="25"/>
      <c r="C13" s="26"/>
      <c r="D13" s="26"/>
      <c r="E13" s="26"/>
      <c r="F13" s="25"/>
    </row>
    <row r="14" spans="2:9" ht="15.75" customHeight="1" x14ac:dyDescent="0.3">
      <c r="B14" s="25"/>
      <c r="C14" s="27" t="s">
        <v>1</v>
      </c>
      <c r="D14" s="27"/>
      <c r="E14" s="26"/>
      <c r="F14" s="25"/>
    </row>
    <row r="15" spans="2:9" ht="15.75" customHeight="1" thickBot="1" x14ac:dyDescent="0.3">
      <c r="B15" s="25"/>
      <c r="C15" s="26"/>
      <c r="D15" s="26"/>
      <c r="E15" s="26"/>
      <c r="F15" s="25"/>
    </row>
    <row r="16" spans="2:9" ht="15.75" customHeight="1" x14ac:dyDescent="0.25">
      <c r="B16" s="14"/>
      <c r="C16" s="28"/>
      <c r="D16" s="28"/>
      <c r="E16" s="28"/>
      <c r="F16" s="15"/>
    </row>
    <row r="17" spans="2:6" ht="15.75" customHeight="1" x14ac:dyDescent="0.3">
      <c r="B17" s="16"/>
      <c r="C17" s="18" t="s">
        <v>107</v>
      </c>
      <c r="D17" s="146"/>
      <c r="E17" s="70">
        <f>IRR(D8:D11)</f>
        <v>0.18241163875361721</v>
      </c>
      <c r="F17" s="17"/>
    </row>
    <row r="18" spans="2:6" ht="15.75" customHeight="1" x14ac:dyDescent="0.25">
      <c r="B18" s="16"/>
      <c r="C18" s="146"/>
      <c r="D18" s="146"/>
      <c r="E18" s="146"/>
      <c r="F18" s="17"/>
    </row>
    <row r="19" spans="2:6" ht="15.75" customHeight="1" x14ac:dyDescent="0.3">
      <c r="B19" s="16"/>
      <c r="C19" s="18" t="s">
        <v>106</v>
      </c>
      <c r="D19" s="18"/>
      <c r="E19" s="70">
        <f>IRR(E8:E11,0.1)</f>
        <v>0.19309165849015231</v>
      </c>
      <c r="F19" s="17"/>
    </row>
    <row r="20" spans="2:6" ht="15.75" customHeight="1" thickBot="1" x14ac:dyDescent="0.3">
      <c r="B20" s="19"/>
      <c r="C20" s="20"/>
      <c r="D20" s="20"/>
      <c r="E20" s="20"/>
      <c r="F20" s="21"/>
    </row>
    <row r="21" spans="2:6" ht="15.75" customHeight="1" x14ac:dyDescent="0.25">
      <c r="B21" s="4"/>
      <c r="C21" s="4"/>
      <c r="D21" s="4"/>
      <c r="E21" s="4"/>
      <c r="F21" s="4"/>
    </row>
    <row r="22" spans="2:6" ht="15.75" customHeight="1" x14ac:dyDescent="0.25">
      <c r="B22" s="4"/>
      <c r="C22" s="4"/>
      <c r="D22" s="4"/>
      <c r="E22" s="4"/>
      <c r="F22" s="4"/>
    </row>
    <row r="23" spans="2:6" ht="15.75" customHeight="1" x14ac:dyDescent="0.25">
      <c r="B23" s="1"/>
      <c r="C23" s="1"/>
      <c r="D23" s="1"/>
      <c r="E23" s="1"/>
      <c r="F23" s="1"/>
    </row>
    <row r="24" spans="2:6" ht="15.75" customHeight="1" x14ac:dyDescent="0.25">
      <c r="B24" s="1"/>
      <c r="C24" s="1"/>
      <c r="D24" s="1"/>
      <c r="E24" s="1"/>
      <c r="F24" s="1"/>
    </row>
    <row r="25" spans="2:6" ht="15.75" customHeight="1" x14ac:dyDescent="0.25"/>
    <row r="26" spans="2:6" ht="15.75" customHeight="1" x14ac:dyDescent="0.25"/>
    <row r="27" spans="2:6" ht="15.75" customHeight="1" x14ac:dyDescent="0.25"/>
    <row r="28" spans="2:6" ht="15.75" customHeight="1" x14ac:dyDescent="0.25"/>
    <row r="29" spans="2:6" ht="15.75" customHeight="1" x14ac:dyDescent="0.25"/>
  </sheetData>
  <phoneticPr fontId="0" type="noConversion"/>
  <pageMargins left="0.75" right="0.75" top="1" bottom="1" header="0.5" footer="0.5"/>
  <pageSetup orientation="portrait" horizont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21111112111111"/>
  <dimension ref="B1:H35"/>
  <sheetViews>
    <sheetView workbookViewId="0">
      <selection activeCell="C2" sqref="C2"/>
    </sheetView>
  </sheetViews>
  <sheetFormatPr defaultRowHeight="13.2" x14ac:dyDescent="0.25"/>
  <cols>
    <col min="2" max="2" width="3.109375" customWidth="1"/>
    <col min="3" max="3" width="22.33203125" bestFit="1" customWidth="1"/>
    <col min="4" max="4" width="15.109375" customWidth="1"/>
    <col min="5" max="5" width="3.109375" customWidth="1"/>
    <col min="6" max="7" width="9.109375" customWidth="1"/>
  </cols>
  <sheetData>
    <row r="1" spans="2:8" s="1" customFormat="1" ht="17.399999999999999" x14ac:dyDescent="0.3">
      <c r="C1" s="139" t="s">
        <v>219</v>
      </c>
    </row>
    <row r="2" spans="2:8" s="1" customFormat="1" ht="15.75" customHeight="1" x14ac:dyDescent="0.25">
      <c r="C2" s="1" t="s">
        <v>25</v>
      </c>
    </row>
    <row r="3" spans="2:8" s="1" customFormat="1" ht="15.75" customHeight="1" x14ac:dyDescent="0.25"/>
    <row r="4" spans="2:8" s="1" customFormat="1" ht="15.75" customHeight="1" x14ac:dyDescent="0.3">
      <c r="C4" s="2" t="s">
        <v>0</v>
      </c>
    </row>
    <row r="5" spans="2:8" s="1" customFormat="1" ht="15.75" customHeight="1" thickBot="1" x14ac:dyDescent="0.35">
      <c r="C5" s="3"/>
      <c r="D5" s="4"/>
    </row>
    <row r="6" spans="2:8" s="1" customFormat="1" ht="15.75" customHeight="1" x14ac:dyDescent="0.3">
      <c r="B6" s="5"/>
      <c r="C6" s="6"/>
      <c r="D6" s="7"/>
      <c r="E6" s="8"/>
    </row>
    <row r="7" spans="2:8" s="1" customFormat="1" ht="15.75" customHeight="1" x14ac:dyDescent="0.25">
      <c r="B7" s="9"/>
      <c r="C7" s="10" t="s">
        <v>32</v>
      </c>
      <c r="D7" s="100">
        <v>325000</v>
      </c>
      <c r="E7" s="11"/>
      <c r="H7" s="23"/>
    </row>
    <row r="8" spans="2:8" s="1" customFormat="1" ht="15.75" customHeight="1" x14ac:dyDescent="0.25">
      <c r="B8" s="9"/>
      <c r="C8" s="10" t="s">
        <v>31</v>
      </c>
      <c r="D8" s="100">
        <v>67000</v>
      </c>
      <c r="E8" s="11"/>
      <c r="H8" s="23"/>
    </row>
    <row r="9" spans="2:8" s="1" customFormat="1" ht="15.75" customHeight="1" x14ac:dyDescent="0.25">
      <c r="B9" s="9"/>
      <c r="C9" s="10" t="s">
        <v>9</v>
      </c>
      <c r="D9" s="95">
        <v>7</v>
      </c>
      <c r="E9" s="11"/>
      <c r="H9" s="23"/>
    </row>
    <row r="10" spans="2:8" s="1" customFormat="1" ht="15.75" customHeight="1" x14ac:dyDescent="0.25">
      <c r="B10" s="9"/>
      <c r="C10" s="10" t="s">
        <v>26</v>
      </c>
      <c r="D10" s="109">
        <v>0.13</v>
      </c>
      <c r="E10" s="11"/>
    </row>
    <row r="11" spans="2:8" ht="15.75" customHeight="1" thickBot="1" x14ac:dyDescent="0.3">
      <c r="B11" s="12"/>
      <c r="C11" s="38"/>
      <c r="D11" s="24" t="s">
        <v>11</v>
      </c>
      <c r="E11" s="13"/>
    </row>
    <row r="12" spans="2:8" ht="15.75" customHeight="1" x14ac:dyDescent="0.25">
      <c r="B12" s="25"/>
      <c r="C12" s="26"/>
      <c r="D12" s="26"/>
      <c r="E12" s="25"/>
    </row>
    <row r="13" spans="2:8" ht="15.75" customHeight="1" x14ac:dyDescent="0.3">
      <c r="B13" s="25"/>
      <c r="C13" s="27" t="s">
        <v>1</v>
      </c>
      <c r="D13" s="26"/>
      <c r="E13" s="25"/>
    </row>
    <row r="14" spans="2:8" ht="15.75" customHeight="1" thickBot="1" x14ac:dyDescent="0.3">
      <c r="B14" s="25"/>
      <c r="C14" s="26"/>
      <c r="D14" s="26"/>
      <c r="E14" s="25"/>
    </row>
    <row r="15" spans="2:8" ht="15.75" customHeight="1" x14ac:dyDescent="0.25">
      <c r="B15" s="14"/>
      <c r="C15" s="28"/>
      <c r="D15" s="28"/>
      <c r="E15" s="15"/>
    </row>
    <row r="16" spans="2:8" ht="15.75" customHeight="1" x14ac:dyDescent="0.3">
      <c r="B16" s="16"/>
      <c r="C16" s="18" t="s">
        <v>108</v>
      </c>
      <c r="D16" s="194">
        <f>PV(D10,D9,-D8)/D7</f>
        <v>0.91173815074576303</v>
      </c>
      <c r="E16" s="17"/>
    </row>
    <row r="17" spans="2:5" ht="15.75" customHeight="1" x14ac:dyDescent="0.3">
      <c r="B17" s="16"/>
      <c r="C17" s="18"/>
      <c r="D17" s="261"/>
      <c r="E17" s="17"/>
    </row>
    <row r="18" spans="2:5" ht="15.75" customHeight="1" x14ac:dyDescent="0.3">
      <c r="B18" s="16"/>
      <c r="C18" s="262" t="str">
        <f>IF(D16&gt;1,"The project should be accepted.","The project should be rejected.")</f>
        <v>The project should be rejected.</v>
      </c>
      <c r="D18" s="261"/>
      <c r="E18" s="17"/>
    </row>
    <row r="19" spans="2:5" ht="15.75" customHeight="1" thickBot="1" x14ac:dyDescent="0.3">
      <c r="B19" s="19"/>
      <c r="C19" s="20"/>
      <c r="D19" s="20"/>
      <c r="E19" s="21"/>
    </row>
    <row r="20" spans="2:5" ht="15.75" customHeight="1" x14ac:dyDescent="0.25">
      <c r="B20" s="4"/>
      <c r="C20" s="4"/>
      <c r="D20" s="4"/>
      <c r="E20" s="4"/>
    </row>
    <row r="21" spans="2:5" ht="15.75" customHeight="1" x14ac:dyDescent="0.25">
      <c r="B21" s="4"/>
      <c r="C21" s="4"/>
      <c r="D21" s="4"/>
      <c r="E21" s="4"/>
    </row>
    <row r="22" spans="2:5" ht="15.75" customHeight="1" x14ac:dyDescent="0.25">
      <c r="B22" s="1"/>
      <c r="C22" s="1"/>
      <c r="D22" s="1"/>
      <c r="E22" s="1"/>
    </row>
    <row r="23" spans="2:5" ht="15.75" customHeight="1" x14ac:dyDescent="0.25">
      <c r="B23" s="1"/>
      <c r="C23" s="1"/>
      <c r="D23" s="237"/>
      <c r="E23" s="1"/>
    </row>
    <row r="24" spans="2:5" ht="15.75" customHeight="1" x14ac:dyDescent="0.25"/>
    <row r="25" spans="2:5" ht="15.75" customHeight="1" x14ac:dyDescent="0.25"/>
    <row r="26" spans="2:5" ht="15.75" customHeight="1" x14ac:dyDescent="0.25"/>
    <row r="27" spans="2:5" ht="15.75" customHeight="1" x14ac:dyDescent="0.25"/>
    <row r="28" spans="2:5" ht="15.75" customHeight="1" x14ac:dyDescent="0.25"/>
    <row r="29" spans="2:5" ht="15.75" customHeight="1" x14ac:dyDescent="0.25"/>
    <row r="30" spans="2:5" ht="15.75" customHeight="1" x14ac:dyDescent="0.25"/>
    <row r="31" spans="2:5" ht="15.75" customHeight="1" x14ac:dyDescent="0.25"/>
    <row r="32" spans="2:5" ht="15.75" customHeight="1" x14ac:dyDescent="0.25"/>
    <row r="33" ht="15.75" customHeight="1" x14ac:dyDescent="0.25"/>
    <row r="34" ht="15.75" customHeight="1" x14ac:dyDescent="0.25"/>
    <row r="35" ht="15.75" customHeight="1" x14ac:dyDescent="0.25"/>
  </sheetData>
  <phoneticPr fontId="0" type="noConversion"/>
  <pageMargins left="0.75" right="0.75" top="1" bottom="1" header="0.5" footer="0.5"/>
  <pageSetup orientation="portrait" horizont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211111121111111"/>
  <dimension ref="B1:H55"/>
  <sheetViews>
    <sheetView workbookViewId="0">
      <selection activeCell="C2" sqref="C2"/>
    </sheetView>
  </sheetViews>
  <sheetFormatPr defaultRowHeight="13.2" x14ac:dyDescent="0.25"/>
  <cols>
    <col min="2" max="2" width="3.109375" customWidth="1"/>
    <col min="3" max="3" width="23.109375" customWidth="1"/>
    <col min="4" max="4" width="16" customWidth="1"/>
    <col min="5" max="5" width="15.5546875" customWidth="1"/>
    <col min="6" max="6" width="3.109375" customWidth="1"/>
    <col min="7" max="7" width="10" customWidth="1"/>
  </cols>
  <sheetData>
    <row r="1" spans="2:8" s="1" customFormat="1" ht="17.399999999999999" x14ac:dyDescent="0.3">
      <c r="C1" s="139" t="s">
        <v>219</v>
      </c>
      <c r="D1" s="139"/>
    </row>
    <row r="2" spans="2:8" s="1" customFormat="1" ht="15.75" customHeight="1" x14ac:dyDescent="0.25">
      <c r="C2" s="1" t="s">
        <v>29</v>
      </c>
    </row>
    <row r="3" spans="2:8" s="1" customFormat="1" ht="15.75" customHeight="1" x14ac:dyDescent="0.25"/>
    <row r="4" spans="2:8" s="1" customFormat="1" ht="15.75" customHeight="1" x14ac:dyDescent="0.3">
      <c r="C4" s="2" t="s">
        <v>0</v>
      </c>
      <c r="D4" s="2"/>
    </row>
    <row r="5" spans="2:8" s="1" customFormat="1" ht="15.75" customHeight="1" thickBot="1" x14ac:dyDescent="0.35">
      <c r="C5" s="3"/>
      <c r="D5" s="3"/>
      <c r="E5" s="4"/>
    </row>
    <row r="6" spans="2:8" s="1" customFormat="1" ht="15.75" customHeight="1" x14ac:dyDescent="0.3">
      <c r="B6" s="5"/>
      <c r="C6" s="6"/>
      <c r="D6" s="6"/>
      <c r="E6" s="7"/>
      <c r="F6" s="8"/>
    </row>
    <row r="7" spans="2:8" s="1" customFormat="1" ht="15.75" customHeight="1" x14ac:dyDescent="0.3">
      <c r="B7" s="9"/>
      <c r="C7" s="37"/>
      <c r="D7" s="144" t="s">
        <v>109</v>
      </c>
      <c r="E7" s="147" t="s">
        <v>110</v>
      </c>
      <c r="F7" s="11"/>
    </row>
    <row r="8" spans="2:8" s="1" customFormat="1" ht="15.75" customHeight="1" x14ac:dyDescent="0.25">
      <c r="B8" s="9"/>
      <c r="C8" s="10" t="s">
        <v>24</v>
      </c>
      <c r="D8" s="114">
        <v>-2700</v>
      </c>
      <c r="E8" s="92">
        <v>-4100</v>
      </c>
      <c r="F8" s="11"/>
    </row>
    <row r="9" spans="2:8" s="1" customFormat="1" ht="15.75" customHeight="1" x14ac:dyDescent="0.25">
      <c r="B9" s="9"/>
      <c r="C9" s="10" t="s">
        <v>15</v>
      </c>
      <c r="D9" s="114">
        <v>1500</v>
      </c>
      <c r="E9" s="100">
        <v>900</v>
      </c>
      <c r="F9" s="11"/>
      <c r="H9" s="23"/>
    </row>
    <row r="10" spans="2:8" s="1" customFormat="1" ht="15.75" customHeight="1" x14ac:dyDescent="0.25">
      <c r="B10" s="9"/>
      <c r="C10" s="10" t="s">
        <v>16</v>
      </c>
      <c r="D10" s="114">
        <v>1300</v>
      </c>
      <c r="E10" s="100">
        <v>2600</v>
      </c>
      <c r="F10" s="11"/>
      <c r="H10" s="23"/>
    </row>
    <row r="11" spans="2:8" s="1" customFormat="1" ht="15.75" customHeight="1" x14ac:dyDescent="0.25">
      <c r="B11" s="9"/>
      <c r="C11" s="10" t="s">
        <v>17</v>
      </c>
      <c r="D11" s="114">
        <v>1100</v>
      </c>
      <c r="E11" s="100">
        <v>3200</v>
      </c>
      <c r="F11" s="11"/>
      <c r="H11" s="23"/>
    </row>
    <row r="12" spans="2:8" s="1" customFormat="1" ht="15.75" customHeight="1" x14ac:dyDescent="0.25">
      <c r="B12" s="9"/>
      <c r="C12" s="10"/>
      <c r="D12" s="114"/>
      <c r="E12" s="100"/>
      <c r="F12" s="11"/>
      <c r="H12" s="23"/>
    </row>
    <row r="13" spans="2:8" s="1" customFormat="1" ht="15.75" customHeight="1" x14ac:dyDescent="0.25">
      <c r="B13" s="9"/>
      <c r="C13" s="10" t="s">
        <v>19</v>
      </c>
      <c r="D13" s="247">
        <v>8.5000000000000006E-2</v>
      </c>
      <c r="E13" s="100"/>
      <c r="F13" s="11"/>
      <c r="H13" s="23"/>
    </row>
    <row r="14" spans="2:8" ht="15.75" customHeight="1" thickBot="1" x14ac:dyDescent="0.3">
      <c r="B14" s="12"/>
      <c r="C14" s="38"/>
      <c r="D14" s="38"/>
      <c r="E14" s="24" t="s">
        <v>11</v>
      </c>
      <c r="F14" s="13"/>
    </row>
    <row r="15" spans="2:8" ht="15.75" customHeight="1" x14ac:dyDescent="0.25">
      <c r="B15" s="25"/>
      <c r="C15" s="26"/>
      <c r="D15" s="26"/>
      <c r="E15" s="26"/>
      <c r="F15" s="25"/>
    </row>
    <row r="16" spans="2:8" ht="15.75" customHeight="1" x14ac:dyDescent="0.3">
      <c r="B16" s="25"/>
      <c r="C16" s="27" t="s">
        <v>1</v>
      </c>
      <c r="D16" s="27"/>
      <c r="E16" s="26"/>
      <c r="F16" s="25"/>
    </row>
    <row r="17" spans="2:6" ht="15.75" customHeight="1" thickBot="1" x14ac:dyDescent="0.3">
      <c r="B17" s="25"/>
      <c r="C17" s="26"/>
      <c r="D17" s="26"/>
      <c r="E17" s="26"/>
      <c r="F17" s="25"/>
    </row>
    <row r="18" spans="2:6" ht="15.75" customHeight="1" x14ac:dyDescent="0.25">
      <c r="B18" s="14"/>
      <c r="C18" s="28"/>
      <c r="D18" s="28"/>
      <c r="E18" s="28"/>
      <c r="F18" s="15"/>
    </row>
    <row r="19" spans="2:6" ht="15.75" customHeight="1" x14ac:dyDescent="0.3">
      <c r="B19" s="16"/>
      <c r="C19" s="18" t="s">
        <v>111</v>
      </c>
      <c r="D19" s="148">
        <f>NPV(D13,D9:D11)/-D8</f>
        <v>1.2399923186566737</v>
      </c>
      <c r="E19" s="146"/>
      <c r="F19" s="17"/>
    </row>
    <row r="20" spans="2:6" ht="15.75" customHeight="1" x14ac:dyDescent="0.3">
      <c r="B20" s="16"/>
      <c r="C20" s="146"/>
      <c r="D20" s="149"/>
      <c r="E20" s="146"/>
      <c r="F20" s="17"/>
    </row>
    <row r="21" spans="2:6" ht="15.75" customHeight="1" x14ac:dyDescent="0.3">
      <c r="B21" s="16"/>
      <c r="C21" s="18" t="s">
        <v>112</v>
      </c>
      <c r="D21" s="148">
        <f>NPV(D13,E9:E11)/-E8</f>
        <v>1.3520445727339085</v>
      </c>
      <c r="E21" s="124"/>
      <c r="F21" s="17"/>
    </row>
    <row r="22" spans="2:6" ht="15.75" customHeight="1" x14ac:dyDescent="0.3">
      <c r="B22" s="16"/>
      <c r="C22" s="18"/>
      <c r="D22" s="149"/>
      <c r="E22" s="124"/>
      <c r="F22" s="17"/>
    </row>
    <row r="23" spans="2:6" ht="15.75" customHeight="1" x14ac:dyDescent="0.3">
      <c r="B23" s="16"/>
      <c r="C23" s="141" t="str">
        <f>IF(D19&gt;D21,"Accept Alpha","Accept Beta")</f>
        <v>Accept Beta</v>
      </c>
      <c r="D23" s="189" t="s">
        <v>210</v>
      </c>
      <c r="E23" s="124"/>
      <c r="F23" s="17"/>
    </row>
    <row r="24" spans="2:6" ht="15.75" customHeight="1" x14ac:dyDescent="0.3">
      <c r="B24" s="16"/>
      <c r="C24" s="18" t="s">
        <v>211</v>
      </c>
      <c r="D24" s="149"/>
      <c r="E24" s="124"/>
      <c r="F24" s="17"/>
    </row>
    <row r="25" spans="2:6" ht="15.75" customHeight="1" x14ac:dyDescent="0.3">
      <c r="B25" s="16"/>
      <c r="C25" s="18" t="s">
        <v>212</v>
      </c>
      <c r="D25" s="149"/>
      <c r="E25" s="124"/>
      <c r="F25" s="17"/>
    </row>
    <row r="26" spans="2:6" ht="15.75" customHeight="1" x14ac:dyDescent="0.3">
      <c r="B26" s="16"/>
      <c r="C26" s="18" t="s">
        <v>213</v>
      </c>
      <c r="D26" s="149"/>
      <c r="E26" s="124"/>
      <c r="F26" s="17"/>
    </row>
    <row r="27" spans="2:6" ht="15.75" customHeight="1" thickBot="1" x14ac:dyDescent="0.3">
      <c r="B27" s="19"/>
      <c r="C27" s="20"/>
      <c r="D27" s="20"/>
      <c r="E27" s="20"/>
      <c r="F27" s="21"/>
    </row>
    <row r="28" spans="2:6" ht="15.75" customHeight="1" x14ac:dyDescent="0.25">
      <c r="B28" s="4"/>
      <c r="C28" s="4"/>
      <c r="D28" s="4"/>
      <c r="E28" s="4"/>
      <c r="F28" s="4"/>
    </row>
    <row r="29" spans="2:6" ht="15.75" customHeight="1" x14ac:dyDescent="0.25">
      <c r="B29" s="4"/>
      <c r="C29" s="4"/>
      <c r="D29" s="4"/>
      <c r="E29" s="4"/>
      <c r="F29" s="4"/>
    </row>
    <row r="30" spans="2:6" ht="15.75" customHeight="1" x14ac:dyDescent="0.25">
      <c r="B30" s="1"/>
      <c r="C30" s="1"/>
      <c r="D30" s="1"/>
      <c r="E30" s="1"/>
      <c r="F30" s="1"/>
    </row>
    <row r="31" spans="2:6" ht="15.75" customHeight="1" x14ac:dyDescent="0.25">
      <c r="B31" s="1"/>
      <c r="C31" s="1"/>
      <c r="D31" s="1"/>
      <c r="E31" s="1"/>
      <c r="F31" s="1"/>
    </row>
    <row r="32" spans="2:6"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sheetData>
  <phoneticPr fontId="0" type="noConversion"/>
  <pageMargins left="0.75" right="0.75" top="1" bottom="1" header="0.5" footer="0.5"/>
  <pageSetup orientation="portrait" horizont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32</vt:i4>
      </vt:variant>
    </vt:vector>
  </HeadingPairs>
  <TitlesOfParts>
    <vt:vector size="32" baseType="lpstr">
      <vt:lpstr>Chapter 5</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#22 Answer report</vt:lpstr>
      <vt:lpstr>#23</vt:lpstr>
      <vt:lpstr>#24</vt:lpstr>
      <vt:lpstr>#25</vt:lpstr>
      <vt:lpstr>#26</vt:lpstr>
      <vt:lpstr>#27</vt:lpstr>
      <vt:lpstr>#28</vt:lpstr>
      <vt:lpstr>#29</vt:lpstr>
      <vt:lpstr>#30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Smolira</dc:creator>
  <cp:lastModifiedBy>衛昀泰</cp:lastModifiedBy>
  <cp:lastPrinted>2005-09-23T19:12:30Z</cp:lastPrinted>
  <dcterms:created xsi:type="dcterms:W3CDTF">2002-05-02T18:49:10Z</dcterms:created>
  <dcterms:modified xsi:type="dcterms:W3CDTF">2020-11-25T08:22:34Z</dcterms:modified>
</cp:coreProperties>
</file>